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1.xml" ContentType="application/vnd.openxmlformats-officedocument.spreadsheetml.comments+xml"/>
  <Override PartName="/xl/tables/table10.xml" ContentType="application/vnd.openxmlformats-officedocument.spreadsheetml.table+xml"/>
  <Override PartName="/xl/comments2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3.xml" ContentType="application/vnd.openxmlformats-officedocument.spreadsheetml.comments+xml"/>
  <Override PartName="/xl/tables/table13.xml" ContentType="application/vnd.openxmlformats-officedocument.spreadsheetml.table+xml"/>
  <Override PartName="/xl/comments4.xml" ContentType="application/vnd.openxmlformats-officedocument.spreadsheetml.comments+xml"/>
  <Override PartName="/xl/tables/table14.xml" ContentType="application/vnd.openxmlformats-officedocument.spreadsheetml.table+xml"/>
  <Override PartName="/xl/comments5.xml" ContentType="application/vnd.openxmlformats-officedocument.spreadsheetml.comments+xml"/>
  <Override PartName="/xl/tables/table15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rtestastore.sharepoint.com/sites/ARTESTA/Shared Documents/6. Finances/"/>
    </mc:Choice>
  </mc:AlternateContent>
  <xr:revisionPtr revIDLastSave="5615" documentId="109_{F08E48B3-66B0-0D43-9BE5-4D9C26BF7CB6}" xr6:coauthVersionLast="47" xr6:coauthVersionMax="47" xr10:uidLastSave="{1596C6BB-8C62-4800-B169-8B75A53B53EE}"/>
  <bookViews>
    <workbookView xWindow="24" yWindow="120" windowWidth="23676" windowHeight="16416" tabRatio="920" firstSheet="4" activeTab="4" xr2:uid="{099B2220-9AC5-4B94-A173-74F8622F7768}"/>
  </bookViews>
  <sheets>
    <sheet name="val_pyg_old_vs_new_por" sheetId="28" state="hidden" r:id="rId1"/>
    <sheet name="data_pyg_old" sheetId="26" state="hidden" r:id="rId2"/>
    <sheet name="val_pyg_old_vs_new_imp" sheetId="27" state="hidden" r:id="rId3"/>
    <sheet name="Val_FR_202501" sheetId="29" state="hidden" r:id="rId4"/>
    <sheet name="P&amp;G-SL" sheetId="2" r:id="rId5"/>
    <sheet name="P&amp;G-Ltd" sheetId="3" r:id="rId6"/>
    <sheet name="P&amp;G-Inc" sheetId="4" r:id="rId7"/>
    <sheet name="Consolidado" sheetId="6" r:id="rId8"/>
    <sheet name="control-pagos" sheetId="17" state="hidden" r:id="rId9"/>
    <sheet name="control-cobros" sheetId="19" state="hidden" r:id="rId10"/>
    <sheet name="params" sheetId="42" r:id="rId11"/>
    <sheet name="exchange_rates" sheetId="43" r:id="rId12"/>
    <sheet name="i-sales" sheetId="7" r:id="rId13"/>
    <sheet name="i-marketplaces-sl" sheetId="39" r:id="rId14"/>
    <sheet name="i-suplidos-sl" sheetId="46" r:id="rId15"/>
    <sheet name="i-rapels-sl" sheetId="38" r:id="rId16"/>
    <sheet name="i-adjustments-sl" sheetId="40" r:id="rId17"/>
    <sheet name="i-sharedservices-sl" sheetId="41" r:id="rId18"/>
    <sheet name="g-manufacturing-sl" sheetId="44" r:id="rId19"/>
    <sheet name="g-shipping-sl" sheetId="45" r:id="rId20"/>
    <sheet name="g-royalties-sl" sheetId="34" r:id="rId21"/>
    <sheet name="g-paymentsuplier-sl" sheetId="47" r:id="rId22"/>
    <sheet name="input-invoice" sheetId="9" r:id="rId23"/>
    <sheet name="input-prov" sheetId="13" r:id="rId24"/>
    <sheet name="payment-suppliers" sheetId="22" state="hidden" r:id="rId25"/>
    <sheet name="input-staff" sheetId="20" r:id="rId26"/>
    <sheet name="sel-staff" sheetId="21" state="hidden" r:id="rId27"/>
    <sheet name="sel-invoice" sheetId="10" state="hidden" r:id="rId28"/>
    <sheet name="sel-roy" sheetId="35" state="hidden" r:id="rId29"/>
    <sheet name="sel-prov" sheetId="14" state="hidden" r:id="rId30"/>
    <sheet name="sel-yyyymm" sheetId="11" state="hidden" r:id="rId31"/>
    <sheet name="input-tributos" sheetId="23" r:id="rId32"/>
    <sheet name="input-divisas" sheetId="25" r:id="rId33"/>
    <sheet name="sales-others" sheetId="8" r:id="rId34"/>
    <sheet name="comentarios andre" sheetId="37" r:id="rId35"/>
    <sheet name="Validacion-Ventas-RevisarASM" sheetId="32" state="hidden" r:id="rId36"/>
    <sheet name="sel-tributos" sheetId="24" state="hidden" r:id="rId37"/>
  </sheets>
  <definedNames>
    <definedName name="_xlnm._FilterDatabase" localSheetId="18" hidden="1">'g-manufacturing-sl'!$A$1:$A$1</definedName>
    <definedName name="_xlnm._FilterDatabase" localSheetId="19" hidden="1">'g-shipping-sl'!$C$1:$L$24</definedName>
    <definedName name="_xlnm._FilterDatabase" localSheetId="16" hidden="1">'i-adjustments-sl'!#REF!</definedName>
    <definedName name="_xlnm._FilterDatabase" localSheetId="13" hidden="1">'i-marketplaces-sl'!#REF!</definedName>
    <definedName name="_xlnm._FilterDatabase" localSheetId="15" hidden="1">'i-rapels-sl'!#REF!</definedName>
    <definedName name="_xlnm._FilterDatabase" localSheetId="12" hidden="1">'i-sales'!$C$130:$K$213</definedName>
    <definedName name="_xlnm._FilterDatabase" localSheetId="17" hidden="1">'i-sharedservices-sl'!#REF!</definedName>
    <definedName name="_xlnm._FilterDatabase" localSheetId="14" hidden="1">'i-suplidos-sl'!#REF!</definedName>
    <definedName name="_xlnm._FilterDatabase" localSheetId="4" hidden="1">'P&amp;G-SL'!$A$2:$U$168</definedName>
    <definedName name="_xlnm._FilterDatabase" localSheetId="33" hidden="1">'sales-others'!$A$1:$K$13</definedName>
    <definedName name="_xlnm._FilterDatabase" localSheetId="27" hidden="1">'sel-invoice'!$A$1:$G$143</definedName>
    <definedName name="_xlnm._FilterDatabase" localSheetId="26" hidden="1">'sel-staff'!$A$1:$F$4</definedName>
    <definedName name="_xlnm._FilterDatabase" localSheetId="36" hidden="1">'sel-tributos'!$A$1:$G$127</definedName>
    <definedName name="DatosExternos_1" localSheetId="16" hidden="1">'i-adjustments-sl'!#REF!</definedName>
    <definedName name="DatosExternos_1" localSheetId="13" hidden="1">'i-marketplaces-sl'!#REF!</definedName>
    <definedName name="DatosExternos_1" localSheetId="15" hidden="1">'i-rapels-sl'!#REF!</definedName>
    <definedName name="DatosExternos_1" localSheetId="12" hidden="1">'i-sales'!$C$1:$K$385</definedName>
    <definedName name="DatosExternos_1" localSheetId="17" hidden="1">'i-sharedservices-sl'!#REF!</definedName>
    <definedName name="DatosExternos_1" localSheetId="14" hidden="1">'i-suplidos-sl'!#REF!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9" l="1"/>
  <c r="F5" i="39" s="1"/>
  <c r="U81" i="2"/>
  <c r="H24" i="45" l="1"/>
  <c r="F24" i="45" s="1"/>
  <c r="H23" i="45"/>
  <c r="F23" i="45" s="1"/>
  <c r="Y105" i="2"/>
  <c r="C5" i="21"/>
  <c r="K89" i="2"/>
  <c r="L89" i="2"/>
  <c r="M89" i="2"/>
  <c r="N89" i="2"/>
  <c r="O89" i="2"/>
  <c r="P89" i="2"/>
  <c r="Q89" i="2"/>
  <c r="R89" i="2"/>
  <c r="S89" i="2"/>
  <c r="T89" i="2"/>
  <c r="J89" i="2"/>
  <c r="I89" i="2"/>
  <c r="Y73" i="2"/>
  <c r="F4" i="46"/>
  <c r="D4" i="46" s="1"/>
  <c r="F3" i="46"/>
  <c r="D3" i="46" s="1"/>
  <c r="F2" i="46"/>
  <c r="D2" i="46" s="1"/>
  <c r="H4" i="39"/>
  <c r="F4" i="39" s="1"/>
  <c r="H3" i="45"/>
  <c r="F3" i="45" s="1"/>
  <c r="H4" i="45"/>
  <c r="F4" i="45" s="1"/>
  <c r="H5" i="45"/>
  <c r="F5" i="45" s="1"/>
  <c r="H6" i="45"/>
  <c r="F6" i="45" s="1"/>
  <c r="H7" i="45"/>
  <c r="F7" i="45" s="1"/>
  <c r="H8" i="45"/>
  <c r="F8" i="45" s="1"/>
  <c r="H9" i="45"/>
  <c r="F9" i="45" s="1"/>
  <c r="H10" i="45"/>
  <c r="F10" i="45" s="1"/>
  <c r="H11" i="45"/>
  <c r="F11" i="45" s="1"/>
  <c r="H12" i="45"/>
  <c r="F12" i="45" s="1"/>
  <c r="H13" i="45"/>
  <c r="F13" i="45" s="1"/>
  <c r="H14" i="45"/>
  <c r="F14" i="45" s="1"/>
  <c r="H15" i="45"/>
  <c r="F15" i="45" s="1"/>
  <c r="H16" i="45"/>
  <c r="F16" i="45" s="1"/>
  <c r="H17" i="45"/>
  <c r="F17" i="45" s="1"/>
  <c r="H18" i="45"/>
  <c r="F18" i="45" s="1"/>
  <c r="H19" i="45"/>
  <c r="F19" i="45" s="1"/>
  <c r="H20" i="45"/>
  <c r="F20" i="45" s="1"/>
  <c r="H21" i="45"/>
  <c r="F21" i="45" s="1"/>
  <c r="H22" i="45"/>
  <c r="F22" i="45" s="1"/>
  <c r="H2" i="45"/>
  <c r="F2" i="45" s="1"/>
  <c r="W59" i="2"/>
  <c r="I9" i="41"/>
  <c r="G9" i="41" s="1"/>
  <c r="I24" i="44"/>
  <c r="G24" i="44" s="1"/>
  <c r="I2" i="44"/>
  <c r="G2" i="44" s="1"/>
  <c r="I3" i="44"/>
  <c r="G3" i="44" s="1"/>
  <c r="I4" i="44"/>
  <c r="G4" i="44" s="1"/>
  <c r="I5" i="44"/>
  <c r="G5" i="44" s="1"/>
  <c r="I6" i="44"/>
  <c r="G6" i="44" s="1"/>
  <c r="I7" i="44"/>
  <c r="G7" i="44" s="1"/>
  <c r="I8" i="44"/>
  <c r="G8" i="44" s="1"/>
  <c r="I9" i="44"/>
  <c r="G9" i="44" s="1"/>
  <c r="I10" i="44"/>
  <c r="G10" i="44" s="1"/>
  <c r="I11" i="44"/>
  <c r="G11" i="44" s="1"/>
  <c r="I12" i="44"/>
  <c r="G12" i="44" s="1"/>
  <c r="I13" i="44"/>
  <c r="G13" i="44" s="1"/>
  <c r="I14" i="44"/>
  <c r="G14" i="44" s="1"/>
  <c r="I15" i="44"/>
  <c r="G15" i="44" s="1"/>
  <c r="I16" i="44"/>
  <c r="G16" i="44" s="1"/>
  <c r="I17" i="44"/>
  <c r="G17" i="44" s="1"/>
  <c r="I18" i="44"/>
  <c r="G18" i="44" s="1"/>
  <c r="I19" i="44"/>
  <c r="G19" i="44" s="1"/>
  <c r="I20" i="44"/>
  <c r="G20" i="44" s="1"/>
  <c r="I21" i="44"/>
  <c r="G21" i="44" s="1"/>
  <c r="I22" i="44"/>
  <c r="G22" i="44" s="1"/>
  <c r="I23" i="44"/>
  <c r="G23" i="44" s="1"/>
  <c r="I8" i="41"/>
  <c r="G8" i="41" s="1"/>
  <c r="I7" i="41"/>
  <c r="G7" i="41" s="1"/>
  <c r="I6" i="41"/>
  <c r="G6" i="41" s="1"/>
  <c r="I5" i="41"/>
  <c r="G5" i="41" s="1"/>
  <c r="I4" i="41"/>
  <c r="G4" i="41" s="1"/>
  <c r="I3" i="41"/>
  <c r="G3" i="41" s="1"/>
  <c r="I2" i="41"/>
  <c r="G2" i="41" s="1"/>
  <c r="I7" i="40"/>
  <c r="J7" i="40" s="1"/>
  <c r="I6" i="40"/>
  <c r="J6" i="40" s="1"/>
  <c r="I5" i="40" l="1"/>
  <c r="J5" i="40" s="1"/>
  <c r="I4" i="40"/>
  <c r="J4" i="40" s="1"/>
  <c r="I2" i="40"/>
  <c r="J2" i="40" s="1"/>
  <c r="I3" i="40"/>
  <c r="J3" i="40" s="1"/>
  <c r="H2" i="38" l="1"/>
  <c r="F2" i="38" s="1"/>
  <c r="H3" i="39"/>
  <c r="F3" i="39" s="1"/>
  <c r="H2" i="39"/>
  <c r="F2" i="39" s="1"/>
  <c r="B4" i="42"/>
  <c r="C4" i="42" s="1"/>
  <c r="E936" i="9"/>
  <c r="K936" i="9"/>
  <c r="I936" i="9"/>
  <c r="E976" i="9"/>
  <c r="K976" i="9"/>
  <c r="I976" i="9"/>
  <c r="D4" i="42" l="1"/>
  <c r="J1" i="2"/>
  <c r="I1" i="2"/>
  <c r="R103" i="3"/>
  <c r="Q103" i="3"/>
  <c r="J97" i="2"/>
  <c r="J96" i="2"/>
  <c r="J99" i="2"/>
  <c r="I100" i="2"/>
  <c r="J100" i="2"/>
  <c r="I78" i="2" l="1"/>
  <c r="I79" i="2"/>
  <c r="I64" i="2"/>
  <c r="I77" i="2"/>
  <c r="J77" i="2"/>
  <c r="J78" i="2"/>
  <c r="J79" i="2"/>
  <c r="I73" i="2"/>
  <c r="I72" i="2"/>
  <c r="J70" i="2"/>
  <c r="J72" i="2"/>
  <c r="J73" i="2"/>
  <c r="I70" i="2"/>
  <c r="I66" i="2"/>
  <c r="I67" i="2"/>
  <c r="I17" i="2"/>
  <c r="I65" i="2"/>
  <c r="J67" i="2"/>
  <c r="J65" i="2"/>
  <c r="J64" i="2"/>
  <c r="J66" i="2"/>
  <c r="J21" i="2"/>
  <c r="J19" i="2"/>
  <c r="I21" i="2"/>
  <c r="I56" i="2"/>
  <c r="I57" i="2"/>
  <c r="I58" i="2"/>
  <c r="I59" i="2"/>
  <c r="I49" i="2"/>
  <c r="I60" i="2"/>
  <c r="J45" i="2"/>
  <c r="J46" i="2" s="1"/>
  <c r="J56" i="2"/>
  <c r="J60" i="2"/>
  <c r="J59" i="2"/>
  <c r="J57" i="2"/>
  <c r="J58" i="2"/>
  <c r="I45" i="2"/>
  <c r="I37" i="2"/>
  <c r="I50" i="2"/>
  <c r="J49" i="2"/>
  <c r="J37" i="2"/>
  <c r="J50" i="2"/>
  <c r="I28" i="2"/>
  <c r="I23" i="2"/>
  <c r="I26" i="2"/>
  <c r="I27" i="2"/>
  <c r="J28" i="2"/>
  <c r="J26" i="2"/>
  <c r="J27" i="2"/>
  <c r="I19" i="2"/>
  <c r="J18" i="2"/>
  <c r="J23" i="2"/>
  <c r="J17" i="2"/>
  <c r="I18" i="2"/>
  <c r="E4" i="42"/>
  <c r="K1" i="2"/>
  <c r="I972" i="9"/>
  <c r="I973" i="9"/>
  <c r="I974" i="9"/>
  <c r="I975" i="9"/>
  <c r="K972" i="9"/>
  <c r="K973" i="9"/>
  <c r="K974" i="9"/>
  <c r="K975" i="9"/>
  <c r="J959" i="9"/>
  <c r="I959" i="9" s="1"/>
  <c r="I968" i="9"/>
  <c r="I969" i="9"/>
  <c r="I970" i="9"/>
  <c r="I971" i="9"/>
  <c r="K968" i="9"/>
  <c r="K969" i="9"/>
  <c r="K970" i="9"/>
  <c r="K971" i="9"/>
  <c r="I962" i="9"/>
  <c r="K962" i="9"/>
  <c r="I908" i="9"/>
  <c r="K908" i="9"/>
  <c r="I961" i="9"/>
  <c r="K961" i="9"/>
  <c r="I957" i="9"/>
  <c r="K957" i="9"/>
  <c r="I958" i="9"/>
  <c r="K958" i="9"/>
  <c r="I967" i="9"/>
  <c r="K967" i="9"/>
  <c r="I966" i="9"/>
  <c r="K966" i="9"/>
  <c r="I964" i="9"/>
  <c r="I965" i="9"/>
  <c r="K964" i="9"/>
  <c r="K965" i="9"/>
  <c r="I953" i="9"/>
  <c r="I954" i="9"/>
  <c r="I955" i="9"/>
  <c r="I956" i="9"/>
  <c r="I963" i="9"/>
  <c r="K953" i="9"/>
  <c r="K954" i="9"/>
  <c r="K955" i="9"/>
  <c r="K956" i="9"/>
  <c r="K959" i="9"/>
  <c r="K963" i="9"/>
  <c r="E948" i="9"/>
  <c r="E938" i="9"/>
  <c r="I952" i="9"/>
  <c r="K952" i="9"/>
  <c r="I938" i="9"/>
  <c r="I948" i="9"/>
  <c r="I950" i="9"/>
  <c r="I951" i="9"/>
  <c r="K938" i="9"/>
  <c r="K948" i="9"/>
  <c r="K950" i="9"/>
  <c r="K951" i="9"/>
  <c r="I947" i="9"/>
  <c r="K947" i="9"/>
  <c r="I946" i="9"/>
  <c r="K946" i="9"/>
  <c r="I945" i="9"/>
  <c r="K945" i="9"/>
  <c r="E944" i="9"/>
  <c r="H944" i="9"/>
  <c r="G944" i="9" s="1"/>
  <c r="I944" i="9"/>
  <c r="K944" i="9"/>
  <c r="E943" i="9"/>
  <c r="K943" i="9"/>
  <c r="I943" i="9"/>
  <c r="H943" i="9"/>
  <c r="G943" i="9" s="1"/>
  <c r="E93" i="9"/>
  <c r="I93" i="9"/>
  <c r="K93" i="9"/>
  <c r="I941" i="9"/>
  <c r="K941" i="9"/>
  <c r="I940" i="9"/>
  <c r="K940" i="9"/>
  <c r="I939" i="9"/>
  <c r="K939" i="9"/>
  <c r="E921" i="9"/>
  <c r="E922" i="9"/>
  <c r="I921" i="9"/>
  <c r="I922" i="9"/>
  <c r="K921" i="9"/>
  <c r="K922" i="9"/>
  <c r="I873" i="9"/>
  <c r="K873" i="9"/>
  <c r="E70" i="13"/>
  <c r="E71" i="13"/>
  <c r="E72" i="13"/>
  <c r="E73" i="13"/>
  <c r="E74" i="13"/>
  <c r="E75" i="13"/>
  <c r="K96" i="2"/>
  <c r="I99" i="2"/>
  <c r="I97" i="2"/>
  <c r="I96" i="2"/>
  <c r="K79" i="2" l="1"/>
  <c r="K77" i="2"/>
  <c r="K78" i="2"/>
  <c r="I71" i="2"/>
  <c r="K70" i="2"/>
  <c r="K72" i="2"/>
  <c r="K73" i="2"/>
  <c r="J71" i="2"/>
  <c r="K67" i="2"/>
  <c r="K65" i="2"/>
  <c r="K64" i="2"/>
  <c r="K66" i="2"/>
  <c r="K21" i="2"/>
  <c r="I16" i="2"/>
  <c r="K45" i="2"/>
  <c r="K46" i="2" s="1"/>
  <c r="K56" i="2"/>
  <c r="K59" i="2"/>
  <c r="K57" i="2"/>
  <c r="K60" i="2"/>
  <c r="K58" i="2"/>
  <c r="I38" i="2"/>
  <c r="I46" i="2"/>
  <c r="J48" i="2"/>
  <c r="J31" i="2" s="1"/>
  <c r="J30" i="2" s="1"/>
  <c r="I48" i="2"/>
  <c r="I31" i="2" s="1"/>
  <c r="I30" i="2" s="1"/>
  <c r="K49" i="2"/>
  <c r="K37" i="2"/>
  <c r="K50" i="2"/>
  <c r="J38" i="2"/>
  <c r="K23" i="2"/>
  <c r="K28" i="2"/>
  <c r="K26" i="2"/>
  <c r="K27" i="2"/>
  <c r="J25" i="2"/>
  <c r="I25" i="2"/>
  <c r="J16" i="2"/>
  <c r="K17" i="2"/>
  <c r="K19" i="2"/>
  <c r="K18" i="2"/>
  <c r="F4" i="42"/>
  <c r="L1" i="2"/>
  <c r="I934" i="9"/>
  <c r="K934" i="9"/>
  <c r="I933" i="9"/>
  <c r="K933" i="9"/>
  <c r="I893" i="9"/>
  <c r="I899" i="9"/>
  <c r="K893" i="9"/>
  <c r="K899" i="9"/>
  <c r="I901" i="9"/>
  <c r="K901" i="9"/>
  <c r="E898" i="9"/>
  <c r="I898" i="9"/>
  <c r="I920" i="9"/>
  <c r="I912" i="9"/>
  <c r="K898" i="9"/>
  <c r="K920" i="9"/>
  <c r="K912" i="9"/>
  <c r="I902" i="9"/>
  <c r="K902" i="9"/>
  <c r="I896" i="9"/>
  <c r="K896" i="9"/>
  <c r="I925" i="9"/>
  <c r="I874" i="9"/>
  <c r="K925" i="9"/>
  <c r="K874" i="9"/>
  <c r="I897" i="9"/>
  <c r="I904" i="9"/>
  <c r="K897" i="9"/>
  <c r="K904" i="9"/>
  <c r="E915" i="9"/>
  <c r="H915" i="9"/>
  <c r="G915" i="9" s="1"/>
  <c r="I915" i="9"/>
  <c r="K915" i="9"/>
  <c r="E917" i="9"/>
  <c r="H917" i="9"/>
  <c r="G917" i="9" s="1"/>
  <c r="I917" i="9"/>
  <c r="K917" i="9"/>
  <c r="E916" i="9"/>
  <c r="H916" i="9"/>
  <c r="G916" i="9" s="1"/>
  <c r="I916" i="9"/>
  <c r="K916" i="9"/>
  <c r="H924" i="9"/>
  <c r="G924" i="9" s="1"/>
  <c r="I924" i="9"/>
  <c r="K924" i="9"/>
  <c r="H905" i="9"/>
  <c r="G905" i="9" s="1"/>
  <c r="I905" i="9"/>
  <c r="K905" i="9"/>
  <c r="H909" i="9"/>
  <c r="G909" i="9" s="1"/>
  <c r="I909" i="9"/>
  <c r="K909" i="9"/>
  <c r="E926" i="9"/>
  <c r="H926" i="9"/>
  <c r="G926" i="9" s="1"/>
  <c r="I926" i="9"/>
  <c r="K926" i="9"/>
  <c r="H914" i="9"/>
  <c r="G914" i="9" s="1"/>
  <c r="I914" i="9"/>
  <c r="K914" i="9"/>
  <c r="H900" i="9"/>
  <c r="G900" i="9" s="1"/>
  <c r="I900" i="9"/>
  <c r="K900" i="9"/>
  <c r="H913" i="9"/>
  <c r="G913" i="9" s="1"/>
  <c r="I913" i="9"/>
  <c r="K913" i="9"/>
  <c r="H919" i="9"/>
  <c r="G919" i="9" s="1"/>
  <c r="I919" i="9"/>
  <c r="K919" i="9"/>
  <c r="H906" i="9"/>
  <c r="G906" i="9" s="1"/>
  <c r="I906" i="9"/>
  <c r="K906" i="9"/>
  <c r="H935" i="9"/>
  <c r="G935" i="9" s="1"/>
  <c r="I935" i="9"/>
  <c r="K935" i="9"/>
  <c r="E927" i="9"/>
  <c r="H927" i="9"/>
  <c r="G927" i="9" s="1"/>
  <c r="I927" i="9"/>
  <c r="K927" i="9"/>
  <c r="E928" i="9"/>
  <c r="H928" i="9"/>
  <c r="G928" i="9" s="1"/>
  <c r="I928" i="9"/>
  <c r="K928" i="9"/>
  <c r="E929" i="9"/>
  <c r="H929" i="9"/>
  <c r="G929" i="9" s="1"/>
  <c r="I929" i="9"/>
  <c r="K929" i="9"/>
  <c r="E930" i="9"/>
  <c r="H930" i="9"/>
  <c r="G930" i="9" s="1"/>
  <c r="I930" i="9"/>
  <c r="K930" i="9"/>
  <c r="E931" i="9"/>
  <c r="H931" i="9"/>
  <c r="G931" i="9" s="1"/>
  <c r="I931" i="9"/>
  <c r="K931" i="9"/>
  <c r="H895" i="9"/>
  <c r="G895" i="9" s="1"/>
  <c r="I895" i="9"/>
  <c r="K895" i="9"/>
  <c r="E937" i="9"/>
  <c r="H937" i="9"/>
  <c r="G937" i="9" s="1"/>
  <c r="I937" i="9"/>
  <c r="K937" i="9"/>
  <c r="H949" i="9"/>
  <c r="G949" i="9" s="1"/>
  <c r="I949" i="9"/>
  <c r="K949" i="9"/>
  <c r="H822" i="9"/>
  <c r="G822" i="9" s="1"/>
  <c r="I822" i="9"/>
  <c r="K822" i="9"/>
  <c r="H907" i="9"/>
  <c r="G907" i="9" s="1"/>
  <c r="I907" i="9"/>
  <c r="K907" i="9"/>
  <c r="I918" i="9"/>
  <c r="K918" i="9"/>
  <c r="I825" i="9"/>
  <c r="K825" i="9"/>
  <c r="I875" i="9"/>
  <c r="K875" i="9"/>
  <c r="I923" i="9"/>
  <c r="K923" i="9"/>
  <c r="E932" i="9"/>
  <c r="I932" i="9"/>
  <c r="K932" i="9"/>
  <c r="E960" i="9"/>
  <c r="I960" i="9"/>
  <c r="I910" i="9"/>
  <c r="I911" i="9"/>
  <c r="K960" i="9"/>
  <c r="K910" i="9"/>
  <c r="K911" i="9"/>
  <c r="I891" i="9"/>
  <c r="K891" i="9"/>
  <c r="E65" i="13"/>
  <c r="E66" i="13"/>
  <c r="E67" i="13"/>
  <c r="E68" i="13"/>
  <c r="E69" i="13"/>
  <c r="E64" i="13"/>
  <c r="I884" i="9"/>
  <c r="I885" i="9"/>
  <c r="I886" i="9"/>
  <c r="I887" i="9"/>
  <c r="I888" i="9"/>
  <c r="K884" i="9"/>
  <c r="K885" i="9"/>
  <c r="K886" i="9"/>
  <c r="K887" i="9"/>
  <c r="K888" i="9"/>
  <c r="I881" i="9"/>
  <c r="I882" i="9"/>
  <c r="I883" i="9"/>
  <c r="K881" i="9"/>
  <c r="K882" i="9"/>
  <c r="K883" i="9"/>
  <c r="I879" i="9"/>
  <c r="I880" i="9"/>
  <c r="K879" i="9"/>
  <c r="K880" i="9"/>
  <c r="I877" i="9"/>
  <c r="I878" i="9"/>
  <c r="K877" i="9"/>
  <c r="K878" i="9"/>
  <c r="I876" i="9"/>
  <c r="K876" i="9"/>
  <c r="I872" i="9"/>
  <c r="K872" i="9"/>
  <c r="E697" i="9"/>
  <c r="E700" i="9"/>
  <c r="E871" i="9"/>
  <c r="E819" i="9"/>
  <c r="K869" i="9"/>
  <c r="K819" i="9"/>
  <c r="K871" i="9"/>
  <c r="I869" i="9"/>
  <c r="I819" i="9"/>
  <c r="I871" i="9"/>
  <c r="E829" i="9"/>
  <c r="K830" i="9"/>
  <c r="K860" i="9"/>
  <c r="K867" i="9"/>
  <c r="K829" i="9"/>
  <c r="K868" i="9"/>
  <c r="I830" i="9"/>
  <c r="I860" i="9"/>
  <c r="I867" i="9"/>
  <c r="I829" i="9"/>
  <c r="I868" i="9"/>
  <c r="K865" i="9"/>
  <c r="K866" i="9"/>
  <c r="I865" i="9"/>
  <c r="I866" i="9"/>
  <c r="K864" i="9"/>
  <c r="I864" i="9"/>
  <c r="E68" i="9"/>
  <c r="K68" i="9"/>
  <c r="K861" i="9"/>
  <c r="K862" i="9"/>
  <c r="K863" i="9"/>
  <c r="I68" i="9"/>
  <c r="I861" i="9"/>
  <c r="I862" i="9"/>
  <c r="I863" i="9"/>
  <c r="K334" i="9"/>
  <c r="I334" i="9"/>
  <c r="E892" i="9"/>
  <c r="E890" i="9"/>
  <c r="K827" i="9"/>
  <c r="I827" i="9"/>
  <c r="K890" i="9"/>
  <c r="I890" i="9"/>
  <c r="K892" i="9"/>
  <c r="I892" i="9"/>
  <c r="K100" i="2"/>
  <c r="L96" i="2"/>
  <c r="L100" i="2"/>
  <c r="K99" i="2"/>
  <c r="L97" i="2"/>
  <c r="K97" i="2"/>
  <c r="L99" i="2"/>
  <c r="L79" i="2" l="1"/>
  <c r="L77" i="2"/>
  <c r="L78" i="2"/>
  <c r="L70" i="2"/>
  <c r="L72" i="2"/>
  <c r="L73" i="2"/>
  <c r="K71" i="2"/>
  <c r="L67" i="2"/>
  <c r="L65" i="2"/>
  <c r="L64" i="2"/>
  <c r="L66" i="2"/>
  <c r="L21" i="2"/>
  <c r="L45" i="2"/>
  <c r="L46" i="2" s="1"/>
  <c r="L58" i="2"/>
  <c r="L56" i="2"/>
  <c r="L60" i="2"/>
  <c r="L59" i="2"/>
  <c r="L57" i="2"/>
  <c r="L49" i="2"/>
  <c r="L37" i="2"/>
  <c r="L50" i="2"/>
  <c r="K38" i="2"/>
  <c r="K48" i="2"/>
  <c r="K31" i="2" s="1"/>
  <c r="K30" i="2" s="1"/>
  <c r="K25" i="2"/>
  <c r="L23" i="2"/>
  <c r="L26" i="2"/>
  <c r="L27" i="2"/>
  <c r="L28" i="2"/>
  <c r="K16" i="2"/>
  <c r="G4" i="42"/>
  <c r="M1" i="2"/>
  <c r="L17" i="2"/>
  <c r="L19" i="2"/>
  <c r="L18" i="2"/>
  <c r="I833" i="9"/>
  <c r="K833" i="9"/>
  <c r="E857" i="9"/>
  <c r="E856" i="9"/>
  <c r="I856" i="9"/>
  <c r="I857" i="9"/>
  <c r="K856" i="9"/>
  <c r="K857" i="9"/>
  <c r="E855" i="9"/>
  <c r="I854" i="9"/>
  <c r="I855" i="9"/>
  <c r="K854" i="9"/>
  <c r="K855" i="9"/>
  <c r="E847" i="9"/>
  <c r="I848" i="9"/>
  <c r="I849" i="9"/>
  <c r="I850" i="9"/>
  <c r="I851" i="9"/>
  <c r="I852" i="9"/>
  <c r="I853" i="9"/>
  <c r="K848" i="9"/>
  <c r="K849" i="9"/>
  <c r="K850" i="9"/>
  <c r="K851" i="9"/>
  <c r="K852" i="9"/>
  <c r="K853" i="9"/>
  <c r="I844" i="9"/>
  <c r="I845" i="9"/>
  <c r="I846" i="9"/>
  <c r="I847" i="9"/>
  <c r="K844" i="9"/>
  <c r="K845" i="9"/>
  <c r="K846" i="9"/>
  <c r="K847" i="9"/>
  <c r="I843" i="9"/>
  <c r="K843" i="9"/>
  <c r="E840" i="9"/>
  <c r="E841" i="9"/>
  <c r="E842" i="9"/>
  <c r="E839" i="9"/>
  <c r="K838" i="9"/>
  <c r="I837" i="9"/>
  <c r="I838" i="9"/>
  <c r="I839" i="9"/>
  <c r="I840" i="9"/>
  <c r="I841" i="9"/>
  <c r="I842" i="9"/>
  <c r="K837" i="9"/>
  <c r="K839" i="9"/>
  <c r="K840" i="9"/>
  <c r="K841" i="9"/>
  <c r="K842" i="9"/>
  <c r="I836" i="9"/>
  <c r="K836" i="9"/>
  <c r="K834" i="9"/>
  <c r="K835" i="9"/>
  <c r="I834" i="9"/>
  <c r="I835" i="9"/>
  <c r="H834" i="9"/>
  <c r="G834" i="9" s="1"/>
  <c r="H835" i="9"/>
  <c r="G835" i="9" s="1"/>
  <c r="H801" i="9"/>
  <c r="G801" i="9" s="1"/>
  <c r="I801" i="9"/>
  <c r="I797" i="9"/>
  <c r="I302" i="9"/>
  <c r="K302" i="9"/>
  <c r="K797" i="9"/>
  <c r="H858" i="9"/>
  <c r="G858" i="9" s="1"/>
  <c r="I858" i="9"/>
  <c r="K858" i="9"/>
  <c r="E858" i="9"/>
  <c r="K800" i="9"/>
  <c r="H800" i="9"/>
  <c r="G800" i="9" s="1"/>
  <c r="I800" i="9"/>
  <c r="E800" i="9"/>
  <c r="H796" i="9"/>
  <c r="G796" i="9" s="1"/>
  <c r="I796" i="9"/>
  <c r="K796" i="9"/>
  <c r="E796" i="9"/>
  <c r="K889" i="9"/>
  <c r="H817" i="9"/>
  <c r="G817" i="9" s="1"/>
  <c r="I817" i="9"/>
  <c r="I818" i="9"/>
  <c r="I870" i="9"/>
  <c r="I820" i="9"/>
  <c r="I821" i="9"/>
  <c r="I828" i="9"/>
  <c r="I823" i="9"/>
  <c r="H889" i="9"/>
  <c r="G889" i="9" s="1"/>
  <c r="K831" i="9"/>
  <c r="I831" i="9"/>
  <c r="K817" i="9"/>
  <c r="K818" i="9"/>
  <c r="K870" i="9"/>
  <c r="K820" i="9"/>
  <c r="K821" i="9"/>
  <c r="K828" i="9"/>
  <c r="K823" i="9"/>
  <c r="K824" i="9"/>
  <c r="K894" i="9"/>
  <c r="K826" i="9"/>
  <c r="K903" i="9"/>
  <c r="K812" i="9"/>
  <c r="H812" i="9"/>
  <c r="G812" i="9" s="1"/>
  <c r="H811" i="9"/>
  <c r="G811" i="9" s="1"/>
  <c r="I812" i="9"/>
  <c r="I889" i="9"/>
  <c r="K811" i="9"/>
  <c r="I811" i="9"/>
  <c r="H795" i="9"/>
  <c r="G795" i="9" s="1"/>
  <c r="I795" i="9"/>
  <c r="K795" i="9"/>
  <c r="I824" i="9"/>
  <c r="I894" i="9"/>
  <c r="I826" i="9"/>
  <c r="I903" i="9"/>
  <c r="I815" i="9"/>
  <c r="K815" i="9"/>
  <c r="I806" i="9"/>
  <c r="I687" i="9"/>
  <c r="I808" i="9"/>
  <c r="K806" i="9"/>
  <c r="K687" i="9"/>
  <c r="K808" i="9"/>
  <c r="I805" i="9"/>
  <c r="K805" i="9"/>
  <c r="I778" i="9"/>
  <c r="K778" i="9"/>
  <c r="E784" i="9"/>
  <c r="K784" i="9"/>
  <c r="I784" i="9"/>
  <c r="H784" i="9"/>
  <c r="G784" i="9" s="1"/>
  <c r="K777" i="9"/>
  <c r="I777" i="9"/>
  <c r="H777" i="9"/>
  <c r="G777" i="9" s="1"/>
  <c r="E783" i="9"/>
  <c r="K783" i="9"/>
  <c r="I783" i="9"/>
  <c r="E804" i="9"/>
  <c r="E809" i="9"/>
  <c r="E810" i="9"/>
  <c r="E813" i="9"/>
  <c r="E814" i="9"/>
  <c r="K804" i="9"/>
  <c r="K809" i="9"/>
  <c r="K810" i="9"/>
  <c r="K813" i="9"/>
  <c r="K814" i="9"/>
  <c r="I804" i="9"/>
  <c r="I809" i="9"/>
  <c r="I810" i="9"/>
  <c r="I813" i="9"/>
  <c r="I814" i="9"/>
  <c r="H804" i="9"/>
  <c r="G804" i="9" s="1"/>
  <c r="H809" i="9"/>
  <c r="G809" i="9" s="1"/>
  <c r="H810" i="9"/>
  <c r="G810" i="9" s="1"/>
  <c r="H813" i="9"/>
  <c r="G813" i="9" s="1"/>
  <c r="H814" i="9"/>
  <c r="G814" i="9" s="1"/>
  <c r="E58" i="13"/>
  <c r="E59" i="13"/>
  <c r="E60" i="13"/>
  <c r="E61" i="13"/>
  <c r="E62" i="13"/>
  <c r="E63" i="13"/>
  <c r="E816" i="9"/>
  <c r="K803" i="9"/>
  <c r="I803" i="9"/>
  <c r="H803" i="9"/>
  <c r="G803" i="9" s="1"/>
  <c r="E803" i="9"/>
  <c r="E802" i="9"/>
  <c r="I802" i="9"/>
  <c r="I816" i="9"/>
  <c r="K802" i="9"/>
  <c r="K816" i="9"/>
  <c r="H10" i="8"/>
  <c r="G10" i="8" s="1"/>
  <c r="G9" i="8"/>
  <c r="I9" i="8" s="1"/>
  <c r="E782" i="9"/>
  <c r="E789" i="9"/>
  <c r="E791" i="9"/>
  <c r="E799" i="9"/>
  <c r="E787" i="9"/>
  <c r="E776" i="9"/>
  <c r="E788" i="9"/>
  <c r="E790" i="9"/>
  <c r="E794" i="9"/>
  <c r="E801" i="9"/>
  <c r="E773" i="9"/>
  <c r="I791" i="9"/>
  <c r="I799" i="9"/>
  <c r="I787" i="9"/>
  <c r="I776" i="9"/>
  <c r="I788" i="9"/>
  <c r="I790" i="9"/>
  <c r="I794" i="9"/>
  <c r="K791" i="9"/>
  <c r="K799" i="9"/>
  <c r="K787" i="9"/>
  <c r="K776" i="9"/>
  <c r="K788" i="9"/>
  <c r="K790" i="9"/>
  <c r="K794" i="9"/>
  <c r="K801" i="9"/>
  <c r="I782" i="9"/>
  <c r="I789" i="9"/>
  <c r="K782" i="9"/>
  <c r="K789" i="9"/>
  <c r="K781" i="9"/>
  <c r="I781" i="9"/>
  <c r="H781" i="9"/>
  <c r="G781" i="9" s="1"/>
  <c r="I770" i="9"/>
  <c r="I769" i="9"/>
  <c r="I773" i="9"/>
  <c r="K770" i="9"/>
  <c r="K769" i="9"/>
  <c r="K773" i="9"/>
  <c r="I785" i="9"/>
  <c r="I567" i="9"/>
  <c r="I786" i="9"/>
  <c r="I756" i="9"/>
  <c r="K785" i="9"/>
  <c r="K567" i="9"/>
  <c r="K786" i="9"/>
  <c r="K756" i="9"/>
  <c r="I412" i="9"/>
  <c r="I697" i="9"/>
  <c r="I700" i="9"/>
  <c r="I780" i="9"/>
  <c r="I774" i="9"/>
  <c r="K412" i="9"/>
  <c r="K697" i="9"/>
  <c r="K700" i="9"/>
  <c r="K780" i="9"/>
  <c r="K774" i="9"/>
  <c r="I768" i="9"/>
  <c r="K768" i="9"/>
  <c r="E767" i="9"/>
  <c r="I767" i="9"/>
  <c r="I765" i="9"/>
  <c r="I766" i="9"/>
  <c r="I779" i="9"/>
  <c r="I775" i="9"/>
  <c r="K767" i="9"/>
  <c r="K765" i="9"/>
  <c r="K766" i="9"/>
  <c r="K779" i="9"/>
  <c r="K775" i="9"/>
  <c r="E832" i="9"/>
  <c r="I433" i="9"/>
  <c r="K762" i="9"/>
  <c r="K761" i="9"/>
  <c r="K764" i="9"/>
  <c r="K763" i="9"/>
  <c r="I762" i="9"/>
  <c r="I761" i="9"/>
  <c r="I764" i="9"/>
  <c r="I763" i="9"/>
  <c r="K433" i="9"/>
  <c r="K832" i="9"/>
  <c r="K757" i="9"/>
  <c r="K758" i="9"/>
  <c r="K759" i="9"/>
  <c r="I832" i="9"/>
  <c r="I757" i="9"/>
  <c r="I758" i="9"/>
  <c r="I759" i="9"/>
  <c r="K754" i="9"/>
  <c r="F8" i="23"/>
  <c r="D8" i="23"/>
  <c r="C8" i="23" s="1"/>
  <c r="E753" i="9"/>
  <c r="K753" i="9"/>
  <c r="I753" i="9"/>
  <c r="H753" i="9"/>
  <c r="G753" i="9" s="1"/>
  <c r="H752" i="9"/>
  <c r="G752" i="9" s="1"/>
  <c r="H751" i="9"/>
  <c r="G751" i="9" s="1"/>
  <c r="H750" i="9"/>
  <c r="G750" i="9" s="1"/>
  <c r="H749" i="9"/>
  <c r="G749" i="9" s="1"/>
  <c r="H748" i="9"/>
  <c r="G748" i="9" s="1"/>
  <c r="H747" i="9"/>
  <c r="G747" i="9" s="1"/>
  <c r="H746" i="9"/>
  <c r="G746" i="9" s="1"/>
  <c r="H745" i="9"/>
  <c r="G745" i="9" s="1"/>
  <c r="H744" i="9"/>
  <c r="G744" i="9" s="1"/>
  <c r="K752" i="9"/>
  <c r="K751" i="9"/>
  <c r="K750" i="9"/>
  <c r="K749" i="9"/>
  <c r="K748" i="9"/>
  <c r="K747" i="9"/>
  <c r="K746" i="9"/>
  <c r="K745" i="9"/>
  <c r="E752" i="9"/>
  <c r="E751" i="9"/>
  <c r="E750" i="9"/>
  <c r="E749" i="9"/>
  <c r="E748" i="9"/>
  <c r="E747" i="9"/>
  <c r="E746" i="9"/>
  <c r="E745" i="9"/>
  <c r="I747" i="9"/>
  <c r="I748" i="9"/>
  <c r="I749" i="9"/>
  <c r="I750" i="9"/>
  <c r="I751" i="9"/>
  <c r="I752" i="9"/>
  <c r="K744" i="9"/>
  <c r="K743" i="9"/>
  <c r="K742" i="9"/>
  <c r="E742" i="9"/>
  <c r="K741" i="9"/>
  <c r="E741" i="9"/>
  <c r="K740" i="9"/>
  <c r="K739" i="9"/>
  <c r="E740" i="9"/>
  <c r="I740" i="9"/>
  <c r="I741" i="9"/>
  <c r="I742" i="9"/>
  <c r="I743" i="9"/>
  <c r="I744" i="9"/>
  <c r="I745" i="9"/>
  <c r="I746" i="9"/>
  <c r="H740" i="9"/>
  <c r="G740" i="9" s="1"/>
  <c r="H741" i="9"/>
  <c r="G741" i="9" s="1"/>
  <c r="H742" i="9"/>
  <c r="G742" i="9" s="1"/>
  <c r="H743" i="9"/>
  <c r="G743" i="9" s="1"/>
  <c r="H739" i="9"/>
  <c r="G739" i="9" s="1"/>
  <c r="H738" i="9"/>
  <c r="G738" i="9" s="1"/>
  <c r="K738" i="9"/>
  <c r="H737" i="9"/>
  <c r="G737" i="9" s="1"/>
  <c r="K737" i="9"/>
  <c r="K736" i="9"/>
  <c r="H736" i="9"/>
  <c r="G736" i="9" s="1"/>
  <c r="H735" i="9"/>
  <c r="G735" i="9" s="1"/>
  <c r="H731" i="9"/>
  <c r="G731" i="9" s="1"/>
  <c r="H729" i="9"/>
  <c r="G729" i="9" s="1"/>
  <c r="H727" i="9"/>
  <c r="G727" i="9" s="1"/>
  <c r="H733" i="9"/>
  <c r="G733" i="9" s="1"/>
  <c r="H734" i="9"/>
  <c r="G734" i="9" s="1"/>
  <c r="H730" i="9"/>
  <c r="G730" i="9" s="1"/>
  <c r="H728" i="9"/>
  <c r="G728" i="9" s="1"/>
  <c r="K735" i="9"/>
  <c r="K731" i="9"/>
  <c r="K729" i="9"/>
  <c r="K727" i="9"/>
  <c r="K733" i="9"/>
  <c r="E735" i="9"/>
  <c r="E731" i="9"/>
  <c r="E729" i="9"/>
  <c r="E727" i="9"/>
  <c r="E733" i="9"/>
  <c r="H726" i="9"/>
  <c r="G726" i="9" s="1"/>
  <c r="H732" i="9"/>
  <c r="G732" i="9" s="1"/>
  <c r="I726" i="9"/>
  <c r="I732" i="9"/>
  <c r="K734" i="9"/>
  <c r="E734" i="9"/>
  <c r="K730" i="9"/>
  <c r="K728" i="9"/>
  <c r="K726" i="9"/>
  <c r="K732" i="9"/>
  <c r="E726" i="9"/>
  <c r="E728" i="9"/>
  <c r="E730" i="9"/>
  <c r="E732" i="9"/>
  <c r="I728" i="9"/>
  <c r="I730" i="9"/>
  <c r="I734" i="9"/>
  <c r="I733" i="9"/>
  <c r="I727" i="9"/>
  <c r="I729" i="9"/>
  <c r="I731" i="9"/>
  <c r="I735" i="9"/>
  <c r="I736" i="9"/>
  <c r="I737" i="9"/>
  <c r="I738" i="9"/>
  <c r="I739" i="9"/>
  <c r="H725" i="9"/>
  <c r="G725" i="9" s="1"/>
  <c r="E52" i="13"/>
  <c r="E53" i="13"/>
  <c r="E54" i="13"/>
  <c r="E55" i="13"/>
  <c r="E56" i="13"/>
  <c r="E57" i="13"/>
  <c r="E723" i="9"/>
  <c r="E722" i="9"/>
  <c r="K724" i="9"/>
  <c r="K725" i="9"/>
  <c r="I724" i="9"/>
  <c r="I725" i="9"/>
  <c r="H724" i="9"/>
  <c r="G724" i="9" s="1"/>
  <c r="K721" i="9"/>
  <c r="K722" i="9"/>
  <c r="K723" i="9"/>
  <c r="I721" i="9"/>
  <c r="I722" i="9"/>
  <c r="I723" i="9"/>
  <c r="H721" i="9"/>
  <c r="G721" i="9" s="1"/>
  <c r="K718" i="9"/>
  <c r="K719" i="9"/>
  <c r="K720" i="9"/>
  <c r="I718" i="9"/>
  <c r="I719" i="9"/>
  <c r="I720" i="9"/>
  <c r="H718" i="9"/>
  <c r="G718" i="9" s="1"/>
  <c r="H719" i="9"/>
  <c r="G719" i="9" s="1"/>
  <c r="H720" i="9"/>
  <c r="G720" i="9" s="1"/>
  <c r="E145" i="10"/>
  <c r="D145" i="10"/>
  <c r="K716" i="9"/>
  <c r="K717" i="9"/>
  <c r="I716" i="9"/>
  <c r="I717" i="9"/>
  <c r="K714" i="9"/>
  <c r="K715" i="9"/>
  <c r="I714" i="9"/>
  <c r="I715" i="9"/>
  <c r="E709" i="9"/>
  <c r="I710" i="9"/>
  <c r="I711" i="9"/>
  <c r="I712" i="9"/>
  <c r="I713" i="9"/>
  <c r="K710" i="9"/>
  <c r="K711" i="9"/>
  <c r="K712" i="9"/>
  <c r="K713" i="9"/>
  <c r="I708" i="9"/>
  <c r="I709" i="9"/>
  <c r="K708" i="9"/>
  <c r="K709" i="9"/>
  <c r="E683" i="9"/>
  <c r="E656" i="9"/>
  <c r="I656" i="9"/>
  <c r="I683" i="9"/>
  <c r="I707" i="9"/>
  <c r="K656" i="9"/>
  <c r="K683" i="9"/>
  <c r="K707" i="9"/>
  <c r="I274" i="9"/>
  <c r="I275" i="9"/>
  <c r="K274" i="9"/>
  <c r="K275" i="9"/>
  <c r="I278" i="9"/>
  <c r="I279" i="9"/>
  <c r="I268" i="9"/>
  <c r="K278" i="9"/>
  <c r="K279" i="9"/>
  <c r="K268" i="9"/>
  <c r="I265" i="9"/>
  <c r="I266" i="9"/>
  <c r="K265" i="9"/>
  <c r="K266" i="9"/>
  <c r="I260" i="9"/>
  <c r="K260" i="9"/>
  <c r="I704" i="9"/>
  <c r="K704" i="9"/>
  <c r="E253" i="9"/>
  <c r="K253" i="9"/>
  <c r="I253" i="9"/>
  <c r="H253" i="9"/>
  <c r="G253" i="9" s="1"/>
  <c r="K675" i="9"/>
  <c r="I675" i="9"/>
  <c r="K286" i="9"/>
  <c r="I286" i="9"/>
  <c r="E292" i="9"/>
  <c r="E291" i="9"/>
  <c r="E288" i="9"/>
  <c r="E289" i="9"/>
  <c r="E290" i="9"/>
  <c r="E287" i="9"/>
  <c r="K288" i="9"/>
  <c r="K289" i="9"/>
  <c r="K290" i="9"/>
  <c r="K291" i="9"/>
  <c r="K292" i="9"/>
  <c r="K263" i="9"/>
  <c r="K702" i="9"/>
  <c r="K703" i="9"/>
  <c r="I288" i="9"/>
  <c r="I289" i="9"/>
  <c r="I290" i="9"/>
  <c r="I291" i="9"/>
  <c r="I292" i="9"/>
  <c r="I263" i="9"/>
  <c r="I702" i="9"/>
  <c r="I703" i="9"/>
  <c r="H288" i="9"/>
  <c r="G288" i="9" s="1"/>
  <c r="H289" i="9"/>
  <c r="G289" i="9" s="1"/>
  <c r="H290" i="9"/>
  <c r="G290" i="9" s="1"/>
  <c r="H291" i="9"/>
  <c r="G291" i="9" s="1"/>
  <c r="H292" i="9"/>
  <c r="G292" i="9" s="1"/>
  <c r="H263" i="9"/>
  <c r="G263" i="9" s="1"/>
  <c r="E793" i="9"/>
  <c r="K287" i="9"/>
  <c r="I287" i="9"/>
  <c r="K256" i="9"/>
  <c r="K229" i="9"/>
  <c r="K793" i="9"/>
  <c r="I256" i="9"/>
  <c r="I229" i="9"/>
  <c r="I793" i="9"/>
  <c r="H256" i="9"/>
  <c r="G256" i="9" s="1"/>
  <c r="H229" i="9"/>
  <c r="G229" i="9" s="1"/>
  <c r="K254" i="9"/>
  <c r="K255" i="9"/>
  <c r="I254" i="9"/>
  <c r="I255" i="9"/>
  <c r="H254" i="9"/>
  <c r="G254" i="9" s="1"/>
  <c r="H255" i="9"/>
  <c r="G255" i="9" s="1"/>
  <c r="K277" i="9"/>
  <c r="I277" i="9"/>
  <c r="H277" i="9"/>
  <c r="G277" i="9" s="1"/>
  <c r="K701" i="9"/>
  <c r="I701" i="9"/>
  <c r="K695" i="9"/>
  <c r="K696" i="9"/>
  <c r="K772" i="9"/>
  <c r="K698" i="9"/>
  <c r="K699" i="9"/>
  <c r="K807" i="9"/>
  <c r="I695" i="9"/>
  <c r="I696" i="9"/>
  <c r="I772" i="9"/>
  <c r="I698" i="9"/>
  <c r="I699" i="9"/>
  <c r="I807" i="9"/>
  <c r="J295" i="9"/>
  <c r="E299" i="9"/>
  <c r="E301" i="9"/>
  <c r="E300" i="9"/>
  <c r="E295" i="9"/>
  <c r="K299" i="9"/>
  <c r="K301" i="9"/>
  <c r="K300" i="9"/>
  <c r="K295" i="9"/>
  <c r="I299" i="9"/>
  <c r="I301" i="9"/>
  <c r="I300" i="9"/>
  <c r="H299" i="9"/>
  <c r="G299" i="9" s="1"/>
  <c r="H301" i="9"/>
  <c r="G301" i="9" s="1"/>
  <c r="H300" i="9"/>
  <c r="G300" i="9" s="1"/>
  <c r="K694" i="9"/>
  <c r="I694" i="9"/>
  <c r="H694" i="9"/>
  <c r="G694" i="9" s="1"/>
  <c r="E51" i="13"/>
  <c r="E46" i="13"/>
  <c r="E47" i="13"/>
  <c r="E48" i="13"/>
  <c r="E49" i="13"/>
  <c r="E50" i="13"/>
  <c r="E273" i="9"/>
  <c r="E272" i="9"/>
  <c r="I252" i="9"/>
  <c r="I272" i="9"/>
  <c r="I273" i="9"/>
  <c r="I693" i="9"/>
  <c r="K252" i="9"/>
  <c r="K272" i="9"/>
  <c r="K273" i="9"/>
  <c r="K693" i="9"/>
  <c r="I326" i="9"/>
  <c r="I327" i="9"/>
  <c r="K326" i="9"/>
  <c r="K327" i="9"/>
  <c r="I257" i="9"/>
  <c r="K257" i="9"/>
  <c r="K248" i="9"/>
  <c r="I248" i="9"/>
  <c r="K247" i="9"/>
  <c r="I247" i="9"/>
  <c r="I271" i="9"/>
  <c r="K271" i="9"/>
  <c r="I2" i="8"/>
  <c r="I3" i="8"/>
  <c r="I4" i="8"/>
  <c r="I5" i="8"/>
  <c r="I6" i="8"/>
  <c r="I7" i="8"/>
  <c r="I8" i="8"/>
  <c r="I325" i="9"/>
  <c r="K325" i="9"/>
  <c r="I194" i="9"/>
  <c r="K194" i="9"/>
  <c r="I276" i="9"/>
  <c r="K276" i="9"/>
  <c r="I212" i="9"/>
  <c r="I236" i="9"/>
  <c r="I217" i="9"/>
  <c r="I237" i="9"/>
  <c r="K212" i="9"/>
  <c r="K236" i="9"/>
  <c r="K217" i="9"/>
  <c r="K237" i="9"/>
  <c r="I261" i="9"/>
  <c r="I258" i="9"/>
  <c r="K261" i="9"/>
  <c r="K258" i="9"/>
  <c r="K215" i="9"/>
  <c r="I222" i="9"/>
  <c r="I214" i="9"/>
  <c r="I215" i="9"/>
  <c r="K222" i="9"/>
  <c r="K214" i="9"/>
  <c r="I234" i="9"/>
  <c r="I267" i="9"/>
  <c r="K234" i="9"/>
  <c r="K267" i="9"/>
  <c r="E676" i="9"/>
  <c r="E262" i="9"/>
  <c r="E270" i="9"/>
  <c r="E269" i="9"/>
  <c r="E280" i="9"/>
  <c r="K280" i="9"/>
  <c r="I280" i="9"/>
  <c r="E283" i="9"/>
  <c r="K283" i="9"/>
  <c r="I283" i="9"/>
  <c r="E294" i="9"/>
  <c r="E297" i="9"/>
  <c r="E296" i="9"/>
  <c r="E298" i="9"/>
  <c r="I298" i="9"/>
  <c r="I297" i="9"/>
  <c r="I296" i="9"/>
  <c r="I294" i="9"/>
  <c r="I269" i="9"/>
  <c r="I270" i="9"/>
  <c r="I262" i="9"/>
  <c r="I240" i="9"/>
  <c r="I676" i="9"/>
  <c r="K298" i="9"/>
  <c r="K297" i="9"/>
  <c r="K296" i="9"/>
  <c r="K294" i="9"/>
  <c r="K269" i="9"/>
  <c r="K270" i="9"/>
  <c r="K262" i="9"/>
  <c r="K240" i="9"/>
  <c r="K676" i="9"/>
  <c r="E282" i="9"/>
  <c r="I282" i="9"/>
  <c r="K282" i="9"/>
  <c r="E241" i="9"/>
  <c r="E264" i="9"/>
  <c r="E205" i="9"/>
  <c r="E206" i="9"/>
  <c r="I227" i="9"/>
  <c r="K227" i="9"/>
  <c r="E239" i="9"/>
  <c r="I259" i="9"/>
  <c r="I228" i="9"/>
  <c r="K259" i="9"/>
  <c r="K228" i="9"/>
  <c r="I231" i="9"/>
  <c r="I226" i="9"/>
  <c r="K231" i="9"/>
  <c r="K226" i="9"/>
  <c r="I221" i="9"/>
  <c r="I230" i="9"/>
  <c r="I238" i="9"/>
  <c r="I239" i="9"/>
  <c r="K221" i="9"/>
  <c r="K230" i="9"/>
  <c r="K238" i="9"/>
  <c r="K239" i="9"/>
  <c r="I213" i="9"/>
  <c r="I235" i="9"/>
  <c r="I209" i="9"/>
  <c r="I210" i="9"/>
  <c r="G210" i="9" s="1"/>
  <c r="I211" i="9"/>
  <c r="I232" i="9"/>
  <c r="I219" i="9"/>
  <c r="K213" i="9"/>
  <c r="K235" i="9"/>
  <c r="K209" i="9"/>
  <c r="K210" i="9"/>
  <c r="K211" i="9"/>
  <c r="K232" i="9"/>
  <c r="K219" i="9"/>
  <c r="I208" i="9"/>
  <c r="I220" i="9"/>
  <c r="K208" i="9"/>
  <c r="K220" i="9"/>
  <c r="I690" i="9"/>
  <c r="I691" i="9"/>
  <c r="I692" i="9"/>
  <c r="K690" i="9"/>
  <c r="K691" i="9"/>
  <c r="K692" i="9"/>
  <c r="D144" i="10"/>
  <c r="E144" i="10"/>
  <c r="K188" i="9"/>
  <c r="I188" i="9"/>
  <c r="H188" i="9"/>
  <c r="G188" i="9" s="1"/>
  <c r="I689" i="9"/>
  <c r="K689" i="9"/>
  <c r="E243" i="9"/>
  <c r="E244" i="9"/>
  <c r="E245" i="9"/>
  <c r="E246" i="9"/>
  <c r="E242" i="9"/>
  <c r="I246" i="9"/>
  <c r="K246" i="9"/>
  <c r="I243" i="9"/>
  <c r="I244" i="9"/>
  <c r="I245" i="9"/>
  <c r="K243" i="9"/>
  <c r="K244" i="9"/>
  <c r="K245" i="9"/>
  <c r="I242" i="9"/>
  <c r="K242" i="9"/>
  <c r="K760" i="9"/>
  <c r="I760" i="9"/>
  <c r="H760" i="9"/>
  <c r="G760" i="9" s="1"/>
  <c r="K250" i="9"/>
  <c r="K251" i="9"/>
  <c r="I250" i="9"/>
  <c r="I251" i="9"/>
  <c r="H250" i="9"/>
  <c r="G250" i="9" s="1"/>
  <c r="H251" i="9"/>
  <c r="G251" i="9" s="1"/>
  <c r="E183" i="9"/>
  <c r="K183" i="9"/>
  <c r="I183" i="9"/>
  <c r="H183" i="9"/>
  <c r="G183" i="9" s="1"/>
  <c r="E195" i="9"/>
  <c r="E200" i="9"/>
  <c r="E218" i="9"/>
  <c r="E181" i="9"/>
  <c r="E185" i="9"/>
  <c r="E182" i="9"/>
  <c r="K195" i="9"/>
  <c r="I195" i="9"/>
  <c r="K218" i="9"/>
  <c r="I218" i="9"/>
  <c r="K181" i="9"/>
  <c r="I181" i="9"/>
  <c r="K200" i="9"/>
  <c r="I200" i="9"/>
  <c r="E249" i="9"/>
  <c r="K688" i="9"/>
  <c r="K224" i="9"/>
  <c r="I688" i="9"/>
  <c r="I224" i="9"/>
  <c r="K249" i="9"/>
  <c r="I249" i="9"/>
  <c r="K755" i="9"/>
  <c r="I755" i="9"/>
  <c r="K658" i="9"/>
  <c r="I658" i="9"/>
  <c r="K659" i="9"/>
  <c r="I659" i="9"/>
  <c r="K660" i="9"/>
  <c r="I660" i="9"/>
  <c r="K706" i="9"/>
  <c r="I706" i="9"/>
  <c r="H706" i="9"/>
  <c r="G706" i="9" s="1"/>
  <c r="K657" i="9"/>
  <c r="I657" i="9"/>
  <c r="I182" i="9"/>
  <c r="I185" i="9"/>
  <c r="K182" i="9"/>
  <c r="K185" i="9"/>
  <c r="I682" i="9"/>
  <c r="K682" i="9"/>
  <c r="I684" i="9"/>
  <c r="K684" i="9"/>
  <c r="I685" i="9"/>
  <c r="K685" i="9"/>
  <c r="U155" i="2"/>
  <c r="I686" i="9"/>
  <c r="I771" i="9"/>
  <c r="K686" i="9"/>
  <c r="K771" i="9"/>
  <c r="I681" i="9"/>
  <c r="K681" i="9"/>
  <c r="H603" i="9"/>
  <c r="G603" i="9" s="1"/>
  <c r="I603" i="9"/>
  <c r="K603" i="9"/>
  <c r="K661" i="9"/>
  <c r="I661" i="9"/>
  <c r="E284" i="9"/>
  <c r="I654" i="9"/>
  <c r="I655" i="9"/>
  <c r="K654" i="9"/>
  <c r="K655" i="9"/>
  <c r="G4" i="35"/>
  <c r="F4" i="35"/>
  <c r="G3" i="35"/>
  <c r="F3" i="35"/>
  <c r="G2" i="35"/>
  <c r="F2" i="35"/>
  <c r="E40" i="13"/>
  <c r="E41" i="13"/>
  <c r="E42" i="13"/>
  <c r="E43" i="13"/>
  <c r="E44" i="13"/>
  <c r="E45" i="13"/>
  <c r="L28" i="32"/>
  <c r="M28" i="32"/>
  <c r="M27" i="32"/>
  <c r="M26" i="32"/>
  <c r="M25" i="32"/>
  <c r="M24" i="32"/>
  <c r="M23" i="32"/>
  <c r="M22" i="32"/>
  <c r="M21" i="32"/>
  <c r="M20" i="32"/>
  <c r="M19" i="32"/>
  <c r="M18" i="32"/>
  <c r="M17" i="32"/>
  <c r="M16" i="32"/>
  <c r="M15" i="32"/>
  <c r="M14" i="32"/>
  <c r="M13" i="32"/>
  <c r="M12" i="32"/>
  <c r="M11" i="32"/>
  <c r="M10" i="32"/>
  <c r="M9" i="32"/>
  <c r="M8" i="32"/>
  <c r="M7" i="32"/>
  <c r="M6" i="32"/>
  <c r="M5" i="32"/>
  <c r="M4" i="32"/>
  <c r="M3" i="32"/>
  <c r="M2" i="32"/>
  <c r="M1" i="32"/>
  <c r="A2" i="32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1" i="32"/>
  <c r="H6" i="9"/>
  <c r="I34" i="9"/>
  <c r="I2" i="9"/>
  <c r="I21" i="9"/>
  <c r="I6" i="9"/>
  <c r="I30" i="9"/>
  <c r="I23" i="9"/>
  <c r="I24" i="9"/>
  <c r="I43" i="9"/>
  <c r="I27" i="9"/>
  <c r="I31" i="9"/>
  <c r="I19" i="9"/>
  <c r="I38" i="9"/>
  <c r="I28" i="9"/>
  <c r="I74" i="9"/>
  <c r="I75" i="9"/>
  <c r="I22" i="9"/>
  <c r="I32" i="9"/>
  <c r="I76" i="9"/>
  <c r="I17" i="9"/>
  <c r="I37" i="9"/>
  <c r="I50" i="9"/>
  <c r="I10" i="9"/>
  <c r="I20" i="9"/>
  <c r="I33" i="9"/>
  <c r="I39" i="9"/>
  <c r="I7" i="9"/>
  <c r="I61" i="9"/>
  <c r="I73" i="9"/>
  <c r="I60" i="9"/>
  <c r="I40" i="9"/>
  <c r="I52" i="9"/>
  <c r="I57" i="9"/>
  <c r="I58" i="9"/>
  <c r="I77" i="9"/>
  <c r="I78" i="9"/>
  <c r="I79" i="9"/>
  <c r="I80" i="9"/>
  <c r="I44" i="9"/>
  <c r="I107" i="9"/>
  <c r="I322" i="9"/>
  <c r="I318" i="9"/>
  <c r="I312" i="9"/>
  <c r="I314" i="9"/>
  <c r="I320" i="9"/>
  <c r="I321" i="9"/>
  <c r="I41" i="9"/>
  <c r="I317" i="9"/>
  <c r="I316" i="9"/>
  <c r="I313" i="9"/>
  <c r="I3" i="9"/>
  <c r="I4" i="9"/>
  <c r="I5" i="9"/>
  <c r="I12" i="9"/>
  <c r="I13" i="9"/>
  <c r="I14" i="9"/>
  <c r="I45" i="9"/>
  <c r="I25" i="9"/>
  <c r="I26" i="9"/>
  <c r="I328" i="9"/>
  <c r="I329" i="9"/>
  <c r="I330" i="9"/>
  <c r="I331" i="9"/>
  <c r="I332" i="9"/>
  <c r="I333" i="9"/>
  <c r="I568" i="9"/>
  <c r="I335" i="9"/>
  <c r="I42" i="9"/>
  <c r="I315" i="9"/>
  <c r="I319" i="9"/>
  <c r="I323" i="9"/>
  <c r="I324" i="9"/>
  <c r="I83" i="9"/>
  <c r="I281" i="9"/>
  <c r="I285" i="9"/>
  <c r="I16" i="9"/>
  <c r="I35" i="9"/>
  <c r="I36" i="9"/>
  <c r="I55" i="9"/>
  <c r="I53" i="9"/>
  <c r="I100" i="9"/>
  <c r="I47" i="9"/>
  <c r="I62" i="9"/>
  <c r="I63" i="9"/>
  <c r="I84" i="9"/>
  <c r="I67" i="9"/>
  <c r="I64" i="9"/>
  <c r="I59" i="9"/>
  <c r="I86" i="9"/>
  <c r="I65" i="9"/>
  <c r="I109" i="9"/>
  <c r="G109" i="9" s="1"/>
  <c r="I110" i="9"/>
  <c r="I108" i="9"/>
  <c r="I92" i="9"/>
  <c r="I66" i="9"/>
  <c r="I71" i="9"/>
  <c r="I56" i="9"/>
  <c r="I51" i="9"/>
  <c r="I90" i="9"/>
  <c r="I354" i="9"/>
  <c r="I355" i="9"/>
  <c r="I356" i="9"/>
  <c r="I357" i="9"/>
  <c r="I293" i="9"/>
  <c r="I942" i="9"/>
  <c r="I97" i="9"/>
  <c r="I101" i="9"/>
  <c r="I102" i="9"/>
  <c r="I98" i="9"/>
  <c r="I99" i="9"/>
  <c r="I111" i="9"/>
  <c r="I112" i="9"/>
  <c r="I113" i="9"/>
  <c r="I114" i="9"/>
  <c r="I85" i="9"/>
  <c r="I172" i="9"/>
  <c r="I347" i="9"/>
  <c r="I343" i="9"/>
  <c r="I336" i="9"/>
  <c r="I339" i="9"/>
  <c r="I345" i="9"/>
  <c r="I346" i="9"/>
  <c r="I337" i="9"/>
  <c r="I342" i="9"/>
  <c r="I341" i="9"/>
  <c r="I338" i="9"/>
  <c r="I46" i="9"/>
  <c r="I48" i="9"/>
  <c r="I49" i="9"/>
  <c r="I87" i="9"/>
  <c r="I349" i="9"/>
  <c r="I350" i="9"/>
  <c r="I351" i="9"/>
  <c r="I352" i="9"/>
  <c r="I353" i="9"/>
  <c r="I82" i="9"/>
  <c r="I54" i="9"/>
  <c r="I81" i="9"/>
  <c r="I340" i="9"/>
  <c r="I344" i="9"/>
  <c r="I348" i="9"/>
  <c r="I69" i="9"/>
  <c r="I70" i="9"/>
  <c r="I72" i="9"/>
  <c r="I96" i="9"/>
  <c r="I91" i="9"/>
  <c r="I364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4" i="9"/>
  <c r="I104" i="9"/>
  <c r="I105" i="9"/>
  <c r="I386" i="9"/>
  <c r="I387" i="9"/>
  <c r="I398" i="9"/>
  <c r="I404" i="9"/>
  <c r="I405" i="9"/>
  <c r="I413" i="9"/>
  <c r="I414" i="9"/>
  <c r="I120" i="9"/>
  <c r="I365" i="9"/>
  <c r="I366" i="9"/>
  <c r="I369" i="9"/>
  <c r="I385" i="9"/>
  <c r="I416" i="9"/>
  <c r="I417" i="9"/>
  <c r="I418" i="9"/>
  <c r="I419" i="9"/>
  <c r="I420" i="9"/>
  <c r="I421" i="9"/>
  <c r="I422" i="9"/>
  <c r="I423" i="9"/>
  <c r="I424" i="9"/>
  <c r="I370" i="9"/>
  <c r="I358" i="9"/>
  <c r="I359" i="9"/>
  <c r="I360" i="9"/>
  <c r="I361" i="9"/>
  <c r="I362" i="9"/>
  <c r="I363" i="9"/>
  <c r="I367" i="9"/>
  <c r="I368" i="9"/>
  <c r="I383" i="9"/>
  <c r="I399" i="9"/>
  <c r="I400" i="9"/>
  <c r="I401" i="9"/>
  <c r="I402" i="9"/>
  <c r="I403" i="9"/>
  <c r="I406" i="9"/>
  <c r="I397" i="9"/>
  <c r="I394" i="9"/>
  <c r="I388" i="9"/>
  <c r="I391" i="9"/>
  <c r="I395" i="9"/>
  <c r="I396" i="9"/>
  <c r="I389" i="9"/>
  <c r="I393" i="9"/>
  <c r="I392" i="9"/>
  <c r="I390" i="9"/>
  <c r="I88" i="9"/>
  <c r="I89" i="9"/>
  <c r="I106" i="9"/>
  <c r="I117" i="9"/>
  <c r="I407" i="9"/>
  <c r="I408" i="9"/>
  <c r="I409" i="9"/>
  <c r="I410" i="9"/>
  <c r="I411" i="9"/>
  <c r="I569" i="9"/>
  <c r="I115" i="9"/>
  <c r="I95" i="9"/>
  <c r="I103" i="9"/>
  <c r="I94" i="9"/>
  <c r="I118" i="9"/>
  <c r="I116" i="9"/>
  <c r="I119" i="9"/>
  <c r="I121" i="9"/>
  <c r="I122" i="9"/>
  <c r="I128" i="9"/>
  <c r="I432" i="9"/>
  <c r="I440" i="9"/>
  <c r="I442" i="9"/>
  <c r="I443" i="9"/>
  <c r="I454" i="9"/>
  <c r="I458" i="9"/>
  <c r="I459" i="9"/>
  <c r="I460" i="9"/>
  <c r="I467" i="9"/>
  <c r="I434" i="9"/>
  <c r="I435" i="9"/>
  <c r="I436" i="9"/>
  <c r="I441" i="9"/>
  <c r="I468" i="9"/>
  <c r="I469" i="9"/>
  <c r="I470" i="9"/>
  <c r="I471" i="9"/>
  <c r="I472" i="9"/>
  <c r="I473" i="9"/>
  <c r="I474" i="9"/>
  <c r="I475" i="9"/>
  <c r="I453" i="9"/>
  <c r="I450" i="9"/>
  <c r="I444" i="9"/>
  <c r="I447" i="9"/>
  <c r="I451" i="9"/>
  <c r="I452" i="9"/>
  <c r="I445" i="9"/>
  <c r="I449" i="9"/>
  <c r="I448" i="9"/>
  <c r="I446" i="9"/>
  <c r="I425" i="9"/>
  <c r="I426" i="9"/>
  <c r="I427" i="9"/>
  <c r="I428" i="9"/>
  <c r="I429" i="9"/>
  <c r="I437" i="9"/>
  <c r="I438" i="9"/>
  <c r="I455" i="9"/>
  <c r="I456" i="9"/>
  <c r="I457" i="9"/>
  <c r="I461" i="9"/>
  <c r="I430" i="9"/>
  <c r="I431" i="9"/>
  <c r="I439" i="9"/>
  <c r="I124" i="9"/>
  <c r="I126" i="9"/>
  <c r="I130" i="9"/>
  <c r="I462" i="9"/>
  <c r="I463" i="9"/>
  <c r="I464" i="9"/>
  <c r="I465" i="9"/>
  <c r="I466" i="9"/>
  <c r="I125" i="9"/>
  <c r="I123" i="9"/>
  <c r="I705" i="9"/>
  <c r="I129" i="9"/>
  <c r="I140" i="9"/>
  <c r="I311" i="9"/>
  <c r="I304" i="9"/>
  <c r="G304" i="9" s="1"/>
  <c r="I308" i="9"/>
  <c r="I303" i="9"/>
  <c r="I307" i="9"/>
  <c r="I309" i="9"/>
  <c r="I310" i="9"/>
  <c r="I146" i="9"/>
  <c r="I483" i="9"/>
  <c r="I484" i="9"/>
  <c r="I485" i="9"/>
  <c r="I488" i="9"/>
  <c r="I508" i="9"/>
  <c r="I509" i="9"/>
  <c r="I510" i="9"/>
  <c r="I511" i="9"/>
  <c r="I512" i="9"/>
  <c r="I513" i="9"/>
  <c r="I507" i="9"/>
  <c r="I498" i="9"/>
  <c r="I492" i="9"/>
  <c r="I495" i="9"/>
  <c r="I499" i="9"/>
  <c r="I506" i="9"/>
  <c r="I493" i="9"/>
  <c r="I497" i="9"/>
  <c r="I496" i="9"/>
  <c r="I494" i="9"/>
  <c r="I476" i="9"/>
  <c r="I477" i="9"/>
  <c r="I478" i="9"/>
  <c r="I479" i="9"/>
  <c r="I480" i="9"/>
  <c r="I486" i="9"/>
  <c r="I487" i="9"/>
  <c r="I489" i="9"/>
  <c r="I490" i="9"/>
  <c r="I491" i="9"/>
  <c r="I500" i="9"/>
  <c r="I481" i="9"/>
  <c r="I482" i="9"/>
  <c r="I127" i="9"/>
  <c r="I138" i="9"/>
  <c r="I137" i="9"/>
  <c r="I134" i="9"/>
  <c r="I132" i="9"/>
  <c r="I501" i="9"/>
  <c r="I502" i="9"/>
  <c r="I503" i="9"/>
  <c r="I504" i="9"/>
  <c r="I505" i="9"/>
  <c r="I135" i="9"/>
  <c r="I143" i="9"/>
  <c r="I133" i="9"/>
  <c r="I136" i="9"/>
  <c r="I8" i="9"/>
  <c r="I144" i="9"/>
  <c r="I153" i="9"/>
  <c r="I520" i="9"/>
  <c r="I527" i="9"/>
  <c r="I529" i="9"/>
  <c r="I530" i="9"/>
  <c r="I531" i="9"/>
  <c r="I533" i="9"/>
  <c r="I534" i="9"/>
  <c r="I541" i="9"/>
  <c r="I542" i="9"/>
  <c r="I415" i="9"/>
  <c r="I553" i="9"/>
  <c r="I519" i="9"/>
  <c r="I521" i="9"/>
  <c r="I552" i="9"/>
  <c r="I549" i="9"/>
  <c r="I543" i="9"/>
  <c r="I546" i="9"/>
  <c r="I550" i="9"/>
  <c r="I551" i="9"/>
  <c r="I544" i="9"/>
  <c r="I548" i="9"/>
  <c r="I547" i="9"/>
  <c r="I545" i="9"/>
  <c r="I522" i="9"/>
  <c r="I523" i="9"/>
  <c r="I528" i="9"/>
  <c r="I559" i="9"/>
  <c r="I555" i="9"/>
  <c r="I556" i="9"/>
  <c r="I557" i="9"/>
  <c r="I558" i="9"/>
  <c r="I139" i="9"/>
  <c r="I148" i="9"/>
  <c r="I514" i="9"/>
  <c r="I515" i="9"/>
  <c r="I516" i="9"/>
  <c r="I517" i="9"/>
  <c r="I518" i="9"/>
  <c r="I524" i="9"/>
  <c r="I525" i="9"/>
  <c r="I532" i="9"/>
  <c r="I535" i="9"/>
  <c r="I526" i="9"/>
  <c r="I150" i="9"/>
  <c r="I141" i="9"/>
  <c r="I142" i="9"/>
  <c r="I147" i="9"/>
  <c r="I536" i="9"/>
  <c r="I537" i="9"/>
  <c r="I538" i="9"/>
  <c r="I539" i="9"/>
  <c r="I540" i="9"/>
  <c r="I149" i="9"/>
  <c r="I233" i="9"/>
  <c r="I305" i="9"/>
  <c r="I145" i="9"/>
  <c r="I9" i="9"/>
  <c r="I154" i="9"/>
  <c r="I157" i="9"/>
  <c r="I177" i="9"/>
  <c r="I602" i="9"/>
  <c r="I599" i="9"/>
  <c r="I593" i="9"/>
  <c r="I596" i="9"/>
  <c r="I600" i="9"/>
  <c r="I601" i="9"/>
  <c r="I594" i="9"/>
  <c r="I598" i="9"/>
  <c r="I597" i="9"/>
  <c r="I595" i="9"/>
  <c r="I151" i="9"/>
  <c r="I162" i="9"/>
  <c r="I152" i="9"/>
  <c r="I161" i="9"/>
  <c r="I561" i="9"/>
  <c r="I562" i="9"/>
  <c r="I563" i="9"/>
  <c r="I564" i="9"/>
  <c r="I565" i="9"/>
  <c r="I566" i="9"/>
  <c r="I560" i="9"/>
  <c r="I570" i="9"/>
  <c r="I792" i="9"/>
  <c r="I798" i="9"/>
  <c r="I859" i="9"/>
  <c r="I571" i="9"/>
  <c r="I583" i="9"/>
  <c r="I584" i="9"/>
  <c r="I585" i="9"/>
  <c r="I573" i="9"/>
  <c r="I574" i="9"/>
  <c r="I575" i="9"/>
  <c r="I576" i="9"/>
  <c r="I577" i="9"/>
  <c r="I578" i="9"/>
  <c r="I579" i="9"/>
  <c r="I206" i="9"/>
  <c r="I580" i="9"/>
  <c r="I581" i="9"/>
  <c r="I582" i="9"/>
  <c r="I156" i="9"/>
  <c r="I158" i="9"/>
  <c r="I205" i="9"/>
  <c r="I586" i="9"/>
  <c r="I592" i="9"/>
  <c r="I554" i="9"/>
  <c r="I605" i="9"/>
  <c r="I606" i="9"/>
  <c r="I607" i="9"/>
  <c r="I608" i="9"/>
  <c r="I609" i="9"/>
  <c r="I610" i="9"/>
  <c r="I611" i="9"/>
  <c r="I612" i="9"/>
  <c r="I613" i="9"/>
  <c r="I614" i="9"/>
  <c r="I615" i="9"/>
  <c r="I165" i="9"/>
  <c r="I160" i="9"/>
  <c r="I155" i="9"/>
  <c r="I164" i="9"/>
  <c r="I159" i="9"/>
  <c r="I587" i="9"/>
  <c r="I588" i="9"/>
  <c r="I589" i="9"/>
  <c r="I590" i="9"/>
  <c r="I591" i="9"/>
  <c r="I163" i="9"/>
  <c r="I11" i="9"/>
  <c r="I166" i="9"/>
  <c r="I167" i="9"/>
  <c r="I284" i="9"/>
  <c r="I171" i="9"/>
  <c r="I168" i="9"/>
  <c r="I617" i="9"/>
  <c r="I618" i="9"/>
  <c r="I619" i="9"/>
  <c r="I616" i="9"/>
  <c r="I620" i="9"/>
  <c r="I622" i="9"/>
  <c r="I623" i="9"/>
  <c r="I624" i="9"/>
  <c r="I625" i="9"/>
  <c r="I626" i="9"/>
  <c r="I627" i="9"/>
  <c r="I628" i="9"/>
  <c r="I629" i="9"/>
  <c r="I631" i="9"/>
  <c r="I264" i="9"/>
  <c r="I630" i="9"/>
  <c r="I632" i="9"/>
  <c r="I169" i="9"/>
  <c r="I636" i="9"/>
  <c r="I633" i="9"/>
  <c r="I241" i="9"/>
  <c r="I634" i="9"/>
  <c r="I635" i="9"/>
  <c r="I637" i="9"/>
  <c r="I604" i="9"/>
  <c r="I643" i="9"/>
  <c r="I645" i="9"/>
  <c r="I646" i="9"/>
  <c r="I647" i="9"/>
  <c r="I648" i="9"/>
  <c r="I649" i="9"/>
  <c r="I650" i="9"/>
  <c r="I651" i="9"/>
  <c r="I652" i="9"/>
  <c r="I653" i="9"/>
  <c r="I174" i="9"/>
  <c r="I170" i="9"/>
  <c r="I638" i="9"/>
  <c r="I639" i="9"/>
  <c r="I640" i="9"/>
  <c r="I641" i="9"/>
  <c r="I642" i="9"/>
  <c r="I173" i="9"/>
  <c r="I180" i="9"/>
  <c r="I15" i="9"/>
  <c r="I175" i="9"/>
  <c r="I176" i="9"/>
  <c r="I662" i="9"/>
  <c r="I663" i="9"/>
  <c r="I671" i="9"/>
  <c r="I669" i="9"/>
  <c r="I670" i="9"/>
  <c r="I216" i="9"/>
  <c r="I677" i="9"/>
  <c r="I678" i="9"/>
  <c r="I680" i="9"/>
  <c r="I664" i="9"/>
  <c r="I673" i="9"/>
  <c r="I665" i="9"/>
  <c r="I666" i="9"/>
  <c r="I679" i="9"/>
  <c r="I667" i="9"/>
  <c r="I189" i="9"/>
  <c r="I190" i="9"/>
  <c r="I191" i="9"/>
  <c r="I192" i="9"/>
  <c r="I187" i="9"/>
  <c r="I184" i="9"/>
  <c r="I197" i="9"/>
  <c r="I186" i="9"/>
  <c r="I201" i="9"/>
  <c r="I193" i="9"/>
  <c r="I196" i="9"/>
  <c r="I199" i="9"/>
  <c r="I131" i="9"/>
  <c r="I674" i="9"/>
  <c r="I644" i="9"/>
  <c r="I672" i="9"/>
  <c r="I668" i="9"/>
  <c r="I18" i="9"/>
  <c r="I202" i="9"/>
  <c r="I203" i="9"/>
  <c r="I178" i="9"/>
  <c r="I179" i="9"/>
  <c r="I225" i="9"/>
  <c r="I207" i="9"/>
  <c r="I223" i="9"/>
  <c r="K13" i="9"/>
  <c r="K203" i="9"/>
  <c r="K178" i="9"/>
  <c r="K179" i="9"/>
  <c r="K166" i="9"/>
  <c r="K167" i="9"/>
  <c r="K225" i="9"/>
  <c r="K284" i="9"/>
  <c r="K207" i="9"/>
  <c r="K223" i="9"/>
  <c r="K176" i="9"/>
  <c r="K202" i="9"/>
  <c r="K18" i="9"/>
  <c r="K15" i="9"/>
  <c r="K9" i="9"/>
  <c r="K11" i="9"/>
  <c r="K8" i="9"/>
  <c r="K705" i="9"/>
  <c r="K119" i="9"/>
  <c r="K72" i="9"/>
  <c r="K70" i="9"/>
  <c r="K69" i="9"/>
  <c r="K348" i="9"/>
  <c r="E39" i="13"/>
  <c r="K344" i="9"/>
  <c r="E38" i="13"/>
  <c r="F17" i="14"/>
  <c r="G17" i="14"/>
  <c r="K340" i="9"/>
  <c r="K180" i="9"/>
  <c r="K136" i="9"/>
  <c r="K116" i="9"/>
  <c r="K81" i="9"/>
  <c r="D143" i="10"/>
  <c r="E143" i="10"/>
  <c r="I71" i="4"/>
  <c r="J71" i="4"/>
  <c r="K71" i="4"/>
  <c r="L71" i="4"/>
  <c r="M71" i="4"/>
  <c r="N71" i="4"/>
  <c r="O71" i="4"/>
  <c r="P71" i="4"/>
  <c r="Q71" i="4"/>
  <c r="R71" i="4"/>
  <c r="S71" i="4"/>
  <c r="H71" i="4"/>
  <c r="I82" i="3"/>
  <c r="J82" i="3"/>
  <c r="K82" i="3"/>
  <c r="L82" i="3"/>
  <c r="M82" i="3"/>
  <c r="N82" i="3"/>
  <c r="O82" i="3"/>
  <c r="P82" i="3"/>
  <c r="Q82" i="3"/>
  <c r="R82" i="3"/>
  <c r="S82" i="3"/>
  <c r="H82" i="3"/>
  <c r="J168" i="2"/>
  <c r="K168" i="2"/>
  <c r="L168" i="2"/>
  <c r="M168" i="2"/>
  <c r="N168" i="2"/>
  <c r="O168" i="2"/>
  <c r="P168" i="2"/>
  <c r="Q168" i="2"/>
  <c r="R168" i="2"/>
  <c r="S168" i="2"/>
  <c r="T168" i="2"/>
  <c r="I168" i="2"/>
  <c r="C6" i="25"/>
  <c r="D6" i="25"/>
  <c r="E6" i="25"/>
  <c r="F6" i="25"/>
  <c r="G6" i="25"/>
  <c r="H6" i="25"/>
  <c r="I6" i="25"/>
  <c r="J6" i="25"/>
  <c r="K6" i="25"/>
  <c r="L6" i="25"/>
  <c r="M6" i="25"/>
  <c r="B6" i="25"/>
  <c r="C5" i="25"/>
  <c r="D5" i="25"/>
  <c r="E5" i="25"/>
  <c r="F5" i="25"/>
  <c r="G5" i="25"/>
  <c r="H5" i="25"/>
  <c r="I5" i="25"/>
  <c r="J5" i="25"/>
  <c r="K5" i="25"/>
  <c r="L5" i="25"/>
  <c r="M5" i="25"/>
  <c r="B5" i="25"/>
  <c r="K118" i="9"/>
  <c r="H126" i="9"/>
  <c r="K126" i="9"/>
  <c r="K175" i="9"/>
  <c r="K145" i="9"/>
  <c r="H145" i="9"/>
  <c r="K36" i="9"/>
  <c r="K103" i="9"/>
  <c r="K94" i="9"/>
  <c r="K133" i="9"/>
  <c r="K35" i="9"/>
  <c r="H305" i="9"/>
  <c r="K305" i="9"/>
  <c r="H233" i="9"/>
  <c r="K233" i="9"/>
  <c r="H143" i="9"/>
  <c r="K143" i="9"/>
  <c r="H123" i="9"/>
  <c r="K123" i="9"/>
  <c r="H95" i="9"/>
  <c r="K95" i="9"/>
  <c r="H54" i="9"/>
  <c r="K54" i="9"/>
  <c r="E142" i="10"/>
  <c r="D142" i="10"/>
  <c r="H173" i="9"/>
  <c r="K173" i="9"/>
  <c r="H163" i="9"/>
  <c r="K163" i="9"/>
  <c r="H149" i="9"/>
  <c r="K149" i="9"/>
  <c r="H135" i="9"/>
  <c r="K135" i="9"/>
  <c r="H125" i="9"/>
  <c r="K125" i="9"/>
  <c r="K115" i="9"/>
  <c r="E141" i="10"/>
  <c r="D141" i="10"/>
  <c r="E140" i="10"/>
  <c r="D140" i="10"/>
  <c r="T62" i="4"/>
  <c r="T19" i="4"/>
  <c r="T14" i="4"/>
  <c r="E12" i="24"/>
  <c r="D12" i="24"/>
  <c r="E11" i="24"/>
  <c r="D11" i="24"/>
  <c r="K335" i="9"/>
  <c r="D139" i="10"/>
  <c r="E139" i="10"/>
  <c r="T71" i="3"/>
  <c r="D138" i="10"/>
  <c r="E138" i="10"/>
  <c r="D137" i="10"/>
  <c r="E137" i="10"/>
  <c r="D136" i="10"/>
  <c r="E136" i="10"/>
  <c r="D135" i="10"/>
  <c r="E135" i="10"/>
  <c r="D134" i="10"/>
  <c r="E134" i="10"/>
  <c r="K569" i="9"/>
  <c r="D133" i="10"/>
  <c r="E133" i="10"/>
  <c r="K642" i="9"/>
  <c r="H642" i="9"/>
  <c r="K641" i="9"/>
  <c r="H641" i="9"/>
  <c r="K640" i="9"/>
  <c r="H640" i="9"/>
  <c r="K639" i="9"/>
  <c r="H639" i="9"/>
  <c r="K638" i="9"/>
  <c r="H638" i="9"/>
  <c r="K591" i="9"/>
  <c r="H591" i="9"/>
  <c r="K590" i="9"/>
  <c r="H590" i="9"/>
  <c r="K589" i="9"/>
  <c r="H589" i="9"/>
  <c r="K588" i="9"/>
  <c r="H588" i="9"/>
  <c r="K587" i="9"/>
  <c r="H587" i="9"/>
  <c r="K540" i="9"/>
  <c r="H540" i="9"/>
  <c r="K539" i="9"/>
  <c r="H539" i="9"/>
  <c r="K538" i="9"/>
  <c r="H538" i="9"/>
  <c r="K537" i="9"/>
  <c r="H537" i="9"/>
  <c r="K536" i="9"/>
  <c r="H536" i="9"/>
  <c r="K505" i="9"/>
  <c r="H505" i="9"/>
  <c r="K504" i="9"/>
  <c r="H504" i="9"/>
  <c r="K503" i="9"/>
  <c r="H503" i="9"/>
  <c r="K502" i="9"/>
  <c r="H502" i="9"/>
  <c r="K501" i="9"/>
  <c r="H501" i="9"/>
  <c r="K466" i="9"/>
  <c r="H466" i="9"/>
  <c r="K465" i="9"/>
  <c r="H465" i="9"/>
  <c r="K464" i="9"/>
  <c r="H464" i="9"/>
  <c r="K463" i="9"/>
  <c r="H463" i="9"/>
  <c r="K462" i="9"/>
  <c r="H462" i="9"/>
  <c r="K411" i="9"/>
  <c r="H411" i="9"/>
  <c r="K410" i="9"/>
  <c r="H410" i="9"/>
  <c r="K409" i="9"/>
  <c r="H409" i="9"/>
  <c r="K408" i="9"/>
  <c r="H408" i="9"/>
  <c r="K407" i="9"/>
  <c r="K353" i="9"/>
  <c r="K352" i="9"/>
  <c r="K351" i="9"/>
  <c r="K350" i="9"/>
  <c r="D132" i="10"/>
  <c r="E131" i="10"/>
  <c r="D131" i="10"/>
  <c r="E132" i="10"/>
  <c r="K349" i="9"/>
  <c r="T66" i="3"/>
  <c r="T67" i="3"/>
  <c r="T73" i="3"/>
  <c r="T74" i="3"/>
  <c r="T76" i="3"/>
  <c r="T25" i="3"/>
  <c r="T47" i="3"/>
  <c r="T9" i="3"/>
  <c r="T10" i="3"/>
  <c r="T12" i="3"/>
  <c r="T13" i="3"/>
  <c r="K16" i="9"/>
  <c r="H16" i="9"/>
  <c r="K281" i="9"/>
  <c r="K285" i="9"/>
  <c r="H281" i="9"/>
  <c r="H285" i="9"/>
  <c r="K42" i="9"/>
  <c r="K315" i="9"/>
  <c r="K319" i="9"/>
  <c r="K323" i="9"/>
  <c r="K324" i="9"/>
  <c r="K83" i="9"/>
  <c r="H42" i="9"/>
  <c r="H315" i="9"/>
  <c r="H319" i="9"/>
  <c r="H323" i="9"/>
  <c r="H324" i="9"/>
  <c r="H83" i="9"/>
  <c r="K330" i="9"/>
  <c r="K331" i="9"/>
  <c r="K332" i="9"/>
  <c r="K333" i="9"/>
  <c r="K568" i="9"/>
  <c r="H330" i="9"/>
  <c r="H331" i="9"/>
  <c r="H332" i="9"/>
  <c r="H333" i="9"/>
  <c r="K329" i="9"/>
  <c r="H329" i="9"/>
  <c r="K328" i="9"/>
  <c r="H668" i="9"/>
  <c r="K668" i="9"/>
  <c r="K644" i="9"/>
  <c r="K672" i="9"/>
  <c r="K82" i="9"/>
  <c r="H644" i="9"/>
  <c r="H672" i="9"/>
  <c r="K674" i="9"/>
  <c r="E130" i="10"/>
  <c r="D130" i="10"/>
  <c r="D129" i="10"/>
  <c r="E129" i="10"/>
  <c r="D128" i="10"/>
  <c r="E128" i="10"/>
  <c r="D10" i="24"/>
  <c r="E10" i="24"/>
  <c r="E9" i="24"/>
  <c r="D9" i="24"/>
  <c r="D7" i="23"/>
  <c r="C7" i="23" s="1"/>
  <c r="F7" i="23"/>
  <c r="D6" i="23"/>
  <c r="C6" i="23" s="1"/>
  <c r="F6" i="23"/>
  <c r="D5" i="23"/>
  <c r="C5" i="23" s="1"/>
  <c r="F5" i="23"/>
  <c r="D4" i="23"/>
  <c r="C4" i="23" s="1"/>
  <c r="F4" i="23"/>
  <c r="D2" i="23"/>
  <c r="C2" i="23" s="1"/>
  <c r="D3" i="23"/>
  <c r="C3" i="23" s="1"/>
  <c r="F2" i="23"/>
  <c r="F3" i="23"/>
  <c r="D5" i="24"/>
  <c r="E5" i="24"/>
  <c r="D6" i="24"/>
  <c r="E6" i="24"/>
  <c r="D7" i="24"/>
  <c r="E7" i="24"/>
  <c r="D8" i="24"/>
  <c r="E8" i="24"/>
  <c r="E4" i="24"/>
  <c r="D4" i="24"/>
  <c r="E3" i="24"/>
  <c r="D3" i="24"/>
  <c r="E2" i="24"/>
  <c r="D2" i="24"/>
  <c r="K170" i="9"/>
  <c r="H170" i="9"/>
  <c r="K131" i="9"/>
  <c r="K199" i="9"/>
  <c r="H199" i="9"/>
  <c r="K196" i="9"/>
  <c r="H196" i="9"/>
  <c r="K193" i="9"/>
  <c r="K201" i="9"/>
  <c r="K159" i="9"/>
  <c r="K132" i="9"/>
  <c r="K164" i="9"/>
  <c r="K147" i="9"/>
  <c r="K186" i="9"/>
  <c r="K197" i="9"/>
  <c r="K155" i="9"/>
  <c r="K160" i="9"/>
  <c r="K134" i="9"/>
  <c r="K190" i="9"/>
  <c r="K142" i="9"/>
  <c r="H142" i="9"/>
  <c r="K25" i="9"/>
  <c r="H25" i="9"/>
  <c r="K192" i="9"/>
  <c r="H192" i="9"/>
  <c r="K187" i="9"/>
  <c r="H187" i="9"/>
  <c r="K184" i="9"/>
  <c r="H184" i="9"/>
  <c r="K189" i="9"/>
  <c r="H189" i="9"/>
  <c r="K191" i="9"/>
  <c r="H191" i="9"/>
  <c r="K141" i="9"/>
  <c r="H141" i="9"/>
  <c r="K26" i="9"/>
  <c r="H26" i="9"/>
  <c r="K130" i="9"/>
  <c r="H174" i="9"/>
  <c r="K174" i="9"/>
  <c r="H165" i="9"/>
  <c r="K165" i="9"/>
  <c r="H150" i="9"/>
  <c r="K150" i="9"/>
  <c r="H137" i="9"/>
  <c r="K137" i="9"/>
  <c r="H117" i="9"/>
  <c r="K117" i="9"/>
  <c r="K87" i="9"/>
  <c r="H45" i="9"/>
  <c r="K45" i="9"/>
  <c r="H14" i="9"/>
  <c r="K14" i="9"/>
  <c r="K12" i="9"/>
  <c r="K679" i="9"/>
  <c r="H671" i="9"/>
  <c r="K671" i="9"/>
  <c r="K666" i="9"/>
  <c r="K667" i="9"/>
  <c r="H666" i="9"/>
  <c r="H679" i="9"/>
  <c r="H667" i="9"/>
  <c r="K663" i="9"/>
  <c r="K669" i="9"/>
  <c r="K670" i="9"/>
  <c r="K216" i="9"/>
  <c r="K677" i="9"/>
  <c r="K678" i="9"/>
  <c r="K680" i="9"/>
  <c r="K664" i="9"/>
  <c r="K673" i="9"/>
  <c r="K665" i="9"/>
  <c r="H663" i="9"/>
  <c r="H669" i="9"/>
  <c r="H670" i="9"/>
  <c r="H216" i="9"/>
  <c r="H677" i="9"/>
  <c r="H678" i="9"/>
  <c r="H680" i="9"/>
  <c r="H664" i="9"/>
  <c r="H673" i="9"/>
  <c r="H665" i="9"/>
  <c r="K662" i="9"/>
  <c r="H662" i="9"/>
  <c r="K653" i="9"/>
  <c r="H653" i="9"/>
  <c r="K647" i="9"/>
  <c r="K648" i="9"/>
  <c r="K646" i="9"/>
  <c r="H169" i="9"/>
  <c r="K169" i="9"/>
  <c r="H632" i="9"/>
  <c r="K632" i="9"/>
  <c r="K621" i="9"/>
  <c r="K604" i="9"/>
  <c r="K643" i="9"/>
  <c r="K645" i="9"/>
  <c r="K649" i="9"/>
  <c r="K650" i="9"/>
  <c r="K651" i="9"/>
  <c r="K652" i="9"/>
  <c r="H604" i="9"/>
  <c r="H643" i="9"/>
  <c r="H645" i="9"/>
  <c r="H646" i="9"/>
  <c r="H647" i="9"/>
  <c r="H648" i="9"/>
  <c r="H649" i="9"/>
  <c r="H650" i="9"/>
  <c r="H651" i="9"/>
  <c r="H652" i="9"/>
  <c r="K618" i="9"/>
  <c r="K619" i="9"/>
  <c r="K616" i="9"/>
  <c r="K620" i="9"/>
  <c r="K622" i="9"/>
  <c r="K623" i="9"/>
  <c r="K624" i="9"/>
  <c r="K625" i="9"/>
  <c r="K626" i="9"/>
  <c r="K627" i="9"/>
  <c r="K628" i="9"/>
  <c r="K629" i="9"/>
  <c r="K631" i="9"/>
  <c r="K264" i="9"/>
  <c r="K630" i="9"/>
  <c r="K636" i="9"/>
  <c r="K633" i="9"/>
  <c r="K241" i="9"/>
  <c r="K634" i="9"/>
  <c r="K635" i="9"/>
  <c r="K637" i="9"/>
  <c r="H618" i="9"/>
  <c r="H619" i="9"/>
  <c r="H616" i="9"/>
  <c r="H620" i="9"/>
  <c r="H622" i="9"/>
  <c r="H623" i="9"/>
  <c r="H624" i="9"/>
  <c r="H625" i="9"/>
  <c r="H626" i="9"/>
  <c r="H627" i="9"/>
  <c r="H628" i="9"/>
  <c r="H629" i="9"/>
  <c r="H631" i="9"/>
  <c r="H264" i="9"/>
  <c r="H630" i="9"/>
  <c r="H636" i="9"/>
  <c r="H633" i="9"/>
  <c r="H241" i="9"/>
  <c r="H634" i="9"/>
  <c r="H635" i="9"/>
  <c r="H637" i="9"/>
  <c r="K609" i="9"/>
  <c r="K610" i="9"/>
  <c r="K611" i="9"/>
  <c r="K612" i="9"/>
  <c r="K613" i="9"/>
  <c r="K614" i="9"/>
  <c r="K615" i="9"/>
  <c r="K617" i="9"/>
  <c r="H609" i="9"/>
  <c r="H610" i="9"/>
  <c r="H611" i="9"/>
  <c r="H612" i="9"/>
  <c r="H613" i="9"/>
  <c r="H614" i="9"/>
  <c r="H615" i="9"/>
  <c r="H617" i="9"/>
  <c r="K605" i="9"/>
  <c r="K606" i="9"/>
  <c r="K607" i="9"/>
  <c r="K608" i="9"/>
  <c r="K554" i="9"/>
  <c r="K582" i="9"/>
  <c r="K156" i="9"/>
  <c r="K158" i="9"/>
  <c r="K205" i="9"/>
  <c r="K586" i="9"/>
  <c r="K592" i="9"/>
  <c r="K577" i="9"/>
  <c r="K578" i="9"/>
  <c r="K579" i="9"/>
  <c r="K206" i="9"/>
  <c r="K580" i="9"/>
  <c r="K581" i="9"/>
  <c r="K584" i="9"/>
  <c r="K585" i="9"/>
  <c r="K573" i="9"/>
  <c r="K574" i="9"/>
  <c r="K575" i="9"/>
  <c r="K576" i="9"/>
  <c r="K572" i="9"/>
  <c r="K583" i="9"/>
  <c r="D127" i="10"/>
  <c r="E127" i="10"/>
  <c r="K564" i="9"/>
  <c r="K565" i="9"/>
  <c r="K566" i="9"/>
  <c r="K560" i="9"/>
  <c r="K570" i="9"/>
  <c r="K792" i="9"/>
  <c r="K798" i="9"/>
  <c r="K859" i="9"/>
  <c r="K571" i="9"/>
  <c r="K562" i="9"/>
  <c r="K563" i="9"/>
  <c r="K161" i="9"/>
  <c r="K561" i="9"/>
  <c r="K152" i="9"/>
  <c r="H152" i="9"/>
  <c r="H139" i="9"/>
  <c r="K526" i="9"/>
  <c r="K514" i="9"/>
  <c r="K515" i="9"/>
  <c r="K516" i="9"/>
  <c r="K517" i="9"/>
  <c r="K518" i="9"/>
  <c r="K524" i="9"/>
  <c r="K525" i="9"/>
  <c r="K532" i="9"/>
  <c r="K535" i="9"/>
  <c r="H88" i="9"/>
  <c r="K88" i="9"/>
  <c r="K89" i="9"/>
  <c r="K106" i="9"/>
  <c r="K168" i="9"/>
  <c r="K171" i="9"/>
  <c r="K151" i="9"/>
  <c r="K162" i="9"/>
  <c r="K139" i="9"/>
  <c r="K148" i="9"/>
  <c r="K127" i="9"/>
  <c r="K138" i="9"/>
  <c r="K124" i="9"/>
  <c r="K49" i="9"/>
  <c r="K48" i="9"/>
  <c r="K46" i="9"/>
  <c r="K5" i="9"/>
  <c r="K4" i="9"/>
  <c r="K3" i="9"/>
  <c r="H3" i="9"/>
  <c r="H489" i="9"/>
  <c r="K476" i="9"/>
  <c r="K477" i="9"/>
  <c r="K478" i="9"/>
  <c r="K479" i="9"/>
  <c r="K480" i="9"/>
  <c r="K486" i="9"/>
  <c r="K487" i="9"/>
  <c r="K489" i="9"/>
  <c r="K490" i="9"/>
  <c r="K491" i="9"/>
  <c r="K500" i="9"/>
  <c r="K481" i="9"/>
  <c r="K482" i="9"/>
  <c r="K439" i="9"/>
  <c r="K426" i="9"/>
  <c r="K427" i="9"/>
  <c r="K428" i="9"/>
  <c r="K429" i="9"/>
  <c r="K437" i="9"/>
  <c r="K438" i="9"/>
  <c r="K455" i="9"/>
  <c r="K456" i="9"/>
  <c r="K457" i="9"/>
  <c r="K461" i="9"/>
  <c r="K430" i="9"/>
  <c r="K431" i="9"/>
  <c r="K425" i="9"/>
  <c r="K558" i="9"/>
  <c r="K555" i="9"/>
  <c r="K556" i="9"/>
  <c r="K557" i="9"/>
  <c r="K522" i="9"/>
  <c r="K523" i="9"/>
  <c r="K528" i="9"/>
  <c r="K559" i="9"/>
  <c r="K551" i="9"/>
  <c r="K544" i="9"/>
  <c r="K548" i="9"/>
  <c r="K547" i="9"/>
  <c r="K545" i="9"/>
  <c r="K602" i="9"/>
  <c r="K599" i="9"/>
  <c r="K593" i="9"/>
  <c r="K596" i="9"/>
  <c r="K600" i="9"/>
  <c r="K601" i="9"/>
  <c r="K594" i="9"/>
  <c r="K598" i="9"/>
  <c r="K597" i="9"/>
  <c r="K595" i="9"/>
  <c r="K318" i="9"/>
  <c r="K312" i="9"/>
  <c r="K314" i="9"/>
  <c r="K320" i="9"/>
  <c r="K321" i="9"/>
  <c r="K41" i="9"/>
  <c r="K317" i="9"/>
  <c r="K316" i="9"/>
  <c r="K313" i="9"/>
  <c r="K347" i="9"/>
  <c r="K343" i="9"/>
  <c r="K336" i="9"/>
  <c r="K339" i="9"/>
  <c r="K345" i="9"/>
  <c r="K346" i="9"/>
  <c r="K337" i="9"/>
  <c r="K342" i="9"/>
  <c r="K341" i="9"/>
  <c r="K338" i="9"/>
  <c r="K397" i="9"/>
  <c r="K394" i="9"/>
  <c r="K388" i="9"/>
  <c r="K391" i="9"/>
  <c r="K395" i="9"/>
  <c r="K396" i="9"/>
  <c r="K389" i="9"/>
  <c r="K393" i="9"/>
  <c r="K392" i="9"/>
  <c r="K390" i="9"/>
  <c r="K453" i="9"/>
  <c r="K450" i="9"/>
  <c r="K444" i="9"/>
  <c r="K447" i="9"/>
  <c r="K451" i="9"/>
  <c r="K452" i="9"/>
  <c r="K445" i="9"/>
  <c r="K449" i="9"/>
  <c r="K448" i="9"/>
  <c r="K446" i="9"/>
  <c r="K507" i="9"/>
  <c r="K498" i="9"/>
  <c r="K492" i="9"/>
  <c r="K495" i="9"/>
  <c r="K499" i="9"/>
  <c r="K506" i="9"/>
  <c r="K493" i="9"/>
  <c r="K497" i="9"/>
  <c r="K496" i="9"/>
  <c r="K494" i="9"/>
  <c r="K552" i="9"/>
  <c r="K549" i="9"/>
  <c r="K543" i="9"/>
  <c r="K546" i="9"/>
  <c r="K550" i="9"/>
  <c r="K322" i="9"/>
  <c r="K521" i="9"/>
  <c r="AH39" i="22"/>
  <c r="AH40" i="22"/>
  <c r="AH41" i="22"/>
  <c r="AH42" i="22"/>
  <c r="AH43" i="22"/>
  <c r="AH44" i="22"/>
  <c r="AH45" i="22"/>
  <c r="AH46" i="22"/>
  <c r="AH47" i="22"/>
  <c r="AH48" i="22"/>
  <c r="AH49" i="22"/>
  <c r="AH50" i="22"/>
  <c r="AH51" i="22"/>
  <c r="AH52" i="22"/>
  <c r="AH53" i="22"/>
  <c r="AH54" i="22"/>
  <c r="AH55" i="22"/>
  <c r="AH56" i="22"/>
  <c r="AH57" i="22"/>
  <c r="AH58" i="22"/>
  <c r="AH59" i="22"/>
  <c r="AH60" i="22"/>
  <c r="AH61" i="22"/>
  <c r="AH62" i="22"/>
  <c r="AH63" i="22"/>
  <c r="AH64" i="22"/>
  <c r="AH65" i="22"/>
  <c r="AH66" i="22"/>
  <c r="AH67" i="22"/>
  <c r="AH68" i="22"/>
  <c r="AH69" i="22"/>
  <c r="AH70" i="22"/>
  <c r="AH71" i="22"/>
  <c r="AH72" i="22"/>
  <c r="AH73" i="22"/>
  <c r="AH74" i="22"/>
  <c r="AH75" i="22"/>
  <c r="AH76" i="22"/>
  <c r="AH77" i="22"/>
  <c r="AH78" i="22"/>
  <c r="AH79" i="22"/>
  <c r="AH80" i="22"/>
  <c r="AH81" i="22"/>
  <c r="AH82" i="22"/>
  <c r="AH83" i="22"/>
  <c r="AH84" i="22"/>
  <c r="AH85" i="22"/>
  <c r="AH86" i="22"/>
  <c r="AH87" i="22"/>
  <c r="AH88" i="22"/>
  <c r="AG39" i="22"/>
  <c r="AG40" i="22"/>
  <c r="AG41" i="22"/>
  <c r="AG42" i="22"/>
  <c r="AG43" i="22"/>
  <c r="AG44" i="22"/>
  <c r="AG45" i="22"/>
  <c r="AG46" i="22"/>
  <c r="AG47" i="22"/>
  <c r="AG48" i="22"/>
  <c r="AG49" i="22"/>
  <c r="AG50" i="22"/>
  <c r="AG51" i="22"/>
  <c r="AG52" i="22"/>
  <c r="AG53" i="22"/>
  <c r="AG54" i="22"/>
  <c r="AG55" i="22"/>
  <c r="AG56" i="22"/>
  <c r="AG57" i="22"/>
  <c r="AG58" i="22"/>
  <c r="AG59" i="22"/>
  <c r="AG60" i="22"/>
  <c r="AG61" i="22"/>
  <c r="AG62" i="22"/>
  <c r="AG63" i="22"/>
  <c r="AG64" i="22"/>
  <c r="AG65" i="22"/>
  <c r="AG66" i="22"/>
  <c r="AG67" i="22"/>
  <c r="AG68" i="22"/>
  <c r="AG69" i="22"/>
  <c r="AG70" i="22"/>
  <c r="AG71" i="22"/>
  <c r="AG72" i="22"/>
  <c r="AG73" i="22"/>
  <c r="AG74" i="22"/>
  <c r="AG75" i="22"/>
  <c r="AG76" i="22"/>
  <c r="AG77" i="22"/>
  <c r="AG78" i="22"/>
  <c r="AG79" i="22"/>
  <c r="AG80" i="22"/>
  <c r="AG81" i="22"/>
  <c r="AG82" i="22"/>
  <c r="AG83" i="22"/>
  <c r="AG84" i="22"/>
  <c r="AG85" i="22"/>
  <c r="AG86" i="22"/>
  <c r="AG87" i="22"/>
  <c r="AG88" i="22"/>
  <c r="AE39" i="22"/>
  <c r="AE40" i="22"/>
  <c r="AE41" i="22"/>
  <c r="AE42" i="22"/>
  <c r="AE43" i="22"/>
  <c r="AE44" i="22"/>
  <c r="AE45" i="22"/>
  <c r="AE46" i="22"/>
  <c r="AE47" i="22"/>
  <c r="AE48" i="22"/>
  <c r="AE49" i="22"/>
  <c r="AE50" i="22"/>
  <c r="AE51" i="22"/>
  <c r="AE52" i="22"/>
  <c r="AE53" i="22"/>
  <c r="AE54" i="22"/>
  <c r="AE55" i="22"/>
  <c r="AE56" i="22"/>
  <c r="AE57" i="22"/>
  <c r="AE58" i="22"/>
  <c r="AE59" i="22"/>
  <c r="AE60" i="22"/>
  <c r="AE61" i="22"/>
  <c r="AE62" i="22"/>
  <c r="AE63" i="22"/>
  <c r="AE64" i="22"/>
  <c r="AE65" i="22"/>
  <c r="AE66" i="22"/>
  <c r="AE67" i="22"/>
  <c r="AE68" i="22"/>
  <c r="AE69" i="22"/>
  <c r="AE70" i="22"/>
  <c r="AE71" i="22"/>
  <c r="AE72" i="22"/>
  <c r="AE73" i="22"/>
  <c r="AE74" i="22"/>
  <c r="AE75" i="22"/>
  <c r="AE76" i="22"/>
  <c r="AE77" i="22"/>
  <c r="AE78" i="22"/>
  <c r="AE79" i="22"/>
  <c r="AE80" i="22"/>
  <c r="AE81" i="22"/>
  <c r="AE82" i="22"/>
  <c r="AE83" i="22"/>
  <c r="AE84" i="22"/>
  <c r="AE85" i="22"/>
  <c r="AE86" i="22"/>
  <c r="AE87" i="22"/>
  <c r="AE88" i="22"/>
  <c r="W30" i="22"/>
  <c r="W40" i="22" s="1"/>
  <c r="W50" i="22" s="1"/>
  <c r="W60" i="22" s="1"/>
  <c r="W70" i="22" s="1"/>
  <c r="W80" i="22" s="1"/>
  <c r="W31" i="22"/>
  <c r="W41" i="22" s="1"/>
  <c r="W51" i="22" s="1"/>
  <c r="W61" i="22" s="1"/>
  <c r="W71" i="22" s="1"/>
  <c r="W81" i="22" s="1"/>
  <c r="W32" i="22"/>
  <c r="W42" i="22" s="1"/>
  <c r="W52" i="22" s="1"/>
  <c r="W62" i="22" s="1"/>
  <c r="W72" i="22" s="1"/>
  <c r="W82" i="22" s="1"/>
  <c r="W33" i="22"/>
  <c r="W43" i="22" s="1"/>
  <c r="W53" i="22" s="1"/>
  <c r="W63" i="22" s="1"/>
  <c r="W73" i="22" s="1"/>
  <c r="W83" i="22" s="1"/>
  <c r="W34" i="22"/>
  <c r="W44" i="22" s="1"/>
  <c r="W54" i="22" s="1"/>
  <c r="W64" i="22" s="1"/>
  <c r="W74" i="22" s="1"/>
  <c r="W84" i="22" s="1"/>
  <c r="W35" i="22"/>
  <c r="W45" i="22" s="1"/>
  <c r="W55" i="22" s="1"/>
  <c r="W65" i="22" s="1"/>
  <c r="W75" i="22" s="1"/>
  <c r="W85" i="22" s="1"/>
  <c r="W36" i="22"/>
  <c r="W46" i="22" s="1"/>
  <c r="W56" i="22" s="1"/>
  <c r="W66" i="22" s="1"/>
  <c r="W76" i="22" s="1"/>
  <c r="W86" i="22" s="1"/>
  <c r="W37" i="22"/>
  <c r="W47" i="22" s="1"/>
  <c r="W57" i="22" s="1"/>
  <c r="W67" i="22" s="1"/>
  <c r="W77" i="22" s="1"/>
  <c r="W87" i="22" s="1"/>
  <c r="W38" i="22"/>
  <c r="W48" i="22" s="1"/>
  <c r="W58" i="22" s="1"/>
  <c r="W68" i="22" s="1"/>
  <c r="W78" i="22" s="1"/>
  <c r="W88" i="22" s="1"/>
  <c r="W29" i="22"/>
  <c r="W39" i="22" s="1"/>
  <c r="W49" i="22" s="1"/>
  <c r="W59" i="22" s="1"/>
  <c r="W69" i="22" s="1"/>
  <c r="W79" i="22" s="1"/>
  <c r="AE29" i="22"/>
  <c r="AG29" i="22"/>
  <c r="AH29" i="22"/>
  <c r="AE30" i="22"/>
  <c r="AG30" i="22"/>
  <c r="AH30" i="22"/>
  <c r="AE31" i="22"/>
  <c r="AG31" i="22"/>
  <c r="AH31" i="22"/>
  <c r="AE32" i="22"/>
  <c r="AG32" i="22"/>
  <c r="AH32" i="22"/>
  <c r="AE33" i="22"/>
  <c r="AG33" i="22"/>
  <c r="AH33" i="22"/>
  <c r="AE34" i="22"/>
  <c r="AG34" i="22"/>
  <c r="AH34" i="22"/>
  <c r="AE35" i="22"/>
  <c r="AG35" i="22"/>
  <c r="AH35" i="22"/>
  <c r="AE36" i="22"/>
  <c r="AG36" i="22"/>
  <c r="AH36" i="22"/>
  <c r="AE37" i="22"/>
  <c r="AG37" i="22"/>
  <c r="AH37" i="22"/>
  <c r="AE38" i="22"/>
  <c r="AG38" i="22"/>
  <c r="AH38" i="22"/>
  <c r="AH28" i="22"/>
  <c r="AG28" i="22"/>
  <c r="AE28" i="22"/>
  <c r="M25" i="22"/>
  <c r="N25" i="22"/>
  <c r="O25" i="22"/>
  <c r="P25" i="22"/>
  <c r="Q25" i="22"/>
  <c r="R25" i="22"/>
  <c r="S25" i="22"/>
  <c r="S11" i="22"/>
  <c r="R11" i="22"/>
  <c r="Q11" i="22"/>
  <c r="P11" i="22"/>
  <c r="O11" i="22"/>
  <c r="N11" i="22"/>
  <c r="M11" i="22"/>
  <c r="AH20" i="22"/>
  <c r="AH21" i="22"/>
  <c r="AH22" i="22"/>
  <c r="AH23" i="22"/>
  <c r="AH24" i="22"/>
  <c r="AH25" i="22"/>
  <c r="AH26" i="22"/>
  <c r="AH27" i="22"/>
  <c r="AG20" i="22"/>
  <c r="AG21" i="22"/>
  <c r="AG22" i="22"/>
  <c r="AG23" i="22"/>
  <c r="AG24" i="22"/>
  <c r="AG25" i="22"/>
  <c r="AG26" i="22"/>
  <c r="AG27" i="22"/>
  <c r="AE20" i="22"/>
  <c r="AE21" i="22"/>
  <c r="AE22" i="22"/>
  <c r="AE23" i="22"/>
  <c r="AE24" i="22"/>
  <c r="AE25" i="22"/>
  <c r="AE26" i="22"/>
  <c r="AE27" i="22"/>
  <c r="AE19" i="22"/>
  <c r="AG19" i="22"/>
  <c r="AH19" i="22"/>
  <c r="AG16" i="22"/>
  <c r="AH16" i="22"/>
  <c r="AE16" i="22"/>
  <c r="M17" i="22"/>
  <c r="N17" i="22"/>
  <c r="O17" i="22"/>
  <c r="P17" i="22"/>
  <c r="Q17" i="22"/>
  <c r="R17" i="22"/>
  <c r="S17" i="22"/>
  <c r="M18" i="22"/>
  <c r="N18" i="22"/>
  <c r="O18" i="22"/>
  <c r="P18" i="22"/>
  <c r="Q18" i="22"/>
  <c r="R18" i="22"/>
  <c r="S18" i="22"/>
  <c r="M19" i="22"/>
  <c r="N19" i="22"/>
  <c r="O19" i="22"/>
  <c r="P19" i="22"/>
  <c r="Q19" i="22"/>
  <c r="R19" i="22"/>
  <c r="S19" i="22"/>
  <c r="M20" i="22"/>
  <c r="N20" i="22"/>
  <c r="O20" i="22"/>
  <c r="P20" i="22"/>
  <c r="Q20" i="22"/>
  <c r="R20" i="22"/>
  <c r="S20" i="22"/>
  <c r="M21" i="22"/>
  <c r="N21" i="22"/>
  <c r="O21" i="22"/>
  <c r="P21" i="22"/>
  <c r="Q21" i="22"/>
  <c r="R21" i="22"/>
  <c r="S21" i="22"/>
  <c r="M22" i="22"/>
  <c r="N22" i="22"/>
  <c r="O22" i="22"/>
  <c r="P22" i="22"/>
  <c r="Q22" i="22"/>
  <c r="R22" i="22"/>
  <c r="S22" i="22"/>
  <c r="M23" i="22"/>
  <c r="N23" i="22"/>
  <c r="O23" i="22"/>
  <c r="P23" i="22"/>
  <c r="Q23" i="22"/>
  <c r="R23" i="22"/>
  <c r="S23" i="22"/>
  <c r="M24" i="22"/>
  <c r="N24" i="22"/>
  <c r="O24" i="22"/>
  <c r="P24" i="22"/>
  <c r="Q24" i="22"/>
  <c r="R24" i="22"/>
  <c r="S24" i="22"/>
  <c r="M3" i="22"/>
  <c r="N3" i="22"/>
  <c r="O3" i="22"/>
  <c r="P3" i="22"/>
  <c r="Q3" i="22"/>
  <c r="R3" i="22"/>
  <c r="S3" i="22"/>
  <c r="M4" i="22"/>
  <c r="N4" i="22"/>
  <c r="O4" i="22"/>
  <c r="P4" i="22"/>
  <c r="Q4" i="22"/>
  <c r="R4" i="22"/>
  <c r="S4" i="22"/>
  <c r="M5" i="22"/>
  <c r="N5" i="22"/>
  <c r="O5" i="22"/>
  <c r="P5" i="22"/>
  <c r="Q5" i="22"/>
  <c r="R5" i="22"/>
  <c r="S5" i="22"/>
  <c r="M6" i="22"/>
  <c r="N6" i="22"/>
  <c r="O6" i="22"/>
  <c r="P6" i="22"/>
  <c r="Q6" i="22"/>
  <c r="R6" i="22"/>
  <c r="S6" i="22"/>
  <c r="M7" i="22"/>
  <c r="N7" i="22"/>
  <c r="O7" i="22"/>
  <c r="P7" i="22"/>
  <c r="Q7" i="22"/>
  <c r="R7" i="22"/>
  <c r="S7" i="22"/>
  <c r="M8" i="22"/>
  <c r="N8" i="22"/>
  <c r="O8" i="22"/>
  <c r="P8" i="22"/>
  <c r="Q8" i="22"/>
  <c r="R8" i="22"/>
  <c r="S8" i="22"/>
  <c r="M9" i="22"/>
  <c r="N9" i="22"/>
  <c r="O9" i="22"/>
  <c r="P9" i="22"/>
  <c r="Q9" i="22"/>
  <c r="R9" i="22"/>
  <c r="S9" i="22"/>
  <c r="M10" i="22"/>
  <c r="N10" i="22"/>
  <c r="O10" i="22"/>
  <c r="P10" i="22"/>
  <c r="Q10" i="22"/>
  <c r="R10" i="22"/>
  <c r="S10" i="22"/>
  <c r="S16" i="22"/>
  <c r="N16" i="22"/>
  <c r="O16" i="22"/>
  <c r="P16" i="22"/>
  <c r="Q16" i="22"/>
  <c r="R16" i="22"/>
  <c r="M16" i="22"/>
  <c r="N2" i="22"/>
  <c r="O2" i="22"/>
  <c r="P2" i="22"/>
  <c r="Q2" i="22"/>
  <c r="R2" i="22"/>
  <c r="S2" i="22"/>
  <c r="M2" i="22"/>
  <c r="K512" i="9"/>
  <c r="K513" i="9"/>
  <c r="K519" i="9"/>
  <c r="K484" i="9"/>
  <c r="K485" i="9"/>
  <c r="K488" i="9"/>
  <c r="K508" i="9"/>
  <c r="K509" i="9"/>
  <c r="K510" i="9"/>
  <c r="K511" i="9"/>
  <c r="K483" i="9"/>
  <c r="K475" i="9"/>
  <c r="K474" i="9"/>
  <c r="K435" i="9"/>
  <c r="K436" i="9"/>
  <c r="K441" i="9"/>
  <c r="K468" i="9"/>
  <c r="K469" i="9"/>
  <c r="K470" i="9"/>
  <c r="K471" i="9"/>
  <c r="K472" i="9"/>
  <c r="K473" i="9"/>
  <c r="K434" i="9"/>
  <c r="K424" i="9"/>
  <c r="D126" i="10"/>
  <c r="E126" i="10"/>
  <c r="K360" i="9"/>
  <c r="K361" i="9"/>
  <c r="K362" i="9"/>
  <c r="K363" i="9"/>
  <c r="K406" i="9"/>
  <c r="K367" i="9"/>
  <c r="K368" i="9"/>
  <c r="K383" i="9"/>
  <c r="K399" i="9"/>
  <c r="K400" i="9"/>
  <c r="K401" i="9"/>
  <c r="K402" i="9"/>
  <c r="K403" i="9"/>
  <c r="K370" i="9"/>
  <c r="K369" i="9"/>
  <c r="K365" i="9"/>
  <c r="K366" i="9"/>
  <c r="K385" i="9"/>
  <c r="K416" i="9"/>
  <c r="K417" i="9"/>
  <c r="K418" i="9"/>
  <c r="K419" i="9"/>
  <c r="K420" i="9"/>
  <c r="K421" i="9"/>
  <c r="K422" i="9"/>
  <c r="K423" i="9"/>
  <c r="K443" i="9"/>
  <c r="H443" i="9"/>
  <c r="D125" i="10"/>
  <c r="E125" i="10"/>
  <c r="K467" i="9"/>
  <c r="K454" i="9"/>
  <c r="K529" i="9"/>
  <c r="K531" i="9"/>
  <c r="K533" i="9"/>
  <c r="K534" i="9"/>
  <c r="K541" i="9"/>
  <c r="K542" i="9"/>
  <c r="K415" i="9"/>
  <c r="K553" i="9"/>
  <c r="K527" i="9"/>
  <c r="K530" i="9"/>
  <c r="K520" i="9"/>
  <c r="K306" i="9"/>
  <c r="K308" i="9"/>
  <c r="K303" i="9"/>
  <c r="K307" i="9"/>
  <c r="K309" i="9"/>
  <c r="K304" i="9"/>
  <c r="K146" i="9"/>
  <c r="K310" i="9"/>
  <c r="K311" i="9"/>
  <c r="K459" i="9"/>
  <c r="K460" i="9"/>
  <c r="K442" i="9"/>
  <c r="K458" i="9"/>
  <c r="K432" i="9"/>
  <c r="K440" i="9"/>
  <c r="K381" i="9"/>
  <c r="K382" i="9"/>
  <c r="K379" i="9"/>
  <c r="K380" i="9"/>
  <c r="K377" i="9"/>
  <c r="K378" i="9"/>
  <c r="K375" i="9"/>
  <c r="K376" i="9"/>
  <c r="K373" i="9"/>
  <c r="K374" i="9"/>
  <c r="K371" i="9"/>
  <c r="K372" i="9"/>
  <c r="K120" i="9"/>
  <c r="K414" i="9"/>
  <c r="K387" i="9"/>
  <c r="K413" i="9"/>
  <c r="K405" i="9"/>
  <c r="K404" i="9"/>
  <c r="K386" i="9"/>
  <c r="K384" i="9"/>
  <c r="K398" i="9"/>
  <c r="H398" i="9"/>
  <c r="K364" i="9"/>
  <c r="H364" i="9"/>
  <c r="K65" i="9"/>
  <c r="K66" i="9"/>
  <c r="K71" i="9"/>
  <c r="K56" i="9"/>
  <c r="K51" i="9"/>
  <c r="K90" i="9"/>
  <c r="K354" i="9"/>
  <c r="K355" i="9"/>
  <c r="K356" i="9"/>
  <c r="K357" i="9"/>
  <c r="H110" i="9"/>
  <c r="E99" i="9"/>
  <c r="E98" i="9"/>
  <c r="K105" i="9"/>
  <c r="K104" i="9"/>
  <c r="K62" i="9"/>
  <c r="K84" i="9"/>
  <c r="K67" i="9"/>
  <c r="K86" i="9"/>
  <c r="K59" i="9"/>
  <c r="K172" i="9"/>
  <c r="K63" i="9"/>
  <c r="E107" i="9"/>
  <c r="D124" i="10"/>
  <c r="E124" i="10"/>
  <c r="K157" i="9"/>
  <c r="H157" i="9"/>
  <c r="K154" i="9"/>
  <c r="H154" i="9"/>
  <c r="K177" i="9"/>
  <c r="H177" i="9"/>
  <c r="K144" i="9"/>
  <c r="H144" i="9"/>
  <c r="K153" i="9"/>
  <c r="H153" i="9"/>
  <c r="K129" i="9"/>
  <c r="H129" i="9"/>
  <c r="K140" i="9"/>
  <c r="H140" i="9"/>
  <c r="K29" i="9"/>
  <c r="K30" i="9"/>
  <c r="K43" i="9"/>
  <c r="K31" i="9"/>
  <c r="K19" i="9"/>
  <c r="K38" i="9"/>
  <c r="K23" i="9"/>
  <c r="K24" i="9"/>
  <c r="K27" i="9"/>
  <c r="K28" i="9"/>
  <c r="K107" i="9"/>
  <c r="K64" i="9"/>
  <c r="K358" i="9"/>
  <c r="K359" i="9"/>
  <c r="K122" i="9"/>
  <c r="H122" i="9"/>
  <c r="K121" i="9"/>
  <c r="H121" i="9"/>
  <c r="K128" i="9"/>
  <c r="H128" i="9"/>
  <c r="K96" i="9"/>
  <c r="H96" i="9"/>
  <c r="K91" i="9"/>
  <c r="H91" i="9"/>
  <c r="K100" i="9"/>
  <c r="H100" i="9"/>
  <c r="G100" i="9" s="1"/>
  <c r="E56" i="10"/>
  <c r="D56" i="10"/>
  <c r="K2" i="9"/>
  <c r="K21" i="9"/>
  <c r="K34" i="9"/>
  <c r="K942" i="9"/>
  <c r="K85" i="9"/>
  <c r="K97" i="9"/>
  <c r="K101" i="9"/>
  <c r="K102" i="9"/>
  <c r="K98" i="9"/>
  <c r="K99" i="9"/>
  <c r="K111" i="9"/>
  <c r="K112" i="9"/>
  <c r="K113" i="9"/>
  <c r="K114" i="9"/>
  <c r="K108" i="9"/>
  <c r="K109" i="9"/>
  <c r="K110" i="9"/>
  <c r="A6" i="20"/>
  <c r="A9" i="20" s="1"/>
  <c r="A12" i="20" s="1"/>
  <c r="A15" i="20" s="1"/>
  <c r="A18" i="20" s="1"/>
  <c r="A21" i="20" s="1"/>
  <c r="A24" i="20" s="1"/>
  <c r="A27" i="20" s="1"/>
  <c r="A30" i="20" s="1"/>
  <c r="A33" i="20" s="1"/>
  <c r="A36" i="20" s="1"/>
  <c r="A7" i="20"/>
  <c r="A10" i="20" s="1"/>
  <c r="A13" i="20" s="1"/>
  <c r="A16" i="20" s="1"/>
  <c r="A19" i="20" s="1"/>
  <c r="A22" i="20" s="1"/>
  <c r="A25" i="20" s="1"/>
  <c r="A28" i="20" s="1"/>
  <c r="A31" i="20" s="1"/>
  <c r="A34" i="20" s="1"/>
  <c r="A37" i="20" s="1"/>
  <c r="A5" i="20"/>
  <c r="C3" i="21"/>
  <c r="C4" i="21"/>
  <c r="C2" i="21"/>
  <c r="E32" i="13"/>
  <c r="E33" i="13"/>
  <c r="E34" i="13"/>
  <c r="E35" i="13"/>
  <c r="E36" i="13"/>
  <c r="E37" i="13"/>
  <c r="E30" i="13"/>
  <c r="E31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G16" i="14"/>
  <c r="F16" i="14"/>
  <c r="G15" i="14"/>
  <c r="F15" i="14"/>
  <c r="G14" i="14"/>
  <c r="F14" i="14"/>
  <c r="G13" i="14"/>
  <c r="F13" i="14"/>
  <c r="G12" i="14"/>
  <c r="F12" i="14"/>
  <c r="F3" i="14"/>
  <c r="F4" i="14"/>
  <c r="F5" i="14"/>
  <c r="F6" i="14"/>
  <c r="F7" i="14"/>
  <c r="F8" i="14"/>
  <c r="F9" i="14"/>
  <c r="F10" i="14"/>
  <c r="F11" i="14"/>
  <c r="F2" i="14"/>
  <c r="G11" i="14"/>
  <c r="G10" i="14"/>
  <c r="G9" i="14"/>
  <c r="G8" i="14"/>
  <c r="G7" i="14"/>
  <c r="E5" i="13"/>
  <c r="E4" i="13"/>
  <c r="E3" i="13"/>
  <c r="E50" i="10"/>
  <c r="D50" i="10"/>
  <c r="E49" i="10"/>
  <c r="D49" i="10"/>
  <c r="E48" i="10"/>
  <c r="D48" i="10"/>
  <c r="E47" i="10"/>
  <c r="D47" i="10"/>
  <c r="E46" i="10"/>
  <c r="D46" i="10"/>
  <c r="E45" i="10"/>
  <c r="D45" i="10"/>
  <c r="E44" i="10"/>
  <c r="D44" i="10"/>
  <c r="E43" i="10"/>
  <c r="D43" i="10"/>
  <c r="D41" i="10"/>
  <c r="D42" i="10"/>
  <c r="E42" i="10"/>
  <c r="E41" i="10"/>
  <c r="K6" i="9"/>
  <c r="H73" i="9"/>
  <c r="H60" i="9"/>
  <c r="H40" i="9"/>
  <c r="H52" i="9"/>
  <c r="H61" i="9"/>
  <c r="H44" i="9"/>
  <c r="H57" i="9"/>
  <c r="H58" i="9"/>
  <c r="H22" i="9"/>
  <c r="H32" i="9"/>
  <c r="H77" i="9"/>
  <c r="H78" i="9"/>
  <c r="H79" i="9"/>
  <c r="H80" i="9"/>
  <c r="H76" i="9"/>
  <c r="H74" i="9"/>
  <c r="H75" i="9"/>
  <c r="H17" i="9"/>
  <c r="H37" i="9"/>
  <c r="H50" i="9"/>
  <c r="H10" i="9"/>
  <c r="H20" i="9"/>
  <c r="H33" i="9"/>
  <c r="H39" i="9"/>
  <c r="H7" i="9"/>
  <c r="H92" i="9"/>
  <c r="H293" i="9"/>
  <c r="H47" i="9"/>
  <c r="H55" i="9"/>
  <c r="H53" i="9"/>
  <c r="K293" i="9"/>
  <c r="K47" i="9"/>
  <c r="K55" i="9"/>
  <c r="K53" i="9"/>
  <c r="K76" i="9"/>
  <c r="K74" i="9"/>
  <c r="K75" i="9"/>
  <c r="K17" i="9"/>
  <c r="K37" i="9"/>
  <c r="K50" i="9"/>
  <c r="K10" i="9"/>
  <c r="K20" i="9"/>
  <c r="K33" i="9"/>
  <c r="K39" i="9"/>
  <c r="K7" i="9"/>
  <c r="K92" i="9"/>
  <c r="D118" i="10"/>
  <c r="E118" i="10"/>
  <c r="D119" i="10"/>
  <c r="E119" i="10"/>
  <c r="D120" i="10"/>
  <c r="E120" i="10"/>
  <c r="D121" i="10"/>
  <c r="E121" i="10"/>
  <c r="D122" i="10"/>
  <c r="E122" i="10"/>
  <c r="D123" i="10"/>
  <c r="E123" i="10"/>
  <c r="D112" i="10"/>
  <c r="E112" i="10"/>
  <c r="D113" i="10"/>
  <c r="E113" i="10"/>
  <c r="D114" i="10"/>
  <c r="E114" i="10"/>
  <c r="D115" i="10"/>
  <c r="E115" i="10"/>
  <c r="D116" i="10"/>
  <c r="E116" i="10"/>
  <c r="D117" i="10"/>
  <c r="E117" i="10"/>
  <c r="K61" i="9"/>
  <c r="K44" i="9"/>
  <c r="K57" i="9"/>
  <c r="K58" i="9"/>
  <c r="K22" i="9"/>
  <c r="K32" i="9"/>
  <c r="K73" i="9"/>
  <c r="K60" i="9"/>
  <c r="K40" i="9"/>
  <c r="K52" i="9"/>
  <c r="K77" i="9"/>
  <c r="K78" i="9"/>
  <c r="K79" i="9"/>
  <c r="K80" i="9"/>
  <c r="D105" i="10"/>
  <c r="E105" i="10"/>
  <c r="D106" i="10"/>
  <c r="E106" i="10"/>
  <c r="D107" i="10"/>
  <c r="E107" i="10"/>
  <c r="D104" i="10"/>
  <c r="E104" i="10"/>
  <c r="D108" i="10"/>
  <c r="E108" i="10"/>
  <c r="D109" i="10"/>
  <c r="E109" i="10"/>
  <c r="D110" i="10"/>
  <c r="E110" i="10"/>
  <c r="D111" i="10"/>
  <c r="E111" i="10"/>
  <c r="D103" i="10"/>
  <c r="E103" i="10"/>
  <c r="D102" i="10"/>
  <c r="E102" i="10"/>
  <c r="D101" i="10"/>
  <c r="E101" i="10"/>
  <c r="D100" i="10"/>
  <c r="E100" i="10"/>
  <c r="D99" i="10"/>
  <c r="E99" i="10"/>
  <c r="D98" i="10"/>
  <c r="E98" i="10"/>
  <c r="D97" i="10"/>
  <c r="E97" i="10"/>
  <c r="D96" i="10"/>
  <c r="E96" i="10"/>
  <c r="D95" i="10"/>
  <c r="E95" i="10"/>
  <c r="D93" i="10"/>
  <c r="E93" i="10"/>
  <c r="D94" i="10"/>
  <c r="E94" i="10"/>
  <c r="D92" i="10"/>
  <c r="E92" i="10"/>
  <c r="D90" i="10"/>
  <c r="E90" i="10"/>
  <c r="D91" i="10"/>
  <c r="E91" i="10"/>
  <c r="D86" i="10"/>
  <c r="E86" i="10"/>
  <c r="D87" i="10"/>
  <c r="E87" i="10"/>
  <c r="D88" i="10"/>
  <c r="E88" i="10"/>
  <c r="D89" i="10"/>
  <c r="E89" i="10"/>
  <c r="D83" i="10"/>
  <c r="E83" i="10"/>
  <c r="D84" i="10"/>
  <c r="E84" i="10"/>
  <c r="D85" i="10"/>
  <c r="E85" i="10"/>
  <c r="D81" i="10"/>
  <c r="E81" i="10"/>
  <c r="D82" i="10"/>
  <c r="E82" i="10"/>
  <c r="D80" i="10"/>
  <c r="E80" i="10"/>
  <c r="D79" i="10"/>
  <c r="E79" i="10"/>
  <c r="D78" i="10"/>
  <c r="E78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51" i="10"/>
  <c r="D52" i="10"/>
  <c r="D53" i="10"/>
  <c r="D54" i="10"/>
  <c r="D55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2" i="10"/>
  <c r="E76" i="10"/>
  <c r="E77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5" i="10"/>
  <c r="E54" i="10"/>
  <c r="E53" i="10"/>
  <c r="E52" i="10"/>
  <c r="E51" i="10"/>
  <c r="E40" i="10"/>
  <c r="E39" i="10"/>
  <c r="E23" i="10"/>
  <c r="G6" i="14"/>
  <c r="G5" i="14"/>
  <c r="G4" i="14"/>
  <c r="G3" i="14"/>
  <c r="G2" i="14"/>
  <c r="E2" i="13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2" i="10"/>
  <c r="U141" i="2"/>
  <c r="U144" i="2"/>
  <c r="U153" i="2"/>
  <c r="U156" i="2"/>
  <c r="U158" i="2"/>
  <c r="U159" i="2"/>
  <c r="A15" i="11"/>
  <c r="A27" i="11" s="1"/>
  <c r="A39" i="11" s="1"/>
  <c r="A51" i="11" s="1"/>
  <c r="A63" i="11" s="1"/>
  <c r="A75" i="11" s="1"/>
  <c r="A16" i="11"/>
  <c r="A28" i="11" s="1"/>
  <c r="A40" i="11" s="1"/>
  <c r="A52" i="11" s="1"/>
  <c r="A64" i="11" s="1"/>
  <c r="A76" i="11" s="1"/>
  <c r="A17" i="11"/>
  <c r="A29" i="11" s="1"/>
  <c r="A41" i="11" s="1"/>
  <c r="A53" i="11" s="1"/>
  <c r="A65" i="11" s="1"/>
  <c r="A77" i="11" s="1"/>
  <c r="A18" i="11"/>
  <c r="A30" i="11" s="1"/>
  <c r="A42" i="11" s="1"/>
  <c r="A54" i="11" s="1"/>
  <c r="A66" i="11" s="1"/>
  <c r="A78" i="11" s="1"/>
  <c r="A19" i="11"/>
  <c r="A31" i="11" s="1"/>
  <c r="A43" i="11" s="1"/>
  <c r="A55" i="11" s="1"/>
  <c r="A67" i="11" s="1"/>
  <c r="A79" i="11" s="1"/>
  <c r="A20" i="11"/>
  <c r="A32" i="11" s="1"/>
  <c r="A44" i="11" s="1"/>
  <c r="A56" i="11" s="1"/>
  <c r="A68" i="11" s="1"/>
  <c r="A80" i="11" s="1"/>
  <c r="A21" i="11"/>
  <c r="A33" i="11" s="1"/>
  <c r="A45" i="11" s="1"/>
  <c r="A57" i="11" s="1"/>
  <c r="A69" i="11" s="1"/>
  <c r="A81" i="11" s="1"/>
  <c r="A22" i="11"/>
  <c r="A34" i="11" s="1"/>
  <c r="A46" i="11" s="1"/>
  <c r="A58" i="11" s="1"/>
  <c r="A70" i="11" s="1"/>
  <c r="A82" i="11" s="1"/>
  <c r="A23" i="11"/>
  <c r="A35" i="11" s="1"/>
  <c r="A47" i="11" s="1"/>
  <c r="A59" i="11" s="1"/>
  <c r="A71" i="11" s="1"/>
  <c r="A83" i="11" s="1"/>
  <c r="A24" i="11"/>
  <c r="A36" i="11" s="1"/>
  <c r="A48" i="11" s="1"/>
  <c r="A60" i="11" s="1"/>
  <c r="A72" i="11" s="1"/>
  <c r="A84" i="11" s="1"/>
  <c r="A25" i="11"/>
  <c r="A37" i="11" s="1"/>
  <c r="A49" i="11" s="1"/>
  <c r="A61" i="11" s="1"/>
  <c r="A73" i="11" s="1"/>
  <c r="A85" i="11" s="1"/>
  <c r="A14" i="11"/>
  <c r="A26" i="11" s="1"/>
  <c r="A38" i="11" s="1"/>
  <c r="A50" i="11" s="1"/>
  <c r="A62" i="11" s="1"/>
  <c r="A74" i="11" s="1"/>
  <c r="H2" i="9"/>
  <c r="H21" i="9"/>
  <c r="H34" i="9"/>
  <c r="H19" i="9"/>
  <c r="H23" i="9"/>
  <c r="H24" i="9"/>
  <c r="H27" i="9"/>
  <c r="H28" i="9"/>
  <c r="H107" i="9"/>
  <c r="H31" i="9"/>
  <c r="H942" i="9"/>
  <c r="H85" i="9"/>
  <c r="H97" i="9"/>
  <c r="H101" i="9"/>
  <c r="H102" i="9"/>
  <c r="H98" i="9"/>
  <c r="H99" i="9"/>
  <c r="H111" i="9"/>
  <c r="H112" i="9"/>
  <c r="H113" i="9"/>
  <c r="H114" i="9"/>
  <c r="H108" i="9"/>
  <c r="H66" i="9"/>
  <c r="H71" i="9"/>
  <c r="H56" i="9"/>
  <c r="H59" i="9"/>
  <c r="H67" i="9"/>
  <c r="H404" i="9"/>
  <c r="H405" i="9"/>
  <c r="H51" i="9"/>
  <c r="H355" i="9"/>
  <c r="H356" i="9"/>
  <c r="H357" i="9"/>
  <c r="H90" i="9"/>
  <c r="H354" i="9"/>
  <c r="H387" i="9"/>
  <c r="H371" i="9"/>
  <c r="H372" i="9"/>
  <c r="H374" i="9"/>
  <c r="H373" i="9"/>
  <c r="H376" i="9"/>
  <c r="H375" i="9"/>
  <c r="H378" i="9"/>
  <c r="H377" i="9"/>
  <c r="H380" i="9"/>
  <c r="H379" i="9"/>
  <c r="H308" i="9"/>
  <c r="H62" i="9"/>
  <c r="H303" i="9"/>
  <c r="H307" i="9"/>
  <c r="H309" i="9"/>
  <c r="H458" i="9"/>
  <c r="H459" i="9"/>
  <c r="H460" i="9"/>
  <c r="H146" i="9"/>
  <c r="H454" i="9"/>
  <c r="H310" i="9"/>
  <c r="H531" i="9"/>
  <c r="H311" i="9"/>
  <c r="H533" i="9"/>
  <c r="H534" i="9"/>
  <c r="H358" i="9"/>
  <c r="H359" i="9"/>
  <c r="H361" i="9"/>
  <c r="H406" i="9"/>
  <c r="H363" i="9"/>
  <c r="H362" i="9"/>
  <c r="H360" i="9"/>
  <c r="H367" i="9"/>
  <c r="H368" i="9"/>
  <c r="H383" i="9"/>
  <c r="H520" i="9"/>
  <c r="H399" i="9"/>
  <c r="H400" i="9"/>
  <c r="H401" i="9"/>
  <c r="H402" i="9"/>
  <c r="H403" i="9"/>
  <c r="H365" i="9"/>
  <c r="H366" i="9"/>
  <c r="H30" i="9"/>
  <c r="H105" i="9"/>
  <c r="H420" i="9"/>
  <c r="H385" i="9"/>
  <c r="H172" i="9"/>
  <c r="H418" i="9"/>
  <c r="H417" i="9"/>
  <c r="H419" i="9"/>
  <c r="H416" i="9"/>
  <c r="H384" i="9"/>
  <c r="H434" i="9"/>
  <c r="H435" i="9"/>
  <c r="H441" i="9"/>
  <c r="H468" i="9"/>
  <c r="H469" i="9"/>
  <c r="H472" i="9"/>
  <c r="H473" i="9"/>
  <c r="H483" i="9"/>
  <c r="H485" i="9"/>
  <c r="H508" i="9"/>
  <c r="H519" i="9"/>
  <c r="H521" i="9"/>
  <c r="H475" i="9"/>
  <c r="H43" i="9"/>
  <c r="H38" i="9"/>
  <c r="H63" i="9"/>
  <c r="H84" i="9"/>
  <c r="H64" i="9"/>
  <c r="H65" i="9"/>
  <c r="H86" i="9"/>
  <c r="H382" i="9"/>
  <c r="H381" i="9"/>
  <c r="H104" i="9"/>
  <c r="H386" i="9"/>
  <c r="H413" i="9"/>
  <c r="H120" i="9"/>
  <c r="H414" i="9"/>
  <c r="H442" i="9"/>
  <c r="H440" i="9"/>
  <c r="H432" i="9"/>
  <c r="H467" i="9"/>
  <c r="H527" i="9"/>
  <c r="H529" i="9"/>
  <c r="H541" i="9"/>
  <c r="H415" i="9"/>
  <c r="H553" i="9"/>
  <c r="H542" i="9"/>
  <c r="H369" i="9"/>
  <c r="H424" i="9"/>
  <c r="H421" i="9"/>
  <c r="H423" i="9"/>
  <c r="H422" i="9"/>
  <c r="H436" i="9"/>
  <c r="H471" i="9"/>
  <c r="H470" i="9"/>
  <c r="H474" i="9"/>
  <c r="H484" i="9"/>
  <c r="H488" i="9"/>
  <c r="H513" i="9"/>
  <c r="H370" i="9"/>
  <c r="H322" i="9"/>
  <c r="H593" i="9"/>
  <c r="H499" i="9"/>
  <c r="H318" i="9"/>
  <c r="H494" i="9"/>
  <c r="H552" i="9"/>
  <c r="H444" i="9"/>
  <c r="H507" i="9"/>
  <c r="H314" i="9"/>
  <c r="H495" i="9"/>
  <c r="H317" i="9"/>
  <c r="H548" i="9"/>
  <c r="H594" i="9"/>
  <c r="H343" i="9"/>
  <c r="H599" i="9"/>
  <c r="H346" i="9"/>
  <c r="H395" i="9"/>
  <c r="H390" i="9"/>
  <c r="H545" i="9"/>
  <c r="H600" i="9"/>
  <c r="H595" i="9"/>
  <c r="H336" i="9"/>
  <c r="H547" i="9"/>
  <c r="H397" i="9"/>
  <c r="H316" i="9"/>
  <c r="H321" i="9"/>
  <c r="H41" i="9"/>
  <c r="H506" i="9"/>
  <c r="H448" i="9"/>
  <c r="H497" i="9"/>
  <c r="H447" i="9"/>
  <c r="H601" i="9"/>
  <c r="H452" i="9"/>
  <c r="H388" i="9"/>
  <c r="H449" i="9"/>
  <c r="H393" i="9"/>
  <c r="H496" i="9"/>
  <c r="H446" i="9"/>
  <c r="H392" i="9"/>
  <c r="H492" i="9"/>
  <c r="H445" i="9"/>
  <c r="H345" i="9"/>
  <c r="H543" i="9"/>
  <c r="H338" i="9"/>
  <c r="H602" i="9"/>
  <c r="H550" i="9"/>
  <c r="H546" i="9"/>
  <c r="H597" i="9"/>
  <c r="H451" i="9"/>
  <c r="H493" i="9"/>
  <c r="H551" i="9"/>
  <c r="H389" i="9"/>
  <c r="H320" i="9"/>
  <c r="H394" i="9"/>
  <c r="H453" i="9"/>
  <c r="H391" i="9"/>
  <c r="H544" i="9"/>
  <c r="H341" i="9"/>
  <c r="H312" i="9"/>
  <c r="H342" i="9"/>
  <c r="H596" i="9"/>
  <c r="H313" i="9"/>
  <c r="H396" i="9"/>
  <c r="H498" i="9"/>
  <c r="H347" i="9"/>
  <c r="H598" i="9"/>
  <c r="H337" i="9"/>
  <c r="H549" i="9"/>
  <c r="H450" i="9"/>
  <c r="H339" i="9"/>
  <c r="H522" i="9"/>
  <c r="H523" i="9"/>
  <c r="H528" i="9"/>
  <c r="H559" i="9"/>
  <c r="H555" i="9"/>
  <c r="H557" i="9"/>
  <c r="H556" i="9"/>
  <c r="H558" i="9"/>
  <c r="H426" i="9"/>
  <c r="H427" i="9"/>
  <c r="H428" i="9"/>
  <c r="H429" i="9"/>
  <c r="H430" i="9"/>
  <c r="H425" i="9"/>
  <c r="H437" i="9"/>
  <c r="H455" i="9"/>
  <c r="H438" i="9"/>
  <c r="H439" i="9"/>
  <c r="H456" i="9"/>
  <c r="H457" i="9"/>
  <c r="H461" i="9"/>
  <c r="H477" i="9"/>
  <c r="H480" i="9"/>
  <c r="H479" i="9"/>
  <c r="H478" i="9"/>
  <c r="H486" i="9"/>
  <c r="H487" i="9"/>
  <c r="H490" i="9"/>
  <c r="H491" i="9"/>
  <c r="H500" i="9"/>
  <c r="H481" i="9"/>
  <c r="H482" i="9"/>
  <c r="H476" i="9"/>
  <c r="H4" i="9"/>
  <c r="H5" i="9"/>
  <c r="H46" i="9"/>
  <c r="H48" i="9"/>
  <c r="H49" i="9"/>
  <c r="H89" i="9"/>
  <c r="H106" i="9"/>
  <c r="H124" i="9"/>
  <c r="H127" i="9"/>
  <c r="H514" i="9"/>
  <c r="H515" i="9"/>
  <c r="H518" i="9"/>
  <c r="H516" i="9"/>
  <c r="H517" i="9"/>
  <c r="H524" i="9"/>
  <c r="H525" i="9"/>
  <c r="H526" i="9"/>
  <c r="H532" i="9"/>
  <c r="H535" i="9"/>
  <c r="H151" i="9"/>
  <c r="H162" i="9"/>
  <c r="H138" i="9"/>
  <c r="H148" i="9"/>
  <c r="H171" i="9"/>
  <c r="H168" i="9"/>
  <c r="H161" i="9"/>
  <c r="H561" i="9"/>
  <c r="H562" i="9"/>
  <c r="H563" i="9"/>
  <c r="H564" i="9"/>
  <c r="H565" i="9"/>
  <c r="H566" i="9"/>
  <c r="H560" i="9"/>
  <c r="H570" i="9"/>
  <c r="H792" i="9"/>
  <c r="H798" i="9"/>
  <c r="H859" i="9"/>
  <c r="H571" i="9"/>
  <c r="H583" i="9"/>
  <c r="H584" i="9"/>
  <c r="H585" i="9"/>
  <c r="H573" i="9"/>
  <c r="H574" i="9"/>
  <c r="H575" i="9"/>
  <c r="H576" i="9"/>
  <c r="H578" i="9"/>
  <c r="H577" i="9"/>
  <c r="H579" i="9"/>
  <c r="H206" i="9"/>
  <c r="H580" i="9"/>
  <c r="H581" i="9"/>
  <c r="H582" i="9"/>
  <c r="H156" i="9"/>
  <c r="H158" i="9"/>
  <c r="H205" i="9"/>
  <c r="H586" i="9"/>
  <c r="H592" i="9"/>
  <c r="H554" i="9"/>
  <c r="H605" i="9"/>
  <c r="H607" i="9"/>
  <c r="H606" i="9"/>
  <c r="H608" i="9"/>
  <c r="H12" i="9"/>
  <c r="H87" i="9"/>
  <c r="H130" i="9"/>
  <c r="H190" i="9"/>
  <c r="H134" i="9"/>
  <c r="H160" i="9"/>
  <c r="H155" i="9"/>
  <c r="H197" i="9"/>
  <c r="H186" i="9"/>
  <c r="H147" i="9"/>
  <c r="H164" i="9"/>
  <c r="H132" i="9"/>
  <c r="H159" i="9"/>
  <c r="H201" i="9"/>
  <c r="H193" i="9"/>
  <c r="H131" i="9"/>
  <c r="H431" i="9"/>
  <c r="H530" i="9"/>
  <c r="H674" i="9"/>
  <c r="H82" i="9"/>
  <c r="H328" i="9"/>
  <c r="H568" i="9"/>
  <c r="H349" i="9"/>
  <c r="H353" i="9"/>
  <c r="H352" i="9"/>
  <c r="H351" i="9"/>
  <c r="H350" i="9"/>
  <c r="H407" i="9"/>
  <c r="H569" i="9"/>
  <c r="H335" i="9"/>
  <c r="H115" i="9"/>
  <c r="H35" i="9"/>
  <c r="H103" i="9"/>
  <c r="H94" i="9"/>
  <c r="H133" i="9"/>
  <c r="H81" i="9"/>
  <c r="H116" i="9"/>
  <c r="H136" i="9"/>
  <c r="H180" i="9"/>
  <c r="H340" i="9"/>
  <c r="H344" i="9"/>
  <c r="H348" i="9"/>
  <c r="H69" i="9"/>
  <c r="H70" i="9"/>
  <c r="H72" i="9"/>
  <c r="H119" i="9"/>
  <c r="H705" i="9"/>
  <c r="H9" i="9"/>
  <c r="H18" i="9"/>
  <c r="H8" i="9"/>
  <c r="H15" i="9"/>
  <c r="H11" i="9"/>
  <c r="H175" i="9"/>
  <c r="H176" i="9"/>
  <c r="H225" i="9"/>
  <c r="H202" i="9"/>
  <c r="H166" i="9"/>
  <c r="H203" i="9"/>
  <c r="H178" i="9"/>
  <c r="H284" i="9"/>
  <c r="H223" i="9"/>
  <c r="H179" i="9"/>
  <c r="H167" i="9"/>
  <c r="H207" i="9"/>
  <c r="H13" i="9"/>
  <c r="L511" i="9"/>
  <c r="H511" i="9" s="1"/>
  <c r="L510" i="9"/>
  <c r="H510" i="9" s="1"/>
  <c r="L512" i="9"/>
  <c r="H512" i="9" s="1"/>
  <c r="L509" i="9"/>
  <c r="H509" i="9" s="1"/>
  <c r="J306" i="9"/>
  <c r="I306" i="9" s="1"/>
  <c r="J621" i="9"/>
  <c r="I621" i="9" s="1"/>
  <c r="J572" i="9"/>
  <c r="I572" i="9" s="1"/>
  <c r="T65" i="4"/>
  <c r="I29" i="9"/>
  <c r="H29" i="9"/>
  <c r="H654" i="9"/>
  <c r="G654" i="9" s="1"/>
  <c r="H655" i="9"/>
  <c r="G655" i="9" s="1"/>
  <c r="H661" i="9"/>
  <c r="G661" i="9" s="1"/>
  <c r="H681" i="9"/>
  <c r="G681" i="9" s="1"/>
  <c r="H682" i="9"/>
  <c r="G682" i="9" s="1"/>
  <c r="H685" i="9"/>
  <c r="G685" i="9" s="1"/>
  <c r="H771" i="9"/>
  <c r="G771" i="9" s="1"/>
  <c r="H684" i="9"/>
  <c r="G684" i="9" s="1"/>
  <c r="H686" i="9"/>
  <c r="G686" i="9" s="1"/>
  <c r="H657" i="9"/>
  <c r="G657" i="9" s="1"/>
  <c r="H660" i="9"/>
  <c r="G660" i="9" s="1"/>
  <c r="H658" i="9"/>
  <c r="G658" i="9" s="1"/>
  <c r="H659" i="9"/>
  <c r="G659" i="9" s="1"/>
  <c r="H249" i="9"/>
  <c r="G249" i="9" s="1"/>
  <c r="H688" i="9"/>
  <c r="G688" i="9" s="1"/>
  <c r="H182" i="9"/>
  <c r="G182" i="9" s="1"/>
  <c r="H195" i="9"/>
  <c r="G195" i="9" s="1"/>
  <c r="H200" i="9"/>
  <c r="G200" i="9" s="1"/>
  <c r="H181" i="9"/>
  <c r="G181" i="9" s="1"/>
  <c r="H218" i="9"/>
  <c r="G218" i="9" s="1"/>
  <c r="H185" i="9"/>
  <c r="G185" i="9" s="1"/>
  <c r="H224" i="9"/>
  <c r="G224" i="9" s="1"/>
  <c r="H242" i="9"/>
  <c r="G242" i="9" s="1"/>
  <c r="H245" i="9"/>
  <c r="G245" i="9" s="1"/>
  <c r="H243" i="9"/>
  <c r="G243" i="9" s="1"/>
  <c r="H244" i="9"/>
  <c r="G244" i="9" s="1"/>
  <c r="H246" i="9"/>
  <c r="G246" i="9" s="1"/>
  <c r="H689" i="9"/>
  <c r="G689" i="9" s="1"/>
  <c r="H691" i="9"/>
  <c r="G691" i="9" s="1"/>
  <c r="H208" i="9"/>
  <c r="G208" i="9" s="1"/>
  <c r="H690" i="9"/>
  <c r="G690" i="9" s="1"/>
  <c r="H692" i="9"/>
  <c r="G692" i="9" s="1"/>
  <c r="H220" i="9"/>
  <c r="G220" i="9" s="1"/>
  <c r="H213" i="9"/>
  <c r="G213" i="9" s="1"/>
  <c r="H235" i="9"/>
  <c r="G235" i="9" s="1"/>
  <c r="H209" i="9"/>
  <c r="G209" i="9" s="1"/>
  <c r="H210" i="9"/>
  <c r="H211" i="9"/>
  <c r="G211" i="9" s="1"/>
  <c r="H232" i="9"/>
  <c r="G232" i="9" s="1"/>
  <c r="H219" i="9"/>
  <c r="G219" i="9" s="1"/>
  <c r="H221" i="9"/>
  <c r="G221" i="9" s="1"/>
  <c r="H230" i="9"/>
  <c r="G230" i="9" s="1"/>
  <c r="H238" i="9"/>
  <c r="G238" i="9" s="1"/>
  <c r="H239" i="9"/>
  <c r="G239" i="9" s="1"/>
  <c r="H231" i="9"/>
  <c r="G231" i="9" s="1"/>
  <c r="H226" i="9"/>
  <c r="G226" i="9" s="1"/>
  <c r="H259" i="9"/>
  <c r="G259" i="9" s="1"/>
  <c r="H228" i="9"/>
  <c r="G228" i="9" s="1"/>
  <c r="H227" i="9"/>
  <c r="G227" i="9" s="1"/>
  <c r="H282" i="9"/>
  <c r="G282" i="9" s="1"/>
  <c r="H298" i="9"/>
  <c r="G298" i="9" s="1"/>
  <c r="H297" i="9"/>
  <c r="G297" i="9" s="1"/>
  <c r="H269" i="9"/>
  <c r="G269" i="9" s="1"/>
  <c r="H676" i="9"/>
  <c r="G676" i="9" s="1"/>
  <c r="H262" i="9"/>
  <c r="G262" i="9" s="1"/>
  <c r="H270" i="9"/>
  <c r="G270" i="9" s="1"/>
  <c r="H240" i="9"/>
  <c r="G240" i="9" s="1"/>
  <c r="H296" i="9"/>
  <c r="G296" i="9" s="1"/>
  <c r="H294" i="9"/>
  <c r="G294" i="9" s="1"/>
  <c r="H283" i="9"/>
  <c r="G283" i="9" s="1"/>
  <c r="H280" i="9"/>
  <c r="G280" i="9" s="1"/>
  <c r="H267" i="9"/>
  <c r="G267" i="9" s="1"/>
  <c r="H222" i="9"/>
  <c r="G222" i="9" s="1"/>
  <c r="H215" i="9"/>
  <c r="G215" i="9" s="1"/>
  <c r="H214" i="9"/>
  <c r="G214" i="9" s="1"/>
  <c r="H261" i="9"/>
  <c r="G261" i="9" s="1"/>
  <c r="H258" i="9"/>
  <c r="G258" i="9" s="1"/>
  <c r="H212" i="9"/>
  <c r="G212" i="9" s="1"/>
  <c r="H236" i="9"/>
  <c r="G236" i="9" s="1"/>
  <c r="H217" i="9"/>
  <c r="G217" i="9" s="1"/>
  <c r="H237" i="9"/>
  <c r="G237" i="9" s="1"/>
  <c r="H276" i="9"/>
  <c r="G276" i="9" s="1"/>
  <c r="H194" i="9"/>
  <c r="G194" i="9" s="1"/>
  <c r="H325" i="9"/>
  <c r="G325" i="9" s="1"/>
  <c r="H271" i="9"/>
  <c r="G271" i="9" s="1"/>
  <c r="H247" i="9"/>
  <c r="H248" i="9"/>
  <c r="G248" i="9" s="1"/>
  <c r="H257" i="9"/>
  <c r="G257" i="9" s="1"/>
  <c r="H327" i="9"/>
  <c r="G327" i="9" s="1"/>
  <c r="H252" i="9"/>
  <c r="G252" i="9" s="1"/>
  <c r="H272" i="9"/>
  <c r="G272" i="9" s="1"/>
  <c r="H273" i="9"/>
  <c r="G273" i="9" s="1"/>
  <c r="H693" i="9"/>
  <c r="G693" i="9" s="1"/>
  <c r="H699" i="9"/>
  <c r="G699" i="9" s="1"/>
  <c r="H772" i="9"/>
  <c r="G772" i="9" s="1"/>
  <c r="H695" i="9"/>
  <c r="G695" i="9" s="1"/>
  <c r="H807" i="9"/>
  <c r="G807" i="9" s="1"/>
  <c r="H701" i="9"/>
  <c r="G701" i="9" s="1"/>
  <c r="H698" i="9"/>
  <c r="G698" i="9" s="1"/>
  <c r="H696" i="9"/>
  <c r="G696" i="9" s="1"/>
  <c r="H793" i="9"/>
  <c r="G793" i="9" s="1"/>
  <c r="H287" i="9"/>
  <c r="G287" i="9" s="1"/>
  <c r="H286" i="9"/>
  <c r="G286" i="9" s="1"/>
  <c r="H675" i="9"/>
  <c r="G675" i="9" s="1"/>
  <c r="H704" i="9"/>
  <c r="G704" i="9" s="1"/>
  <c r="H260" i="9"/>
  <c r="G260" i="9" s="1"/>
  <c r="H265" i="9"/>
  <c r="G265" i="9" s="1"/>
  <c r="H266" i="9"/>
  <c r="G266" i="9" s="1"/>
  <c r="H278" i="9"/>
  <c r="G278" i="9" s="1"/>
  <c r="H279" i="9"/>
  <c r="G279" i="9" s="1"/>
  <c r="H268" i="9"/>
  <c r="G268" i="9" s="1"/>
  <c r="H274" i="9"/>
  <c r="G274" i="9" s="1"/>
  <c r="H275" i="9"/>
  <c r="G275" i="9" s="1"/>
  <c r="H656" i="9"/>
  <c r="G656" i="9" s="1"/>
  <c r="H683" i="9"/>
  <c r="G683" i="9" s="1"/>
  <c r="H707" i="9"/>
  <c r="G707" i="9" s="1"/>
  <c r="H708" i="9"/>
  <c r="G708" i="9" s="1"/>
  <c r="H709" i="9"/>
  <c r="G709" i="9" s="1"/>
  <c r="H710" i="9"/>
  <c r="G710" i="9" s="1"/>
  <c r="H711" i="9"/>
  <c r="G711" i="9" s="1"/>
  <c r="H712" i="9"/>
  <c r="G712" i="9" s="1"/>
  <c r="H713" i="9"/>
  <c r="G713" i="9" s="1"/>
  <c r="H714" i="9"/>
  <c r="G714" i="9" s="1"/>
  <c r="H715" i="9"/>
  <c r="G715" i="9" s="1"/>
  <c r="H716" i="9"/>
  <c r="G716" i="9" s="1"/>
  <c r="H717" i="9"/>
  <c r="G717" i="9" s="1"/>
  <c r="H722" i="9"/>
  <c r="G722" i="9" s="1"/>
  <c r="H723" i="9"/>
  <c r="G723" i="9" s="1"/>
  <c r="H832" i="9"/>
  <c r="G832" i="9" s="1"/>
  <c r="H757" i="9"/>
  <c r="G757" i="9" s="1"/>
  <c r="H758" i="9"/>
  <c r="G758" i="9" s="1"/>
  <c r="H754" i="9"/>
  <c r="G754" i="9" s="1"/>
  <c r="H433" i="9"/>
  <c r="G433" i="9" s="1"/>
  <c r="H759" i="9"/>
  <c r="G759" i="9" s="1"/>
  <c r="H762" i="9"/>
  <c r="G762" i="9" s="1"/>
  <c r="H761" i="9"/>
  <c r="G761" i="9" s="1"/>
  <c r="H764" i="9"/>
  <c r="G764" i="9" s="1"/>
  <c r="H767" i="9"/>
  <c r="G767" i="9" s="1"/>
  <c r="H763" i="9"/>
  <c r="G763" i="9" s="1"/>
  <c r="H765" i="9"/>
  <c r="G765" i="9" s="1"/>
  <c r="H766" i="9"/>
  <c r="G766" i="9" s="1"/>
  <c r="H779" i="9"/>
  <c r="G779" i="9" s="1"/>
  <c r="H768" i="9"/>
  <c r="G768" i="9" s="1"/>
  <c r="H775" i="9"/>
  <c r="G775" i="9" s="1"/>
  <c r="H412" i="9"/>
  <c r="G412" i="9" s="1"/>
  <c r="H697" i="9"/>
  <c r="G697" i="9" s="1"/>
  <c r="H700" i="9"/>
  <c r="G700" i="9" s="1"/>
  <c r="H780" i="9"/>
  <c r="G780" i="9" s="1"/>
  <c r="H774" i="9"/>
  <c r="G774" i="9" s="1"/>
  <c r="H785" i="9"/>
  <c r="G785" i="9" s="1"/>
  <c r="H567" i="9"/>
  <c r="G567" i="9" s="1"/>
  <c r="H786" i="9"/>
  <c r="G786" i="9" s="1"/>
  <c r="H756" i="9"/>
  <c r="G756" i="9" s="1"/>
  <c r="H770" i="9"/>
  <c r="G770" i="9" s="1"/>
  <c r="H769" i="9"/>
  <c r="G769" i="9" s="1"/>
  <c r="H773" i="9"/>
  <c r="G773" i="9" s="1"/>
  <c r="H782" i="9"/>
  <c r="G782" i="9" s="1"/>
  <c r="H787" i="9"/>
  <c r="G787" i="9" s="1"/>
  <c r="H776" i="9"/>
  <c r="G776" i="9" s="1"/>
  <c r="H789" i="9"/>
  <c r="G789" i="9" s="1"/>
  <c r="H799" i="9"/>
  <c r="G799" i="9" s="1"/>
  <c r="H791" i="9"/>
  <c r="G791" i="9" s="1"/>
  <c r="H790" i="9"/>
  <c r="G790" i="9" s="1"/>
  <c r="H788" i="9"/>
  <c r="G788" i="9" s="1"/>
  <c r="H794" i="9"/>
  <c r="G794" i="9" s="1"/>
  <c r="H802" i="9"/>
  <c r="G802" i="9" s="1"/>
  <c r="H816" i="9"/>
  <c r="G816" i="9" s="1"/>
  <c r="H783" i="9"/>
  <c r="G783" i="9" s="1"/>
  <c r="G163" i="9"/>
  <c r="H8" i="23"/>
  <c r="H3" i="23"/>
  <c r="H6" i="23"/>
  <c r="I5" i="23"/>
  <c r="J5" i="23" s="1"/>
  <c r="I6" i="23"/>
  <c r="J6" i="23" s="1"/>
  <c r="H778" i="9"/>
  <c r="G778" i="9" s="1"/>
  <c r="H805" i="9"/>
  <c r="G805" i="9" s="1"/>
  <c r="H806" i="9"/>
  <c r="G806" i="9" s="1"/>
  <c r="H687" i="9"/>
  <c r="G687" i="9" s="1"/>
  <c r="H808" i="9"/>
  <c r="G808" i="9" s="1"/>
  <c r="H815" i="9"/>
  <c r="G815" i="9" s="1"/>
  <c r="H836" i="9"/>
  <c r="G836" i="9" s="1"/>
  <c r="H837" i="9"/>
  <c r="G837" i="9" s="1"/>
  <c r="H838" i="9"/>
  <c r="G838" i="9" s="1"/>
  <c r="H839" i="9"/>
  <c r="G839" i="9" s="1"/>
  <c r="H840" i="9"/>
  <c r="G840" i="9" s="1"/>
  <c r="H841" i="9"/>
  <c r="G841" i="9" s="1"/>
  <c r="H842" i="9"/>
  <c r="G842" i="9" s="1"/>
  <c r="H843" i="9"/>
  <c r="G843" i="9" s="1"/>
  <c r="H845" i="9"/>
  <c r="G845" i="9" s="1"/>
  <c r="H844" i="9"/>
  <c r="G844" i="9" s="1"/>
  <c r="H848" i="9"/>
  <c r="G848" i="9" s="1"/>
  <c r="H849" i="9"/>
  <c r="G849" i="9" s="1"/>
  <c r="H847" i="9"/>
  <c r="G847" i="9" s="1"/>
  <c r="H846" i="9"/>
  <c r="G846" i="9" s="1"/>
  <c r="F31" i="6"/>
  <c r="M100" i="2"/>
  <c r="E30" i="6"/>
  <c r="G31" i="6"/>
  <c r="T43" i="3"/>
  <c r="E31" i="6"/>
  <c r="F30" i="6"/>
  <c r="T45" i="3"/>
  <c r="M96" i="2"/>
  <c r="M97" i="2"/>
  <c r="M99" i="2"/>
  <c r="T34" i="4"/>
  <c r="G30" i="6"/>
  <c r="U83" i="2"/>
  <c r="M79" i="2" l="1"/>
  <c r="M77" i="2"/>
  <c r="M78" i="2"/>
  <c r="I3" i="23"/>
  <c r="J3" i="23" s="1"/>
  <c r="M70" i="2"/>
  <c r="M72" i="2"/>
  <c r="M73" i="2"/>
  <c r="L71" i="2"/>
  <c r="M67" i="2"/>
  <c r="M65" i="2"/>
  <c r="M64" i="2"/>
  <c r="M66" i="2"/>
  <c r="D44" i="20"/>
  <c r="A8" i="20"/>
  <c r="M21" i="2"/>
  <c r="G153" i="9"/>
  <c r="M45" i="2"/>
  <c r="M46" i="2" s="1"/>
  <c r="M58" i="2"/>
  <c r="M56" i="2"/>
  <c r="M57" i="2"/>
  <c r="M59" i="2"/>
  <c r="M60" i="2"/>
  <c r="H4" i="23"/>
  <c r="G128" i="9"/>
  <c r="M49" i="2"/>
  <c r="M50" i="2"/>
  <c r="M37" i="2"/>
  <c r="L38" i="2"/>
  <c r="L48" i="2"/>
  <c r="L31" i="2" s="1"/>
  <c r="L30" i="2" s="1"/>
  <c r="M23" i="2"/>
  <c r="M26" i="2"/>
  <c r="M28" i="2"/>
  <c r="M27" i="2"/>
  <c r="L25" i="2"/>
  <c r="I4" i="23"/>
  <c r="J4" i="23" s="1"/>
  <c r="H7" i="23"/>
  <c r="L16" i="2"/>
  <c r="M19" i="2"/>
  <c r="M18" i="2"/>
  <c r="M17" i="2"/>
  <c r="H4" i="42"/>
  <c r="N1" i="2"/>
  <c r="O936" i="9"/>
  <c r="P936" i="9" s="1"/>
  <c r="N936" i="9"/>
  <c r="O976" i="9"/>
  <c r="P976" i="9" s="1"/>
  <c r="N976" i="9"/>
  <c r="N972" i="9"/>
  <c r="N973" i="9"/>
  <c r="O974" i="9"/>
  <c r="P974" i="9" s="1"/>
  <c r="N974" i="9"/>
  <c r="N975" i="9"/>
  <c r="O972" i="9"/>
  <c r="P972" i="9" s="1"/>
  <c r="O973" i="9"/>
  <c r="P973" i="9" s="1"/>
  <c r="O975" i="9"/>
  <c r="P975" i="9" s="1"/>
  <c r="O971" i="9"/>
  <c r="P971" i="9" s="1"/>
  <c r="N963" i="9"/>
  <c r="N951" i="9"/>
  <c r="O947" i="9"/>
  <c r="P947" i="9" s="1"/>
  <c r="O945" i="9"/>
  <c r="P945" i="9" s="1"/>
  <c r="O943" i="9"/>
  <c r="P943" i="9" s="1"/>
  <c r="O938" i="9"/>
  <c r="P938" i="9" s="1"/>
  <c r="N943" i="9"/>
  <c r="O958" i="9"/>
  <c r="P958" i="9" s="1"/>
  <c r="O963" i="9"/>
  <c r="P963" i="9" s="1"/>
  <c r="N948" i="9"/>
  <c r="O944" i="9"/>
  <c r="P944" i="9" s="1"/>
  <c r="N947" i="9"/>
  <c r="N968" i="9"/>
  <c r="N908" i="9"/>
  <c r="N957" i="9"/>
  <c r="N967" i="9"/>
  <c r="O953" i="9"/>
  <c r="P953" i="9" s="1"/>
  <c r="O946" i="9"/>
  <c r="P946" i="9" s="1"/>
  <c r="O961" i="9"/>
  <c r="P961" i="9" s="1"/>
  <c r="O965" i="9"/>
  <c r="P965" i="9" s="1"/>
  <c r="N956" i="9"/>
  <c r="O970" i="9"/>
  <c r="P970" i="9" s="1"/>
  <c r="N950" i="9"/>
  <c r="N945" i="9"/>
  <c r="N969" i="9"/>
  <c r="O908" i="9"/>
  <c r="P908" i="9" s="1"/>
  <c r="O957" i="9"/>
  <c r="P957" i="9" s="1"/>
  <c r="O967" i="9"/>
  <c r="P967" i="9" s="1"/>
  <c r="O954" i="9"/>
  <c r="P954" i="9" s="1"/>
  <c r="O948" i="9"/>
  <c r="P948" i="9" s="1"/>
  <c r="N970" i="9"/>
  <c r="N964" i="9"/>
  <c r="N953" i="9"/>
  <c r="O955" i="9"/>
  <c r="P955" i="9" s="1"/>
  <c r="N952" i="9"/>
  <c r="O950" i="9"/>
  <c r="P950" i="9" s="1"/>
  <c r="N946" i="9"/>
  <c r="N971" i="9"/>
  <c r="N965" i="9"/>
  <c r="N954" i="9"/>
  <c r="O956" i="9"/>
  <c r="P956" i="9" s="1"/>
  <c r="O952" i="9"/>
  <c r="P952" i="9" s="1"/>
  <c r="O951" i="9"/>
  <c r="P951" i="9" s="1"/>
  <c r="O968" i="9"/>
  <c r="P968" i="9" s="1"/>
  <c r="N962" i="9"/>
  <c r="N961" i="9"/>
  <c r="N958" i="9"/>
  <c r="N966" i="9"/>
  <c r="O964" i="9"/>
  <c r="P964" i="9" s="1"/>
  <c r="N955" i="9"/>
  <c r="O959" i="9"/>
  <c r="P959" i="9" s="1"/>
  <c r="N938" i="9"/>
  <c r="N944" i="9"/>
  <c r="O966" i="9"/>
  <c r="P966" i="9" s="1"/>
  <c r="N959" i="9"/>
  <c r="O969" i="9"/>
  <c r="P969" i="9" s="1"/>
  <c r="O962" i="9"/>
  <c r="P962" i="9" s="1"/>
  <c r="O941" i="9"/>
  <c r="P941" i="9" s="1"/>
  <c r="O940" i="9"/>
  <c r="P940" i="9" s="1"/>
  <c r="O939" i="9"/>
  <c r="P939" i="9" s="1"/>
  <c r="N93" i="9"/>
  <c r="O93" i="9"/>
  <c r="P93" i="9" s="1"/>
  <c r="N940" i="9"/>
  <c r="N939" i="9"/>
  <c r="N941" i="9"/>
  <c r="N921" i="9"/>
  <c r="N922" i="9"/>
  <c r="O921" i="9"/>
  <c r="P921" i="9" s="1"/>
  <c r="O922" i="9"/>
  <c r="P922" i="9" s="1"/>
  <c r="N873" i="9"/>
  <c r="O873" i="9"/>
  <c r="P873" i="9" s="1"/>
  <c r="G8" i="9"/>
  <c r="D41" i="20"/>
  <c r="D42" i="20"/>
  <c r="D43" i="20"/>
  <c r="H59" i="13"/>
  <c r="F71" i="13"/>
  <c r="G73" i="13"/>
  <c r="H75" i="13"/>
  <c r="H70" i="13"/>
  <c r="H71" i="13"/>
  <c r="H72" i="13"/>
  <c r="G71" i="13"/>
  <c r="F70" i="13"/>
  <c r="G72" i="13"/>
  <c r="F72" i="13"/>
  <c r="G74" i="13"/>
  <c r="G70" i="13"/>
  <c r="F73" i="13"/>
  <c r="G75" i="13"/>
  <c r="F75" i="13"/>
  <c r="H73" i="13"/>
  <c r="H74" i="13"/>
  <c r="F74" i="13"/>
  <c r="O912" i="9"/>
  <c r="P912" i="9" s="1"/>
  <c r="O896" i="9"/>
  <c r="P896" i="9" s="1"/>
  <c r="O874" i="9"/>
  <c r="P874" i="9" s="1"/>
  <c r="O904" i="9"/>
  <c r="P904" i="9" s="1"/>
  <c r="N909" i="9"/>
  <c r="N900" i="9"/>
  <c r="O906" i="9"/>
  <c r="P906" i="9" s="1"/>
  <c r="N928" i="9"/>
  <c r="O895" i="9"/>
  <c r="P895" i="9" s="1"/>
  <c r="O822" i="9"/>
  <c r="P822" i="9" s="1"/>
  <c r="N918" i="9"/>
  <c r="N875" i="9"/>
  <c r="N949" i="9"/>
  <c r="N933" i="9"/>
  <c r="N825" i="9"/>
  <c r="O923" i="9"/>
  <c r="P923" i="9" s="1"/>
  <c r="N916" i="9"/>
  <c r="O909" i="9"/>
  <c r="P909" i="9" s="1"/>
  <c r="O900" i="9"/>
  <c r="P900" i="9" s="1"/>
  <c r="O928" i="9"/>
  <c r="P928" i="9" s="1"/>
  <c r="O918" i="9"/>
  <c r="P918" i="9" s="1"/>
  <c r="O875" i="9"/>
  <c r="P875" i="9" s="1"/>
  <c r="O901" i="9"/>
  <c r="P901" i="9" s="1"/>
  <c r="N902" i="9"/>
  <c r="N905" i="9"/>
  <c r="O919" i="9"/>
  <c r="P919" i="9" s="1"/>
  <c r="N923" i="9"/>
  <c r="O935" i="9"/>
  <c r="P935" i="9" s="1"/>
  <c r="O907" i="9"/>
  <c r="P907" i="9" s="1"/>
  <c r="N901" i="9"/>
  <c r="O916" i="9"/>
  <c r="P916" i="9" s="1"/>
  <c r="N919" i="9"/>
  <c r="N927" i="9"/>
  <c r="N931" i="9"/>
  <c r="O949" i="9"/>
  <c r="P949" i="9" s="1"/>
  <c r="N893" i="9"/>
  <c r="N920" i="9"/>
  <c r="O902" i="9"/>
  <c r="P902" i="9" s="1"/>
  <c r="O917" i="9"/>
  <c r="P917" i="9" s="1"/>
  <c r="O905" i="9"/>
  <c r="P905" i="9" s="1"/>
  <c r="O914" i="9"/>
  <c r="P914" i="9" s="1"/>
  <c r="N935" i="9"/>
  <c r="N930" i="9"/>
  <c r="N907" i="9"/>
  <c r="O930" i="9"/>
  <c r="P930" i="9" s="1"/>
  <c r="N899" i="9"/>
  <c r="N912" i="9"/>
  <c r="N925" i="9"/>
  <c r="N897" i="9"/>
  <c r="N915" i="9"/>
  <c r="N934" i="9"/>
  <c r="O893" i="9"/>
  <c r="P893" i="9" s="1"/>
  <c r="O898" i="9"/>
  <c r="P898" i="9" s="1"/>
  <c r="N874" i="9"/>
  <c r="N904" i="9"/>
  <c r="O915" i="9"/>
  <c r="P915" i="9" s="1"/>
  <c r="N924" i="9"/>
  <c r="N926" i="9"/>
  <c r="O913" i="9"/>
  <c r="P913" i="9" s="1"/>
  <c r="N929" i="9"/>
  <c r="O937" i="9"/>
  <c r="P937" i="9" s="1"/>
  <c r="O825" i="9"/>
  <c r="P825" i="9" s="1"/>
  <c r="O934" i="9"/>
  <c r="P934" i="9" s="1"/>
  <c r="O933" i="9"/>
  <c r="P933" i="9" s="1"/>
  <c r="O899" i="9"/>
  <c r="P899" i="9" s="1"/>
  <c r="O920" i="9"/>
  <c r="P920" i="9" s="1"/>
  <c r="N896" i="9"/>
  <c r="O925" i="9"/>
  <c r="P925" i="9" s="1"/>
  <c r="O897" i="9"/>
  <c r="P897" i="9" s="1"/>
  <c r="O924" i="9"/>
  <c r="P924" i="9" s="1"/>
  <c r="O926" i="9"/>
  <c r="P926" i="9" s="1"/>
  <c r="N906" i="9"/>
  <c r="O929" i="9"/>
  <c r="P929" i="9" s="1"/>
  <c r="N895" i="9"/>
  <c r="N822" i="9"/>
  <c r="N898" i="9"/>
  <c r="N917" i="9"/>
  <c r="N914" i="9"/>
  <c r="O927" i="9"/>
  <c r="P927" i="9" s="1"/>
  <c r="O931" i="9"/>
  <c r="P931" i="9" s="1"/>
  <c r="N913" i="9"/>
  <c r="N937" i="9"/>
  <c r="G595" i="9"/>
  <c r="O932" i="9"/>
  <c r="P932" i="9" s="1"/>
  <c r="N910" i="9"/>
  <c r="O960" i="9"/>
  <c r="P960" i="9" s="1"/>
  <c r="O910" i="9"/>
  <c r="P910" i="9" s="1"/>
  <c r="N960" i="9"/>
  <c r="N911" i="9"/>
  <c r="N932" i="9"/>
  <c r="O911" i="9"/>
  <c r="P911" i="9" s="1"/>
  <c r="I2" i="23"/>
  <c r="J2" i="23" s="1"/>
  <c r="G615" i="9"/>
  <c r="N891" i="9"/>
  <c r="O891" i="9"/>
  <c r="P891" i="9" s="1"/>
  <c r="G625" i="9"/>
  <c r="G551" i="9"/>
  <c r="G594" i="9"/>
  <c r="G611" i="9"/>
  <c r="G614" i="9"/>
  <c r="G612" i="9"/>
  <c r="G613" i="9"/>
  <c r="G642" i="9"/>
  <c r="G533" i="9"/>
  <c r="G165" i="9"/>
  <c r="G30" i="9"/>
  <c r="G43" i="9"/>
  <c r="G522" i="9"/>
  <c r="G557" i="9"/>
  <c r="G477" i="9"/>
  <c r="G479" i="9"/>
  <c r="G486" i="9"/>
  <c r="G487" i="9"/>
  <c r="G481" i="9"/>
  <c r="G127" i="9"/>
  <c r="G532" i="9"/>
  <c r="G162" i="9"/>
  <c r="G564" i="9"/>
  <c r="G566" i="9"/>
  <c r="G577" i="9"/>
  <c r="G579" i="9"/>
  <c r="G158" i="9"/>
  <c r="G586" i="9"/>
  <c r="G155" i="9"/>
  <c r="G147" i="9"/>
  <c r="G353" i="9"/>
  <c r="G350" i="9"/>
  <c r="G35" i="9"/>
  <c r="G247" i="9"/>
  <c r="H22" i="13"/>
  <c r="G41" i="13"/>
  <c r="G152" i="9"/>
  <c r="G537" i="9"/>
  <c r="G131" i="9"/>
  <c r="G496" i="9"/>
  <c r="G520" i="9"/>
  <c r="G600" i="9"/>
  <c r="G164" i="9"/>
  <c r="G206" i="9"/>
  <c r="G585" i="9"/>
  <c r="G523" i="9"/>
  <c r="G91" i="9"/>
  <c r="G546" i="9"/>
  <c r="H47" i="13"/>
  <c r="G65" i="13"/>
  <c r="H68" i="13"/>
  <c r="G64" i="13"/>
  <c r="H64" i="13"/>
  <c r="H66" i="13"/>
  <c r="G66" i="13"/>
  <c r="H69" i="13"/>
  <c r="F64" i="13"/>
  <c r="G69" i="13"/>
  <c r="H65" i="13"/>
  <c r="F68" i="13"/>
  <c r="H67" i="13"/>
  <c r="G67" i="13"/>
  <c r="G68" i="13"/>
  <c r="F67" i="13"/>
  <c r="F69" i="13"/>
  <c r="F65" i="13"/>
  <c r="F66" i="13"/>
  <c r="G15" i="13"/>
  <c r="H6" i="13"/>
  <c r="F47" i="13"/>
  <c r="W18" i="32"/>
  <c r="X18" i="32" s="1"/>
  <c r="F14" i="13"/>
  <c r="F40" i="13"/>
  <c r="G411" i="9"/>
  <c r="W4" i="32"/>
  <c r="X4" i="32" s="1"/>
  <c r="G630" i="9"/>
  <c r="G624" i="9"/>
  <c r="F22" i="13"/>
  <c r="H53" i="13"/>
  <c r="K10" i="32"/>
  <c r="L10" i="32" s="1"/>
  <c r="K2" i="32"/>
  <c r="L2" i="32" s="1"/>
  <c r="W8" i="32"/>
  <c r="X8" i="32" s="1"/>
  <c r="W16" i="32"/>
  <c r="X16" i="32" s="1"/>
  <c r="G505" i="9"/>
  <c r="G143" i="9"/>
  <c r="K9" i="32"/>
  <c r="L9" i="32" s="1"/>
  <c r="W9" i="32"/>
  <c r="X9" i="32" s="1"/>
  <c r="W25" i="32"/>
  <c r="X25" i="32" s="1"/>
  <c r="W2" i="32"/>
  <c r="X2" i="32" s="1"/>
  <c r="W10" i="32"/>
  <c r="X10" i="32" s="1"/>
  <c r="W26" i="32"/>
  <c r="X26" i="32" s="1"/>
  <c r="K7" i="32"/>
  <c r="L7" i="32" s="1"/>
  <c r="W3" i="32"/>
  <c r="X3" i="32" s="1"/>
  <c r="W11" i="32"/>
  <c r="X11" i="32" s="1"/>
  <c r="W19" i="32"/>
  <c r="X19" i="32" s="1"/>
  <c r="K14" i="32"/>
  <c r="L14" i="32" s="1"/>
  <c r="K6" i="32"/>
  <c r="L6" i="32" s="1"/>
  <c r="W12" i="32"/>
  <c r="X12" i="32" s="1"/>
  <c r="W20" i="32"/>
  <c r="X20" i="32" s="1"/>
  <c r="W28" i="32"/>
  <c r="X28" i="32" s="1"/>
  <c r="G281" i="9"/>
  <c r="G333" i="9"/>
  <c r="K13" i="32"/>
  <c r="L13" i="32" s="1"/>
  <c r="K5" i="32"/>
  <c r="L5" i="32" s="1"/>
  <c r="W5" i="32"/>
  <c r="X5" i="32" s="1"/>
  <c r="W13" i="32"/>
  <c r="X13" i="32" s="1"/>
  <c r="W21" i="32"/>
  <c r="X21" i="32" s="1"/>
  <c r="G170" i="9"/>
  <c r="K12" i="32"/>
  <c r="L12" i="32" s="1"/>
  <c r="W6" i="32"/>
  <c r="X6" i="32" s="1"/>
  <c r="W14" i="32"/>
  <c r="X14" i="32" s="1"/>
  <c r="W22" i="32"/>
  <c r="X22" i="32" s="1"/>
  <c r="K11" i="32"/>
  <c r="L11" i="32" s="1"/>
  <c r="K3" i="32"/>
  <c r="L3" i="32" s="1"/>
  <c r="W7" i="32"/>
  <c r="X7" i="32" s="1"/>
  <c r="W15" i="32"/>
  <c r="X15" i="32" s="1"/>
  <c r="W23" i="32"/>
  <c r="X23" i="32" s="1"/>
  <c r="G633" i="9"/>
  <c r="G241" i="9"/>
  <c r="G635" i="9"/>
  <c r="H52" i="13"/>
  <c r="G73" i="9"/>
  <c r="G40" i="9"/>
  <c r="G44" i="9"/>
  <c r="G57" i="9"/>
  <c r="G58" i="9"/>
  <c r="G74" i="9"/>
  <c r="G39" i="9"/>
  <c r="G293" i="9"/>
  <c r="G47" i="9"/>
  <c r="G55" i="9"/>
  <c r="G313" i="9"/>
  <c r="G450" i="9"/>
  <c r="G437" i="9"/>
  <c r="G439" i="9"/>
  <c r="G46" i="9"/>
  <c r="G115" i="9"/>
  <c r="G94" i="9"/>
  <c r="G119" i="9"/>
  <c r="F26" i="13"/>
  <c r="G34" i="9"/>
  <c r="G23" i="9"/>
  <c r="G27" i="9"/>
  <c r="G28" i="9"/>
  <c r="G942" i="9"/>
  <c r="G97" i="9"/>
  <c r="G102" i="9"/>
  <c r="G98" i="9"/>
  <c r="G111" i="9"/>
  <c r="G51" i="9"/>
  <c r="G355" i="9"/>
  <c r="G356" i="9"/>
  <c r="G357" i="9"/>
  <c r="G374" i="9"/>
  <c r="G373" i="9"/>
  <c r="G376" i="9"/>
  <c r="G375" i="9"/>
  <c r="G377" i="9"/>
  <c r="G308" i="9"/>
  <c r="G146" i="9"/>
  <c r="G358" i="9"/>
  <c r="G406" i="9"/>
  <c r="G399" i="9"/>
  <c r="G366" i="9"/>
  <c r="G418" i="9"/>
  <c r="G419" i="9"/>
  <c r="G416" i="9"/>
  <c r="G441" i="9"/>
  <c r="G472" i="9"/>
  <c r="G485" i="9"/>
  <c r="G475" i="9"/>
  <c r="G388" i="9"/>
  <c r="G393" i="9"/>
  <c r="G451" i="9"/>
  <c r="G394" i="9"/>
  <c r="G455" i="9"/>
  <c r="G49" i="9"/>
  <c r="G87" i="9"/>
  <c r="G38" i="9"/>
  <c r="G63" i="9"/>
  <c r="G64" i="9"/>
  <c r="G86" i="9"/>
  <c r="G382" i="9"/>
  <c r="G120" i="9"/>
  <c r="G440" i="9"/>
  <c r="G369" i="9"/>
  <c r="G424" i="9"/>
  <c r="G421" i="9"/>
  <c r="G474" i="9"/>
  <c r="G484" i="9"/>
  <c r="G346" i="9"/>
  <c r="G390" i="9"/>
  <c r="G392" i="9"/>
  <c r="G342" i="9"/>
  <c r="G461" i="9"/>
  <c r="G431" i="9"/>
  <c r="G116" i="9"/>
  <c r="G225" i="9"/>
  <c r="G203" i="9"/>
  <c r="G178" i="9"/>
  <c r="G207" i="9"/>
  <c r="G13" i="9"/>
  <c r="H295" i="9"/>
  <c r="G295" i="9" s="1"/>
  <c r="I295" i="9"/>
  <c r="K1" i="32"/>
  <c r="L1" i="32" s="1"/>
  <c r="W1" i="32"/>
  <c r="X1" i="32" s="1"/>
  <c r="K15" i="32"/>
  <c r="L15" i="32" s="1"/>
  <c r="K23" i="32"/>
  <c r="L23" i="32" s="1"/>
  <c r="K16" i="32"/>
  <c r="L16" i="32" s="1"/>
  <c r="K24" i="32"/>
  <c r="L24" i="32" s="1"/>
  <c r="K18" i="32"/>
  <c r="L18" i="32" s="1"/>
  <c r="K26" i="32"/>
  <c r="L26" i="32" s="1"/>
  <c r="K17" i="32"/>
  <c r="L17" i="32" s="1"/>
  <c r="K21" i="32"/>
  <c r="L21" i="32" s="1"/>
  <c r="K27" i="32"/>
  <c r="L27" i="32" s="1"/>
  <c r="K19" i="32"/>
  <c r="L19" i="32" s="1"/>
  <c r="K20" i="32"/>
  <c r="L20" i="32" s="1"/>
  <c r="K22" i="32"/>
  <c r="L22" i="32" s="1"/>
  <c r="K25" i="32"/>
  <c r="L25" i="32" s="1"/>
  <c r="H5" i="23"/>
  <c r="I8" i="23"/>
  <c r="J8" i="23" s="1"/>
  <c r="D17" i="20"/>
  <c r="D12" i="20"/>
  <c r="D29" i="20"/>
  <c r="D35" i="20"/>
  <c r="D38" i="20"/>
  <c r="D40" i="20"/>
  <c r="D39" i="20"/>
  <c r="N886" i="9"/>
  <c r="N883" i="9"/>
  <c r="O881" i="9"/>
  <c r="P881" i="9" s="1"/>
  <c r="O882" i="9"/>
  <c r="P882" i="9" s="1"/>
  <c r="O883" i="9"/>
  <c r="P883" i="9" s="1"/>
  <c r="O888" i="9"/>
  <c r="P888" i="9" s="1"/>
  <c r="O887" i="9"/>
  <c r="P887" i="9" s="1"/>
  <c r="O886" i="9"/>
  <c r="P886" i="9" s="1"/>
  <c r="N881" i="9"/>
  <c r="N888" i="9"/>
  <c r="N885" i="9"/>
  <c r="N884" i="9"/>
  <c r="O884" i="9"/>
  <c r="P884" i="9" s="1"/>
  <c r="N887" i="9"/>
  <c r="O885" i="9"/>
  <c r="P885" i="9" s="1"/>
  <c r="N882" i="9"/>
  <c r="G150" i="9"/>
  <c r="G565" i="9"/>
  <c r="G483" i="9"/>
  <c r="G480" i="9"/>
  <c r="G160" i="9"/>
  <c r="G151" i="9"/>
  <c r="G48" i="9"/>
  <c r="G430" i="9"/>
  <c r="G545" i="9"/>
  <c r="G417" i="9"/>
  <c r="G24" i="9"/>
  <c r="G205" i="9"/>
  <c r="G107" i="9"/>
  <c r="G202" i="9"/>
  <c r="G578" i="9"/>
  <c r="G473" i="9"/>
  <c r="G534" i="9"/>
  <c r="G53" i="9"/>
  <c r="G397" i="9"/>
  <c r="G52" i="9"/>
  <c r="H40" i="13"/>
  <c r="F33" i="13"/>
  <c r="F58" i="13"/>
  <c r="G3" i="13"/>
  <c r="N879" i="9"/>
  <c r="N880" i="9"/>
  <c r="O879" i="9"/>
  <c r="P879" i="9" s="1"/>
  <c r="O880" i="9"/>
  <c r="P880" i="9" s="1"/>
  <c r="N877" i="9"/>
  <c r="N878" i="9"/>
  <c r="O877" i="9"/>
  <c r="P877" i="9" s="1"/>
  <c r="O878" i="9"/>
  <c r="P878" i="9" s="1"/>
  <c r="N876" i="9"/>
  <c r="O876" i="9"/>
  <c r="P876" i="9" s="1"/>
  <c r="N872" i="9"/>
  <c r="O872" i="9"/>
  <c r="P872" i="9" s="1"/>
  <c r="F10" i="13"/>
  <c r="F18" i="13"/>
  <c r="F32" i="13"/>
  <c r="W27" i="32"/>
  <c r="X27" i="32" s="1"/>
  <c r="G40" i="13"/>
  <c r="F2" i="13"/>
  <c r="O2" i="9"/>
  <c r="P2" i="9" s="1"/>
  <c r="F35" i="13"/>
  <c r="G14" i="9"/>
  <c r="G25" i="9"/>
  <c r="G331" i="9"/>
  <c r="G463" i="9"/>
  <c r="G638" i="9"/>
  <c r="G627" i="9"/>
  <c r="G142" i="9"/>
  <c r="G631" i="9"/>
  <c r="G622" i="9"/>
  <c r="G126" i="9"/>
  <c r="G330" i="9"/>
  <c r="G328" i="9"/>
  <c r="G581" i="9"/>
  <c r="G561" i="9"/>
  <c r="G490" i="9"/>
  <c r="G559" i="9"/>
  <c r="G341" i="9"/>
  <c r="G380" i="9"/>
  <c r="G371" i="9"/>
  <c r="G395" i="9"/>
  <c r="G172" i="9"/>
  <c r="G387" i="9"/>
  <c r="G19" i="9"/>
  <c r="G78" i="9"/>
  <c r="G136" i="9"/>
  <c r="G607" i="9"/>
  <c r="G598" i="9"/>
  <c r="G80" i="9"/>
  <c r="G5" i="9"/>
  <c r="G456" i="9"/>
  <c r="G544" i="9"/>
  <c r="G402" i="9"/>
  <c r="G79" i="9"/>
  <c r="G133" i="9"/>
  <c r="G130" i="9"/>
  <c r="G422" i="9"/>
  <c r="G385" i="9"/>
  <c r="G309" i="9"/>
  <c r="G67" i="9"/>
  <c r="G351" i="9"/>
  <c r="G530" i="9"/>
  <c r="G478" i="9"/>
  <c r="G396" i="9"/>
  <c r="G447" i="9"/>
  <c r="G444" i="9"/>
  <c r="G423" i="9"/>
  <c r="G84" i="9"/>
  <c r="G531" i="9"/>
  <c r="G103" i="9"/>
  <c r="G352" i="9"/>
  <c r="G12" i="9"/>
  <c r="G539" i="9"/>
  <c r="G664" i="9"/>
  <c r="G652" i="9"/>
  <c r="G95" i="9"/>
  <c r="G626" i="9"/>
  <c r="G536" i="9"/>
  <c r="G191" i="9"/>
  <c r="G582" i="9"/>
  <c r="G575" i="9"/>
  <c r="G562" i="9"/>
  <c r="G491" i="9"/>
  <c r="G555" i="9"/>
  <c r="G470" i="9"/>
  <c r="G372" i="9"/>
  <c r="G650" i="9"/>
  <c r="G590" i="9"/>
  <c r="G640" i="9"/>
  <c r="G149" i="9"/>
  <c r="G677" i="9"/>
  <c r="G628" i="9"/>
  <c r="G616" i="9"/>
  <c r="G538" i="9"/>
  <c r="G648" i="9"/>
  <c r="G672" i="9"/>
  <c r="G329" i="9"/>
  <c r="G588" i="9"/>
  <c r="G156" i="9"/>
  <c r="G576" i="9"/>
  <c r="G563" i="9"/>
  <c r="G500" i="9"/>
  <c r="G389" i="9"/>
  <c r="G338" i="9"/>
  <c r="G548" i="9"/>
  <c r="G432" i="9"/>
  <c r="G381" i="9"/>
  <c r="G580" i="9"/>
  <c r="G573" i="9"/>
  <c r="G161" i="9"/>
  <c r="H23" i="13"/>
  <c r="G52" i="13"/>
  <c r="G2" i="13"/>
  <c r="H46" i="13"/>
  <c r="H15" i="13"/>
  <c r="F3" i="13"/>
  <c r="H14" i="13"/>
  <c r="H7" i="13"/>
  <c r="G47" i="13"/>
  <c r="F53" i="13"/>
  <c r="G19" i="13"/>
  <c r="H10" i="13"/>
  <c r="F11" i="13"/>
  <c r="G8" i="13"/>
  <c r="G6" i="13"/>
  <c r="F52" i="13"/>
  <c r="G14" i="13"/>
  <c r="G7" i="13"/>
  <c r="G179" i="9"/>
  <c r="G337" i="9"/>
  <c r="G365" i="9"/>
  <c r="G101" i="9"/>
  <c r="G569" i="9"/>
  <c r="G159" i="9"/>
  <c r="G535" i="9"/>
  <c r="G468" i="9"/>
  <c r="G619" i="9"/>
  <c r="G653" i="9"/>
  <c r="G498" i="9"/>
  <c r="G391" i="9"/>
  <c r="G364" i="9"/>
  <c r="G124" i="9"/>
  <c r="G438" i="9"/>
  <c r="G453" i="9"/>
  <c r="G420" i="9"/>
  <c r="G400" i="9"/>
  <c r="G90" i="9"/>
  <c r="G31" i="9"/>
  <c r="G77" i="9"/>
  <c r="G550" i="9"/>
  <c r="G527" i="9"/>
  <c r="G303" i="9"/>
  <c r="G2" i="9"/>
  <c r="G665" i="9"/>
  <c r="G669" i="9"/>
  <c r="G494" i="9"/>
  <c r="G62" i="9"/>
  <c r="G7" i="9"/>
  <c r="G645" i="9"/>
  <c r="G349" i="9"/>
  <c r="G647" i="9"/>
  <c r="G45" i="9"/>
  <c r="G644" i="9"/>
  <c r="G646" i="9"/>
  <c r="I7" i="23"/>
  <c r="J7" i="23" s="1"/>
  <c r="G285" i="9"/>
  <c r="D19" i="20"/>
  <c r="H25" i="13"/>
  <c r="G20" i="13"/>
  <c r="F7" i="13"/>
  <c r="F25" i="13"/>
  <c r="D7" i="20"/>
  <c r="H54" i="13"/>
  <c r="H33" i="13"/>
  <c r="G489" i="9"/>
  <c r="G3" i="9"/>
  <c r="G264" i="9"/>
  <c r="G9" i="13"/>
  <c r="F48" i="13"/>
  <c r="H27" i="13"/>
  <c r="H20" i="13"/>
  <c r="G11" i="13"/>
  <c r="F19" i="13"/>
  <c r="F27" i="13"/>
  <c r="O860" i="9"/>
  <c r="P860" i="9" s="1"/>
  <c r="N868" i="9"/>
  <c r="O865" i="9"/>
  <c r="P865" i="9" s="1"/>
  <c r="O864" i="9"/>
  <c r="P864" i="9" s="1"/>
  <c r="O863" i="9"/>
  <c r="P863" i="9" s="1"/>
  <c r="N890" i="9"/>
  <c r="N892" i="9"/>
  <c r="O867" i="9"/>
  <c r="P867" i="9" s="1"/>
  <c r="O866" i="9"/>
  <c r="P866" i="9" s="1"/>
  <c r="N864" i="9"/>
  <c r="N68" i="9"/>
  <c r="O829" i="9"/>
  <c r="P829" i="9" s="1"/>
  <c r="N861" i="9"/>
  <c r="O869" i="9"/>
  <c r="P869" i="9" s="1"/>
  <c r="O819" i="9"/>
  <c r="P819" i="9" s="1"/>
  <c r="O868" i="9"/>
  <c r="P868" i="9" s="1"/>
  <c r="N866" i="9"/>
  <c r="N862" i="9"/>
  <c r="O827" i="9"/>
  <c r="P827" i="9" s="1"/>
  <c r="O892" i="9"/>
  <c r="P892" i="9" s="1"/>
  <c r="N863" i="9"/>
  <c r="O871" i="9"/>
  <c r="P871" i="9" s="1"/>
  <c r="N830" i="9"/>
  <c r="N827" i="9"/>
  <c r="N869" i="9"/>
  <c r="N860" i="9"/>
  <c r="O68" i="9"/>
  <c r="P68" i="9" s="1"/>
  <c r="N819" i="9"/>
  <c r="N867" i="9"/>
  <c r="O861" i="9"/>
  <c r="P861" i="9" s="1"/>
  <c r="N334" i="9"/>
  <c r="N865" i="9"/>
  <c r="O334" i="9"/>
  <c r="P334" i="9" s="1"/>
  <c r="N871" i="9"/>
  <c r="O830" i="9"/>
  <c r="P830" i="9" s="1"/>
  <c r="N829" i="9"/>
  <c r="O862" i="9"/>
  <c r="P862" i="9" s="1"/>
  <c r="O890" i="9"/>
  <c r="P890" i="9" s="1"/>
  <c r="F23" i="13"/>
  <c r="G680" i="9"/>
  <c r="G174" i="9"/>
  <c r="G589" i="9"/>
  <c r="G135" i="9"/>
  <c r="G667" i="9"/>
  <c r="G587" i="9"/>
  <c r="G591" i="9"/>
  <c r="G6" i="9"/>
  <c r="G620" i="9"/>
  <c r="G504" i="9"/>
  <c r="G410" i="9"/>
  <c r="G83" i="9"/>
  <c r="G543" i="9"/>
  <c r="G199" i="9"/>
  <c r="G436" i="9"/>
  <c r="G345" i="9"/>
  <c r="G33" i="9"/>
  <c r="G497" i="9"/>
  <c r="G56" i="9"/>
  <c r="G610" i="9"/>
  <c r="G643" i="9"/>
  <c r="G383" i="9"/>
  <c r="G96" i="9"/>
  <c r="G316" i="9"/>
  <c r="G618" i="9"/>
  <c r="G26" i="9"/>
  <c r="G540" i="9"/>
  <c r="G233" i="9"/>
  <c r="G671" i="9"/>
  <c r="G596" i="9"/>
  <c r="G414" i="9"/>
  <c r="G584" i="9"/>
  <c r="G525" i="9"/>
  <c r="G634" i="9"/>
  <c r="G574" i="9"/>
  <c r="G674" i="9"/>
  <c r="G216" i="9"/>
  <c r="G670" i="9"/>
  <c r="G601" i="9"/>
  <c r="G154" i="9"/>
  <c r="G192" i="9"/>
  <c r="G798" i="9"/>
  <c r="G679" i="9"/>
  <c r="G190" i="9"/>
  <c r="G528" i="9"/>
  <c r="G378" i="9"/>
  <c r="G121" i="9"/>
  <c r="G547" i="9"/>
  <c r="G18" i="9"/>
  <c r="G488" i="9"/>
  <c r="G122" i="9"/>
  <c r="G169" i="9"/>
  <c r="G465" i="9"/>
  <c r="G54" i="9"/>
  <c r="G641" i="9"/>
  <c r="G305" i="9"/>
  <c r="G464" i="9"/>
  <c r="G332" i="9"/>
  <c r="G104" i="9"/>
  <c r="G82" i="9"/>
  <c r="G445" i="9"/>
  <c r="G443" i="9"/>
  <c r="G541" i="9"/>
  <c r="G59" i="9"/>
  <c r="G482" i="9"/>
  <c r="G558" i="9"/>
  <c r="G22" i="9"/>
  <c r="G442" i="9"/>
  <c r="G322" i="9"/>
  <c r="G113" i="9"/>
  <c r="G370" i="9"/>
  <c r="G112" i="9"/>
  <c r="G452" i="9"/>
  <c r="G513" i="9"/>
  <c r="G384" i="9"/>
  <c r="G605" i="9"/>
  <c r="G792" i="9"/>
  <c r="G515" i="9"/>
  <c r="G314" i="9"/>
  <c r="G184" i="9"/>
  <c r="G117" i="9"/>
  <c r="G502" i="9"/>
  <c r="G75" i="9"/>
  <c r="G637" i="9"/>
  <c r="G705" i="9"/>
  <c r="G673" i="9"/>
  <c r="G662" i="9"/>
  <c r="G408" i="9"/>
  <c r="G348" i="9"/>
  <c r="G187" i="9"/>
  <c r="G173" i="9"/>
  <c r="G608" i="9"/>
  <c r="G571" i="9"/>
  <c r="G503" i="9"/>
  <c r="G554" i="9"/>
  <c r="G570" i="9"/>
  <c r="G514" i="9"/>
  <c r="G85" i="9"/>
  <c r="G123" i="9"/>
  <c r="G568" i="9"/>
  <c r="G319" i="9"/>
  <c r="G88" i="9"/>
  <c r="G315" i="9"/>
  <c r="G359" i="9"/>
  <c r="G65" i="9"/>
  <c r="G42" i="9"/>
  <c r="G592" i="9"/>
  <c r="G560" i="9"/>
  <c r="G145" i="9"/>
  <c r="G137" i="9"/>
  <c r="G81" i="9"/>
  <c r="G9" i="9"/>
  <c r="G361" i="9"/>
  <c r="G663" i="9"/>
  <c r="G604" i="9"/>
  <c r="G617" i="9"/>
  <c r="G609" i="9"/>
  <c r="G409" i="9"/>
  <c r="G324" i="9"/>
  <c r="G466" i="9"/>
  <c r="G125" i="9"/>
  <c r="G501" i="9"/>
  <c r="G344" i="9"/>
  <c r="G106" i="9"/>
  <c r="G446" i="9"/>
  <c r="G105" i="9"/>
  <c r="G37" i="9"/>
  <c r="G340" i="9"/>
  <c r="G89" i="9"/>
  <c r="G454" i="9"/>
  <c r="G167" i="9"/>
  <c r="G180" i="9"/>
  <c r="G425" i="9"/>
  <c r="G312" i="9"/>
  <c r="G449" i="9"/>
  <c r="G542" i="9"/>
  <c r="G460" i="9"/>
  <c r="G495" i="9"/>
  <c r="G76" i="9"/>
  <c r="G284" i="9"/>
  <c r="G132" i="9"/>
  <c r="G415" i="9"/>
  <c r="G519" i="9"/>
  <c r="G458" i="9"/>
  <c r="G507" i="9"/>
  <c r="G166" i="9"/>
  <c r="G186" i="9"/>
  <c r="G148" i="9"/>
  <c r="G197" i="9"/>
  <c r="G138" i="9"/>
  <c r="G320" i="9"/>
  <c r="G448" i="9"/>
  <c r="G32" i="9"/>
  <c r="G318" i="9"/>
  <c r="G335" i="9"/>
  <c r="G108" i="9"/>
  <c r="G114" i="9"/>
  <c r="G175" i="9"/>
  <c r="G11" i="9"/>
  <c r="G360" i="9"/>
  <c r="G386" i="9"/>
  <c r="G70" i="9"/>
  <c r="G343" i="9"/>
  <c r="G518" i="9"/>
  <c r="G168" i="9"/>
  <c r="G427" i="9"/>
  <c r="G193" i="9"/>
  <c r="G171" i="9"/>
  <c r="G426" i="9"/>
  <c r="G201" i="9"/>
  <c r="G129" i="9"/>
  <c r="G176" i="9"/>
  <c r="G367" i="9"/>
  <c r="G336" i="9"/>
  <c r="G72" i="9"/>
  <c r="G196" i="9"/>
  <c r="G317" i="9"/>
  <c r="G428" i="9"/>
  <c r="G71" i="9"/>
  <c r="G493" i="9"/>
  <c r="G339" i="9"/>
  <c r="G10" i="9"/>
  <c r="G599" i="9"/>
  <c r="G553" i="9"/>
  <c r="G459" i="9"/>
  <c r="G405" i="9"/>
  <c r="G552" i="9"/>
  <c r="G140" i="9"/>
  <c r="G506" i="9"/>
  <c r="G66" i="9"/>
  <c r="G41" i="9"/>
  <c r="G368" i="9"/>
  <c r="G593" i="9"/>
  <c r="G134" i="9"/>
  <c r="G15" i="9"/>
  <c r="G435" i="9"/>
  <c r="G362" i="9"/>
  <c r="G144" i="9"/>
  <c r="G413" i="9"/>
  <c r="G434" i="9"/>
  <c r="G363" i="9"/>
  <c r="G583" i="9"/>
  <c r="G524" i="9"/>
  <c r="G606" i="9"/>
  <c r="G859" i="9"/>
  <c r="G516" i="9"/>
  <c r="G549" i="9"/>
  <c r="G347" i="9"/>
  <c r="G20" i="9"/>
  <c r="G311" i="9"/>
  <c r="G651" i="9"/>
  <c r="G177" i="9"/>
  <c r="W24" i="32"/>
  <c r="X24" i="32" s="1"/>
  <c r="O140" i="9"/>
  <c r="P140" i="9" s="1"/>
  <c r="K4" i="32"/>
  <c r="L4" i="32" s="1"/>
  <c r="H11" i="13"/>
  <c r="G629" i="9"/>
  <c r="G16" i="9"/>
  <c r="G469" i="9"/>
  <c r="G379" i="9"/>
  <c r="G17" i="9"/>
  <c r="F54" i="13"/>
  <c r="F21" i="13"/>
  <c r="H49" i="13"/>
  <c r="N52" i="9"/>
  <c r="O753" i="9"/>
  <c r="P753" i="9" s="1"/>
  <c r="F61" i="13"/>
  <c r="G43" i="13"/>
  <c r="H61" i="13"/>
  <c r="D36" i="20"/>
  <c r="G42" i="13"/>
  <c r="H16" i="13"/>
  <c r="G526" i="9"/>
  <c r="G4" i="9"/>
  <c r="G492" i="9"/>
  <c r="G508" i="9"/>
  <c r="G401" i="9"/>
  <c r="G354" i="9"/>
  <c r="F17" i="13"/>
  <c r="W17" i="32"/>
  <c r="X17" i="32" s="1"/>
  <c r="K8" i="32"/>
  <c r="L8" i="32" s="1"/>
  <c r="H2" i="23"/>
  <c r="G60" i="13"/>
  <c r="H60" i="13"/>
  <c r="H42" i="13"/>
  <c r="D15" i="20"/>
  <c r="H12" i="13"/>
  <c r="G54" i="13"/>
  <c r="H5" i="13"/>
  <c r="G22" i="13"/>
  <c r="G53" i="13"/>
  <c r="G27" i="13"/>
  <c r="H3" i="13"/>
  <c r="G476" i="9"/>
  <c r="G529" i="9"/>
  <c r="G307" i="9"/>
  <c r="G21" i="9"/>
  <c r="N702" i="9"/>
  <c r="H17" i="13"/>
  <c r="D9" i="20"/>
  <c r="O833" i="9"/>
  <c r="P833" i="9" s="1"/>
  <c r="G34" i="13"/>
  <c r="H8" i="13"/>
  <c r="G16" i="13"/>
  <c r="G49" i="13"/>
  <c r="D10" i="20"/>
  <c r="G61" i="9"/>
  <c r="G157" i="9"/>
  <c r="G110" i="9"/>
  <c r="N833" i="9"/>
  <c r="F62" i="13"/>
  <c r="G12" i="13"/>
  <c r="G649" i="9"/>
  <c r="H9" i="13"/>
  <c r="G28" i="13"/>
  <c r="G48" i="13"/>
  <c r="G4" i="13"/>
  <c r="G21" i="13"/>
  <c r="D25" i="20"/>
  <c r="D30" i="20"/>
  <c r="F59" i="13"/>
  <c r="F5" i="13"/>
  <c r="H29" i="13"/>
  <c r="G35" i="13"/>
  <c r="H35" i="13"/>
  <c r="H13" i="13"/>
  <c r="O162" i="9"/>
  <c r="P162" i="9" s="1"/>
  <c r="D4" i="20"/>
  <c r="D31" i="20"/>
  <c r="G23" i="13"/>
  <c r="D26" i="20"/>
  <c r="G10" i="13"/>
  <c r="H32" i="13"/>
  <c r="H41" i="13"/>
  <c r="H48" i="13"/>
  <c r="G55" i="13"/>
  <c r="G25" i="13"/>
  <c r="D14" i="20"/>
  <c r="D32" i="20"/>
  <c r="H28" i="13"/>
  <c r="F44" i="13"/>
  <c r="H34" i="13"/>
  <c r="G13" i="13"/>
  <c r="F9" i="13"/>
  <c r="G29" i="13"/>
  <c r="D24" i="20"/>
  <c r="H57" i="13"/>
  <c r="H24" i="13"/>
  <c r="G17" i="13"/>
  <c r="H55" i="13"/>
  <c r="D3" i="20"/>
  <c r="I10" i="8"/>
  <c r="N53" i="9"/>
  <c r="O6" i="9"/>
  <c r="P6" i="9" s="1"/>
  <c r="F43" i="13"/>
  <c r="D33" i="20"/>
  <c r="G5" i="13"/>
  <c r="F60" i="13"/>
  <c r="G26" i="13"/>
  <c r="G24" i="13"/>
  <c r="H4" i="13"/>
  <c r="H21" i="13"/>
  <c r="D20" i="20"/>
  <c r="D28" i="20"/>
  <c r="F6" i="13"/>
  <c r="F29" i="13"/>
  <c r="G61" i="13"/>
  <c r="F42" i="13"/>
  <c r="F13" i="13"/>
  <c r="H43" i="13"/>
  <c r="D13" i="20"/>
  <c r="D27" i="20"/>
  <c r="D16" i="20"/>
  <c r="F46" i="13"/>
  <c r="H19" i="13"/>
  <c r="G18" i="13"/>
  <c r="G58" i="13"/>
  <c r="H2" i="13"/>
  <c r="O856" i="9"/>
  <c r="P856" i="9" s="1"/>
  <c r="N855" i="9"/>
  <c r="O857" i="9"/>
  <c r="P857" i="9" s="1"/>
  <c r="O854" i="9"/>
  <c r="P854" i="9" s="1"/>
  <c r="O855" i="9"/>
  <c r="P855" i="9" s="1"/>
  <c r="N836" i="9"/>
  <c r="O826" i="9"/>
  <c r="P826" i="9" s="1"/>
  <c r="N784" i="9"/>
  <c r="O741" i="9"/>
  <c r="P741" i="9" s="1"/>
  <c r="O722" i="9"/>
  <c r="P722" i="9" s="1"/>
  <c r="N270" i="9"/>
  <c r="N775" i="9"/>
  <c r="O300" i="9"/>
  <c r="P300" i="9" s="1"/>
  <c r="O228" i="9"/>
  <c r="P228" i="9" s="1"/>
  <c r="N176" i="9"/>
  <c r="N462" i="9"/>
  <c r="O764" i="9"/>
  <c r="P764" i="9" s="1"/>
  <c r="O656" i="9"/>
  <c r="P656" i="9" s="1"/>
  <c r="O271" i="9"/>
  <c r="P271" i="9" s="1"/>
  <c r="O726" i="9"/>
  <c r="P726" i="9" s="1"/>
  <c r="O698" i="9"/>
  <c r="P698" i="9" s="1"/>
  <c r="N209" i="9"/>
  <c r="N771" i="9"/>
  <c r="O730" i="9"/>
  <c r="P730" i="9" s="1"/>
  <c r="O696" i="9"/>
  <c r="P696" i="9" s="1"/>
  <c r="N213" i="9"/>
  <c r="N166" i="9"/>
  <c r="N173" i="9"/>
  <c r="N715" i="9"/>
  <c r="O238" i="9"/>
  <c r="P238" i="9" s="1"/>
  <c r="N340" i="9"/>
  <c r="O569" i="9"/>
  <c r="P569" i="9" s="1"/>
  <c r="O621" i="9"/>
  <c r="P621" i="9" s="1"/>
  <c r="N566" i="9"/>
  <c r="N562" i="9"/>
  <c r="O469" i="9"/>
  <c r="P469" i="9" s="1"/>
  <c r="N104" i="9"/>
  <c r="N730" i="9"/>
  <c r="N325" i="9"/>
  <c r="O755" i="9"/>
  <c r="P755" i="9" s="1"/>
  <c r="N175" i="9"/>
  <c r="N540" i="9"/>
  <c r="N537" i="9"/>
  <c r="N608" i="9"/>
  <c r="O623" i="9"/>
  <c r="P623" i="9" s="1"/>
  <c r="N792" i="9"/>
  <c r="N583" i="9"/>
  <c r="N475" i="9"/>
  <c r="O745" i="9"/>
  <c r="P745" i="9" s="1"/>
  <c r="N291" i="9"/>
  <c r="O231" i="9"/>
  <c r="P231" i="9" s="1"/>
  <c r="N11" i="9"/>
  <c r="N410" i="9"/>
  <c r="O537" i="9"/>
  <c r="P537" i="9" s="1"/>
  <c r="N592" i="9"/>
  <c r="N653" i="9"/>
  <c r="O649" i="9"/>
  <c r="P649" i="9" s="1"/>
  <c r="O669" i="9"/>
  <c r="P669" i="9" s="1"/>
  <c r="N386" i="9"/>
  <c r="O510" i="9"/>
  <c r="P510" i="9" s="1"/>
  <c r="N86" i="9"/>
  <c r="N437" i="9"/>
  <c r="O452" i="9"/>
  <c r="P452" i="9" s="1"/>
  <c r="N596" i="9"/>
  <c r="N450" i="9"/>
  <c r="O737" i="9"/>
  <c r="P737" i="9" s="1"/>
  <c r="N721" i="9"/>
  <c r="N247" i="9"/>
  <c r="O242" i="9"/>
  <c r="P242" i="9" s="1"/>
  <c r="O11" i="9"/>
  <c r="P11" i="9" s="1"/>
  <c r="O591" i="9"/>
  <c r="P591" i="9" s="1"/>
  <c r="O328" i="9"/>
  <c r="P328" i="9" s="1"/>
  <c r="N635" i="9"/>
  <c r="N856" i="9"/>
  <c r="N857" i="9"/>
  <c r="N854" i="9"/>
  <c r="O812" i="9"/>
  <c r="P812" i="9" s="1"/>
  <c r="O815" i="9"/>
  <c r="P815" i="9" s="1"/>
  <c r="N813" i="9"/>
  <c r="N779" i="9"/>
  <c r="N254" i="9"/>
  <c r="O225" i="9"/>
  <c r="P225" i="9" s="1"/>
  <c r="O708" i="9"/>
  <c r="P708" i="9" s="1"/>
  <c r="O259" i="9"/>
  <c r="P259" i="9" s="1"/>
  <c r="N223" i="9"/>
  <c r="O485" i="9"/>
  <c r="P485" i="9" s="1"/>
  <c r="N734" i="9"/>
  <c r="O277" i="9"/>
  <c r="P277" i="9" s="1"/>
  <c r="N764" i="9"/>
  <c r="O288" i="9"/>
  <c r="P288" i="9" s="1"/>
  <c r="N296" i="9"/>
  <c r="N348" i="9"/>
  <c r="N725" i="9"/>
  <c r="O212" i="9"/>
  <c r="P212" i="9" s="1"/>
  <c r="N242" i="9"/>
  <c r="N72" i="9"/>
  <c r="N723" i="9"/>
  <c r="N282" i="9"/>
  <c r="O133" i="9"/>
  <c r="P133" i="9" s="1"/>
  <c r="O820" i="9"/>
  <c r="P820" i="9" s="1"/>
  <c r="O687" i="9"/>
  <c r="P687" i="9" s="1"/>
  <c r="O783" i="9"/>
  <c r="P783" i="9" s="1"/>
  <c r="O412" i="9"/>
  <c r="P412" i="9" s="1"/>
  <c r="N763" i="9"/>
  <c r="N237" i="9"/>
  <c r="N789" i="9"/>
  <c r="O278" i="9"/>
  <c r="P278" i="9" s="1"/>
  <c r="O220" i="9"/>
  <c r="P220" i="9" s="1"/>
  <c r="N81" i="9"/>
  <c r="N160" i="9"/>
  <c r="N728" i="9"/>
  <c r="O694" i="9"/>
  <c r="P694" i="9" s="1"/>
  <c r="O732" i="9"/>
  <c r="P732" i="9" s="1"/>
  <c r="N301" i="9"/>
  <c r="O235" i="9"/>
  <c r="P235" i="9" s="1"/>
  <c r="N781" i="9"/>
  <c r="O683" i="9"/>
  <c r="P683" i="9" s="1"/>
  <c r="O237" i="9"/>
  <c r="P237" i="9" s="1"/>
  <c r="O688" i="9"/>
  <c r="P688" i="9" s="1"/>
  <c r="N133" i="9"/>
  <c r="N742" i="9"/>
  <c r="O690" i="9"/>
  <c r="P690" i="9" s="1"/>
  <c r="O305" i="9"/>
  <c r="P305" i="9" s="1"/>
  <c r="O155" i="9"/>
  <c r="P155" i="9" s="1"/>
  <c r="O571" i="9"/>
  <c r="P571" i="9" s="1"/>
  <c r="N616" i="9"/>
  <c r="N67" i="9"/>
  <c r="O363" i="9"/>
  <c r="P363" i="9" s="1"/>
  <c r="O729" i="9"/>
  <c r="P729" i="9" s="1"/>
  <c r="N234" i="9"/>
  <c r="N18" i="9"/>
  <c r="O115" i="9"/>
  <c r="P115" i="9" s="1"/>
  <c r="O538" i="9"/>
  <c r="P538" i="9" s="1"/>
  <c r="N155" i="9"/>
  <c r="O680" i="9"/>
  <c r="P680" i="9" s="1"/>
  <c r="O663" i="9"/>
  <c r="P663" i="9" s="1"/>
  <c r="O527" i="9"/>
  <c r="P527" i="9" s="1"/>
  <c r="O773" i="9"/>
  <c r="P773" i="9" s="1"/>
  <c r="N717" i="9"/>
  <c r="O234" i="9"/>
  <c r="P234" i="9" s="1"/>
  <c r="N13" i="9"/>
  <c r="N323" i="9"/>
  <c r="N408" i="9"/>
  <c r="O636" i="9"/>
  <c r="P636" i="9" s="1"/>
  <c r="N629" i="9"/>
  <c r="O662" i="9"/>
  <c r="P662" i="9" s="1"/>
  <c r="O454" i="9"/>
  <c r="P454" i="9" s="1"/>
  <c r="N460" i="9"/>
  <c r="N416" i="9"/>
  <c r="N500" i="9"/>
  <c r="N322" i="9"/>
  <c r="O337" i="9"/>
  <c r="P337" i="9" s="1"/>
  <c r="N843" i="9"/>
  <c r="N815" i="9"/>
  <c r="O805" i="9"/>
  <c r="P805" i="9" s="1"/>
  <c r="N814" i="9"/>
  <c r="O780" i="9"/>
  <c r="P780" i="9" s="1"/>
  <c r="N733" i="9"/>
  <c r="O258" i="9"/>
  <c r="P258" i="9" s="1"/>
  <c r="N786" i="9"/>
  <c r="O229" i="9"/>
  <c r="P229" i="9" s="1"/>
  <c r="N244" i="9"/>
  <c r="O233" i="9"/>
  <c r="P233" i="9" s="1"/>
  <c r="N190" i="9"/>
  <c r="O739" i="9"/>
  <c r="P739" i="9" s="1"/>
  <c r="O257" i="9"/>
  <c r="P257" i="9" s="1"/>
  <c r="N719" i="9"/>
  <c r="N793" i="9"/>
  <c r="N211" i="9"/>
  <c r="N774" i="9"/>
  <c r="N266" i="9"/>
  <c r="N267" i="9"/>
  <c r="O182" i="9"/>
  <c r="P182" i="9" s="1"/>
  <c r="N123" i="9"/>
  <c r="N709" i="9"/>
  <c r="O659" i="9"/>
  <c r="P659" i="9" s="1"/>
  <c r="O349" i="9"/>
  <c r="P349" i="9" s="1"/>
  <c r="N662" i="9"/>
  <c r="N667" i="9"/>
  <c r="O578" i="9"/>
  <c r="P578" i="9" s="1"/>
  <c r="N435" i="9"/>
  <c r="O508" i="9"/>
  <c r="P508" i="9" s="1"/>
  <c r="O742" i="9"/>
  <c r="P742" i="9" s="1"/>
  <c r="N280" i="9"/>
  <c r="O69" i="9"/>
  <c r="P69" i="9" s="1"/>
  <c r="O505" i="9"/>
  <c r="P505" i="9" s="1"/>
  <c r="N590" i="9"/>
  <c r="N645" i="9"/>
  <c r="N206" i="9"/>
  <c r="N632" i="9"/>
  <c r="N66" i="9"/>
  <c r="O756" i="9"/>
  <c r="P756" i="9" s="1"/>
  <c r="N274" i="9"/>
  <c r="N232" i="9"/>
  <c r="O166" i="9"/>
  <c r="P166" i="9" s="1"/>
  <c r="N463" i="9"/>
  <c r="N324" i="9"/>
  <c r="N574" i="9"/>
  <c r="O586" i="9"/>
  <c r="P586" i="9" s="1"/>
  <c r="O192" i="9"/>
  <c r="P192" i="9" s="1"/>
  <c r="N509" i="9"/>
  <c r="O415" i="9"/>
  <c r="P415" i="9" s="1"/>
  <c r="N365" i="9"/>
  <c r="N517" i="9"/>
  <c r="N397" i="9"/>
  <c r="O597" i="9"/>
  <c r="P597" i="9" s="1"/>
  <c r="O733" i="9"/>
  <c r="P733" i="9" s="1"/>
  <c r="N750" i="9"/>
  <c r="O701" i="9"/>
  <c r="P701" i="9" s="1"/>
  <c r="O658" i="9"/>
  <c r="P658" i="9" s="1"/>
  <c r="O136" i="9"/>
  <c r="P136" i="9" s="1"/>
  <c r="O644" i="9"/>
  <c r="P644" i="9" s="1"/>
  <c r="O190" i="9"/>
  <c r="P190" i="9" s="1"/>
  <c r="N627" i="9"/>
  <c r="N581" i="9"/>
  <c r="N172" i="9"/>
  <c r="N513" i="9"/>
  <c r="O309" i="9"/>
  <c r="P309" i="9" s="1"/>
  <c r="O713" i="9"/>
  <c r="P713" i="9" s="1"/>
  <c r="N224" i="9"/>
  <c r="N351" i="9"/>
  <c r="O784" i="9"/>
  <c r="P784" i="9" s="1"/>
  <c r="O785" i="9"/>
  <c r="P785" i="9" s="1"/>
  <c r="O738" i="9"/>
  <c r="P738" i="9" s="1"/>
  <c r="N214" i="9"/>
  <c r="O775" i="9"/>
  <c r="P775" i="9" s="1"/>
  <c r="O252" i="9"/>
  <c r="P252" i="9" s="1"/>
  <c r="O224" i="9"/>
  <c r="P224" i="9" s="1"/>
  <c r="N639" i="9"/>
  <c r="N769" i="9"/>
  <c r="O717" i="9"/>
  <c r="P717" i="9" s="1"/>
  <c r="N273" i="9"/>
  <c r="N729" i="9"/>
  <c r="N694" i="9"/>
  <c r="O245" i="9"/>
  <c r="P245" i="9" s="1"/>
  <c r="N756" i="9"/>
  <c r="O292" i="9"/>
  <c r="P292" i="9" s="1"/>
  <c r="O280" i="9"/>
  <c r="P280" i="9" s="1"/>
  <c r="O179" i="9"/>
  <c r="P179" i="9" s="1"/>
  <c r="O135" i="9"/>
  <c r="P135" i="9" s="1"/>
  <c r="N263" i="9"/>
  <c r="N195" i="9"/>
  <c r="O281" i="9"/>
  <c r="P281" i="9" s="1"/>
  <c r="N612" i="9"/>
  <c r="N648" i="9"/>
  <c r="O670" i="9"/>
  <c r="P670" i="9" s="1"/>
  <c r="O468" i="9"/>
  <c r="P468" i="9" s="1"/>
  <c r="O405" i="9"/>
  <c r="P405" i="9" s="1"/>
  <c r="O709" i="9"/>
  <c r="P709" i="9" s="1"/>
  <c r="O270" i="9"/>
  <c r="P270" i="9" s="1"/>
  <c r="N180" i="9"/>
  <c r="N281" i="9"/>
  <c r="N674" i="9"/>
  <c r="O45" i="9"/>
  <c r="P45" i="9" s="1"/>
  <c r="O161" i="9"/>
  <c r="P161" i="9" s="1"/>
  <c r="N191" i="9"/>
  <c r="O385" i="9"/>
  <c r="P385" i="9" s="1"/>
  <c r="N700" i="9"/>
  <c r="O266" i="9"/>
  <c r="P266" i="9" s="1"/>
  <c r="N210" i="9"/>
  <c r="O72" i="9"/>
  <c r="N505" i="9"/>
  <c r="O158" i="9"/>
  <c r="P158" i="9" s="1"/>
  <c r="O560" i="9"/>
  <c r="P560" i="9" s="1"/>
  <c r="O117" i="9"/>
  <c r="P117" i="9" s="1"/>
  <c r="O651" i="9"/>
  <c r="P651" i="9" s="1"/>
  <c r="N508" i="9"/>
  <c r="O364" i="9"/>
  <c r="P364" i="9" s="1"/>
  <c r="N4" i="9"/>
  <c r="N171" i="9"/>
  <c r="O448" i="9"/>
  <c r="P448" i="9" s="1"/>
  <c r="O342" i="9"/>
  <c r="P342" i="9" s="1"/>
  <c r="O721" i="9"/>
  <c r="P721" i="9" s="1"/>
  <c r="O728" i="9"/>
  <c r="P728" i="9" s="1"/>
  <c r="N215" i="9"/>
  <c r="N200" i="9"/>
  <c r="N126" i="9"/>
  <c r="N16" i="9"/>
  <c r="N170" i="9"/>
  <c r="O570" i="9"/>
  <c r="P570" i="9" s="1"/>
  <c r="O637" i="9"/>
  <c r="P637" i="9" s="1"/>
  <c r="O361" i="9"/>
  <c r="P361" i="9" s="1"/>
  <c r="O65" i="9"/>
  <c r="AI65" i="22" s="1"/>
  <c r="O434" i="9"/>
  <c r="P434" i="9" s="1"/>
  <c r="O279" i="9"/>
  <c r="P279" i="9" s="1"/>
  <c r="N684" i="9"/>
  <c r="O642" i="9"/>
  <c r="P642" i="9" s="1"/>
  <c r="N680" i="9"/>
  <c r="O796" i="9"/>
  <c r="P796" i="9" s="1"/>
  <c r="N777" i="9"/>
  <c r="O809" i="9"/>
  <c r="P809" i="9" s="1"/>
  <c r="N277" i="9"/>
  <c r="N731" i="9"/>
  <c r="O661" i="9"/>
  <c r="P661" i="9" s="1"/>
  <c r="O719" i="9"/>
  <c r="P719" i="9" s="1"/>
  <c r="O782" i="9"/>
  <c r="P782" i="9" s="1"/>
  <c r="N240" i="9"/>
  <c r="N740" i="9"/>
  <c r="O188" i="9"/>
  <c r="P188" i="9" s="1"/>
  <c r="O766" i="9"/>
  <c r="P766" i="9" s="1"/>
  <c r="O8" i="9"/>
  <c r="P8" i="9" s="1"/>
  <c r="N578" i="9"/>
  <c r="O564" i="9"/>
  <c r="P564" i="9" s="1"/>
  <c r="N424" i="9"/>
  <c r="O295" i="9"/>
  <c r="P295" i="9" s="1"/>
  <c r="O176" i="9"/>
  <c r="P176" i="9" s="1"/>
  <c r="O462" i="9"/>
  <c r="P462" i="9" s="1"/>
  <c r="O574" i="9"/>
  <c r="P574" i="9" s="1"/>
  <c r="N671" i="9"/>
  <c r="O90" i="9"/>
  <c r="P90" i="9" s="1"/>
  <c r="N737" i="9"/>
  <c r="N659" i="9"/>
  <c r="N589" i="9"/>
  <c r="O620" i="9"/>
  <c r="P620" i="9" s="1"/>
  <c r="O582" i="9"/>
  <c r="P582" i="9" s="1"/>
  <c r="O475" i="9"/>
  <c r="P475" i="9" s="1"/>
  <c r="N421" i="9"/>
  <c r="O5" i="9"/>
  <c r="P5" i="9" s="1"/>
  <c r="O498" i="9"/>
  <c r="P498" i="9" s="1"/>
  <c r="O749" i="9"/>
  <c r="P749" i="9" s="1"/>
  <c r="O260" i="9"/>
  <c r="P260" i="9" s="1"/>
  <c r="N208" i="9"/>
  <c r="N35" i="9"/>
  <c r="N641" i="9"/>
  <c r="N25" i="9"/>
  <c r="O859" i="9"/>
  <c r="P859" i="9" s="1"/>
  <c r="N367" i="9"/>
  <c r="O417" i="9"/>
  <c r="P417" i="9" s="1"/>
  <c r="N290" i="9"/>
  <c r="N36" i="9"/>
  <c r="O160" i="9"/>
  <c r="P160" i="9" s="1"/>
  <c r="N117" i="9"/>
  <c r="O618" i="9"/>
  <c r="P618" i="9" s="1"/>
  <c r="N417" i="9"/>
  <c r="O4" i="9"/>
  <c r="P4" i="9" s="1"/>
  <c r="O456" i="9"/>
  <c r="N388" i="9"/>
  <c r="N343" i="9"/>
  <c r="N529" i="9"/>
  <c r="N269" i="9"/>
  <c r="O126" i="9"/>
  <c r="P126" i="9" s="1"/>
  <c r="N569" i="9"/>
  <c r="O664" i="9"/>
  <c r="P664" i="9" s="1"/>
  <c r="N759" i="9"/>
  <c r="N235" i="9"/>
  <c r="N327" i="9"/>
  <c r="N591" i="9"/>
  <c r="N711" i="9"/>
  <c r="N279" i="9"/>
  <c r="O218" i="9"/>
  <c r="P218" i="9" s="1"/>
  <c r="N288" i="9"/>
  <c r="O18" i="9"/>
  <c r="P18" i="9" s="1"/>
  <c r="O699" i="9"/>
  <c r="P699" i="9" s="1"/>
  <c r="O409" i="9"/>
  <c r="P409" i="9" s="1"/>
  <c r="N26" i="9"/>
  <c r="O617" i="9"/>
  <c r="P617" i="9" s="1"/>
  <c r="N59" i="9"/>
  <c r="N807" i="9"/>
  <c r="N119" i="9"/>
  <c r="O674" i="9"/>
  <c r="P674" i="9" s="1"/>
  <c r="N618" i="9"/>
  <c r="O673" i="9"/>
  <c r="P673" i="9" s="1"/>
  <c r="N454" i="9"/>
  <c r="O286" i="9"/>
  <c r="P286" i="9" s="1"/>
  <c r="N755" i="9"/>
  <c r="N672" i="9"/>
  <c r="O605" i="9"/>
  <c r="P605" i="9" s="1"/>
  <c r="O615" i="9"/>
  <c r="P615" i="9" s="1"/>
  <c r="O366" i="9"/>
  <c r="P366" i="9" s="1"/>
  <c r="N400" i="9"/>
  <c r="N151" i="9"/>
  <c r="N597" i="9"/>
  <c r="N770" i="9"/>
  <c r="N704" i="9"/>
  <c r="N690" i="9"/>
  <c r="O143" i="9"/>
  <c r="P143" i="9" s="1"/>
  <c r="N332" i="9"/>
  <c r="N142" i="9"/>
  <c r="N606" i="9"/>
  <c r="O414" i="9"/>
  <c r="P414" i="9" s="1"/>
  <c r="N521" i="9"/>
  <c r="N255" i="9"/>
  <c r="O35" i="9"/>
  <c r="P35" i="9" s="1"/>
  <c r="N196" i="9"/>
  <c r="N585" i="9"/>
  <c r="N622" i="9"/>
  <c r="N399" i="9"/>
  <c r="O3" i="9"/>
  <c r="P3" i="9" s="1"/>
  <c r="N547" i="9"/>
  <c r="O507" i="9"/>
  <c r="P507" i="9" s="1"/>
  <c r="O598" i="9"/>
  <c r="P598" i="9" s="1"/>
  <c r="O770" i="9"/>
  <c r="P770" i="9" s="1"/>
  <c r="N231" i="9"/>
  <c r="O173" i="9"/>
  <c r="P173" i="9" s="1"/>
  <c r="N159" i="9"/>
  <c r="N584" i="9"/>
  <c r="O303" i="9"/>
  <c r="P303" i="9" s="1"/>
  <c r="N363" i="9"/>
  <c r="O127" i="9"/>
  <c r="P127" i="9" s="1"/>
  <c r="N455" i="9"/>
  <c r="O600" i="9"/>
  <c r="P600" i="9" s="1"/>
  <c r="O86" i="9"/>
  <c r="AI86" i="22" s="1"/>
  <c r="O381" i="9"/>
  <c r="P381" i="9" s="1"/>
  <c r="N272" i="9"/>
  <c r="N536" i="9"/>
  <c r="O186" i="9"/>
  <c r="P186" i="9" s="1"/>
  <c r="O626" i="9"/>
  <c r="P626" i="9" s="1"/>
  <c r="N488" i="9"/>
  <c r="O509" i="9"/>
  <c r="P509" i="9" s="1"/>
  <c r="O427" i="9"/>
  <c r="P427" i="9" s="1"/>
  <c r="N162" i="9"/>
  <c r="O343" i="9"/>
  <c r="P343" i="9" s="1"/>
  <c r="O321" i="9"/>
  <c r="P321" i="9" s="1"/>
  <c r="N177" i="9"/>
  <c r="N109" i="9"/>
  <c r="O50" i="9"/>
  <c r="P50" i="9" s="1"/>
  <c r="N691" i="9"/>
  <c r="O175" i="9"/>
  <c r="P175" i="9" s="1"/>
  <c r="O169" i="9"/>
  <c r="P169" i="9" s="1"/>
  <c r="O583" i="9"/>
  <c r="P583" i="9" s="1"/>
  <c r="N643" i="9"/>
  <c r="O715" i="9"/>
  <c r="P715" i="9" s="1"/>
  <c r="N654" i="9"/>
  <c r="O82" i="9"/>
  <c r="AI82" i="22" s="1"/>
  <c r="N554" i="9"/>
  <c r="N192" i="9"/>
  <c r="O530" i="9"/>
  <c r="P530" i="9" s="1"/>
  <c r="N762" i="9"/>
  <c r="N259" i="9"/>
  <c r="O298" i="9"/>
  <c r="P298" i="9" s="1"/>
  <c r="N352" i="9"/>
  <c r="N275" i="9"/>
  <c r="O265" i="9"/>
  <c r="P265" i="9" s="1"/>
  <c r="N181" i="9"/>
  <c r="N299" i="9"/>
  <c r="N8" i="9"/>
  <c r="O255" i="9"/>
  <c r="P255" i="9" s="1"/>
  <c r="N465" i="9"/>
  <c r="N679" i="9"/>
  <c r="N174" i="9"/>
  <c r="O421" i="9"/>
  <c r="P421" i="9" s="1"/>
  <c r="O327" i="9"/>
  <c r="P327" i="9" s="1"/>
  <c r="O81" i="9"/>
  <c r="P81" i="9" s="1"/>
  <c r="O285" i="9"/>
  <c r="P285" i="9" s="1"/>
  <c r="O678" i="9"/>
  <c r="P678" i="9" s="1"/>
  <c r="N670" i="9"/>
  <c r="O387" i="9"/>
  <c r="P387" i="9" s="1"/>
  <c r="N696" i="9"/>
  <c r="O681" i="9"/>
  <c r="P681" i="9" s="1"/>
  <c r="N538" i="9"/>
  <c r="O150" i="9"/>
  <c r="P150" i="9" s="1"/>
  <c r="N576" i="9"/>
  <c r="O483" i="9"/>
  <c r="P483" i="9" s="1"/>
  <c r="O432" i="9"/>
  <c r="P432" i="9" s="1"/>
  <c r="O558" i="9"/>
  <c r="P558" i="9" s="1"/>
  <c r="N544" i="9"/>
  <c r="O697" i="9"/>
  <c r="P697" i="9" s="1"/>
  <c r="N703" i="9"/>
  <c r="N657" i="9"/>
  <c r="N135" i="9"/>
  <c r="N158" i="9"/>
  <c r="O205" i="9"/>
  <c r="P205" i="9" s="1"/>
  <c r="N610" i="9"/>
  <c r="N303" i="9"/>
  <c r="N355" i="9"/>
  <c r="O326" i="9"/>
  <c r="P326" i="9" s="1"/>
  <c r="O163" i="9"/>
  <c r="P163" i="9" s="1"/>
  <c r="O565" i="9"/>
  <c r="P565" i="9" s="1"/>
  <c r="O665" i="9"/>
  <c r="P665" i="9" s="1"/>
  <c r="O418" i="9"/>
  <c r="P418" i="9" s="1"/>
  <c r="N459" i="9"/>
  <c r="O138" i="9"/>
  <c r="P138" i="9" s="1"/>
  <c r="O397" i="9"/>
  <c r="P397" i="9" s="1"/>
  <c r="O495" i="9"/>
  <c r="P495" i="9" s="1"/>
  <c r="O453" i="9"/>
  <c r="P453" i="9" s="1"/>
  <c r="O758" i="9"/>
  <c r="P758" i="9" s="1"/>
  <c r="O208" i="9"/>
  <c r="P208" i="9" s="1"/>
  <c r="O540" i="9"/>
  <c r="P540" i="9" s="1"/>
  <c r="O132" i="9"/>
  <c r="P132" i="9" s="1"/>
  <c r="O14" i="9"/>
  <c r="P14" i="9" s="1"/>
  <c r="N63" i="9"/>
  <c r="O120" i="9"/>
  <c r="P120" i="9" s="1"/>
  <c r="O518" i="9"/>
  <c r="P518" i="9" s="1"/>
  <c r="O548" i="9"/>
  <c r="P548" i="9" s="1"/>
  <c r="N452" i="9"/>
  <c r="O307" i="9"/>
  <c r="P307" i="9" s="1"/>
  <c r="N383" i="9"/>
  <c r="O676" i="9"/>
  <c r="P676" i="9" s="1"/>
  <c r="O466" i="9"/>
  <c r="P466" i="9" s="1"/>
  <c r="N630" i="9"/>
  <c r="N607" i="9"/>
  <c r="N414" i="9"/>
  <c r="N541" i="9"/>
  <c r="O457" i="9"/>
  <c r="P457" i="9" s="1"/>
  <c r="O451" i="9"/>
  <c r="P451" i="9" s="1"/>
  <c r="N594" i="9"/>
  <c r="N474" i="9"/>
  <c r="O38" i="9"/>
  <c r="AI38" i="22" s="1"/>
  <c r="N34" i="9"/>
  <c r="N57" i="9"/>
  <c r="O251" i="9"/>
  <c r="P251" i="9" s="1"/>
  <c r="N143" i="9"/>
  <c r="O628" i="9"/>
  <c r="P628" i="9" s="1"/>
  <c r="O606" i="9"/>
  <c r="P606" i="9" s="1"/>
  <c r="O310" i="9"/>
  <c r="P310" i="9" s="1"/>
  <c r="N268" i="9"/>
  <c r="N207" i="9"/>
  <c r="O800" i="9"/>
  <c r="P800" i="9" s="1"/>
  <c r="O720" i="9"/>
  <c r="P720" i="9" s="1"/>
  <c r="N682" i="9"/>
  <c r="O294" i="9"/>
  <c r="P294" i="9" s="1"/>
  <c r="N640" i="9"/>
  <c r="O702" i="9"/>
  <c r="P702" i="9" s="1"/>
  <c r="N675" i="9"/>
  <c r="O660" i="9"/>
  <c r="P660" i="9" s="1"/>
  <c r="N701" i="9"/>
  <c r="N69" i="9"/>
  <c r="N271" i="9"/>
  <c r="N319" i="9"/>
  <c r="O634" i="9"/>
  <c r="P634" i="9" s="1"/>
  <c r="N130" i="9"/>
  <c r="N533" i="9"/>
  <c r="O261" i="9"/>
  <c r="P261" i="9" s="1"/>
  <c r="O103" i="9"/>
  <c r="P103" i="9" s="1"/>
  <c r="N330" i="9"/>
  <c r="O633" i="9"/>
  <c r="P633" i="9" s="1"/>
  <c r="O191" i="9"/>
  <c r="P191" i="9" s="1"/>
  <c r="O419" i="9"/>
  <c r="P419" i="9" s="1"/>
  <c r="N256" i="9"/>
  <c r="O119" i="9"/>
  <c r="P119" i="9" s="1"/>
  <c r="O641" i="9"/>
  <c r="P641" i="9" s="1"/>
  <c r="O576" i="9"/>
  <c r="P576" i="9" s="1"/>
  <c r="O619" i="9"/>
  <c r="P619" i="9" s="1"/>
  <c r="N357" i="9"/>
  <c r="O431" i="9"/>
  <c r="P431" i="9" s="1"/>
  <c r="N341" i="9"/>
  <c r="N499" i="9"/>
  <c r="O768" i="9"/>
  <c r="P768" i="9" s="1"/>
  <c r="O301" i="9"/>
  <c r="P301" i="9" s="1"/>
  <c r="O685" i="9"/>
  <c r="P685" i="9" s="1"/>
  <c r="N349" i="9"/>
  <c r="N193" i="9"/>
  <c r="N649" i="9"/>
  <c r="N605" i="9"/>
  <c r="O367" i="9"/>
  <c r="P367" i="9" s="1"/>
  <c r="N534" i="9"/>
  <c r="N294" i="9"/>
  <c r="O83" i="9"/>
  <c r="P83" i="9" s="1"/>
  <c r="N647" i="9"/>
  <c r="O629" i="9"/>
  <c r="P629" i="9" s="1"/>
  <c r="N310" i="9"/>
  <c r="O534" i="9"/>
  <c r="P534" i="9" s="1"/>
  <c r="N425" i="9"/>
  <c r="N545" i="9"/>
  <c r="N394" i="9"/>
  <c r="N346" i="9"/>
  <c r="N743" i="9"/>
  <c r="O243" i="9"/>
  <c r="P243" i="9" s="1"/>
  <c r="O639" i="9"/>
  <c r="P639" i="9" s="1"/>
  <c r="N678" i="9"/>
  <c r="N12" i="9"/>
  <c r="N360" i="9"/>
  <c r="O104" i="9"/>
  <c r="P104" i="9" s="1"/>
  <c r="O525" i="9"/>
  <c r="P525" i="9" s="1"/>
  <c r="O547" i="9"/>
  <c r="P547" i="9" s="1"/>
  <c r="O546" i="9"/>
  <c r="P546" i="9" s="1"/>
  <c r="N468" i="9"/>
  <c r="N412" i="9"/>
  <c r="N238" i="9"/>
  <c r="N315" i="9"/>
  <c r="N626" i="9"/>
  <c r="N636" i="9"/>
  <c r="N483" i="9"/>
  <c r="N432" i="9"/>
  <c r="N481" i="9"/>
  <c r="N338" i="9"/>
  <c r="N345" i="9"/>
  <c r="O472" i="9"/>
  <c r="P472" i="9" s="1"/>
  <c r="O154" i="9"/>
  <c r="P154" i="9" s="1"/>
  <c r="N98" i="9"/>
  <c r="N75" i="9"/>
  <c r="N249" i="9"/>
  <c r="O638" i="9"/>
  <c r="P638" i="9" s="1"/>
  <c r="N625" i="9"/>
  <c r="O607" i="9"/>
  <c r="P607" i="9" s="1"/>
  <c r="N510" i="9"/>
  <c r="N300" i="9"/>
  <c r="N9" i="9"/>
  <c r="O324" i="9"/>
  <c r="P324" i="9" s="1"/>
  <c r="N165" i="9"/>
  <c r="O585" i="9"/>
  <c r="P585" i="9" s="1"/>
  <c r="N415" i="9"/>
  <c r="N49" i="9"/>
  <c r="N796" i="9"/>
  <c r="O567" i="9"/>
  <c r="P567" i="9" s="1"/>
  <c r="N203" i="9"/>
  <c r="N262" i="9"/>
  <c r="O319" i="9"/>
  <c r="P319" i="9" s="1"/>
  <c r="O290" i="9"/>
  <c r="P290" i="9" s="1"/>
  <c r="O263" i="9"/>
  <c r="P263" i="9" s="1"/>
  <c r="N182" i="9"/>
  <c r="O272" i="9"/>
  <c r="P272" i="9" s="1"/>
  <c r="O70" i="9"/>
  <c r="P70" i="9" s="1"/>
  <c r="N276" i="9"/>
  <c r="N156" i="9"/>
  <c r="O635" i="9"/>
  <c r="P635" i="9" s="1"/>
  <c r="O264" i="9"/>
  <c r="P264" i="9" s="1"/>
  <c r="O781" i="9"/>
  <c r="P781" i="9" s="1"/>
  <c r="N239" i="9"/>
  <c r="O95" i="9"/>
  <c r="P95" i="9" s="1"/>
  <c r="O164" i="9"/>
  <c r="P164" i="9" s="1"/>
  <c r="N564" i="9"/>
  <c r="O616" i="9"/>
  <c r="P616" i="9" s="1"/>
  <c r="O779" i="9"/>
  <c r="P779" i="9" s="1"/>
  <c r="N252" i="9"/>
  <c r="O36" i="9"/>
  <c r="P36" i="9" s="1"/>
  <c r="O672" i="9"/>
  <c r="P672" i="9" s="1"/>
  <c r="O184" i="9"/>
  <c r="P184" i="9" s="1"/>
  <c r="O608" i="9"/>
  <c r="P608" i="9" s="1"/>
  <c r="N146" i="9"/>
  <c r="N482" i="9"/>
  <c r="N313" i="9"/>
  <c r="O497" i="9"/>
  <c r="P497" i="9" s="1"/>
  <c r="N832" i="9"/>
  <c r="N222" i="9"/>
  <c r="N661" i="9"/>
  <c r="N411" i="9"/>
  <c r="N132" i="9"/>
  <c r="N617" i="9"/>
  <c r="N604" i="9"/>
  <c r="N530" i="9"/>
  <c r="N434" i="9"/>
  <c r="N220" i="9"/>
  <c r="O329" i="9"/>
  <c r="P329" i="9" s="1"/>
  <c r="O627" i="9"/>
  <c r="P627" i="9" s="1"/>
  <c r="O137" i="9"/>
  <c r="P137" i="9" s="1"/>
  <c r="O146" i="9"/>
  <c r="P146" i="9" s="1"/>
  <c r="N71" i="9"/>
  <c r="O48" i="9"/>
  <c r="P48" i="9" s="1"/>
  <c r="N549" i="9"/>
  <c r="O549" i="9"/>
  <c r="P549" i="9" s="1"/>
  <c r="O506" i="9"/>
  <c r="P506" i="9" s="1"/>
  <c r="N722" i="9"/>
  <c r="O771" i="9"/>
  <c r="P771" i="9" s="1"/>
  <c r="O351" i="9"/>
  <c r="P351" i="9" s="1"/>
  <c r="N646" i="9"/>
  <c r="N150" i="9"/>
  <c r="N520" i="9"/>
  <c r="N398" i="9"/>
  <c r="O139" i="9"/>
  <c r="P139" i="9" s="1"/>
  <c r="O396" i="9"/>
  <c r="P396" i="9" s="1"/>
  <c r="O601" i="9"/>
  <c r="P601" i="9" s="1"/>
  <c r="O66" i="9"/>
  <c r="AI66" i="22" s="1"/>
  <c r="N738" i="9"/>
  <c r="N692" i="9"/>
  <c r="N503" i="9"/>
  <c r="O241" i="9"/>
  <c r="P241" i="9" s="1"/>
  <c r="N677" i="9"/>
  <c r="O304" i="9"/>
  <c r="P304" i="9" s="1"/>
  <c r="O362" i="9"/>
  <c r="P362" i="9" s="1"/>
  <c r="O476" i="9"/>
  <c r="P476" i="9" s="1"/>
  <c r="O494" i="9"/>
  <c r="P494" i="9" s="1"/>
  <c r="O499" i="9"/>
  <c r="P499" i="9" s="1"/>
  <c r="O377" i="9"/>
  <c r="P377" i="9" s="1"/>
  <c r="N359" i="9"/>
  <c r="O110" i="9"/>
  <c r="P110" i="9" s="1"/>
  <c r="N74" i="9"/>
  <c r="N185" i="9"/>
  <c r="O315" i="9"/>
  <c r="P315" i="9" s="1"/>
  <c r="O142" i="9"/>
  <c r="P142" i="9" s="1"/>
  <c r="N633" i="9"/>
  <c r="N419" i="9"/>
  <c r="O695" i="9"/>
  <c r="P695" i="9" s="1"/>
  <c r="N705" i="9"/>
  <c r="O352" i="9"/>
  <c r="P352" i="9" s="1"/>
  <c r="O189" i="9"/>
  <c r="P189" i="9" s="1"/>
  <c r="O443" i="9"/>
  <c r="P443" i="9" s="1"/>
  <c r="N783" i="9"/>
  <c r="O181" i="9"/>
  <c r="P181" i="9" s="1"/>
  <c r="O276" i="9"/>
  <c r="P276" i="9" s="1"/>
  <c r="O227" i="9"/>
  <c r="P227" i="9" s="1"/>
  <c r="N186" i="9"/>
  <c r="N364" i="9"/>
  <c r="N588" i="9"/>
  <c r="N137" i="9"/>
  <c r="N760" i="9"/>
  <c r="O614" i="9"/>
  <c r="P614" i="9" s="1"/>
  <c r="O480" i="9"/>
  <c r="P480" i="9" s="1"/>
  <c r="N753" i="9"/>
  <c r="O178" i="9"/>
  <c r="P178" i="9" s="1"/>
  <c r="O648" i="9"/>
  <c r="P648" i="9" s="1"/>
  <c r="N356" i="9"/>
  <c r="O463" i="9"/>
  <c r="P463" i="9" s="1"/>
  <c r="N406" i="9"/>
  <c r="O515" i="9"/>
  <c r="P515" i="9" s="1"/>
  <c r="N342" i="9"/>
  <c r="N285" i="9"/>
  <c r="N205" i="9"/>
  <c r="O479" i="9"/>
  <c r="P479" i="9" s="1"/>
  <c r="O545" i="9"/>
  <c r="P545" i="9" s="1"/>
  <c r="N382" i="9"/>
  <c r="O207" i="9"/>
  <c r="P207" i="9" s="1"/>
  <c r="N161" i="9"/>
  <c r="N473" i="9"/>
  <c r="O438" i="9"/>
  <c r="P438" i="9" s="1"/>
  <c r="N453" i="9"/>
  <c r="O43" i="9"/>
  <c r="P43" i="9" s="1"/>
  <c r="N248" i="9"/>
  <c r="O193" i="9"/>
  <c r="P193" i="9" s="1"/>
  <c r="O581" i="9"/>
  <c r="P581" i="9" s="1"/>
  <c r="O195" i="9"/>
  <c r="P195" i="9" s="1"/>
  <c r="O201" i="9"/>
  <c r="P201" i="9" s="1"/>
  <c r="O206" i="9"/>
  <c r="P206" i="9" s="1"/>
  <c r="N470" i="9"/>
  <c r="O439" i="9"/>
  <c r="P439" i="9" s="1"/>
  <c r="O390" i="9"/>
  <c r="P390" i="9" s="1"/>
  <c r="N543" i="9"/>
  <c r="N385" i="9"/>
  <c r="O107" i="9"/>
  <c r="P107" i="9" s="1"/>
  <c r="O108" i="9"/>
  <c r="P108" i="9" s="1"/>
  <c r="N17" i="9"/>
  <c r="O350" i="9"/>
  <c r="P350" i="9" s="1"/>
  <c r="N423" i="9"/>
  <c r="N526" i="9"/>
  <c r="O594" i="9"/>
  <c r="P594" i="9" s="1"/>
  <c r="O379" i="9"/>
  <c r="P379" i="9" s="1"/>
  <c r="N113" i="9"/>
  <c r="N295" i="9"/>
  <c r="N141" i="9"/>
  <c r="N306" i="9"/>
  <c r="N487" i="9"/>
  <c r="N445" i="9"/>
  <c r="N47" i="9"/>
  <c r="O47" i="9"/>
  <c r="AI47" i="22" s="1"/>
  <c r="O296" i="9"/>
  <c r="P296" i="9" s="1"/>
  <c r="O332" i="9"/>
  <c r="P332" i="9" s="1"/>
  <c r="O402" i="9"/>
  <c r="P402" i="9" s="1"/>
  <c r="N486" i="9"/>
  <c r="N598" i="9"/>
  <c r="N308" i="9"/>
  <c r="O358" i="9"/>
  <c r="P358" i="9" s="1"/>
  <c r="N20" i="9"/>
  <c r="O353" i="9"/>
  <c r="P353" i="9" s="1"/>
  <c r="N366" i="9"/>
  <c r="N427" i="9"/>
  <c r="O368" i="9"/>
  <c r="P368" i="9" s="1"/>
  <c r="N24" i="9"/>
  <c r="N76" i="9"/>
  <c r="O590" i="9"/>
  <c r="P590" i="9" s="1"/>
  <c r="O460" i="9"/>
  <c r="P460" i="9" s="1"/>
  <c r="O49" i="9"/>
  <c r="AI49" i="22" s="1"/>
  <c r="O339" i="9"/>
  <c r="P339" i="9" s="1"/>
  <c r="N379" i="9"/>
  <c r="N112" i="9"/>
  <c r="N293" i="9"/>
  <c r="O501" i="9"/>
  <c r="P501" i="9" s="1"/>
  <c r="N442" i="9"/>
  <c r="O500" i="9"/>
  <c r="P500" i="9" s="1"/>
  <c r="N522" i="9"/>
  <c r="O144" i="9"/>
  <c r="P144" i="9" s="1"/>
  <c r="N7" i="9"/>
  <c r="N491" i="9"/>
  <c r="O814" i="9"/>
  <c r="P814" i="9" s="1"/>
  <c r="N660" i="9"/>
  <c r="N212" i="9"/>
  <c r="O232" i="9"/>
  <c r="P232" i="9" s="1"/>
  <c r="O562" i="9"/>
  <c r="P562" i="9" s="1"/>
  <c r="O786" i="9"/>
  <c r="P786" i="9" s="1"/>
  <c r="O503" i="9"/>
  <c r="P503" i="9" s="1"/>
  <c r="O679" i="9"/>
  <c r="P679" i="9" s="1"/>
  <c r="N233" i="9"/>
  <c r="N651" i="9"/>
  <c r="N430" i="9"/>
  <c r="N727" i="9"/>
  <c r="O344" i="9"/>
  <c r="P344" i="9" s="1"/>
  <c r="N184" i="9"/>
  <c r="O754" i="9"/>
  <c r="P754" i="9" s="1"/>
  <c r="N333" i="9"/>
  <c r="O356" i="9"/>
  <c r="P356" i="9" s="1"/>
  <c r="N446" i="9"/>
  <c r="N311" i="9"/>
  <c r="O335" i="9"/>
  <c r="P335" i="9" s="1"/>
  <c r="O471" i="9"/>
  <c r="P471" i="9" s="1"/>
  <c r="O489" i="9"/>
  <c r="P489" i="9" s="1"/>
  <c r="N552" i="9"/>
  <c r="N375" i="9"/>
  <c r="O149" i="9"/>
  <c r="P149" i="9" s="1"/>
  <c r="O646" i="9"/>
  <c r="P646" i="9" s="1"/>
  <c r="N440" i="9"/>
  <c r="N456" i="9"/>
  <c r="O523" i="9"/>
  <c r="P523" i="9" s="1"/>
  <c r="O21" i="9"/>
  <c r="AI21" i="22" s="1"/>
  <c r="O239" i="9"/>
  <c r="P239" i="9" s="1"/>
  <c r="O196" i="9"/>
  <c r="P196" i="9" s="1"/>
  <c r="N609" i="9"/>
  <c r="O603" i="9"/>
  <c r="P603" i="9" s="1"/>
  <c r="N197" i="9"/>
  <c r="O67" i="9"/>
  <c r="P67" i="9" s="1"/>
  <c r="O533" i="9"/>
  <c r="P533" i="9" s="1"/>
  <c r="N46" i="9"/>
  <c r="N496" i="9"/>
  <c r="N339" i="9"/>
  <c r="O474" i="9"/>
  <c r="P474" i="9" s="1"/>
  <c r="O100" i="9"/>
  <c r="P100" i="9" s="1"/>
  <c r="O114" i="9"/>
  <c r="P114" i="9" s="1"/>
  <c r="N78" i="9"/>
  <c r="O667" i="9"/>
  <c r="P667" i="9" s="1"/>
  <c r="O308" i="9"/>
  <c r="P308" i="9" s="1"/>
  <c r="O477" i="9"/>
  <c r="P477" i="9" s="1"/>
  <c r="O345" i="9"/>
  <c r="P345" i="9" s="1"/>
  <c r="O96" i="9"/>
  <c r="P96" i="9" s="1"/>
  <c r="O17" i="9"/>
  <c r="P17" i="9" s="1"/>
  <c r="N655" i="9"/>
  <c r="O165" i="9"/>
  <c r="P165" i="9" s="1"/>
  <c r="O399" i="9"/>
  <c r="P399" i="9" s="1"/>
  <c r="O535" i="9"/>
  <c r="P535" i="9" s="1"/>
  <c r="N551" i="9"/>
  <c r="O19" i="9"/>
  <c r="P19" i="9" s="1"/>
  <c r="O39" i="9"/>
  <c r="AI39" i="22" s="1"/>
  <c r="N221" i="9"/>
  <c r="O147" i="9"/>
  <c r="P147" i="9" s="1"/>
  <c r="N467" i="9"/>
  <c r="O532" i="9"/>
  <c r="P532" i="9" s="1"/>
  <c r="O316" i="9"/>
  <c r="P316" i="9" s="1"/>
  <c r="N402" i="9"/>
  <c r="O34" i="9"/>
  <c r="P34" i="9" s="1"/>
  <c r="O767" i="9"/>
  <c r="P767" i="9" s="1"/>
  <c r="N577" i="9"/>
  <c r="O400" i="9"/>
  <c r="P400" i="9" s="1"/>
  <c r="O318" i="9"/>
  <c r="P318" i="9" s="1"/>
  <c r="N369" i="9"/>
  <c r="N110" i="9"/>
  <c r="O723" i="9"/>
  <c r="P723" i="9" s="1"/>
  <c r="O159" i="9"/>
  <c r="P159" i="9" s="1"/>
  <c r="N485" i="9"/>
  <c r="N439" i="9"/>
  <c r="O313" i="9"/>
  <c r="P313" i="9" s="1"/>
  <c r="N371" i="9"/>
  <c r="N108" i="9"/>
  <c r="O433" i="9"/>
  <c r="P433" i="9" s="1"/>
  <c r="O156" i="9"/>
  <c r="P156" i="9" s="1"/>
  <c r="N62" i="9"/>
  <c r="N5" i="9"/>
  <c r="N396" i="9"/>
  <c r="N942" i="9"/>
  <c r="N61" i="9"/>
  <c r="N477" i="9"/>
  <c r="N217" i="9"/>
  <c r="N800" i="9"/>
  <c r="O750" i="9"/>
  <c r="P750" i="9" s="1"/>
  <c r="N681" i="9"/>
  <c r="N258" i="9"/>
  <c r="O816" i="9"/>
  <c r="P816" i="9" s="1"/>
  <c r="N187" i="9"/>
  <c r="O752" i="9"/>
  <c r="P752" i="9" s="1"/>
  <c r="O170" i="9"/>
  <c r="P170" i="9" s="1"/>
  <c r="N436" i="9"/>
  <c r="N149" i="9"/>
  <c r="N621" i="9"/>
  <c r="N148" i="9"/>
  <c r="O744" i="9"/>
  <c r="P744" i="9" s="1"/>
  <c r="O42" i="9"/>
  <c r="AI42" i="22" s="1"/>
  <c r="N650" i="9"/>
  <c r="N718" i="9"/>
  <c r="O643" i="9"/>
  <c r="P643" i="9" s="1"/>
  <c r="O404" i="9"/>
  <c r="P404" i="9" s="1"/>
  <c r="N602" i="9"/>
  <c r="N710" i="9"/>
  <c r="O588" i="9"/>
  <c r="P588" i="9" s="1"/>
  <c r="O386" i="9"/>
  <c r="P386" i="9" s="1"/>
  <c r="N515" i="9"/>
  <c r="N390" i="9"/>
  <c r="O725" i="9"/>
  <c r="P725" i="9" s="1"/>
  <c r="N82" i="9"/>
  <c r="N458" i="9"/>
  <c r="N489" i="9"/>
  <c r="O445" i="9"/>
  <c r="P445" i="9" s="1"/>
  <c r="O382" i="9"/>
  <c r="P382" i="9" s="1"/>
  <c r="N80" i="9"/>
  <c r="O223" i="9"/>
  <c r="P223" i="9" s="1"/>
  <c r="N637" i="9"/>
  <c r="O63" i="9"/>
  <c r="P63" i="9" s="1"/>
  <c r="O116" i="9"/>
  <c r="P116" i="9" s="1"/>
  <c r="N634" i="9"/>
  <c r="O467" i="9"/>
  <c r="P467" i="9" s="1"/>
  <c r="N457" i="9"/>
  <c r="N480" i="9"/>
  <c r="N528" i="9"/>
  <c r="O312" i="9"/>
  <c r="P312" i="9" s="1"/>
  <c r="N376" i="9"/>
  <c r="N100" i="9"/>
  <c r="N85" i="9"/>
  <c r="N22" i="9"/>
  <c r="N613" i="9"/>
  <c r="N304" i="9"/>
  <c r="O514" i="9"/>
  <c r="P514" i="9" s="1"/>
  <c r="N105" i="9"/>
  <c r="N28" i="9"/>
  <c r="O79" i="9"/>
  <c r="AI79" i="22" s="1"/>
  <c r="O94" i="9"/>
  <c r="P94" i="9" s="1"/>
  <c r="O611" i="9"/>
  <c r="P611" i="9" s="1"/>
  <c r="N362" i="9"/>
  <c r="N535" i="9"/>
  <c r="O551" i="9"/>
  <c r="P551" i="9" s="1"/>
  <c r="O91" i="9"/>
  <c r="P91" i="9" s="1"/>
  <c r="N92" i="9"/>
  <c r="O706" i="9"/>
  <c r="P706" i="9" s="1"/>
  <c r="N624" i="9"/>
  <c r="O360" i="9"/>
  <c r="P360" i="9" s="1"/>
  <c r="N514" i="9"/>
  <c r="O602" i="9"/>
  <c r="P602" i="9" s="1"/>
  <c r="O372" i="9"/>
  <c r="P372" i="9" s="1"/>
  <c r="N746" i="9"/>
  <c r="O774" i="9"/>
  <c r="P774" i="9" s="1"/>
  <c r="O267" i="9"/>
  <c r="P267" i="9" s="1"/>
  <c r="N773" i="9"/>
  <c r="O561" i="9"/>
  <c r="P561" i="9" s="1"/>
  <c r="N289" i="9"/>
  <c r="O131" i="9"/>
  <c r="P131" i="9" s="1"/>
  <c r="O762" i="9"/>
  <c r="P762" i="9" s="1"/>
  <c r="O333" i="9"/>
  <c r="P333" i="9" s="1"/>
  <c r="O666" i="9"/>
  <c r="P666" i="9" s="1"/>
  <c r="N393" i="9"/>
  <c r="O710" i="9"/>
  <c r="P710" i="9" s="1"/>
  <c r="O504" i="9"/>
  <c r="P504" i="9" s="1"/>
  <c r="N623" i="9"/>
  <c r="O747" i="9"/>
  <c r="P747" i="9" s="1"/>
  <c r="N14" i="9"/>
  <c r="O403" i="9"/>
  <c r="P403" i="9" s="1"/>
  <c r="O388" i="9"/>
  <c r="P388" i="9" s="1"/>
  <c r="O274" i="9"/>
  <c r="P274" i="9" s="1"/>
  <c r="N570" i="9"/>
  <c r="O441" i="9"/>
  <c r="P441" i="9" s="1"/>
  <c r="N518" i="9"/>
  <c r="N337" i="9"/>
  <c r="O746" i="9"/>
  <c r="P746" i="9" s="1"/>
  <c r="O408" i="9"/>
  <c r="P408" i="9" s="1"/>
  <c r="O442" i="9"/>
  <c r="P442" i="9" s="1"/>
  <c r="O425" i="9"/>
  <c r="P425" i="9" s="1"/>
  <c r="O555" i="9"/>
  <c r="P555" i="9" s="1"/>
  <c r="O380" i="9"/>
  <c r="P380" i="9" s="1"/>
  <c r="O74" i="9"/>
  <c r="P74" i="9" s="1"/>
  <c r="N225" i="9"/>
  <c r="N575" i="9"/>
  <c r="N803" i="9"/>
  <c r="N145" i="9"/>
  <c r="O575" i="9"/>
  <c r="P575" i="9" s="1"/>
  <c r="O357" i="9"/>
  <c r="P357" i="9" s="1"/>
  <c r="O151" i="9"/>
  <c r="P151" i="9" s="1"/>
  <c r="N493" i="9"/>
  <c r="O446" i="9"/>
  <c r="P446" i="9" s="1"/>
  <c r="N595" i="9"/>
  <c r="O375" i="9"/>
  <c r="P375" i="9" s="1"/>
  <c r="N29" i="9"/>
  <c r="O61" i="9"/>
  <c r="AI61" i="22" s="1"/>
  <c r="O287" i="9"/>
  <c r="P287" i="9" s="1"/>
  <c r="N561" i="9"/>
  <c r="O459" i="9"/>
  <c r="P459" i="9" s="1"/>
  <c r="O496" i="9"/>
  <c r="P496" i="9" s="1"/>
  <c r="O484" i="9"/>
  <c r="P484" i="9" s="1"/>
  <c r="O29" i="9"/>
  <c r="AI29" i="22" s="1"/>
  <c r="O77" i="9"/>
  <c r="AI77" i="22" s="1"/>
  <c r="N644" i="9"/>
  <c r="N189" i="9"/>
  <c r="O152" i="9"/>
  <c r="P152" i="9" s="1"/>
  <c r="O543" i="9"/>
  <c r="P543" i="9" s="1"/>
  <c r="N548" i="9"/>
  <c r="O942" i="9"/>
  <c r="P942" i="9" s="1"/>
  <c r="N79" i="9"/>
  <c r="O9" i="9"/>
  <c r="P9" i="9" s="1"/>
  <c r="N673" i="9"/>
  <c r="O365" i="9"/>
  <c r="P365" i="9" s="1"/>
  <c r="O148" i="9"/>
  <c r="P148" i="9" s="1"/>
  <c r="O593" i="9"/>
  <c r="P593" i="9" s="1"/>
  <c r="O383" i="9"/>
  <c r="P383" i="9" s="1"/>
  <c r="N102" i="9"/>
  <c r="N265" i="9"/>
  <c r="O653" i="9"/>
  <c r="P653" i="9" s="1"/>
  <c r="N471" i="9"/>
  <c r="N317" i="9"/>
  <c r="O122" i="9"/>
  <c r="P122" i="9" s="1"/>
  <c r="O40" i="9"/>
  <c r="AI40" i="22" s="1"/>
  <c r="O248" i="9"/>
  <c r="P248" i="9" s="1"/>
  <c r="N664" i="9"/>
  <c r="O71" i="9"/>
  <c r="AI71" i="22" s="1"/>
  <c r="N320" i="9"/>
  <c r="N392" i="9"/>
  <c r="O177" i="9"/>
  <c r="P177" i="9" s="1"/>
  <c r="O763" i="9"/>
  <c r="P763" i="9" s="1"/>
  <c r="N736" i="9"/>
  <c r="O423" i="9"/>
  <c r="P423" i="9" s="1"/>
  <c r="N665" i="9"/>
  <c r="N45" i="9"/>
  <c r="N420" i="9"/>
  <c r="O563" i="9"/>
  <c r="P563" i="9" s="1"/>
  <c r="N15" i="9"/>
  <c r="O429" i="9"/>
  <c r="P429" i="9" s="1"/>
  <c r="O15" i="9"/>
  <c r="P15" i="9" s="1"/>
  <c r="N124" i="9"/>
  <c r="O529" i="9"/>
  <c r="P529" i="9" s="1"/>
  <c r="N663" i="9"/>
  <c r="N476" i="9"/>
  <c r="O23" i="9"/>
  <c r="P23" i="9" s="1"/>
  <c r="O465" i="9"/>
  <c r="P465" i="9" s="1"/>
  <c r="O214" i="9"/>
  <c r="P214" i="9" s="1"/>
  <c r="O87" i="9"/>
  <c r="P87" i="9" s="1"/>
  <c r="O481" i="9"/>
  <c r="P481" i="9" s="1"/>
  <c r="O391" i="9"/>
  <c r="P391" i="9" s="1"/>
  <c r="N378" i="9"/>
  <c r="O293" i="9"/>
  <c r="P293" i="9" s="1"/>
  <c r="N563" i="9"/>
  <c r="N559" i="9"/>
  <c r="O111" i="9"/>
  <c r="P111" i="9" s="1"/>
  <c r="N147" i="9"/>
  <c r="O486" i="9"/>
  <c r="P486" i="9" s="1"/>
  <c r="O370" i="9"/>
  <c r="P370" i="9" s="1"/>
  <c r="O751" i="9"/>
  <c r="P751" i="9" s="1"/>
  <c r="N87" i="9"/>
  <c r="O559" i="9"/>
  <c r="P559" i="9" s="1"/>
  <c r="N19" i="9"/>
  <c r="O273" i="9"/>
  <c r="P273" i="9" s="1"/>
  <c r="N582" i="9"/>
  <c r="N314" i="9"/>
  <c r="N21" i="9"/>
  <c r="N353" i="9"/>
  <c r="O311" i="9"/>
  <c r="P311" i="9" s="1"/>
  <c r="O552" i="9"/>
  <c r="P552" i="9" s="1"/>
  <c r="N153" i="9"/>
  <c r="N37" i="9"/>
  <c r="O677" i="9"/>
  <c r="P677" i="9" s="1"/>
  <c r="N461" i="9"/>
  <c r="N601" i="9"/>
  <c r="O97" i="9"/>
  <c r="P97" i="9" s="1"/>
  <c r="N666" i="9"/>
  <c r="N358" i="9"/>
  <c r="O88" i="9"/>
  <c r="P88" i="9" s="1"/>
  <c r="N253" i="9"/>
  <c r="N479" i="9"/>
  <c r="O219" i="9"/>
  <c r="P219" i="9" s="1"/>
  <c r="O128" i="9"/>
  <c r="P128" i="9" s="1"/>
  <c r="O630" i="9"/>
  <c r="P630" i="9" s="1"/>
  <c r="N121" i="9"/>
  <c r="O436" i="9"/>
  <c r="P436" i="9" s="1"/>
  <c r="N99" i="9"/>
  <c r="O799" i="9"/>
  <c r="P799" i="9" s="1"/>
  <c r="N611" i="9"/>
  <c r="O384" i="9"/>
  <c r="P384" i="9" s="1"/>
  <c r="O794" i="9"/>
  <c r="P794" i="9" s="1"/>
  <c r="O748" i="9"/>
  <c r="P748" i="9" s="1"/>
  <c r="N297" i="9"/>
  <c r="N422" i="9"/>
  <c r="O792" i="9"/>
  <c r="P792" i="9" s="1"/>
  <c r="N628" i="9"/>
  <c r="N780" i="9"/>
  <c r="N614" i="9"/>
  <c r="N335" i="9"/>
  <c r="N525" i="9"/>
  <c r="O348" i="9"/>
  <c r="P348" i="9" s="1"/>
  <c r="N3" i="9"/>
  <c r="N361" i="9"/>
  <c r="O645" i="9"/>
  <c r="P645" i="9" s="1"/>
  <c r="O171" i="9"/>
  <c r="P171" i="9" s="1"/>
  <c r="N157" i="9"/>
  <c r="O411" i="9"/>
  <c r="P411" i="9" s="1"/>
  <c r="N188" i="9"/>
  <c r="O671" i="9"/>
  <c r="P671" i="9" s="1"/>
  <c r="O428" i="9"/>
  <c r="P428" i="9" s="1"/>
  <c r="N498" i="9"/>
  <c r="O376" i="9"/>
  <c r="P376" i="9" s="1"/>
  <c r="N50" i="9"/>
  <c r="O512" i="9"/>
  <c r="P512" i="9" s="1"/>
  <c r="N316" i="9"/>
  <c r="N97" i="9"/>
  <c r="O566" i="9"/>
  <c r="P566" i="9" s="1"/>
  <c r="O482" i="9"/>
  <c r="P482" i="9" s="1"/>
  <c r="O359" i="9"/>
  <c r="P359" i="9" s="1"/>
  <c r="N707" i="9"/>
  <c r="O652" i="9"/>
  <c r="P652" i="9" s="1"/>
  <c r="O557" i="9"/>
  <c r="P557" i="9" s="1"/>
  <c r="O27" i="9"/>
  <c r="AI27" i="22" s="1"/>
  <c r="O240" i="9"/>
  <c r="P240" i="9" s="1"/>
  <c r="O422" i="9"/>
  <c r="P422" i="9" s="1"/>
  <c r="N413" i="9"/>
  <c r="O76" i="9"/>
  <c r="AI76" i="22" s="1"/>
  <c r="O568" i="9"/>
  <c r="P568" i="9" s="1"/>
  <c r="O490" i="9"/>
  <c r="P490" i="9" s="1"/>
  <c r="O596" i="9"/>
  <c r="P596" i="9" s="1"/>
  <c r="N140" i="9"/>
  <c r="N227" i="9"/>
  <c r="N798" i="9"/>
  <c r="O487" i="9"/>
  <c r="P487" i="9" s="1"/>
  <c r="O444" i="9"/>
  <c r="P444" i="9" s="1"/>
  <c r="O44" i="9"/>
  <c r="AI44" i="22" s="1"/>
  <c r="O56" i="9"/>
  <c r="P56" i="9" s="1"/>
  <c r="O10" i="9"/>
  <c r="P10" i="9" s="1"/>
  <c r="O392" i="9"/>
  <c r="P392" i="9" s="1"/>
  <c r="O194" i="9"/>
  <c r="P194" i="9" s="1"/>
  <c r="N556" i="9"/>
  <c r="N54" i="9"/>
  <c r="O109" i="9"/>
  <c r="P109" i="9" s="1"/>
  <c r="O51" i="9"/>
  <c r="P51" i="9" s="1"/>
  <c r="O99" i="9"/>
  <c r="P99" i="9" s="1"/>
  <c r="O426" i="9"/>
  <c r="P426" i="9" s="1"/>
  <c r="O492" i="9"/>
  <c r="P492" i="9" s="1"/>
  <c r="O776" i="9"/>
  <c r="P776" i="9" s="1"/>
  <c r="N368" i="9"/>
  <c r="N127" i="9"/>
  <c r="O801" i="9"/>
  <c r="P801" i="9" s="1"/>
  <c r="N758" i="9"/>
  <c r="N697" i="9"/>
  <c r="O244" i="9"/>
  <c r="P244" i="9" s="1"/>
  <c r="N732" i="9"/>
  <c r="N384" i="9"/>
  <c r="O297" i="9"/>
  <c r="P297" i="9" s="1"/>
  <c r="O513" i="9"/>
  <c r="P513" i="9" s="1"/>
  <c r="N580" i="9"/>
  <c r="N449" i="9"/>
  <c r="O622" i="9"/>
  <c r="P622" i="9" s="1"/>
  <c r="N524" i="9"/>
  <c r="N712" i="9"/>
  <c r="N519" i="9"/>
  <c r="N494" i="9"/>
  <c r="O80" i="9"/>
  <c r="P80" i="9" s="1"/>
  <c r="N652" i="9"/>
  <c r="O123" i="9"/>
  <c r="P123" i="9" s="1"/>
  <c r="O401" i="9"/>
  <c r="P401" i="9" s="1"/>
  <c r="N558" i="9"/>
  <c r="O341" i="9"/>
  <c r="P341" i="9" s="1"/>
  <c r="O121" i="9"/>
  <c r="P121" i="9" s="1"/>
  <c r="O211" i="9"/>
  <c r="P211" i="9" s="1"/>
  <c r="N403" i="9"/>
  <c r="O420" i="9"/>
  <c r="P420" i="9" s="1"/>
  <c r="N77" i="9"/>
  <c r="O632" i="9"/>
  <c r="P632" i="9" s="1"/>
  <c r="N389" i="9"/>
  <c r="N111" i="9"/>
  <c r="O145" i="9"/>
  <c r="P145" i="9" s="1"/>
  <c r="O488" i="9"/>
  <c r="P488" i="9" s="1"/>
  <c r="O556" i="9"/>
  <c r="P556" i="9" s="1"/>
  <c r="O98" i="9"/>
  <c r="P98" i="9" s="1"/>
  <c r="N331" i="9"/>
  <c r="N527" i="9"/>
  <c r="O105" i="9"/>
  <c r="P105" i="9" s="1"/>
  <c r="O22" i="9"/>
  <c r="P22" i="9" s="1"/>
  <c r="O573" i="9"/>
  <c r="P573" i="9" s="1"/>
  <c r="O455" i="9"/>
  <c r="P455" i="9" s="1"/>
  <c r="O314" i="9"/>
  <c r="P314" i="9" s="1"/>
  <c r="N91" i="9"/>
  <c r="N218" i="9"/>
  <c r="O584" i="9"/>
  <c r="P584" i="9" s="1"/>
  <c r="O478" i="9"/>
  <c r="P478" i="9" s="1"/>
  <c r="O473" i="9"/>
  <c r="P473" i="9" s="1"/>
  <c r="N6" i="9"/>
  <c r="O416" i="9"/>
  <c r="P416" i="9" s="1"/>
  <c r="N70" i="9"/>
  <c r="O336" i="9"/>
  <c r="P336" i="9" s="1"/>
  <c r="N501" i="9"/>
  <c r="N441" i="9"/>
  <c r="O579" i="9"/>
  <c r="P579" i="9" s="1"/>
  <c r="N10" i="9"/>
  <c r="O355" i="9"/>
  <c r="P355" i="9" s="1"/>
  <c r="O60" i="9"/>
  <c r="AI60" i="22" s="1"/>
  <c r="N426" i="9"/>
  <c r="O113" i="9"/>
  <c r="P113" i="9" s="1"/>
  <c r="N791" i="9"/>
  <c r="N23" i="9"/>
  <c r="O30" i="9"/>
  <c r="AI30" i="22" s="1"/>
  <c r="O172" i="9"/>
  <c r="P172" i="9" s="1"/>
  <c r="N202" i="9"/>
  <c r="N472" i="9"/>
  <c r="O580" i="9"/>
  <c r="P580" i="9" s="1"/>
  <c r="O249" i="9"/>
  <c r="P249" i="9" s="1"/>
  <c r="N134" i="9"/>
  <c r="O458" i="9"/>
  <c r="P458" i="9" s="1"/>
  <c r="N168" i="9"/>
  <c r="O306" i="9"/>
  <c r="P306" i="9" s="1"/>
  <c r="O124" i="9"/>
  <c r="P124" i="9" s="1"/>
  <c r="O610" i="9"/>
  <c r="P610" i="9" s="1"/>
  <c r="O631" i="9"/>
  <c r="P631" i="9" s="1"/>
  <c r="N154" i="9"/>
  <c r="N65" i="9"/>
  <c r="O599" i="9"/>
  <c r="P599" i="9" s="1"/>
  <c r="N139" i="9"/>
  <c r="N744" i="9"/>
  <c r="O684" i="9"/>
  <c r="P684" i="9" s="1"/>
  <c r="N183" i="9"/>
  <c r="O740" i="9"/>
  <c r="P740" i="9" s="1"/>
  <c r="N418" i="9"/>
  <c r="N230" i="9"/>
  <c r="N387" i="9"/>
  <c r="N241" i="9"/>
  <c r="N546" i="9"/>
  <c r="O798" i="9"/>
  <c r="P798" i="9" s="1"/>
  <c r="N478" i="9"/>
  <c r="N698" i="9"/>
  <c r="O520" i="9"/>
  <c r="P520" i="9" s="1"/>
  <c r="N593" i="9"/>
  <c r="O32" i="9"/>
  <c r="AI32" i="22" s="1"/>
  <c r="N560" i="9"/>
  <c r="O125" i="9"/>
  <c r="P125" i="9" s="1"/>
  <c r="N484" i="9"/>
  <c r="O317" i="9"/>
  <c r="P317" i="9" s="1"/>
  <c r="O544" i="9"/>
  <c r="P544" i="9" s="1"/>
  <c r="O157" i="9"/>
  <c r="P157" i="9" s="1"/>
  <c r="N688" i="9"/>
  <c r="N469" i="9"/>
  <c r="N511" i="9"/>
  <c r="N55" i="9"/>
  <c r="N443" i="9"/>
  <c r="N451" i="9"/>
  <c r="N114" i="9"/>
  <c r="O587" i="9"/>
  <c r="P587" i="9" s="1"/>
  <c r="O516" i="9"/>
  <c r="P516" i="9" s="1"/>
  <c r="O346" i="9"/>
  <c r="P346" i="9" s="1"/>
  <c r="O75" i="9"/>
  <c r="AI75" i="22" s="1"/>
  <c r="N502" i="9"/>
  <c r="N428" i="9"/>
  <c r="O378" i="9"/>
  <c r="P378" i="9" s="1"/>
  <c r="N58" i="9"/>
  <c r="O609" i="9"/>
  <c r="P609" i="9" s="1"/>
  <c r="O491" i="9"/>
  <c r="P491" i="9" s="1"/>
  <c r="O320" i="9"/>
  <c r="P320" i="9" s="1"/>
  <c r="O85" i="9"/>
  <c r="AI85" i="22" s="1"/>
  <c r="O167" i="9"/>
  <c r="P167" i="9" s="1"/>
  <c r="N354" i="9"/>
  <c r="N431" i="9"/>
  <c r="N307" i="9"/>
  <c r="O7" i="9"/>
  <c r="P7" i="9" s="1"/>
  <c r="O389" i="9"/>
  <c r="P389" i="9" s="1"/>
  <c r="O604" i="9"/>
  <c r="P604" i="9" s="1"/>
  <c r="N64" i="9"/>
  <c r="N579" i="9"/>
  <c r="O28" i="9"/>
  <c r="P28" i="9" s="1"/>
  <c r="O59" i="9"/>
  <c r="AI59" i="22" s="1"/>
  <c r="O772" i="9"/>
  <c r="P772" i="9" s="1"/>
  <c r="N89" i="9"/>
  <c r="N40" i="9"/>
  <c r="N497" i="9"/>
  <c r="O790" i="9"/>
  <c r="P790" i="9" s="1"/>
  <c r="N178" i="9"/>
  <c r="O58" i="9"/>
  <c r="P58" i="9" s="1"/>
  <c r="O787" i="9"/>
  <c r="P787" i="9" s="1"/>
  <c r="N788" i="9"/>
  <c r="N163" i="9"/>
  <c r="O654" i="9"/>
  <c r="P654" i="9" s="1"/>
  <c r="N312" i="9"/>
  <c r="O440" i="9"/>
  <c r="P440" i="9" s="1"/>
  <c r="O704" i="9"/>
  <c r="P704" i="9" s="1"/>
  <c r="N550" i="9"/>
  <c r="O112" i="9"/>
  <c r="P112" i="9" s="1"/>
  <c r="O711" i="9"/>
  <c r="P711" i="9" s="1"/>
  <c r="N668" i="9"/>
  <c r="O153" i="9"/>
  <c r="P153" i="9" s="1"/>
  <c r="O55" i="9"/>
  <c r="AI55" i="22" s="1"/>
  <c r="O437" i="9"/>
  <c r="P437" i="9" s="1"/>
  <c r="N84" i="9"/>
  <c r="O54" i="9"/>
  <c r="AI54" i="22" s="1"/>
  <c r="O577" i="9"/>
  <c r="P577" i="9" s="1"/>
  <c r="N144" i="9"/>
  <c r="N194" i="9"/>
  <c r="O185" i="9"/>
  <c r="P185" i="9" s="1"/>
  <c r="N685" i="9"/>
  <c r="N236" i="9"/>
  <c r="N542" i="9"/>
  <c r="O210" i="9"/>
  <c r="P210" i="9" s="1"/>
  <c r="N553" i="9"/>
  <c r="N620" i="9"/>
  <c r="O347" i="9"/>
  <c r="P347" i="9" s="1"/>
  <c r="N586" i="9"/>
  <c r="O393" i="9"/>
  <c r="P393" i="9" s="1"/>
  <c r="O250" i="9"/>
  <c r="P250" i="9" s="1"/>
  <c r="O435" i="9"/>
  <c r="P435" i="9" s="1"/>
  <c r="N495" i="9"/>
  <c r="N683" i="9"/>
  <c r="O130" i="9"/>
  <c r="P130" i="9" s="1"/>
  <c r="O668" i="9"/>
  <c r="P668" i="9" s="1"/>
  <c r="O406" i="9"/>
  <c r="P406" i="9" s="1"/>
  <c r="N448" i="9"/>
  <c r="N51" i="9"/>
  <c r="N122" i="9"/>
  <c r="N103" i="9"/>
  <c r="N152" i="9"/>
  <c r="N374" i="9"/>
  <c r="N60" i="9"/>
  <c r="O553" i="9"/>
  <c r="P553" i="9" s="1"/>
  <c r="N391" i="9"/>
  <c r="O102" i="9"/>
  <c r="P102" i="9" s="1"/>
  <c r="O539" i="9"/>
  <c r="P539" i="9" s="1"/>
  <c r="N48" i="9"/>
  <c r="O595" i="9"/>
  <c r="P595" i="9" s="1"/>
  <c r="O33" i="9"/>
  <c r="AI33" i="22" s="1"/>
  <c r="O141" i="9"/>
  <c r="P141" i="9" s="1"/>
  <c r="O89" i="9"/>
  <c r="P89" i="9" s="1"/>
  <c r="O129" i="9"/>
  <c r="P129" i="9" s="1"/>
  <c r="N39" i="9"/>
  <c r="O592" i="9"/>
  <c r="P592" i="9" s="1"/>
  <c r="N532" i="9"/>
  <c r="N531" i="9"/>
  <c r="O52" i="9"/>
  <c r="AI52" i="22" s="1"/>
  <c r="N125" i="9"/>
  <c r="O470" i="9"/>
  <c r="P470" i="9" s="1"/>
  <c r="O526" i="9"/>
  <c r="P526" i="9" s="1"/>
  <c r="N129" i="9"/>
  <c r="O57" i="9"/>
  <c r="AI57" i="22" s="1"/>
  <c r="O449" i="9"/>
  <c r="P449" i="9" s="1"/>
  <c r="N859" i="9"/>
  <c r="O64" i="9"/>
  <c r="AI64" i="22" s="1"/>
  <c r="O572" i="9"/>
  <c r="P572" i="9" s="1"/>
  <c r="O101" i="9"/>
  <c r="P101" i="9" s="1"/>
  <c r="N444" i="9"/>
  <c r="N219" i="9"/>
  <c r="O41" i="9"/>
  <c r="P41" i="9" s="1"/>
  <c r="O246" i="9"/>
  <c r="P246" i="9" s="1"/>
  <c r="N492" i="9"/>
  <c r="N799" i="9"/>
  <c r="O12" i="9"/>
  <c r="P12" i="9" s="1"/>
  <c r="N776" i="9"/>
  <c r="O788" i="9"/>
  <c r="P788" i="9" s="1"/>
  <c r="O62" i="9"/>
  <c r="P62" i="9" s="1"/>
  <c r="N395" i="9"/>
  <c r="N246" i="9"/>
  <c r="O322" i="9"/>
  <c r="P322" i="9" s="1"/>
  <c r="O554" i="9"/>
  <c r="P554" i="9" s="1"/>
  <c r="N115" i="9"/>
  <c r="N523" i="9"/>
  <c r="N32" i="9"/>
  <c r="O299" i="9"/>
  <c r="P299" i="9" s="1"/>
  <c r="O413" i="9"/>
  <c r="P413" i="9" s="1"/>
  <c r="O464" i="9"/>
  <c r="P464" i="9" s="1"/>
  <c r="N739" i="9"/>
  <c r="O73" i="9"/>
  <c r="P73" i="9" s="1"/>
  <c r="N347" i="9"/>
  <c r="N568" i="9"/>
  <c r="N790" i="9"/>
  <c r="O236" i="9"/>
  <c r="P236" i="9" s="1"/>
  <c r="O424" i="9"/>
  <c r="P424" i="9" s="1"/>
  <c r="N169" i="9"/>
  <c r="O522" i="9"/>
  <c r="P522" i="9" s="1"/>
  <c r="O542" i="9"/>
  <c r="P542" i="9" s="1"/>
  <c r="N380" i="9"/>
  <c r="O53" i="9"/>
  <c r="AI53" i="22" s="1"/>
  <c r="O398" i="9"/>
  <c r="P398" i="9" s="1"/>
  <c r="O524" i="9"/>
  <c r="P524" i="9" s="1"/>
  <c r="N447" i="9"/>
  <c r="N56" i="9"/>
  <c r="O450" i="9"/>
  <c r="P450" i="9" s="1"/>
  <c r="O37" i="9"/>
  <c r="P37" i="9" s="1"/>
  <c r="O531" i="9"/>
  <c r="P531" i="9" s="1"/>
  <c r="N801" i="9"/>
  <c r="O761" i="9"/>
  <c r="P761" i="9" s="1"/>
  <c r="O832" i="9"/>
  <c r="P832" i="9" s="1"/>
  <c r="O612" i="9"/>
  <c r="P612" i="9" s="1"/>
  <c r="N619" i="9"/>
  <c r="O199" i="9"/>
  <c r="P199" i="9" s="1"/>
  <c r="N507" i="9"/>
  <c r="O216" i="9"/>
  <c r="P216" i="9" s="1"/>
  <c r="N179" i="9"/>
  <c r="N88" i="9"/>
  <c r="O284" i="9"/>
  <c r="P284" i="9" s="1"/>
  <c r="N120" i="9"/>
  <c r="N506" i="9"/>
  <c r="O330" i="9"/>
  <c r="P330" i="9" s="1"/>
  <c r="O106" i="9"/>
  <c r="P106" i="9" s="1"/>
  <c r="O374" i="9"/>
  <c r="P374" i="9" s="1"/>
  <c r="N136" i="9"/>
  <c r="N720" i="9"/>
  <c r="N631" i="9"/>
  <c r="O461" i="9"/>
  <c r="P461" i="9" s="1"/>
  <c r="N599" i="9"/>
  <c r="N373" i="9"/>
  <c r="N73" i="9"/>
  <c r="N573" i="9"/>
  <c r="N41" i="9"/>
  <c r="N2" i="9"/>
  <c r="O502" i="9"/>
  <c r="P502" i="9" s="1"/>
  <c r="O517" i="9"/>
  <c r="P517" i="9" s="1"/>
  <c r="O519" i="9"/>
  <c r="P519" i="9" s="1"/>
  <c r="N768" i="9"/>
  <c r="N669" i="9"/>
  <c r="O528" i="9"/>
  <c r="P528" i="9" s="1"/>
  <c r="N30" i="9"/>
  <c r="N751" i="9"/>
  <c r="O650" i="9"/>
  <c r="P650" i="9" s="1"/>
  <c r="N318" i="9"/>
  <c r="N31" i="9"/>
  <c r="N243" i="9"/>
  <c r="O511" i="9"/>
  <c r="P511" i="9" s="1"/>
  <c r="N321" i="9"/>
  <c r="N128" i="9"/>
  <c r="O20" i="9"/>
  <c r="P20" i="9" s="1"/>
  <c r="O187" i="9"/>
  <c r="P187" i="9" s="1"/>
  <c r="N309" i="9"/>
  <c r="O394" i="9"/>
  <c r="P394" i="9" s="1"/>
  <c r="N101" i="9"/>
  <c r="N504" i="9"/>
  <c r="N107" i="9"/>
  <c r="O46" i="9"/>
  <c r="P46" i="9" s="1"/>
  <c r="N802" i="9"/>
  <c r="N429" i="9"/>
  <c r="O291" i="9"/>
  <c r="P291" i="9" s="1"/>
  <c r="O369" i="9"/>
  <c r="P369" i="9" s="1"/>
  <c r="N565" i="9"/>
  <c r="O447" i="9"/>
  <c r="P447" i="9" s="1"/>
  <c r="N216" i="9"/>
  <c r="N27" i="9"/>
  <c r="N516" i="9"/>
  <c r="O183" i="9"/>
  <c r="P183" i="9" s="1"/>
  <c r="N539" i="9"/>
  <c r="O791" i="9"/>
  <c r="P791" i="9" s="1"/>
  <c r="N787" i="9"/>
  <c r="H39" i="13"/>
  <c r="O78" i="9"/>
  <c r="AI78" i="22" s="1"/>
  <c r="O430" i="9"/>
  <c r="P430" i="9" s="1"/>
  <c r="N409" i="9"/>
  <c r="O25" i="9"/>
  <c r="AI25" i="22" s="1"/>
  <c r="N642" i="9"/>
  <c r="O613" i="9"/>
  <c r="P613" i="9" s="1"/>
  <c r="N283" i="9"/>
  <c r="N767" i="9"/>
  <c r="N370" i="9"/>
  <c r="O521" i="9"/>
  <c r="P521" i="9" s="1"/>
  <c r="N96" i="9"/>
  <c r="N43" i="9"/>
  <c r="N557" i="9"/>
  <c r="N344" i="9"/>
  <c r="N245" i="9"/>
  <c r="F56" i="13"/>
  <c r="F45" i="13"/>
  <c r="G37" i="13"/>
  <c r="H63" i="13"/>
  <c r="G57" i="13"/>
  <c r="O197" i="9"/>
  <c r="P197" i="9" s="1"/>
  <c r="O371" i="9"/>
  <c r="P371" i="9" s="1"/>
  <c r="N555" i="9"/>
  <c r="N438" i="9"/>
  <c r="O625" i="9"/>
  <c r="P625" i="9" s="1"/>
  <c r="N377" i="9"/>
  <c r="N464" i="9"/>
  <c r="O550" i="9"/>
  <c r="P550" i="9" s="1"/>
  <c r="N686" i="9"/>
  <c r="N401" i="9"/>
  <c r="O624" i="9"/>
  <c r="P624" i="9" s="1"/>
  <c r="O92" i="9"/>
  <c r="P92" i="9" s="1"/>
  <c r="N490" i="9"/>
  <c r="O395" i="9"/>
  <c r="P395" i="9" s="1"/>
  <c r="O373" i="9"/>
  <c r="P373" i="9" s="1"/>
  <c r="N164" i="9"/>
  <c r="O31" i="9"/>
  <c r="P31" i="9" s="1"/>
  <c r="O262" i="9"/>
  <c r="P262" i="9" s="1"/>
  <c r="N33" i="9"/>
  <c r="N372" i="9"/>
  <c r="O640" i="9"/>
  <c r="P640" i="9" s="1"/>
  <c r="N199" i="9"/>
  <c r="N381" i="9"/>
  <c r="O338" i="9"/>
  <c r="P338" i="9" s="1"/>
  <c r="N138" i="9"/>
  <c r="N38" i="9"/>
  <c r="O354" i="9"/>
  <c r="P354" i="9" s="1"/>
  <c r="N336" i="9"/>
  <c r="O493" i="9"/>
  <c r="P493" i="9" s="1"/>
  <c r="O134" i="9"/>
  <c r="P134" i="9" s="1"/>
  <c r="N794" i="9"/>
  <c r="O682" i="9"/>
  <c r="P682" i="9" s="1"/>
  <c r="N44" i="9"/>
  <c r="N405" i="9"/>
  <c r="N600" i="9"/>
  <c r="O168" i="9"/>
  <c r="P168" i="9" s="1"/>
  <c r="N106" i="9"/>
  <c r="N404" i="9"/>
  <c r="O647" i="9"/>
  <c r="P647" i="9" s="1"/>
  <c r="H50" i="13"/>
  <c r="H38" i="13"/>
  <c r="G50" i="13"/>
  <c r="H51" i="13"/>
  <c r="F51" i="13"/>
  <c r="G44" i="13"/>
  <c r="M15" i="22"/>
  <c r="F50" i="13"/>
  <c r="H45" i="13"/>
  <c r="F63" i="13"/>
  <c r="H31" i="13"/>
  <c r="G31" i="13"/>
  <c r="H44" i="13"/>
  <c r="F16" i="13"/>
  <c r="F4" i="13"/>
  <c r="F49" i="13"/>
  <c r="F57" i="13"/>
  <c r="F34" i="13"/>
  <c r="G56" i="13"/>
  <c r="F39" i="13"/>
  <c r="G38" i="13"/>
  <c r="H36" i="13"/>
  <c r="G36" i="13"/>
  <c r="F30" i="13"/>
  <c r="F55" i="13"/>
  <c r="G45" i="13"/>
  <c r="G51" i="13"/>
  <c r="H62" i="13"/>
  <c r="F31" i="13"/>
  <c r="F8" i="13"/>
  <c r="F12" i="13"/>
  <c r="F38" i="13"/>
  <c r="H30" i="13"/>
  <c r="G30" i="13"/>
  <c r="G63" i="13"/>
  <c r="F28" i="13"/>
  <c r="F24" i="13"/>
  <c r="G62" i="13"/>
  <c r="F37" i="13"/>
  <c r="H37" i="13"/>
  <c r="F20" i="13"/>
  <c r="H56" i="13"/>
  <c r="F36" i="13"/>
  <c r="G39" i="13"/>
  <c r="D8" i="20"/>
  <c r="D37" i="20"/>
  <c r="N785" i="9"/>
  <c r="M1" i="22"/>
  <c r="R15" i="22"/>
  <c r="Q1" i="22"/>
  <c r="P1" i="22"/>
  <c r="O1" i="22"/>
  <c r="N1" i="22"/>
  <c r="S1" i="22"/>
  <c r="R1" i="22"/>
  <c r="P15" i="22"/>
  <c r="O15" i="22"/>
  <c r="N15" i="22"/>
  <c r="S15" i="22"/>
  <c r="G59" i="13"/>
  <c r="H18" i="13"/>
  <c r="F15" i="13"/>
  <c r="G33" i="13"/>
  <c r="G46" i="13"/>
  <c r="G32" i="13"/>
  <c r="F41" i="13"/>
  <c r="H58" i="13"/>
  <c r="H26" i="13"/>
  <c r="G632" i="9"/>
  <c r="G678" i="9"/>
  <c r="G639" i="9"/>
  <c r="G623" i="9"/>
  <c r="G141" i="9"/>
  <c r="G462" i="9"/>
  <c r="G139" i="9"/>
  <c r="G636" i="9"/>
  <c r="G666" i="9"/>
  <c r="G668" i="9"/>
  <c r="G189" i="9"/>
  <c r="G517" i="9"/>
  <c r="G556" i="9"/>
  <c r="G602" i="9"/>
  <c r="G467" i="9"/>
  <c r="G310" i="9"/>
  <c r="G99" i="9"/>
  <c r="G499" i="9"/>
  <c r="G223" i="9"/>
  <c r="G457" i="9"/>
  <c r="G321" i="9"/>
  <c r="G471" i="9"/>
  <c r="G521" i="9"/>
  <c r="G50" i="9"/>
  <c r="G407" i="9"/>
  <c r="G403" i="9"/>
  <c r="G29" i="9"/>
  <c r="G69" i="9"/>
  <c r="G597" i="9"/>
  <c r="G404" i="9"/>
  <c r="G92" i="9"/>
  <c r="G60" i="9"/>
  <c r="G323" i="9"/>
  <c r="O837" i="9"/>
  <c r="P837" i="9" s="1"/>
  <c r="O840" i="9"/>
  <c r="P840" i="9" s="1"/>
  <c r="O818" i="9"/>
  <c r="P818" i="9" s="1"/>
  <c r="O831" i="9"/>
  <c r="P831" i="9" s="1"/>
  <c r="N828" i="9"/>
  <c r="O302" i="9"/>
  <c r="P302" i="9" s="1"/>
  <c r="O824" i="9"/>
  <c r="P824" i="9" s="1"/>
  <c r="N805" i="9"/>
  <c r="N687" i="9"/>
  <c r="N804" i="9"/>
  <c r="O769" i="9"/>
  <c r="P769" i="9" s="1"/>
  <c r="N745" i="9"/>
  <c r="O718" i="9"/>
  <c r="P718" i="9" s="1"/>
  <c r="O731" i="9"/>
  <c r="P731" i="9" s="1"/>
  <c r="O325" i="9"/>
  <c r="P325" i="9" s="1"/>
  <c r="N250" i="9"/>
  <c r="N284" i="9"/>
  <c r="N433" i="9"/>
  <c r="N747" i="9"/>
  <c r="O268" i="9"/>
  <c r="P268" i="9" s="1"/>
  <c r="N287" i="9"/>
  <c r="N229" i="9"/>
  <c r="O283" i="9"/>
  <c r="P283" i="9" s="1"/>
  <c r="O760" i="9"/>
  <c r="P760" i="9" s="1"/>
  <c r="O13" i="9"/>
  <c r="P13" i="9" s="1"/>
  <c r="O705" i="9"/>
  <c r="P705" i="9" s="1"/>
  <c r="N95" i="9"/>
  <c r="N466" i="9"/>
  <c r="O410" i="9"/>
  <c r="P410" i="9" s="1"/>
  <c r="N837" i="9"/>
  <c r="O835" i="9"/>
  <c r="P835" i="9" s="1"/>
  <c r="N831" i="9"/>
  <c r="O24" i="9"/>
  <c r="O778" i="9"/>
  <c r="P778" i="9" s="1"/>
  <c r="O838" i="9"/>
  <c r="P838" i="9" s="1"/>
  <c r="O841" i="9"/>
  <c r="P841" i="9" s="1"/>
  <c r="N838" i="9"/>
  <c r="N870" i="9"/>
  <c r="O870" i="9"/>
  <c r="P870" i="9" s="1"/>
  <c r="N834" i="9"/>
  <c r="N817" i="9"/>
  <c r="O828" i="9"/>
  <c r="P828" i="9" s="1"/>
  <c r="N894" i="9"/>
  <c r="N821" i="9"/>
  <c r="N808" i="9"/>
  <c r="O834" i="9"/>
  <c r="P834" i="9" s="1"/>
  <c r="N795" i="9"/>
  <c r="N820" i="9"/>
  <c r="N835" i="9"/>
  <c r="N818" i="9"/>
  <c r="O894" i="9"/>
  <c r="P894" i="9" s="1"/>
  <c r="N903" i="9"/>
  <c r="N839" i="9"/>
  <c r="O842" i="9"/>
  <c r="P842" i="9" s="1"/>
  <c r="N826" i="9"/>
  <c r="N302" i="9"/>
  <c r="O795" i="9"/>
  <c r="P795" i="9" s="1"/>
  <c r="N823" i="9"/>
  <c r="O889" i="9"/>
  <c r="P889" i="9" s="1"/>
  <c r="O806" i="9"/>
  <c r="P806" i="9" s="1"/>
  <c r="O843" i="9"/>
  <c r="P843" i="9" s="1"/>
  <c r="N840" i="9"/>
  <c r="O797" i="9"/>
  <c r="P797" i="9" s="1"/>
  <c r="O858" i="9"/>
  <c r="P858" i="9" s="1"/>
  <c r="N858" i="9"/>
  <c r="O811" i="9"/>
  <c r="P811" i="9" s="1"/>
  <c r="O817" i="9"/>
  <c r="P817" i="9" s="1"/>
  <c r="O836" i="9"/>
  <c r="P836" i="9" s="1"/>
  <c r="O803" i="9"/>
  <c r="P803" i="9" s="1"/>
  <c r="O734" i="9"/>
  <c r="P734" i="9" s="1"/>
  <c r="N748" i="9"/>
  <c r="N708" i="9"/>
  <c r="N326" i="9"/>
  <c r="O213" i="9"/>
  <c r="P213" i="9" s="1"/>
  <c r="N658" i="9"/>
  <c r="N752" i="9"/>
  <c r="N286" i="9"/>
  <c r="O793" i="9"/>
  <c r="P793" i="9" s="1"/>
  <c r="N261" i="9"/>
  <c r="O657" i="9"/>
  <c r="P657" i="9" s="1"/>
  <c r="N94" i="9"/>
  <c r="N83" i="9"/>
  <c r="O323" i="9"/>
  <c r="P323" i="9" s="1"/>
  <c r="N260" i="9"/>
  <c r="O254" i="9"/>
  <c r="P254" i="9" s="1"/>
  <c r="N713" i="9"/>
  <c r="N693" i="9"/>
  <c r="O269" i="9"/>
  <c r="P269" i="9" s="1"/>
  <c r="O691" i="9"/>
  <c r="P691" i="9" s="1"/>
  <c r="N726" i="9"/>
  <c r="O275" i="9"/>
  <c r="P275" i="9" s="1"/>
  <c r="O807" i="9"/>
  <c r="P807" i="9" s="1"/>
  <c r="O221" i="9"/>
  <c r="P221" i="9" s="1"/>
  <c r="O202" i="9"/>
  <c r="P202" i="9" s="1"/>
  <c r="O118" i="9"/>
  <c r="P118" i="9" s="1"/>
  <c r="O331" i="9"/>
  <c r="P331" i="9" s="1"/>
  <c r="O759" i="9"/>
  <c r="P759" i="9" s="1"/>
  <c r="O253" i="9"/>
  <c r="P253" i="9" s="1"/>
  <c r="O689" i="9"/>
  <c r="P689" i="9" s="1"/>
  <c r="N329" i="9"/>
  <c r="N201" i="9"/>
  <c r="N264" i="9"/>
  <c r="N572" i="9"/>
  <c r="O84" i="9"/>
  <c r="N754" i="9"/>
  <c r="N716" i="9"/>
  <c r="O282" i="9"/>
  <c r="P282" i="9" s="1"/>
  <c r="N806" i="9"/>
  <c r="O777" i="9"/>
  <c r="P777" i="9" s="1"/>
  <c r="O804" i="9"/>
  <c r="P804" i="9" s="1"/>
  <c r="O765" i="9"/>
  <c r="P765" i="9" s="1"/>
  <c r="O735" i="9"/>
  <c r="P735" i="9" s="1"/>
  <c r="O707" i="9"/>
  <c r="P707" i="9" s="1"/>
  <c r="O247" i="9"/>
  <c r="P247" i="9" s="1"/>
  <c r="O215" i="9"/>
  <c r="P215" i="9" s="1"/>
  <c r="O209" i="9"/>
  <c r="P209" i="9" s="1"/>
  <c r="N706" i="9"/>
  <c r="N757" i="9"/>
  <c r="N735" i="9"/>
  <c r="N656" i="9"/>
  <c r="O289" i="9"/>
  <c r="P289" i="9" s="1"/>
  <c r="N251" i="9"/>
  <c r="O180" i="9"/>
  <c r="P180" i="9" s="1"/>
  <c r="N118" i="9"/>
  <c r="O407" i="9"/>
  <c r="P407" i="9" s="1"/>
  <c r="N407" i="9"/>
  <c r="N811" i="9"/>
  <c r="N841" i="9"/>
  <c r="N809" i="9"/>
  <c r="N782" i="9"/>
  <c r="N766" i="9"/>
  <c r="O802" i="9"/>
  <c r="P802" i="9" s="1"/>
  <c r="N761" i="9"/>
  <c r="N749" i="9"/>
  <c r="O703" i="9"/>
  <c r="P703" i="9" s="1"/>
  <c r="N676" i="9"/>
  <c r="O226" i="9"/>
  <c r="P226" i="9" s="1"/>
  <c r="O686" i="9"/>
  <c r="P686" i="9" s="1"/>
  <c r="O700" i="9"/>
  <c r="P700" i="9" s="1"/>
  <c r="N772" i="9"/>
  <c r="N603" i="9"/>
  <c r="O340" i="9"/>
  <c r="P340" i="9" s="1"/>
  <c r="N328" i="9"/>
  <c r="N350" i="9"/>
  <c r="N765" i="9"/>
  <c r="O724" i="9"/>
  <c r="P724" i="9" s="1"/>
  <c r="N714" i="9"/>
  <c r="N292" i="9"/>
  <c r="O222" i="9"/>
  <c r="P222" i="9" s="1"/>
  <c r="N226" i="9"/>
  <c r="N167" i="9"/>
  <c r="O736" i="9"/>
  <c r="P736" i="9" s="1"/>
  <c r="O716" i="9"/>
  <c r="P716" i="9" s="1"/>
  <c r="O203" i="9"/>
  <c r="P203" i="9" s="1"/>
  <c r="N305" i="9"/>
  <c r="O743" i="9"/>
  <c r="P743" i="9" s="1"/>
  <c r="N695" i="9"/>
  <c r="N228" i="9"/>
  <c r="O16" i="9"/>
  <c r="N587" i="9"/>
  <c r="O174" i="9"/>
  <c r="P174" i="9" s="1"/>
  <c r="N615" i="9"/>
  <c r="O26" i="9"/>
  <c r="N571" i="9"/>
  <c r="N90" i="9"/>
  <c r="N512" i="9"/>
  <c r="O541" i="9"/>
  <c r="P541" i="9" s="1"/>
  <c r="O839" i="9"/>
  <c r="P839" i="9" s="1"/>
  <c r="O821" i="9"/>
  <c r="P821" i="9" s="1"/>
  <c r="N889" i="9"/>
  <c r="O808" i="9"/>
  <c r="P808" i="9" s="1"/>
  <c r="N778" i="9"/>
  <c r="O810" i="9"/>
  <c r="P810" i="9" s="1"/>
  <c r="O757" i="9"/>
  <c r="P757" i="9" s="1"/>
  <c r="O789" i="9"/>
  <c r="P789" i="9" s="1"/>
  <c r="O217" i="9"/>
  <c r="P217" i="9" s="1"/>
  <c r="O230" i="9"/>
  <c r="P230" i="9" s="1"/>
  <c r="O655" i="9"/>
  <c r="P655" i="9" s="1"/>
  <c r="O712" i="9"/>
  <c r="P712" i="9" s="1"/>
  <c r="N278" i="9"/>
  <c r="N42" i="9"/>
  <c r="O589" i="9"/>
  <c r="P589" i="9" s="1"/>
  <c r="O536" i="9"/>
  <c r="P536" i="9" s="1"/>
  <c r="O813" i="9"/>
  <c r="P813" i="9" s="1"/>
  <c r="N810" i="9"/>
  <c r="N741" i="9"/>
  <c r="N567" i="9"/>
  <c r="O714" i="9"/>
  <c r="P714" i="9" s="1"/>
  <c r="N699" i="9"/>
  <c r="O692" i="9"/>
  <c r="P692" i="9" s="1"/>
  <c r="O727" i="9"/>
  <c r="P727" i="9" s="1"/>
  <c r="O675" i="9"/>
  <c r="P675" i="9" s="1"/>
  <c r="O256" i="9"/>
  <c r="P256" i="9" s="1"/>
  <c r="N257" i="9"/>
  <c r="N298" i="9"/>
  <c r="N689" i="9"/>
  <c r="O200" i="9"/>
  <c r="P200" i="9" s="1"/>
  <c r="N116" i="9"/>
  <c r="N638" i="9"/>
  <c r="N131" i="9"/>
  <c r="N724" i="9"/>
  <c r="N816" i="9"/>
  <c r="O693" i="9"/>
  <c r="P693" i="9" s="1"/>
  <c r="D23" i="20"/>
  <c r="D21" i="20"/>
  <c r="D11" i="20"/>
  <c r="D22" i="20"/>
  <c r="D2" i="20"/>
  <c r="D34" i="20"/>
  <c r="D6" i="20"/>
  <c r="D5" i="20"/>
  <c r="D18" i="20"/>
  <c r="Q15" i="22"/>
  <c r="N851" i="9"/>
  <c r="N845" i="9"/>
  <c r="N852" i="9"/>
  <c r="O851" i="9"/>
  <c r="P851" i="9" s="1"/>
  <c r="N846" i="9"/>
  <c r="O847" i="9"/>
  <c r="P847" i="9" s="1"/>
  <c r="N853" i="9"/>
  <c r="N847" i="9"/>
  <c r="O848" i="9"/>
  <c r="P848" i="9" s="1"/>
  <c r="O852" i="9"/>
  <c r="P852" i="9" s="1"/>
  <c r="O844" i="9"/>
  <c r="P844" i="9" s="1"/>
  <c r="O853" i="9"/>
  <c r="P853" i="9" s="1"/>
  <c r="N842" i="9"/>
  <c r="N797" i="9"/>
  <c r="O903" i="9"/>
  <c r="P903" i="9" s="1"/>
  <c r="O823" i="9"/>
  <c r="P823" i="9" s="1"/>
  <c r="N812" i="9"/>
  <c r="N824" i="9"/>
  <c r="N848" i="9"/>
  <c r="O849" i="9"/>
  <c r="P849" i="9" s="1"/>
  <c r="O845" i="9"/>
  <c r="P845" i="9" s="1"/>
  <c r="N849" i="9"/>
  <c r="N850" i="9"/>
  <c r="O850" i="9"/>
  <c r="P850" i="9" s="1"/>
  <c r="N844" i="9"/>
  <c r="O846" i="9"/>
  <c r="P846" i="9" s="1"/>
  <c r="N96" i="2"/>
  <c r="N99" i="2"/>
  <c r="N100" i="2"/>
  <c r="N97" i="2"/>
  <c r="N79" i="2" l="1"/>
  <c r="N77" i="2"/>
  <c r="N78" i="2"/>
  <c r="N70" i="2"/>
  <c r="N72" i="2"/>
  <c r="N73" i="2"/>
  <c r="M71" i="2"/>
  <c r="N67" i="2"/>
  <c r="N65" i="2"/>
  <c r="N64" i="2"/>
  <c r="N66" i="2"/>
  <c r="A11" i="20"/>
  <c r="N21" i="2"/>
  <c r="N45" i="2"/>
  <c r="N46" i="2" s="1"/>
  <c r="N60" i="2"/>
  <c r="N58" i="2"/>
  <c r="N56" i="2"/>
  <c r="N59" i="2"/>
  <c r="N57" i="2"/>
  <c r="M38" i="2"/>
  <c r="N49" i="2"/>
  <c r="N37" i="2"/>
  <c r="N50" i="2"/>
  <c r="M48" i="2"/>
  <c r="M31" i="2" s="1"/>
  <c r="M30" i="2" s="1"/>
  <c r="N23" i="2"/>
  <c r="N26" i="2"/>
  <c r="N27" i="2"/>
  <c r="N28" i="2"/>
  <c r="M25" i="2"/>
  <c r="AI70" i="22"/>
  <c r="M16" i="2"/>
  <c r="N17" i="2"/>
  <c r="N19" i="2"/>
  <c r="N18" i="2"/>
  <c r="I4" i="42"/>
  <c r="O1" i="2"/>
  <c r="P72" i="9"/>
  <c r="P65" i="9"/>
  <c r="P82" i="9"/>
  <c r="P86" i="9"/>
  <c r="P47" i="9"/>
  <c r="AI69" i="22"/>
  <c r="AI74" i="22"/>
  <c r="AI23" i="22"/>
  <c r="AI80" i="22"/>
  <c r="P33" i="9"/>
  <c r="P52" i="9"/>
  <c r="P39" i="9"/>
  <c r="AI43" i="22"/>
  <c r="AI81" i="22"/>
  <c r="AI37" i="22"/>
  <c r="P79" i="9"/>
  <c r="AI46" i="22"/>
  <c r="P32" i="9"/>
  <c r="P44" i="9"/>
  <c r="AI67" i="22"/>
  <c r="AI56" i="22"/>
  <c r="P55" i="9"/>
  <c r="AI41" i="22"/>
  <c r="AI83" i="22"/>
  <c r="AI87" i="22"/>
  <c r="P42" i="9"/>
  <c r="P57" i="9"/>
  <c r="AI36" i="22"/>
  <c r="AI22" i="22"/>
  <c r="AI50" i="22"/>
  <c r="P27" i="9"/>
  <c r="AI62" i="22"/>
  <c r="AI51" i="22"/>
  <c r="P40" i="9"/>
  <c r="AI72" i="22"/>
  <c r="AI45" i="22"/>
  <c r="P49" i="9"/>
  <c r="P53" i="9"/>
  <c r="P21" i="9"/>
  <c r="P71" i="9"/>
  <c r="P66" i="9"/>
  <c r="AI63" i="22"/>
  <c r="AI73" i="22"/>
  <c r="P59" i="9"/>
  <c r="P38" i="9"/>
  <c r="P30" i="9"/>
  <c r="AI35" i="22"/>
  <c r="AI31" i="22"/>
  <c r="P25" i="9"/>
  <c r="P54" i="9"/>
  <c r="P61" i="9"/>
  <c r="P64" i="9"/>
  <c r="AI19" i="22"/>
  <c r="P29" i="9"/>
  <c r="AI58" i="22"/>
  <c r="AI88" i="22"/>
  <c r="AI68" i="22"/>
  <c r="P75" i="9"/>
  <c r="AI20" i="22"/>
  <c r="P85" i="9"/>
  <c r="P60" i="9"/>
  <c r="AI28" i="22"/>
  <c r="AI48" i="22"/>
  <c r="P77" i="9"/>
  <c r="P76" i="9"/>
  <c r="P78" i="9"/>
  <c r="AI34" i="22"/>
  <c r="P84" i="9"/>
  <c r="AI84" i="22"/>
  <c r="AI26" i="22"/>
  <c r="P26" i="9"/>
  <c r="P16" i="9"/>
  <c r="AI16" i="22"/>
  <c r="P24" i="9"/>
  <c r="AI24" i="22"/>
  <c r="I93" i="2"/>
  <c r="H29" i="4"/>
  <c r="O97" i="2"/>
  <c r="O79" i="2" l="1"/>
  <c r="O77" i="2"/>
  <c r="O78" i="2"/>
  <c r="O70" i="2"/>
  <c r="O72" i="2"/>
  <c r="O73" i="2"/>
  <c r="N71" i="2"/>
  <c r="O67" i="2"/>
  <c r="O65" i="2"/>
  <c r="O64" i="2"/>
  <c r="O66" i="2"/>
  <c r="A14" i="20"/>
  <c r="O21" i="2"/>
  <c r="O45" i="2"/>
  <c r="O46" i="2" s="1"/>
  <c r="O60" i="2"/>
  <c r="O58" i="2"/>
  <c r="O56" i="2"/>
  <c r="O59" i="2"/>
  <c r="O57" i="2"/>
  <c r="O37" i="2"/>
  <c r="O49" i="2"/>
  <c r="O50" i="2"/>
  <c r="N48" i="2"/>
  <c r="N31" i="2" s="1"/>
  <c r="N30" i="2" s="1"/>
  <c r="N38" i="2"/>
  <c r="N25" i="2"/>
  <c r="O23" i="2"/>
  <c r="O26" i="2"/>
  <c r="O28" i="2"/>
  <c r="O27" i="2"/>
  <c r="N16" i="2"/>
  <c r="J4" i="42"/>
  <c r="P1" i="2"/>
  <c r="O19" i="2"/>
  <c r="O18" i="2"/>
  <c r="O17" i="2"/>
  <c r="I7" i="2"/>
  <c r="I9" i="2"/>
  <c r="I12" i="2"/>
  <c r="I13" i="2"/>
  <c r="I8" i="2"/>
  <c r="I10" i="2"/>
  <c r="I11" i="2"/>
  <c r="I14" i="2"/>
  <c r="I6" i="2"/>
  <c r="H88" i="3"/>
  <c r="E2" i="6"/>
  <c r="H7" i="4"/>
  <c r="H5" i="4" s="1"/>
  <c r="E9" i="6" s="1"/>
  <c r="H14" i="3"/>
  <c r="I11" i="3"/>
  <c r="H7" i="3"/>
  <c r="H11" i="3"/>
  <c r="H42" i="3"/>
  <c r="H27" i="4"/>
  <c r="H40" i="3"/>
  <c r="H52" i="4"/>
  <c r="I131" i="2"/>
  <c r="O99" i="2"/>
  <c r="H32" i="3"/>
  <c r="P96" i="2"/>
  <c r="H64" i="3"/>
  <c r="H42" i="4"/>
  <c r="H63" i="3"/>
  <c r="H58" i="4"/>
  <c r="H13" i="4"/>
  <c r="H11" i="4"/>
  <c r="H26" i="4"/>
  <c r="H41" i="4"/>
  <c r="H18" i="4"/>
  <c r="H70" i="3"/>
  <c r="I116" i="2"/>
  <c r="I134" i="2"/>
  <c r="I152" i="2"/>
  <c r="H18" i="3"/>
  <c r="H21" i="4"/>
  <c r="H49" i="4"/>
  <c r="P100" i="2"/>
  <c r="H27" i="3"/>
  <c r="I115" i="2"/>
  <c r="H30" i="6"/>
  <c r="H38" i="3"/>
  <c r="H20" i="3"/>
  <c r="I124" i="2"/>
  <c r="I139" i="2"/>
  <c r="H40" i="4"/>
  <c r="H37" i="3"/>
  <c r="H28" i="4"/>
  <c r="I120" i="2"/>
  <c r="H31" i="6"/>
  <c r="I127" i="2"/>
  <c r="I125" i="2"/>
  <c r="I118" i="2"/>
  <c r="H31" i="4"/>
  <c r="I129" i="2"/>
  <c r="I130" i="2"/>
  <c r="I122" i="2"/>
  <c r="H53" i="4"/>
  <c r="H51" i="3"/>
  <c r="H16" i="4"/>
  <c r="I137" i="2"/>
  <c r="H24" i="3"/>
  <c r="H28" i="3"/>
  <c r="I135" i="2"/>
  <c r="O96" i="2"/>
  <c r="H25" i="4"/>
  <c r="O100" i="2"/>
  <c r="I128" i="2"/>
  <c r="H35" i="3"/>
  <c r="H24" i="4"/>
  <c r="H22" i="3"/>
  <c r="H69" i="3"/>
  <c r="H60" i="3"/>
  <c r="H19" i="3"/>
  <c r="I140" i="2"/>
  <c r="I150" i="2"/>
  <c r="I136" i="2"/>
  <c r="I119" i="2"/>
  <c r="I138" i="2"/>
  <c r="I117" i="2"/>
  <c r="I146" i="2"/>
  <c r="H12" i="4"/>
  <c r="H39" i="4"/>
  <c r="H21" i="3"/>
  <c r="I94" i="2"/>
  <c r="I132" i="2"/>
  <c r="P99" i="2"/>
  <c r="H29" i="3"/>
  <c r="I148" i="2"/>
  <c r="H50" i="3"/>
  <c r="I133" i="2"/>
  <c r="H61" i="3"/>
  <c r="J131" i="2"/>
  <c r="J119" i="2"/>
  <c r="H59" i="4"/>
  <c r="H36" i="3"/>
  <c r="I149" i="2"/>
  <c r="H17" i="4"/>
  <c r="I126" i="2"/>
  <c r="H52" i="3"/>
  <c r="H23" i="3"/>
  <c r="P97" i="2"/>
  <c r="I123" i="2"/>
  <c r="H39" i="3"/>
  <c r="I147" i="2"/>
  <c r="I151" i="2"/>
  <c r="H53" i="3"/>
  <c r="H50" i="4"/>
  <c r="P79" i="2" l="1"/>
  <c r="P78" i="2"/>
  <c r="P77" i="2"/>
  <c r="I76" i="2"/>
  <c r="P70" i="2"/>
  <c r="P72" i="2"/>
  <c r="P73" i="2"/>
  <c r="O71" i="2"/>
  <c r="P67" i="2"/>
  <c r="P65" i="2"/>
  <c r="P64" i="2"/>
  <c r="P66" i="2"/>
  <c r="A17" i="20"/>
  <c r="P21" i="2"/>
  <c r="I5" i="2"/>
  <c r="I4" i="2" s="1"/>
  <c r="P45" i="2"/>
  <c r="P46" i="2" s="1"/>
  <c r="P60" i="2"/>
  <c r="P58" i="2"/>
  <c r="P56" i="2"/>
  <c r="P59" i="2"/>
  <c r="P57" i="2"/>
  <c r="I41" i="2"/>
  <c r="P50" i="2"/>
  <c r="P49" i="2"/>
  <c r="P37" i="2"/>
  <c r="O48" i="2"/>
  <c r="O31" i="2" s="1"/>
  <c r="O30" i="2" s="1"/>
  <c r="O38" i="2"/>
  <c r="O25" i="2"/>
  <c r="P23" i="2"/>
  <c r="P28" i="2"/>
  <c r="P26" i="2"/>
  <c r="P27" i="2"/>
  <c r="O16" i="2"/>
  <c r="K4" i="42"/>
  <c r="Q1" i="2"/>
  <c r="P19" i="2"/>
  <c r="P17" i="2"/>
  <c r="P18" i="2"/>
  <c r="I33" i="2"/>
  <c r="J7" i="2"/>
  <c r="J9" i="2"/>
  <c r="J12" i="2"/>
  <c r="J13" i="2"/>
  <c r="J8" i="2"/>
  <c r="J10" i="2"/>
  <c r="J11" i="2"/>
  <c r="J14" i="2"/>
  <c r="J6" i="2"/>
  <c r="I92" i="2"/>
  <c r="J11" i="3"/>
  <c r="K11" i="3"/>
  <c r="J7" i="4"/>
  <c r="J5" i="4" s="1"/>
  <c r="I55" i="2"/>
  <c r="H20" i="4"/>
  <c r="H4" i="4"/>
  <c r="I7" i="3"/>
  <c r="H8" i="3"/>
  <c r="H5" i="3" s="1"/>
  <c r="C14" i="27" s="1"/>
  <c r="I7" i="4"/>
  <c r="I5" i="4" s="1"/>
  <c r="H59" i="3"/>
  <c r="H34" i="3"/>
  <c r="H31" i="3"/>
  <c r="H15" i="4"/>
  <c r="H62" i="3"/>
  <c r="H26" i="3"/>
  <c r="H10" i="4"/>
  <c r="H30" i="4"/>
  <c r="H49" i="3"/>
  <c r="H51" i="4"/>
  <c r="H48" i="4"/>
  <c r="H41" i="3"/>
  <c r="H38" i="4"/>
  <c r="H17" i="3"/>
  <c r="H23" i="4"/>
  <c r="I95" i="2"/>
  <c r="I35" i="2" s="1"/>
  <c r="I114" i="2"/>
  <c r="I121" i="2"/>
  <c r="I98" i="2"/>
  <c r="I43" i="2" s="1"/>
  <c r="I145" i="2"/>
  <c r="I63" i="2"/>
  <c r="I14" i="3"/>
  <c r="F2" i="6"/>
  <c r="I88" i="3"/>
  <c r="C5" i="27"/>
  <c r="C11" i="27"/>
  <c r="C12" i="27"/>
  <c r="C8" i="27"/>
  <c r="C13" i="27"/>
  <c r="C6" i="27"/>
  <c r="G2" i="6"/>
  <c r="J88" i="3"/>
  <c r="I32" i="3"/>
  <c r="J150" i="2"/>
  <c r="I21" i="3"/>
  <c r="I38" i="3"/>
  <c r="I21" i="4"/>
  <c r="J123" i="2"/>
  <c r="I50" i="4"/>
  <c r="J146" i="2"/>
  <c r="I39" i="4"/>
  <c r="I13" i="4"/>
  <c r="I27" i="3"/>
  <c r="J148" i="2"/>
  <c r="I30" i="6"/>
  <c r="I61" i="3"/>
  <c r="J21" i="3"/>
  <c r="I28" i="4"/>
  <c r="J24" i="3"/>
  <c r="I35" i="3"/>
  <c r="I24" i="3"/>
  <c r="I11" i="4"/>
  <c r="I27" i="4"/>
  <c r="J130" i="2"/>
  <c r="I26" i="4"/>
  <c r="I53" i="4"/>
  <c r="I16" i="4"/>
  <c r="I17" i="4"/>
  <c r="I40" i="3"/>
  <c r="I50" i="3"/>
  <c r="K128" i="2"/>
  <c r="I18" i="3"/>
  <c r="I19" i="3"/>
  <c r="I58" i="4"/>
  <c r="I37" i="3"/>
  <c r="J149" i="2"/>
  <c r="K93" i="2"/>
  <c r="I64" i="3"/>
  <c r="J118" i="2"/>
  <c r="J132" i="2"/>
  <c r="I29" i="3"/>
  <c r="I23" i="3"/>
  <c r="J120" i="2"/>
  <c r="I52" i="4"/>
  <c r="I49" i="4"/>
  <c r="J152" i="2"/>
  <c r="I29" i="4"/>
  <c r="J151" i="2"/>
  <c r="J124" i="2"/>
  <c r="J125" i="2"/>
  <c r="J134" i="2"/>
  <c r="K149" i="2"/>
  <c r="I41" i="4"/>
  <c r="J70" i="3"/>
  <c r="I59" i="4"/>
  <c r="I39" i="3"/>
  <c r="I31" i="4"/>
  <c r="J122" i="2"/>
  <c r="J137" i="2"/>
  <c r="J116" i="2"/>
  <c r="I31" i="6"/>
  <c r="J115" i="2"/>
  <c r="K130" i="2"/>
  <c r="J32" i="3"/>
  <c r="I20" i="3"/>
  <c r="I40" i="4"/>
  <c r="K115" i="2"/>
  <c r="K127" i="2"/>
  <c r="J135" i="2"/>
  <c r="J139" i="2"/>
  <c r="K118" i="2"/>
  <c r="I51" i="3"/>
  <c r="J140" i="2"/>
  <c r="J136" i="2"/>
  <c r="Q97" i="2"/>
  <c r="J117" i="2"/>
  <c r="I70" i="3"/>
  <c r="J39" i="3"/>
  <c r="J64" i="3"/>
  <c r="J38" i="3"/>
  <c r="J128" i="2"/>
  <c r="K150" i="2"/>
  <c r="J138" i="2"/>
  <c r="K131" i="2"/>
  <c r="J127" i="2"/>
  <c r="I28" i="3"/>
  <c r="K134" i="2"/>
  <c r="K136" i="2"/>
  <c r="K129" i="2"/>
  <c r="J37" i="3"/>
  <c r="J42" i="3"/>
  <c r="K148" i="2"/>
  <c r="K151" i="2"/>
  <c r="I52" i="3"/>
  <c r="I60" i="3"/>
  <c r="J93" i="2"/>
  <c r="J27" i="3"/>
  <c r="I24" i="4"/>
  <c r="I22" i="3"/>
  <c r="J36" i="3"/>
  <c r="K124" i="2"/>
  <c r="K140" i="2"/>
  <c r="I42" i="4"/>
  <c r="I53" i="3"/>
  <c r="J147" i="2"/>
  <c r="J133" i="2"/>
  <c r="I25" i="4"/>
  <c r="I69" i="3"/>
  <c r="I42" i="3"/>
  <c r="K120" i="2"/>
  <c r="I12" i="4"/>
  <c r="J126" i="2"/>
  <c r="J94" i="2"/>
  <c r="I63" i="3"/>
  <c r="J129" i="2"/>
  <c r="I18" i="4"/>
  <c r="I36" i="3"/>
  <c r="I82" i="2" l="1"/>
  <c r="I69" i="2"/>
  <c r="I62" i="2"/>
  <c r="I75" i="2"/>
  <c r="I54" i="2"/>
  <c r="I53" i="2"/>
  <c r="I81" i="2"/>
  <c r="Q77" i="2"/>
  <c r="Q79" i="2"/>
  <c r="Q78" i="2"/>
  <c r="J76" i="2"/>
  <c r="Q70" i="2"/>
  <c r="Q72" i="2"/>
  <c r="Q73" i="2"/>
  <c r="P71" i="2"/>
  <c r="Q67" i="2"/>
  <c r="Q65" i="2"/>
  <c r="Q64" i="2"/>
  <c r="Q66" i="2"/>
  <c r="A20" i="20"/>
  <c r="Q21" i="2"/>
  <c r="I3" i="2"/>
  <c r="J5" i="2"/>
  <c r="J4" i="2" s="1"/>
  <c r="Q45" i="2"/>
  <c r="Q46" i="2" s="1"/>
  <c r="Q60" i="2"/>
  <c r="Q58" i="2"/>
  <c r="Q56" i="2"/>
  <c r="Q57" i="2"/>
  <c r="Q59" i="2"/>
  <c r="K41" i="2"/>
  <c r="J41" i="2"/>
  <c r="P48" i="2"/>
  <c r="P31" i="2" s="1"/>
  <c r="P30" i="2" s="1"/>
  <c r="P25" i="2"/>
  <c r="Q49" i="2"/>
  <c r="Q37" i="2"/>
  <c r="Q50" i="2"/>
  <c r="P38" i="2"/>
  <c r="Q23" i="2"/>
  <c r="Q27" i="2"/>
  <c r="Q28" i="2"/>
  <c r="Q26" i="2"/>
  <c r="P16" i="2"/>
  <c r="Q19" i="2"/>
  <c r="Q18" i="2"/>
  <c r="Q17" i="2"/>
  <c r="R1" i="2"/>
  <c r="L4" i="42"/>
  <c r="J33" i="2"/>
  <c r="K7" i="2"/>
  <c r="K9" i="2"/>
  <c r="K12" i="2"/>
  <c r="K13" i="2"/>
  <c r="K8" i="2"/>
  <c r="K10" i="2"/>
  <c r="K11" i="2"/>
  <c r="K14" i="2"/>
  <c r="C10" i="27"/>
  <c r="K6" i="2"/>
  <c r="J7" i="3"/>
  <c r="J14" i="3"/>
  <c r="J8" i="3" s="1"/>
  <c r="H2" i="6"/>
  <c r="K7" i="4"/>
  <c r="K5" i="4" s="1"/>
  <c r="J55" i="2"/>
  <c r="D7" i="27"/>
  <c r="I8" i="3"/>
  <c r="I5" i="3" s="1"/>
  <c r="F7" i="6" s="1"/>
  <c r="C7" i="27"/>
  <c r="H32" i="4"/>
  <c r="I30" i="4"/>
  <c r="I38" i="4"/>
  <c r="J121" i="2"/>
  <c r="J63" i="2"/>
  <c r="I48" i="4"/>
  <c r="J92" i="2"/>
  <c r="J98" i="2"/>
  <c r="J43" i="2" s="1"/>
  <c r="D6" i="27"/>
  <c r="H3" i="4"/>
  <c r="H6" i="4"/>
  <c r="E15" i="6"/>
  <c r="D9" i="27"/>
  <c r="D12" i="27"/>
  <c r="D11" i="27"/>
  <c r="F8" i="28"/>
  <c r="F5" i="28"/>
  <c r="D13" i="27"/>
  <c r="I41" i="3"/>
  <c r="I31" i="3"/>
  <c r="H33" i="4"/>
  <c r="J145" i="2"/>
  <c r="I26" i="3"/>
  <c r="I15" i="4"/>
  <c r="I10" i="4"/>
  <c r="J31" i="3"/>
  <c r="I51" i="4"/>
  <c r="I23" i="4"/>
  <c r="J41" i="3"/>
  <c r="I20" i="4"/>
  <c r="F9" i="6"/>
  <c r="I4" i="4"/>
  <c r="E25" i="6"/>
  <c r="E13" i="6"/>
  <c r="H16" i="3"/>
  <c r="H9" i="4"/>
  <c r="E14" i="6"/>
  <c r="E17" i="6"/>
  <c r="E16" i="6"/>
  <c r="I113" i="2"/>
  <c r="I59" i="3"/>
  <c r="J114" i="2"/>
  <c r="I17" i="3"/>
  <c r="I34" i="3"/>
  <c r="I49" i="3"/>
  <c r="I62" i="3"/>
  <c r="J95" i="2"/>
  <c r="J35" i="2" s="1"/>
  <c r="E8" i="28"/>
  <c r="H4" i="3"/>
  <c r="H43" i="3" s="1"/>
  <c r="E7" i="6"/>
  <c r="E6" i="28"/>
  <c r="E7" i="28"/>
  <c r="E9" i="28"/>
  <c r="C9" i="27"/>
  <c r="E5" i="28"/>
  <c r="K14" i="3"/>
  <c r="K7" i="3"/>
  <c r="G9" i="6"/>
  <c r="J4" i="4"/>
  <c r="R99" i="2"/>
  <c r="K51" i="3"/>
  <c r="J17" i="4"/>
  <c r="J58" i="4"/>
  <c r="J40" i="4"/>
  <c r="J60" i="3"/>
  <c r="J50" i="3"/>
  <c r="K63" i="3"/>
  <c r="R100" i="2"/>
  <c r="J13" i="4"/>
  <c r="K24" i="3"/>
  <c r="K18" i="3"/>
  <c r="K135" i="2"/>
  <c r="K32" i="3"/>
  <c r="K52" i="3"/>
  <c r="K20" i="3"/>
  <c r="Q99" i="2"/>
  <c r="J16" i="4"/>
  <c r="R96" i="2"/>
  <c r="L130" i="2"/>
  <c r="K36" i="3"/>
  <c r="J40" i="3"/>
  <c r="J53" i="3"/>
  <c r="K138" i="2"/>
  <c r="J26" i="4"/>
  <c r="J12" i="4"/>
  <c r="K39" i="3"/>
  <c r="J49" i="4"/>
  <c r="K27" i="3"/>
  <c r="K122" i="2"/>
  <c r="K116" i="2"/>
  <c r="K61" i="3"/>
  <c r="Q100" i="2"/>
  <c r="K38" i="3"/>
  <c r="K70" i="3"/>
  <c r="K132" i="2"/>
  <c r="K35" i="3"/>
  <c r="J30" i="6"/>
  <c r="K152" i="2"/>
  <c r="K133" i="2"/>
  <c r="K146" i="2"/>
  <c r="J19" i="3"/>
  <c r="J61" i="3"/>
  <c r="K126" i="2"/>
  <c r="K53" i="3"/>
  <c r="K60" i="3"/>
  <c r="J50" i="4"/>
  <c r="K119" i="2"/>
  <c r="K16" i="4"/>
  <c r="K37" i="3"/>
  <c r="K40" i="3"/>
  <c r="K21" i="3"/>
  <c r="K64" i="3"/>
  <c r="J18" i="3"/>
  <c r="L118" i="2"/>
  <c r="J31" i="6"/>
  <c r="J31" i="4"/>
  <c r="J42" i="4"/>
  <c r="J69" i="3"/>
  <c r="K125" i="2"/>
  <c r="J39" i="4"/>
  <c r="J59" i="4"/>
  <c r="J41" i="4"/>
  <c r="J35" i="3"/>
  <c r="K22" i="3"/>
  <c r="J51" i="3"/>
  <c r="J29" i="3"/>
  <c r="K23" i="3"/>
  <c r="J28" i="4"/>
  <c r="K69" i="3"/>
  <c r="K94" i="2"/>
  <c r="K58" i="4"/>
  <c r="J52" i="4"/>
  <c r="K50" i="3"/>
  <c r="K42" i="3"/>
  <c r="J23" i="3"/>
  <c r="Q96" i="2"/>
  <c r="R97" i="2"/>
  <c r="J29" i="4"/>
  <c r="K139" i="2"/>
  <c r="J25" i="4"/>
  <c r="K21" i="4"/>
  <c r="K19" i="3"/>
  <c r="J27" i="4"/>
  <c r="J22" i="3"/>
  <c r="K29" i="3"/>
  <c r="K147" i="2"/>
  <c r="J63" i="3"/>
  <c r="J11" i="4"/>
  <c r="K52" i="4"/>
  <c r="J28" i="3"/>
  <c r="K137" i="2"/>
  <c r="K28" i="3"/>
  <c r="J53" i="4"/>
  <c r="J21" i="4"/>
  <c r="K123" i="2"/>
  <c r="J24" i="4"/>
  <c r="K117" i="2"/>
  <c r="J18" i="4"/>
  <c r="J20" i="3"/>
  <c r="J52" i="3"/>
  <c r="I52" i="2" l="1"/>
  <c r="I83" i="2"/>
  <c r="I143" i="2"/>
  <c r="I44" i="2" s="1"/>
  <c r="Y76" i="2"/>
  <c r="Y77" i="2" s="1"/>
  <c r="J62" i="2"/>
  <c r="J82" i="2"/>
  <c r="J69" i="2"/>
  <c r="J54" i="2"/>
  <c r="I84" i="2"/>
  <c r="I88" i="2" s="1"/>
  <c r="J75" i="2"/>
  <c r="J53" i="2"/>
  <c r="J83" i="2" s="1"/>
  <c r="J81" i="2"/>
  <c r="R79" i="2"/>
  <c r="R77" i="2"/>
  <c r="R78" i="2"/>
  <c r="K76" i="2"/>
  <c r="K75" i="2" s="1"/>
  <c r="R70" i="2"/>
  <c r="R72" i="2"/>
  <c r="R73" i="2"/>
  <c r="Q71" i="2"/>
  <c r="R67" i="2"/>
  <c r="R65" i="2"/>
  <c r="R64" i="2"/>
  <c r="R66" i="2"/>
  <c r="A23" i="20"/>
  <c r="R21" i="2"/>
  <c r="J3" i="2"/>
  <c r="K5" i="2"/>
  <c r="K4" i="2" s="1"/>
  <c r="R45" i="2"/>
  <c r="R46" i="2" s="1"/>
  <c r="R60" i="2"/>
  <c r="R58" i="2"/>
  <c r="R56" i="2"/>
  <c r="R59" i="2"/>
  <c r="R57" i="2"/>
  <c r="R37" i="2"/>
  <c r="R50" i="2"/>
  <c r="R49" i="2"/>
  <c r="Q38" i="2"/>
  <c r="Q48" i="2"/>
  <c r="Q31" i="2" s="1"/>
  <c r="Q30" i="2" s="1"/>
  <c r="R23" i="2"/>
  <c r="R28" i="2"/>
  <c r="R27" i="2"/>
  <c r="R26" i="2"/>
  <c r="Q25" i="2"/>
  <c r="J49" i="3"/>
  <c r="J26" i="3"/>
  <c r="J17" i="3"/>
  <c r="J34" i="3"/>
  <c r="J62" i="3"/>
  <c r="J59" i="3"/>
  <c r="Q16" i="2"/>
  <c r="M4" i="42"/>
  <c r="T1" i="2" s="1"/>
  <c r="S1" i="2"/>
  <c r="R19" i="2"/>
  <c r="R17" i="2"/>
  <c r="R18" i="2"/>
  <c r="E27" i="6"/>
  <c r="K33" i="2"/>
  <c r="L7" i="2"/>
  <c r="L9" i="2"/>
  <c r="L12" i="2"/>
  <c r="L13" i="2"/>
  <c r="L8" i="2"/>
  <c r="L10" i="2"/>
  <c r="L11" i="2"/>
  <c r="L14" i="2"/>
  <c r="D10" i="27"/>
  <c r="L6" i="2"/>
  <c r="J20" i="4"/>
  <c r="G15" i="6" s="1"/>
  <c r="J48" i="4"/>
  <c r="J15" i="4"/>
  <c r="J30" i="4"/>
  <c r="G17" i="6" s="1"/>
  <c r="J10" i="4"/>
  <c r="J32" i="4" s="1"/>
  <c r="J23" i="4"/>
  <c r="J51" i="4"/>
  <c r="J38" i="4"/>
  <c r="K98" i="2"/>
  <c r="K43" i="2" s="1"/>
  <c r="E5" i="6"/>
  <c r="E4" i="6" s="1"/>
  <c r="F27" i="6"/>
  <c r="J5" i="3"/>
  <c r="E14" i="27" s="1"/>
  <c r="K88" i="3"/>
  <c r="L88" i="3"/>
  <c r="L14" i="3"/>
  <c r="L7" i="4"/>
  <c r="L5" i="4" s="1"/>
  <c r="K145" i="2"/>
  <c r="K92" i="2"/>
  <c r="K121" i="2"/>
  <c r="K55" i="2"/>
  <c r="K54" i="2" s="1"/>
  <c r="K95" i="2"/>
  <c r="K35" i="2" s="1"/>
  <c r="K63" i="2"/>
  <c r="K62" i="2" s="1"/>
  <c r="E8" i="27"/>
  <c r="E7" i="27"/>
  <c r="E12" i="27"/>
  <c r="K114" i="2"/>
  <c r="E11" i="27"/>
  <c r="G6" i="28"/>
  <c r="E13" i="27"/>
  <c r="G9" i="28"/>
  <c r="F25" i="6"/>
  <c r="J113" i="2"/>
  <c r="F17" i="6"/>
  <c r="H35" i="4"/>
  <c r="F7" i="28"/>
  <c r="D5" i="27"/>
  <c r="D14" i="27"/>
  <c r="D8" i="27"/>
  <c r="F15" i="6"/>
  <c r="I4" i="3"/>
  <c r="I6" i="3" s="1"/>
  <c r="F14" i="6"/>
  <c r="I9" i="4"/>
  <c r="K20" i="4"/>
  <c r="I3" i="4"/>
  <c r="I32" i="4"/>
  <c r="I6" i="4"/>
  <c r="I33" i="4"/>
  <c r="H34" i="4"/>
  <c r="E12" i="6"/>
  <c r="I142" i="2"/>
  <c r="H54" i="4"/>
  <c r="H47" i="4" s="1"/>
  <c r="F6" i="28"/>
  <c r="F9" i="28"/>
  <c r="F16" i="6"/>
  <c r="I16" i="3"/>
  <c r="H44" i="3"/>
  <c r="F13" i="6"/>
  <c r="H6" i="3"/>
  <c r="H3" i="3"/>
  <c r="H45" i="3" s="1"/>
  <c r="K49" i="3"/>
  <c r="K62" i="3"/>
  <c r="K34" i="3"/>
  <c r="K31" i="3"/>
  <c r="K17" i="3"/>
  <c r="K41" i="3"/>
  <c r="K59" i="3"/>
  <c r="K26" i="3"/>
  <c r="K4" i="4"/>
  <c r="H9" i="6"/>
  <c r="K8" i="3"/>
  <c r="K5" i="3" s="1"/>
  <c r="M11" i="3"/>
  <c r="J6" i="4"/>
  <c r="J3" i="4"/>
  <c r="L147" i="2"/>
  <c r="K27" i="4"/>
  <c r="K42" i="4"/>
  <c r="L135" i="2"/>
  <c r="L117" i="2"/>
  <c r="L148" i="2"/>
  <c r="K39" i="4"/>
  <c r="K29" i="4"/>
  <c r="K31" i="6"/>
  <c r="L127" i="2"/>
  <c r="L139" i="2"/>
  <c r="L149" i="2"/>
  <c r="L93" i="2"/>
  <c r="L151" i="2"/>
  <c r="T99" i="2"/>
  <c r="L123" i="2"/>
  <c r="L137" i="2"/>
  <c r="L120" i="2"/>
  <c r="K26" i="4"/>
  <c r="L133" i="2"/>
  <c r="K17" i="4"/>
  <c r="L152" i="2"/>
  <c r="S100" i="2"/>
  <c r="L122" i="2"/>
  <c r="K11" i="4"/>
  <c r="S96" i="2"/>
  <c r="L150" i="2"/>
  <c r="K59" i="4"/>
  <c r="L146" i="2"/>
  <c r="K41" i="4"/>
  <c r="K50" i="4"/>
  <c r="K18" i="4"/>
  <c r="L115" i="2"/>
  <c r="L134" i="2"/>
  <c r="L138" i="2"/>
  <c r="K12" i="4"/>
  <c r="L125" i="2"/>
  <c r="L94" i="2"/>
  <c r="K30" i="6"/>
  <c r="K49" i="4"/>
  <c r="L131" i="2"/>
  <c r="K13" i="4"/>
  <c r="N119" i="2"/>
  <c r="L136" i="2"/>
  <c r="K24" i="4"/>
  <c r="K40" i="4"/>
  <c r="L129" i="2"/>
  <c r="K25" i="4"/>
  <c r="K53" i="4"/>
  <c r="M25" i="4"/>
  <c r="L140" i="2"/>
  <c r="K31" i="4"/>
  <c r="K28" i="4"/>
  <c r="L128" i="2"/>
  <c r="L116" i="2"/>
  <c r="S97" i="2"/>
  <c r="L124" i="2"/>
  <c r="L126" i="2"/>
  <c r="L119" i="2"/>
  <c r="L132" i="2"/>
  <c r="J52" i="2" l="1"/>
  <c r="I112" i="2"/>
  <c r="J142" i="2"/>
  <c r="I65" i="3" s="1"/>
  <c r="I58" i="3" s="1"/>
  <c r="K82" i="2"/>
  <c r="K69" i="2"/>
  <c r="K52" i="2" s="1"/>
  <c r="J84" i="2"/>
  <c r="J88" i="2" s="1"/>
  <c r="K53" i="2"/>
  <c r="K81" i="2"/>
  <c r="S78" i="2"/>
  <c r="S79" i="2"/>
  <c r="S77" i="2"/>
  <c r="T79" i="2"/>
  <c r="T78" i="2"/>
  <c r="T77" i="2"/>
  <c r="L76" i="2"/>
  <c r="T70" i="2"/>
  <c r="T72" i="2"/>
  <c r="T73" i="2"/>
  <c r="S70" i="2"/>
  <c r="S72" i="2"/>
  <c r="S73" i="2"/>
  <c r="R71" i="2"/>
  <c r="S66" i="2"/>
  <c r="S67" i="2"/>
  <c r="S65" i="2"/>
  <c r="S64" i="2"/>
  <c r="T64" i="2"/>
  <c r="T66" i="2"/>
  <c r="T67" i="2"/>
  <c r="T65" i="2"/>
  <c r="A26" i="20"/>
  <c r="T21" i="2"/>
  <c r="S21" i="2"/>
  <c r="K3" i="2"/>
  <c r="L5" i="2"/>
  <c r="L4" i="2" s="1"/>
  <c r="L69" i="2" s="1"/>
  <c r="K48" i="4"/>
  <c r="K51" i="4"/>
  <c r="K23" i="4"/>
  <c r="K30" i="4"/>
  <c r="H17" i="6" s="1"/>
  <c r="K38" i="4"/>
  <c r="K10" i="4"/>
  <c r="K33" i="4" s="1"/>
  <c r="K15" i="4"/>
  <c r="S45" i="2"/>
  <c r="S46" i="2" s="1"/>
  <c r="S58" i="2"/>
  <c r="S60" i="2"/>
  <c r="S56" i="2"/>
  <c r="S59" i="2"/>
  <c r="S57" i="2"/>
  <c r="T45" i="2"/>
  <c r="T46" i="2" s="1"/>
  <c r="T60" i="2"/>
  <c r="T58" i="2"/>
  <c r="T56" i="2"/>
  <c r="T59" i="2"/>
  <c r="T57" i="2"/>
  <c r="L41" i="2"/>
  <c r="R48" i="2"/>
  <c r="R31" i="2" s="1"/>
  <c r="R30" i="2" s="1"/>
  <c r="S37" i="2"/>
  <c r="S49" i="2"/>
  <c r="S50" i="2"/>
  <c r="T49" i="2"/>
  <c r="T37" i="2"/>
  <c r="T50" i="2"/>
  <c r="R38" i="2"/>
  <c r="S23" i="2"/>
  <c r="S28" i="2"/>
  <c r="S26" i="2"/>
  <c r="S27" i="2"/>
  <c r="T23" i="2"/>
  <c r="T28" i="2"/>
  <c r="T26" i="2"/>
  <c r="T27" i="2"/>
  <c r="R25" i="2"/>
  <c r="J16" i="3"/>
  <c r="R16" i="2"/>
  <c r="S19" i="2"/>
  <c r="S17" i="2"/>
  <c r="S18" i="2"/>
  <c r="T17" i="2"/>
  <c r="T18" i="2"/>
  <c r="T19" i="2"/>
  <c r="L33" i="2"/>
  <c r="H65" i="3"/>
  <c r="H58" i="3" s="1"/>
  <c r="E28" i="6" s="1"/>
  <c r="I36" i="2"/>
  <c r="G27" i="6"/>
  <c r="M7" i="2"/>
  <c r="M9" i="2"/>
  <c r="M12" i="2"/>
  <c r="M13" i="2"/>
  <c r="M8" i="2"/>
  <c r="M10" i="2"/>
  <c r="M11" i="2"/>
  <c r="M14" i="2"/>
  <c r="N7" i="2"/>
  <c r="N9" i="2"/>
  <c r="N12" i="2"/>
  <c r="N13" i="2"/>
  <c r="N8" i="2"/>
  <c r="N10" i="2"/>
  <c r="N11" i="2"/>
  <c r="N14" i="2"/>
  <c r="E10" i="27"/>
  <c r="N6" i="2"/>
  <c r="M6" i="2"/>
  <c r="G14" i="6"/>
  <c r="G5" i="28"/>
  <c r="J4" i="3"/>
  <c r="J3" i="3" s="1"/>
  <c r="G25" i="6"/>
  <c r="J33" i="4"/>
  <c r="G13" i="6"/>
  <c r="J9" i="4"/>
  <c r="J35" i="4" s="1"/>
  <c r="G16" i="6"/>
  <c r="G7" i="6"/>
  <c r="L98" i="2"/>
  <c r="L43" i="2" s="1"/>
  <c r="L55" i="2"/>
  <c r="L54" i="2" s="1"/>
  <c r="L114" i="2"/>
  <c r="L92" i="2"/>
  <c r="L63" i="2"/>
  <c r="L62" i="2" s="1"/>
  <c r="L121" i="2"/>
  <c r="L145" i="2"/>
  <c r="L95" i="2"/>
  <c r="L35" i="2" s="1"/>
  <c r="F12" i="27"/>
  <c r="H7" i="28"/>
  <c r="H5" i="28"/>
  <c r="F13" i="27"/>
  <c r="F6" i="27"/>
  <c r="F11" i="27"/>
  <c r="I2" i="6"/>
  <c r="L7" i="3"/>
  <c r="G7" i="28"/>
  <c r="L11" i="3"/>
  <c r="L8" i="3" s="1"/>
  <c r="K113" i="2"/>
  <c r="E5" i="27"/>
  <c r="E6" i="27"/>
  <c r="G8" i="28"/>
  <c r="E9" i="27"/>
  <c r="E6" i="6"/>
  <c r="J143" i="2"/>
  <c r="H15" i="6"/>
  <c r="I44" i="3"/>
  <c r="I43" i="3"/>
  <c r="I3" i="3"/>
  <c r="I46" i="3" s="1"/>
  <c r="I35" i="4"/>
  <c r="I34" i="4"/>
  <c r="F5" i="6"/>
  <c r="F4" i="6" s="1"/>
  <c r="F6" i="6" s="1"/>
  <c r="F12" i="6"/>
  <c r="H46" i="3"/>
  <c r="E10" i="6"/>
  <c r="E20" i="6"/>
  <c r="E3" i="6"/>
  <c r="E22" i="6" s="1"/>
  <c r="E19" i="6"/>
  <c r="E8" i="6"/>
  <c r="K16" i="3"/>
  <c r="M14" i="3"/>
  <c r="M7" i="3"/>
  <c r="N11" i="3"/>
  <c r="I9" i="6"/>
  <c r="L4" i="4"/>
  <c r="L6" i="4" s="1"/>
  <c r="M7" i="4"/>
  <c r="M5" i="4" s="1"/>
  <c r="H7" i="6"/>
  <c r="K4" i="3"/>
  <c r="K6" i="3" s="1"/>
  <c r="F14" i="27"/>
  <c r="M88" i="3"/>
  <c r="J2" i="6"/>
  <c r="K6" i="4"/>
  <c r="K3" i="4"/>
  <c r="L12" i="4"/>
  <c r="M11" i="4"/>
  <c r="L69" i="3"/>
  <c r="L60" i="3"/>
  <c r="L63" i="3"/>
  <c r="L25" i="4"/>
  <c r="O119" i="2"/>
  <c r="M40" i="4"/>
  <c r="M131" i="2"/>
  <c r="L38" i="3"/>
  <c r="M52" i="4"/>
  <c r="N124" i="2"/>
  <c r="L64" i="3"/>
  <c r="M27" i="4"/>
  <c r="N152" i="2"/>
  <c r="M32" i="3"/>
  <c r="M52" i="3"/>
  <c r="M64" i="3"/>
  <c r="M122" i="2"/>
  <c r="L30" i="6"/>
  <c r="M18" i="3"/>
  <c r="M28" i="3"/>
  <c r="M37" i="3"/>
  <c r="M36" i="3"/>
  <c r="N94" i="2"/>
  <c r="M21" i="4"/>
  <c r="M94" i="2"/>
  <c r="N131" i="2"/>
  <c r="L27" i="4"/>
  <c r="L27" i="3"/>
  <c r="N93" i="2"/>
  <c r="N138" i="2"/>
  <c r="T100" i="2"/>
  <c r="L23" i="3"/>
  <c r="M17" i="4"/>
  <c r="M133" i="2"/>
  <c r="L28" i="3"/>
  <c r="M149" i="2"/>
  <c r="M16" i="4"/>
  <c r="M28" i="4"/>
  <c r="L49" i="4"/>
  <c r="L50" i="3"/>
  <c r="L31" i="6"/>
  <c r="M61" i="3"/>
  <c r="N115" i="2"/>
  <c r="L53" i="3"/>
  <c r="N129" i="2"/>
  <c r="M151" i="2"/>
  <c r="L11" i="4"/>
  <c r="N118" i="2"/>
  <c r="M35" i="3"/>
  <c r="M124" i="2"/>
  <c r="M20" i="3"/>
  <c r="L28" i="4"/>
  <c r="L13" i="4"/>
  <c r="M69" i="3"/>
  <c r="M60" i="3"/>
  <c r="N147" i="2"/>
  <c r="L20" i="3"/>
  <c r="M24" i="3"/>
  <c r="M147" i="2"/>
  <c r="N123" i="2"/>
  <c r="M40" i="3"/>
  <c r="L24" i="4"/>
  <c r="L18" i="4"/>
  <c r="N139" i="2"/>
  <c r="N150" i="2"/>
  <c r="L31" i="4"/>
  <c r="M31" i="4"/>
  <c r="L42" i="4"/>
  <c r="M39" i="4"/>
  <c r="M115" i="2"/>
  <c r="L24" i="3"/>
  <c r="M120" i="2"/>
  <c r="N125" i="2"/>
  <c r="L39" i="3"/>
  <c r="M132" i="2"/>
  <c r="M140" i="2"/>
  <c r="L58" i="4"/>
  <c r="L21" i="3"/>
  <c r="M50" i="4"/>
  <c r="L40" i="4"/>
  <c r="M31" i="6"/>
  <c r="N137" i="2"/>
  <c r="M49" i="4"/>
  <c r="L51" i="3"/>
  <c r="M23" i="3"/>
  <c r="M123" i="2"/>
  <c r="N128" i="2"/>
  <c r="M41" i="4"/>
  <c r="M139" i="2"/>
  <c r="M29" i="3"/>
  <c r="M130" i="2"/>
  <c r="N116" i="2"/>
  <c r="S99" i="2"/>
  <c r="M22" i="3"/>
  <c r="L50" i="4"/>
  <c r="M148" i="2"/>
  <c r="M58" i="4"/>
  <c r="M26" i="4"/>
  <c r="L17" i="4"/>
  <c r="N133" i="2"/>
  <c r="L53" i="4"/>
  <c r="L32" i="3"/>
  <c r="N134" i="2"/>
  <c r="M118" i="2"/>
  <c r="N120" i="2"/>
  <c r="L29" i="3"/>
  <c r="L61" i="3"/>
  <c r="M13" i="4"/>
  <c r="N122" i="2"/>
  <c r="M117" i="2"/>
  <c r="N140" i="2"/>
  <c r="L19" i="3"/>
  <c r="T96" i="2"/>
  <c r="M59" i="4"/>
  <c r="L22" i="3"/>
  <c r="N135" i="2"/>
  <c r="M126" i="2"/>
  <c r="M146" i="2"/>
  <c r="M12" i="4"/>
  <c r="M21" i="3"/>
  <c r="M51" i="3"/>
  <c r="M137" i="2"/>
  <c r="N130" i="2"/>
  <c r="M53" i="3"/>
  <c r="M50" i="3"/>
  <c r="L21" i="4"/>
  <c r="N146" i="2"/>
  <c r="L52" i="4"/>
  <c r="N148" i="2"/>
  <c r="N126" i="2"/>
  <c r="L42" i="3"/>
  <c r="L37" i="3"/>
  <c r="M129" i="2"/>
  <c r="M30" i="6"/>
  <c r="M127" i="2"/>
  <c r="M125" i="2"/>
  <c r="M135" i="2"/>
  <c r="M70" i="3"/>
  <c r="L36" i="3"/>
  <c r="N151" i="2"/>
  <c r="T97" i="2"/>
  <c r="L59" i="4"/>
  <c r="L70" i="3"/>
  <c r="M42" i="4"/>
  <c r="M27" i="3"/>
  <c r="M39" i="3"/>
  <c r="M152" i="2"/>
  <c r="N149" i="2"/>
  <c r="M116" i="2"/>
  <c r="N127" i="2"/>
  <c r="L52" i="3"/>
  <c r="M24" i="4"/>
  <c r="N132" i="2"/>
  <c r="M38" i="3"/>
  <c r="M63" i="3"/>
  <c r="M136" i="2"/>
  <c r="L39" i="4"/>
  <c r="M128" i="2"/>
  <c r="N117" i="2"/>
  <c r="M119" i="2"/>
  <c r="L41" i="4"/>
  <c r="M19" i="3"/>
  <c r="M18" i="4"/>
  <c r="L29" i="4"/>
  <c r="M93" i="2"/>
  <c r="M134" i="2"/>
  <c r="M42" i="3"/>
  <c r="L35" i="3"/>
  <c r="L18" i="3"/>
  <c r="M29" i="4"/>
  <c r="M138" i="2"/>
  <c r="M150" i="2"/>
  <c r="M53" i="4"/>
  <c r="N136" i="2"/>
  <c r="L16" i="4"/>
  <c r="L40" i="3"/>
  <c r="N18" i="4"/>
  <c r="L26" i="4"/>
  <c r="L75" i="2" l="1"/>
  <c r="J36" i="2"/>
  <c r="L52" i="2"/>
  <c r="K84" i="2"/>
  <c r="K88" i="2" s="1"/>
  <c r="J112" i="2"/>
  <c r="K143" i="2"/>
  <c r="K44" i="2" s="1"/>
  <c r="K83" i="2"/>
  <c r="L81" i="2"/>
  <c r="L53" i="2"/>
  <c r="L82" i="2"/>
  <c r="M76" i="2"/>
  <c r="N76" i="2"/>
  <c r="S71" i="2"/>
  <c r="T71" i="2"/>
  <c r="U99" i="2"/>
  <c r="U96" i="2"/>
  <c r="U97" i="2"/>
  <c r="U100" i="2"/>
  <c r="A29" i="20"/>
  <c r="U28" i="2"/>
  <c r="L3" i="2"/>
  <c r="L84" i="2" s="1"/>
  <c r="L88" i="2" s="1"/>
  <c r="H25" i="6"/>
  <c r="U27" i="2"/>
  <c r="K32" i="4"/>
  <c r="U23" i="2"/>
  <c r="M5" i="2"/>
  <c r="M4" i="2" s="1"/>
  <c r="M69" i="2" s="1"/>
  <c r="N5" i="2"/>
  <c r="N4" i="2" s="1"/>
  <c r="K9" i="4"/>
  <c r="K35" i="4" s="1"/>
  <c r="U46" i="2"/>
  <c r="U45" i="2"/>
  <c r="N41" i="2"/>
  <c r="M41" i="2"/>
  <c r="U37" i="2"/>
  <c r="J44" i="2"/>
  <c r="U50" i="2"/>
  <c r="S48" i="2"/>
  <c r="S31" i="2" s="1"/>
  <c r="S30" i="2" s="1"/>
  <c r="T38" i="2"/>
  <c r="T48" i="2"/>
  <c r="T31" i="2" s="1"/>
  <c r="T30" i="2" s="1"/>
  <c r="U49" i="2"/>
  <c r="S38" i="2"/>
  <c r="T25" i="2"/>
  <c r="U26" i="2"/>
  <c r="S25" i="2"/>
  <c r="U19" i="2"/>
  <c r="S16" i="2"/>
  <c r="T16" i="2"/>
  <c r="U17" i="2"/>
  <c r="U18" i="2"/>
  <c r="M33" i="2"/>
  <c r="N33" i="2"/>
  <c r="H27" i="6"/>
  <c r="O7" i="2"/>
  <c r="O9" i="2"/>
  <c r="O12" i="2"/>
  <c r="O13" i="2"/>
  <c r="O8" i="2"/>
  <c r="O10" i="2"/>
  <c r="O11" i="2"/>
  <c r="O14" i="2"/>
  <c r="J43" i="3"/>
  <c r="J44" i="3"/>
  <c r="F10" i="27"/>
  <c r="O6" i="2"/>
  <c r="H16" i="6"/>
  <c r="J34" i="4"/>
  <c r="H14" i="6"/>
  <c r="J6" i="3"/>
  <c r="F7" i="27"/>
  <c r="G12" i="6"/>
  <c r="L113" i="2"/>
  <c r="H13" i="6"/>
  <c r="F5" i="27"/>
  <c r="L20" i="4"/>
  <c r="L17" i="3"/>
  <c r="L41" i="3"/>
  <c r="L26" i="3"/>
  <c r="L38" i="4"/>
  <c r="L34" i="3"/>
  <c r="L62" i="3"/>
  <c r="L49" i="3"/>
  <c r="L10" i="4"/>
  <c r="L33" i="4" s="1"/>
  <c r="L59" i="3"/>
  <c r="L23" i="4"/>
  <c r="L15" i="4"/>
  <c r="M92" i="2"/>
  <c r="L30" i="4"/>
  <c r="L31" i="3"/>
  <c r="L48" i="4"/>
  <c r="L51" i="4"/>
  <c r="I54" i="4"/>
  <c r="I47" i="4" s="1"/>
  <c r="G12" i="27"/>
  <c r="H6" i="28"/>
  <c r="H9" i="28"/>
  <c r="F9" i="27"/>
  <c r="H8" i="28"/>
  <c r="F8" i="27"/>
  <c r="K142" i="2"/>
  <c r="M121" i="2"/>
  <c r="M145" i="2"/>
  <c r="M63" i="2"/>
  <c r="M114" i="2"/>
  <c r="M95" i="2"/>
  <c r="M35" i="2" s="1"/>
  <c r="M98" i="2"/>
  <c r="M43" i="2" s="1"/>
  <c r="M55" i="2"/>
  <c r="I9" i="28"/>
  <c r="G5" i="27"/>
  <c r="G13" i="27"/>
  <c r="L5" i="3"/>
  <c r="I7" i="6" s="1"/>
  <c r="G8" i="27"/>
  <c r="G11" i="27"/>
  <c r="G6" i="27"/>
  <c r="I7" i="28"/>
  <c r="G5" i="6"/>
  <c r="G4" i="6" s="1"/>
  <c r="N55" i="2"/>
  <c r="I45" i="3"/>
  <c r="F3" i="6"/>
  <c r="F22" i="6" s="1"/>
  <c r="F19" i="6"/>
  <c r="F8" i="6"/>
  <c r="F20" i="6"/>
  <c r="F10" i="6"/>
  <c r="E21" i="6"/>
  <c r="M20" i="4"/>
  <c r="M41" i="3"/>
  <c r="M38" i="4"/>
  <c r="M30" i="4"/>
  <c r="M48" i="4"/>
  <c r="M17" i="3"/>
  <c r="N114" i="2"/>
  <c r="M23" i="4"/>
  <c r="N98" i="2"/>
  <c r="N43" i="2" s="1"/>
  <c r="N63" i="2"/>
  <c r="M10" i="4"/>
  <c r="N145" i="2"/>
  <c r="N95" i="2"/>
  <c r="N35" i="2" s="1"/>
  <c r="M62" i="3"/>
  <c r="M49" i="3"/>
  <c r="M26" i="3"/>
  <c r="M51" i="4"/>
  <c r="M59" i="3"/>
  <c r="M34" i="3"/>
  <c r="M15" i="4"/>
  <c r="N92" i="2"/>
  <c r="M31" i="3"/>
  <c r="N121" i="2"/>
  <c r="H13" i="27"/>
  <c r="J9" i="6"/>
  <c r="M4" i="4"/>
  <c r="K2" i="6"/>
  <c r="N88" i="3"/>
  <c r="K3" i="3"/>
  <c r="K44" i="3"/>
  <c r="K43" i="3"/>
  <c r="N7" i="3"/>
  <c r="N14" i="3"/>
  <c r="M8" i="3"/>
  <c r="M5" i="3" s="1"/>
  <c r="L3" i="4"/>
  <c r="N7" i="4"/>
  <c r="N5" i="4" s="1"/>
  <c r="J46" i="3"/>
  <c r="J45" i="3"/>
  <c r="O11" i="3"/>
  <c r="O122" i="2"/>
  <c r="O131" i="2"/>
  <c r="N36" i="3"/>
  <c r="O125" i="2"/>
  <c r="O149" i="2"/>
  <c r="O118" i="2"/>
  <c r="N13" i="4"/>
  <c r="N59" i="4"/>
  <c r="O126" i="2"/>
  <c r="N51" i="3"/>
  <c r="O137" i="2"/>
  <c r="N31" i="6"/>
  <c r="N40" i="4"/>
  <c r="N11" i="4"/>
  <c r="N21" i="4"/>
  <c r="N28" i="3"/>
  <c r="O146" i="2"/>
  <c r="N52" i="3"/>
  <c r="N27" i="4"/>
  <c r="O139" i="2"/>
  <c r="O127" i="2"/>
  <c r="N50" i="3"/>
  <c r="N37" i="3"/>
  <c r="N39" i="3"/>
  <c r="N18" i="3"/>
  <c r="O150" i="2"/>
  <c r="N29" i="3"/>
  <c r="O140" i="2"/>
  <c r="N42" i="3"/>
  <c r="N29" i="4"/>
  <c r="N63" i="3"/>
  <c r="N16" i="4"/>
  <c r="N26" i="4"/>
  <c r="P119" i="2"/>
  <c r="O135" i="2"/>
  <c r="N28" i="4"/>
  <c r="N25" i="4"/>
  <c r="N30" i="6"/>
  <c r="O124" i="2"/>
  <c r="N69" i="3"/>
  <c r="N42" i="4"/>
  <c r="O151" i="2"/>
  <c r="O136" i="2"/>
  <c r="N17" i="4"/>
  <c r="N24" i="3"/>
  <c r="N64" i="3"/>
  <c r="O138" i="2"/>
  <c r="N38" i="3"/>
  <c r="N12" i="4"/>
  <c r="N32" i="3"/>
  <c r="N23" i="3"/>
  <c r="N21" i="3"/>
  <c r="N35" i="3"/>
  <c r="O120" i="2"/>
  <c r="N39" i="4"/>
  <c r="N52" i="4"/>
  <c r="N49" i="4"/>
  <c r="O132" i="2"/>
  <c r="N22" i="3"/>
  <c r="N20" i="3"/>
  <c r="O134" i="2"/>
  <c r="N50" i="4"/>
  <c r="N41" i="4"/>
  <c r="O147" i="2"/>
  <c r="N53" i="4"/>
  <c r="O129" i="2"/>
  <c r="O152" i="2"/>
  <c r="N31" i="4"/>
  <c r="N19" i="3"/>
  <c r="O148" i="2"/>
  <c r="O133" i="2"/>
  <c r="N40" i="3"/>
  <c r="O123" i="2"/>
  <c r="N53" i="3"/>
  <c r="N58" i="4"/>
  <c r="N61" i="3"/>
  <c r="O94" i="2"/>
  <c r="O130" i="2"/>
  <c r="O117" i="2"/>
  <c r="O128" i="2"/>
  <c r="N24" i="4"/>
  <c r="O115" i="2"/>
  <c r="O116" i="2"/>
  <c r="N60" i="3"/>
  <c r="N27" i="3"/>
  <c r="O93" i="2"/>
  <c r="O40" i="4"/>
  <c r="N70" i="3"/>
  <c r="J54" i="4" l="1"/>
  <c r="J47" i="4" s="1"/>
  <c r="K112" i="2"/>
  <c r="L143" i="2"/>
  <c r="L44" i="2" s="1"/>
  <c r="L112" i="2"/>
  <c r="N82" i="2"/>
  <c r="N69" i="2"/>
  <c r="N54" i="2"/>
  <c r="N75" i="2"/>
  <c r="M75" i="2"/>
  <c r="L83" i="2"/>
  <c r="N62" i="2"/>
  <c r="M54" i="2"/>
  <c r="M62" i="2"/>
  <c r="N53" i="2"/>
  <c r="M81" i="2"/>
  <c r="M53" i="2"/>
  <c r="M82" i="2"/>
  <c r="N81" i="2"/>
  <c r="O76" i="2"/>
  <c r="A32" i="20"/>
  <c r="U30" i="2"/>
  <c r="N3" i="2"/>
  <c r="N84" i="2" s="1"/>
  <c r="N88" i="2" s="1"/>
  <c r="M3" i="2"/>
  <c r="K34" i="4"/>
  <c r="O5" i="2"/>
  <c r="O4" i="2" s="1"/>
  <c r="O41" i="2"/>
  <c r="U25" i="2"/>
  <c r="U31" i="2"/>
  <c r="U38" i="2"/>
  <c r="U16" i="2"/>
  <c r="O33" i="2"/>
  <c r="J65" i="3"/>
  <c r="J58" i="3" s="1"/>
  <c r="G28" i="6" s="1"/>
  <c r="K36" i="2"/>
  <c r="I27" i="6"/>
  <c r="J27" i="6"/>
  <c r="P7" i="2"/>
  <c r="P9" i="2"/>
  <c r="P12" i="2"/>
  <c r="P13" i="2"/>
  <c r="P8" i="2"/>
  <c r="P10" i="2"/>
  <c r="P11" i="2"/>
  <c r="P14" i="2"/>
  <c r="G10" i="27"/>
  <c r="P6" i="2"/>
  <c r="H12" i="6"/>
  <c r="L142" i="2"/>
  <c r="I25" i="6"/>
  <c r="L32" i="4"/>
  <c r="L9" i="4"/>
  <c r="L34" i="4" s="1"/>
  <c r="I14" i="6"/>
  <c r="I17" i="6"/>
  <c r="I15" i="6"/>
  <c r="L16" i="3"/>
  <c r="I13" i="6"/>
  <c r="I16" i="6"/>
  <c r="F28" i="6"/>
  <c r="H5" i="6"/>
  <c r="H4" i="6" s="1"/>
  <c r="H8" i="6" s="1"/>
  <c r="I6" i="28"/>
  <c r="G9" i="27"/>
  <c r="M113" i="2"/>
  <c r="G14" i="27"/>
  <c r="L4" i="3"/>
  <c r="L3" i="3" s="1"/>
  <c r="I8" i="28"/>
  <c r="I5" i="28"/>
  <c r="G7" i="27"/>
  <c r="O55" i="2"/>
  <c r="F21" i="6"/>
  <c r="J15" i="6"/>
  <c r="J14" i="6"/>
  <c r="J17" i="6"/>
  <c r="N113" i="2"/>
  <c r="J25" i="6"/>
  <c r="J16" i="6"/>
  <c r="M9" i="4"/>
  <c r="M16" i="3"/>
  <c r="J13" i="6"/>
  <c r="M32" i="4"/>
  <c r="N23" i="4"/>
  <c r="N49" i="3"/>
  <c r="N10" i="4"/>
  <c r="N59" i="3"/>
  <c r="N15" i="4"/>
  <c r="N62" i="3"/>
  <c r="N31" i="3"/>
  <c r="N34" i="3"/>
  <c r="O114" i="2"/>
  <c r="N41" i="3"/>
  <c r="N30" i="4"/>
  <c r="N17" i="3"/>
  <c r="O95" i="2"/>
  <c r="O35" i="2" s="1"/>
  <c r="N20" i="4"/>
  <c r="O92" i="2"/>
  <c r="O145" i="2"/>
  <c r="N48" i="4"/>
  <c r="N51" i="4"/>
  <c r="N26" i="3"/>
  <c r="O63" i="2"/>
  <c r="O121" i="2"/>
  <c r="N38" i="4"/>
  <c r="K23" i="6" s="1"/>
  <c r="O98" i="2"/>
  <c r="O43" i="2" s="1"/>
  <c r="H11" i="27"/>
  <c r="J7" i="6"/>
  <c r="H14" i="27"/>
  <c r="M4" i="3"/>
  <c r="H7" i="27"/>
  <c r="J7" i="28"/>
  <c r="J6" i="28"/>
  <c r="H6" i="27"/>
  <c r="O88" i="3"/>
  <c r="L2" i="6"/>
  <c r="H12" i="27"/>
  <c r="J5" i="28"/>
  <c r="H5" i="27"/>
  <c r="K46" i="3"/>
  <c r="K45" i="3"/>
  <c r="G19" i="6"/>
  <c r="G20" i="6"/>
  <c r="G8" i="6"/>
  <c r="G10" i="6"/>
  <c r="G3" i="6"/>
  <c r="H8" i="27"/>
  <c r="J8" i="28"/>
  <c r="G6" i="6"/>
  <c r="O7" i="4"/>
  <c r="O5" i="4" s="1"/>
  <c r="O7" i="3"/>
  <c r="O14" i="3"/>
  <c r="J9" i="28"/>
  <c r="H9" i="27"/>
  <c r="M3" i="4"/>
  <c r="M33" i="4"/>
  <c r="P11" i="3"/>
  <c r="N4" i="4"/>
  <c r="K9" i="6"/>
  <c r="N8" i="3"/>
  <c r="N5" i="3" s="1"/>
  <c r="H10" i="27"/>
  <c r="M6" i="4"/>
  <c r="O37" i="3"/>
  <c r="P149" i="2"/>
  <c r="O23" i="3"/>
  <c r="O21" i="4"/>
  <c r="P129" i="2"/>
  <c r="O19" i="3"/>
  <c r="O61" i="3"/>
  <c r="O24" i="3"/>
  <c r="O64" i="3"/>
  <c r="P124" i="2"/>
  <c r="O27" i="4"/>
  <c r="P136" i="2"/>
  <c r="P137" i="2"/>
  <c r="O28" i="4"/>
  <c r="P150" i="2"/>
  <c r="O60" i="3"/>
  <c r="O31" i="4"/>
  <c r="O26" i="4"/>
  <c r="O13" i="4"/>
  <c r="O25" i="4"/>
  <c r="O11" i="4"/>
  <c r="O53" i="3"/>
  <c r="O58" i="4"/>
  <c r="O49" i="4"/>
  <c r="P130" i="2"/>
  <c r="P131" i="2"/>
  <c r="P21" i="4"/>
  <c r="O29" i="4"/>
  <c r="O18" i="4"/>
  <c r="P118" i="2"/>
  <c r="P132" i="2"/>
  <c r="O53" i="4"/>
  <c r="O50" i="3"/>
  <c r="P146" i="2"/>
  <c r="P125" i="2"/>
  <c r="O42" i="4"/>
  <c r="O39" i="4"/>
  <c r="O59" i="4"/>
  <c r="O63" i="3"/>
  <c r="P148" i="2"/>
  <c r="P147" i="2"/>
  <c r="P139" i="2"/>
  <c r="P115" i="2"/>
  <c r="P128" i="2"/>
  <c r="O30" i="6"/>
  <c r="O38" i="3"/>
  <c r="P122" i="2"/>
  <c r="P117" i="2"/>
  <c r="P133" i="2"/>
  <c r="P127" i="2"/>
  <c r="O36" i="3"/>
  <c r="O50" i="4"/>
  <c r="O31" i="6"/>
  <c r="O17" i="4"/>
  <c r="O42" i="3"/>
  <c r="P138" i="2"/>
  <c r="P93" i="2"/>
  <c r="O41" i="4"/>
  <c r="P126" i="2"/>
  <c r="O32" i="3"/>
  <c r="O16" i="4"/>
  <c r="O29" i="3"/>
  <c r="O39" i="3"/>
  <c r="O35" i="3"/>
  <c r="O27" i="3"/>
  <c r="P151" i="2"/>
  <c r="O21" i="3"/>
  <c r="O52" i="3"/>
  <c r="P134" i="2"/>
  <c r="O28" i="3"/>
  <c r="O52" i="4"/>
  <c r="O18" i="3"/>
  <c r="O51" i="3"/>
  <c r="O69" i="3"/>
  <c r="P120" i="2"/>
  <c r="O12" i="4"/>
  <c r="Q119" i="2"/>
  <c r="P152" i="2"/>
  <c r="P94" i="2"/>
  <c r="O40" i="3"/>
  <c r="P123" i="2"/>
  <c r="P135" i="2"/>
  <c r="P116" i="2"/>
  <c r="O22" i="3"/>
  <c r="O70" i="3"/>
  <c r="P140" i="2"/>
  <c r="O20" i="3"/>
  <c r="O24" i="4"/>
  <c r="K54" i="4" l="1"/>
  <c r="K47" i="4" s="1"/>
  <c r="M52" i="2"/>
  <c r="N52" i="2"/>
  <c r="M84" i="2"/>
  <c r="M88" i="2" s="1"/>
  <c r="O62" i="2"/>
  <c r="N143" i="2"/>
  <c r="N44" i="2" s="1"/>
  <c r="N112" i="2"/>
  <c r="M142" i="2"/>
  <c r="M36" i="2" s="1"/>
  <c r="M112" i="2"/>
  <c r="O82" i="2"/>
  <c r="O69" i="2"/>
  <c r="O75" i="2"/>
  <c r="M83" i="2"/>
  <c r="N83" i="2"/>
  <c r="O54" i="2"/>
  <c r="O52" i="2" s="1"/>
  <c r="O53" i="2"/>
  <c r="O81" i="2"/>
  <c r="P76" i="2"/>
  <c r="A35" i="20"/>
  <c r="O3" i="2"/>
  <c r="P5" i="2"/>
  <c r="P4" i="2" s="1"/>
  <c r="P69" i="2" s="1"/>
  <c r="P41" i="2"/>
  <c r="M54" i="4"/>
  <c r="M47" i="4" s="1"/>
  <c r="P33" i="2"/>
  <c r="K65" i="3"/>
  <c r="K58" i="3" s="1"/>
  <c r="H28" i="6" s="1"/>
  <c r="L36" i="2"/>
  <c r="K27" i="6"/>
  <c r="Q7" i="2"/>
  <c r="Q9" i="2"/>
  <c r="Q12" i="2"/>
  <c r="Q13" i="2"/>
  <c r="Q8" i="2"/>
  <c r="Q10" i="2"/>
  <c r="Q11" i="2"/>
  <c r="Q14" i="2"/>
  <c r="Q6" i="2"/>
  <c r="L35" i="4"/>
  <c r="H6" i="6"/>
  <c r="I12" i="6"/>
  <c r="H20" i="6"/>
  <c r="H19" i="6"/>
  <c r="H3" i="6"/>
  <c r="H22" i="6" s="1"/>
  <c r="H10" i="6"/>
  <c r="M143" i="2"/>
  <c r="M44" i="2" s="1"/>
  <c r="L65" i="3"/>
  <c r="L43" i="3"/>
  <c r="L44" i="3"/>
  <c r="L6" i="3"/>
  <c r="I5" i="6"/>
  <c r="I4" i="6" s="1"/>
  <c r="I6" i="6" s="1"/>
  <c r="P55" i="2"/>
  <c r="O20" i="4"/>
  <c r="O26" i="3"/>
  <c r="O23" i="4"/>
  <c r="O15" i="4"/>
  <c r="O41" i="3"/>
  <c r="O38" i="4"/>
  <c r="O48" i="4"/>
  <c r="O31" i="3"/>
  <c r="O51" i="4"/>
  <c r="O30" i="4"/>
  <c r="P121" i="2"/>
  <c r="P63" i="2"/>
  <c r="P95" i="2"/>
  <c r="P35" i="2" s="1"/>
  <c r="P114" i="2"/>
  <c r="P98" i="2"/>
  <c r="P43" i="2" s="1"/>
  <c r="P92" i="2"/>
  <c r="P145" i="2"/>
  <c r="N142" i="2"/>
  <c r="K17" i="6"/>
  <c r="O10" i="4"/>
  <c r="M35" i="4"/>
  <c r="J12" i="6"/>
  <c r="N9" i="4"/>
  <c r="K25" i="6"/>
  <c r="K13" i="6"/>
  <c r="K16" i="6"/>
  <c r="O113" i="2"/>
  <c r="K14" i="6"/>
  <c r="K15" i="6"/>
  <c r="O59" i="3"/>
  <c r="O17" i="3"/>
  <c r="O34" i="3"/>
  <c r="O49" i="3"/>
  <c r="O62" i="3"/>
  <c r="N16" i="3"/>
  <c r="J12" i="27"/>
  <c r="O8" i="3"/>
  <c r="O5" i="3" s="1"/>
  <c r="O4" i="3" s="1"/>
  <c r="M34" i="4"/>
  <c r="P20" i="4"/>
  <c r="N4" i="3"/>
  <c r="N6" i="3" s="1"/>
  <c r="K7" i="6"/>
  <c r="I14" i="27"/>
  <c r="I11" i="27"/>
  <c r="I13" i="27"/>
  <c r="P7" i="4"/>
  <c r="P5" i="4" s="1"/>
  <c r="Q11" i="3"/>
  <c r="I10" i="27"/>
  <c r="L46" i="3"/>
  <c r="L45" i="3"/>
  <c r="I12" i="27"/>
  <c r="K5" i="28"/>
  <c r="I5" i="27"/>
  <c r="M6" i="3"/>
  <c r="M44" i="3"/>
  <c r="M3" i="3"/>
  <c r="M43" i="3"/>
  <c r="N6" i="4"/>
  <c r="N33" i="4"/>
  <c r="N3" i="4"/>
  <c r="G22" i="6"/>
  <c r="G21" i="6"/>
  <c r="I6" i="27"/>
  <c r="K6" i="28"/>
  <c r="N32" i="4"/>
  <c r="P88" i="3"/>
  <c r="M2" i="6"/>
  <c r="K8" i="28"/>
  <c r="I8" i="27"/>
  <c r="J5" i="6"/>
  <c r="I9" i="27"/>
  <c r="K9" i="28"/>
  <c r="P14" i="3"/>
  <c r="P7" i="3"/>
  <c r="I7" i="27"/>
  <c r="K7" i="28"/>
  <c r="O4" i="4"/>
  <c r="L9" i="6"/>
  <c r="Q139" i="2"/>
  <c r="Q126" i="2"/>
  <c r="Q150" i="2"/>
  <c r="Q115" i="2"/>
  <c r="P70" i="3"/>
  <c r="R119" i="2"/>
  <c r="N106" i="2"/>
  <c r="P27" i="4"/>
  <c r="M107" i="2"/>
  <c r="P59" i="4"/>
  <c r="P49" i="4"/>
  <c r="P40" i="3"/>
  <c r="Q146" i="2"/>
  <c r="P24" i="3"/>
  <c r="Q130" i="2"/>
  <c r="Q93" i="2"/>
  <c r="P50" i="3"/>
  <c r="P28" i="3"/>
  <c r="P69" i="3"/>
  <c r="P29" i="3"/>
  <c r="P52" i="4"/>
  <c r="P39" i="3"/>
  <c r="O104" i="2"/>
  <c r="P31" i="4"/>
  <c r="T107" i="2"/>
  <c r="Q123" i="2"/>
  <c r="Q128" i="2"/>
  <c r="P105" i="2"/>
  <c r="P42" i="3"/>
  <c r="P51" i="3"/>
  <c r="Q124" i="2"/>
  <c r="S107" i="2"/>
  <c r="Q138" i="2"/>
  <c r="P22" i="3"/>
  <c r="Q137" i="2"/>
  <c r="Q148" i="2"/>
  <c r="Q120" i="2"/>
  <c r="P53" i="4"/>
  <c r="I104" i="2"/>
  <c r="J105" i="2"/>
  <c r="N107" i="2"/>
  <c r="P53" i="3"/>
  <c r="P35" i="3"/>
  <c r="Q26" i="4"/>
  <c r="J104" i="2"/>
  <c r="Q122" i="2"/>
  <c r="Q149" i="2"/>
  <c r="J107" i="2"/>
  <c r="Q116" i="2"/>
  <c r="Q118" i="2"/>
  <c r="P11" i="4"/>
  <c r="P20" i="3"/>
  <c r="N104" i="2"/>
  <c r="P106" i="2"/>
  <c r="P18" i="4"/>
  <c r="P23" i="3"/>
  <c r="P31" i="6"/>
  <c r="P18" i="3"/>
  <c r="P64" i="3"/>
  <c r="I105" i="2"/>
  <c r="Q136" i="2"/>
  <c r="M105" i="2"/>
  <c r="N105" i="2"/>
  <c r="Q104" i="2"/>
  <c r="P42" i="4"/>
  <c r="P25" i="4"/>
  <c r="R107" i="2"/>
  <c r="P36" i="3"/>
  <c r="P28" i="4"/>
  <c r="Q152" i="2"/>
  <c r="O106" i="2"/>
  <c r="Q151" i="2"/>
  <c r="Q107" i="2"/>
  <c r="Q106" i="2"/>
  <c r="P24" i="4"/>
  <c r="I106" i="2"/>
  <c r="P41" i="4"/>
  <c r="Q135" i="2"/>
  <c r="P29" i="4"/>
  <c r="P37" i="3"/>
  <c r="P38" i="3"/>
  <c r="L105" i="2"/>
  <c r="P52" i="3"/>
  <c r="O107" i="2"/>
  <c r="Q94" i="2"/>
  <c r="P16" i="4"/>
  <c r="K106" i="2"/>
  <c r="P12" i="4"/>
  <c r="P27" i="3"/>
  <c r="P40" i="4"/>
  <c r="P19" i="3"/>
  <c r="Q131" i="2"/>
  <c r="Q134" i="2"/>
  <c r="Q117" i="2"/>
  <c r="Q140" i="2"/>
  <c r="M106" i="2"/>
  <c r="P39" i="4"/>
  <c r="P60" i="3"/>
  <c r="P26" i="4"/>
  <c r="Q133" i="2"/>
  <c r="L104" i="2"/>
  <c r="P63" i="3"/>
  <c r="Q125" i="2"/>
  <c r="Q127" i="2"/>
  <c r="Q105" i="2"/>
  <c r="J106" i="2"/>
  <c r="I107" i="2"/>
  <c r="P21" i="3"/>
  <c r="P50" i="4"/>
  <c r="P58" i="4"/>
  <c r="K104" i="2"/>
  <c r="P30" i="6"/>
  <c r="L106" i="2"/>
  <c r="P61" i="3"/>
  <c r="Q147" i="2"/>
  <c r="P17" i="4"/>
  <c r="Q132" i="2"/>
  <c r="P107" i="2"/>
  <c r="Q129" i="2"/>
  <c r="M104" i="2"/>
  <c r="P13" i="4"/>
  <c r="O105" i="2"/>
  <c r="K105" i="2"/>
  <c r="P104" i="2"/>
  <c r="L107" i="2"/>
  <c r="K107" i="2"/>
  <c r="P32" i="3"/>
  <c r="O83" i="2" l="1"/>
  <c r="P54" i="2"/>
  <c r="O143" i="2"/>
  <c r="O44" i="2" s="1"/>
  <c r="O84" i="2"/>
  <c r="O88" i="2" s="1"/>
  <c r="P75" i="2"/>
  <c r="P62" i="2"/>
  <c r="P81" i="2"/>
  <c r="P53" i="2"/>
  <c r="P82" i="2"/>
  <c r="Q76" i="2"/>
  <c r="O103" i="2"/>
  <c r="J103" i="2"/>
  <c r="J102" i="2" s="1"/>
  <c r="U107" i="2"/>
  <c r="I103" i="2"/>
  <c r="I102" i="2" s="1"/>
  <c r="K103" i="2"/>
  <c r="K102" i="2" s="1"/>
  <c r="L103" i="2"/>
  <c r="L102" i="2" s="1"/>
  <c r="N103" i="2"/>
  <c r="N102" i="2" s="1"/>
  <c r="M103" i="2"/>
  <c r="M102" i="2" s="1"/>
  <c r="P103" i="2"/>
  <c r="Q103" i="2"/>
  <c r="P3" i="2"/>
  <c r="P84" i="2" s="1"/>
  <c r="P88" i="2" s="1"/>
  <c r="Q5" i="2"/>
  <c r="Q4" i="2" s="1"/>
  <c r="Q69" i="2" s="1"/>
  <c r="Q41" i="2"/>
  <c r="Q33" i="2"/>
  <c r="M65" i="3"/>
  <c r="M58" i="3" s="1"/>
  <c r="J28" i="6" s="1"/>
  <c r="N36" i="2"/>
  <c r="L27" i="6"/>
  <c r="R7" i="2"/>
  <c r="R9" i="2"/>
  <c r="R12" i="2"/>
  <c r="R13" i="2"/>
  <c r="R8" i="2"/>
  <c r="R10" i="2"/>
  <c r="R11" i="2"/>
  <c r="R14" i="2"/>
  <c r="R6" i="2"/>
  <c r="L58" i="3"/>
  <c r="H21" i="6"/>
  <c r="L54" i="4"/>
  <c r="L47" i="4" s="1"/>
  <c r="I19" i="6"/>
  <c r="I8" i="6"/>
  <c r="I20" i="6"/>
  <c r="I3" i="6"/>
  <c r="I21" i="6" s="1"/>
  <c r="I10" i="6"/>
  <c r="Q55" i="2"/>
  <c r="L15" i="6"/>
  <c r="L17" i="6"/>
  <c r="L14" i="6"/>
  <c r="O9" i="4"/>
  <c r="P113" i="2"/>
  <c r="L25" i="6"/>
  <c r="L16" i="6"/>
  <c r="O32" i="4"/>
  <c r="P51" i="4"/>
  <c r="L13" i="6"/>
  <c r="Q114" i="2"/>
  <c r="Q95" i="2"/>
  <c r="Q35" i="2" s="1"/>
  <c r="O142" i="2"/>
  <c r="N35" i="4"/>
  <c r="O16" i="3"/>
  <c r="K12" i="6"/>
  <c r="P41" i="3"/>
  <c r="P62" i="3"/>
  <c r="P59" i="3"/>
  <c r="Q121" i="2"/>
  <c r="P23" i="4"/>
  <c r="P31" i="3"/>
  <c r="M15" i="6" s="1"/>
  <c r="Q30" i="6"/>
  <c r="P15" i="4"/>
  <c r="Q98" i="2"/>
  <c r="Q43" i="2" s="1"/>
  <c r="Q145" i="2"/>
  <c r="P30" i="4"/>
  <c r="P48" i="4"/>
  <c r="Q31" i="6"/>
  <c r="P26" i="3"/>
  <c r="P10" i="4"/>
  <c r="P17" i="3"/>
  <c r="Q63" i="2"/>
  <c r="P38" i="4"/>
  <c r="P49" i="3"/>
  <c r="P34" i="3"/>
  <c r="Q92" i="2"/>
  <c r="L7" i="6"/>
  <c r="J14" i="27"/>
  <c r="P8" i="3"/>
  <c r="P5" i="3" s="1"/>
  <c r="P4" i="3" s="1"/>
  <c r="L6" i="28"/>
  <c r="J6" i="27"/>
  <c r="J11" i="27"/>
  <c r="Q14" i="3"/>
  <c r="Q7" i="3"/>
  <c r="J7" i="27"/>
  <c r="L7" i="28"/>
  <c r="L5" i="28"/>
  <c r="J5" i="27"/>
  <c r="J13" i="27"/>
  <c r="K5" i="6"/>
  <c r="K4" i="6" s="1"/>
  <c r="O6" i="3"/>
  <c r="O44" i="3"/>
  <c r="O3" i="3"/>
  <c r="M9" i="6"/>
  <c r="P4" i="4"/>
  <c r="N34" i="4"/>
  <c r="J10" i="27"/>
  <c r="J8" i="27"/>
  <c r="L8" i="28"/>
  <c r="L9" i="28"/>
  <c r="J9" i="27"/>
  <c r="O43" i="3"/>
  <c r="Q7" i="4"/>
  <c r="Q5" i="4" s="1"/>
  <c r="O6" i="4"/>
  <c r="O33" i="4"/>
  <c r="O3" i="4"/>
  <c r="M6" i="28"/>
  <c r="J4" i="6"/>
  <c r="J6" i="6" s="1"/>
  <c r="M46" i="3"/>
  <c r="M45" i="3"/>
  <c r="R11" i="3"/>
  <c r="Q88" i="3"/>
  <c r="N2" i="6"/>
  <c r="N43" i="3"/>
  <c r="N44" i="3"/>
  <c r="N3" i="3"/>
  <c r="R127" i="2"/>
  <c r="Q39" i="4"/>
  <c r="Q70" i="3"/>
  <c r="Q52" i="4"/>
  <c r="R134" i="2"/>
  <c r="Q25" i="4"/>
  <c r="Q16" i="4"/>
  <c r="Q27" i="4"/>
  <c r="Q40" i="4"/>
  <c r="Q31" i="4"/>
  <c r="R130" i="2"/>
  <c r="Q19" i="3"/>
  <c r="Q32" i="3"/>
  <c r="Q50" i="4"/>
  <c r="R146" i="2"/>
  <c r="Q11" i="4"/>
  <c r="R149" i="2"/>
  <c r="Q64" i="3"/>
  <c r="R136" i="2"/>
  <c r="Q21" i="3"/>
  <c r="Q59" i="4"/>
  <c r="Q52" i="3"/>
  <c r="R123" i="2"/>
  <c r="R126" i="2"/>
  <c r="Q58" i="4"/>
  <c r="Q21" i="4"/>
  <c r="Q41" i="4"/>
  <c r="Q22" i="3"/>
  <c r="R105" i="2"/>
  <c r="R93" i="2"/>
  <c r="Q24" i="4"/>
  <c r="R116" i="2"/>
  <c r="Q61" i="3"/>
  <c r="Q28" i="4"/>
  <c r="R104" i="2"/>
  <c r="Q51" i="3"/>
  <c r="R135" i="2"/>
  <c r="Q28" i="3"/>
  <c r="Q40" i="3"/>
  <c r="Q18" i="3"/>
  <c r="Q42" i="3"/>
  <c r="Q17" i="4"/>
  <c r="Q35" i="3"/>
  <c r="Q13" i="4"/>
  <c r="Q50" i="3"/>
  <c r="Q53" i="4"/>
  <c r="Q53" i="3"/>
  <c r="R120" i="2"/>
  <c r="Q42" i="4"/>
  <c r="R122" i="2"/>
  <c r="R106" i="2"/>
  <c r="Q39" i="3"/>
  <c r="Q20" i="3"/>
  <c r="R137" i="2"/>
  <c r="Q12" i="4"/>
  <c r="R117" i="2"/>
  <c r="Q69" i="3"/>
  <c r="Q60" i="3"/>
  <c r="R151" i="2"/>
  <c r="R124" i="2"/>
  <c r="R152" i="2"/>
  <c r="Q38" i="3"/>
  <c r="Q18" i="4"/>
  <c r="R125" i="2"/>
  <c r="R140" i="2"/>
  <c r="R132" i="2"/>
  <c r="R128" i="2"/>
  <c r="Q29" i="4"/>
  <c r="R115" i="2"/>
  <c r="Q49" i="4"/>
  <c r="R131" i="2"/>
  <c r="Q23" i="3"/>
  <c r="R147" i="2"/>
  <c r="Q63" i="3"/>
  <c r="R150" i="2"/>
  <c r="R118" i="2"/>
  <c r="R138" i="2"/>
  <c r="Q29" i="3"/>
  <c r="Q36" i="3"/>
  <c r="R139" i="2"/>
  <c r="Q37" i="3"/>
  <c r="R133" i="2"/>
  <c r="S119" i="2"/>
  <c r="R129" i="2"/>
  <c r="Q27" i="3"/>
  <c r="R94" i="2"/>
  <c r="Q24" i="3"/>
  <c r="R148" i="2"/>
  <c r="P52" i="2" l="1"/>
  <c r="O112" i="2"/>
  <c r="N54" i="4"/>
  <c r="N47" i="4" s="1"/>
  <c r="P143" i="2"/>
  <c r="P44" i="2" s="1"/>
  <c r="P112" i="2"/>
  <c r="P110" i="2"/>
  <c r="P42" i="2" s="1"/>
  <c r="P102" i="2"/>
  <c r="Q110" i="2"/>
  <c r="Q42" i="2" s="1"/>
  <c r="O87" i="2"/>
  <c r="O86" i="2" s="1"/>
  <c r="O102" i="2"/>
  <c r="Q75" i="2"/>
  <c r="P83" i="2"/>
  <c r="Q54" i="2"/>
  <c r="Q62" i="2"/>
  <c r="Q81" i="2"/>
  <c r="Q53" i="2"/>
  <c r="Q82" i="2"/>
  <c r="R76" i="2"/>
  <c r="P109" i="2"/>
  <c r="O56" i="3" s="1"/>
  <c r="O55" i="3" s="1"/>
  <c r="P40" i="2"/>
  <c r="O45" i="4"/>
  <c r="O44" i="4" s="1"/>
  <c r="M109" i="2"/>
  <c r="M110" i="2"/>
  <c r="M87" i="2"/>
  <c r="M86" i="2" s="1"/>
  <c r="N109" i="2"/>
  <c r="N110" i="2"/>
  <c r="N87" i="2"/>
  <c r="N86" i="2" s="1"/>
  <c r="L110" i="2"/>
  <c r="L109" i="2"/>
  <c r="L87" i="2"/>
  <c r="L86" i="2" s="1"/>
  <c r="K110" i="2"/>
  <c r="K109" i="2"/>
  <c r="K87" i="2"/>
  <c r="K86" i="2" s="1"/>
  <c r="I110" i="2"/>
  <c r="I109" i="2"/>
  <c r="I87" i="2"/>
  <c r="I86" i="2" s="1"/>
  <c r="J110" i="2"/>
  <c r="J109" i="2"/>
  <c r="J87" i="2"/>
  <c r="J86" i="2" s="1"/>
  <c r="O109" i="2"/>
  <c r="O110" i="2"/>
  <c r="R103" i="2"/>
  <c r="Q3" i="2"/>
  <c r="R5" i="2"/>
  <c r="R4" i="2" s="1"/>
  <c r="R69" i="2" s="1"/>
  <c r="R41" i="2"/>
  <c r="O54" i="4"/>
  <c r="O47" i="4" s="1"/>
  <c r="R33" i="2"/>
  <c r="N65" i="3"/>
  <c r="O36" i="2"/>
  <c r="M27" i="6"/>
  <c r="S7" i="2"/>
  <c r="S9" i="2"/>
  <c r="S12" i="2"/>
  <c r="S13" i="2"/>
  <c r="S8" i="2"/>
  <c r="S10" i="2"/>
  <c r="S11" i="2"/>
  <c r="S14" i="2"/>
  <c r="S6" i="2"/>
  <c r="I28" i="6"/>
  <c r="I22" i="6"/>
  <c r="R55" i="2"/>
  <c r="O35" i="4"/>
  <c r="P142" i="2"/>
  <c r="P36" i="2" s="1"/>
  <c r="P87" i="2"/>
  <c r="P86" i="2" s="1"/>
  <c r="Q62" i="3"/>
  <c r="Q49" i="3"/>
  <c r="L12" i="6"/>
  <c r="Q59" i="3"/>
  <c r="Q41" i="3"/>
  <c r="Q113" i="2"/>
  <c r="R121" i="2"/>
  <c r="R114" i="2"/>
  <c r="R145" i="2"/>
  <c r="Q30" i="4"/>
  <c r="Q20" i="4"/>
  <c r="Q31" i="3"/>
  <c r="R95" i="2"/>
  <c r="R35" i="2" s="1"/>
  <c r="Q51" i="4"/>
  <c r="R92" i="2"/>
  <c r="Q48" i="4"/>
  <c r="Q17" i="3"/>
  <c r="Q23" i="4"/>
  <c r="Q34" i="3"/>
  <c r="Q26" i="3"/>
  <c r="Q38" i="4"/>
  <c r="R63" i="2"/>
  <c r="R98" i="2"/>
  <c r="R43" i="2" s="1"/>
  <c r="Q10" i="4"/>
  <c r="Q15" i="4"/>
  <c r="Q109" i="2"/>
  <c r="M17" i="6"/>
  <c r="P32" i="4"/>
  <c r="M14" i="6"/>
  <c r="M13" i="6"/>
  <c r="P9" i="4"/>
  <c r="M25" i="6"/>
  <c r="M16" i="6"/>
  <c r="P16" i="3"/>
  <c r="P6" i="3"/>
  <c r="M7" i="6"/>
  <c r="O34" i="4"/>
  <c r="Q8" i="3"/>
  <c r="Q5" i="3" s="1"/>
  <c r="N8" i="28"/>
  <c r="Q4" i="4"/>
  <c r="N9" i="6"/>
  <c r="O45" i="3"/>
  <c r="O46" i="3"/>
  <c r="L5" i="6"/>
  <c r="L4" i="6" s="1"/>
  <c r="R14" i="3"/>
  <c r="R7" i="3"/>
  <c r="M5" i="28"/>
  <c r="R7" i="4"/>
  <c r="N46" i="3"/>
  <c r="N45" i="3"/>
  <c r="M7" i="28"/>
  <c r="K6" i="6"/>
  <c r="K10" i="6"/>
  <c r="K8" i="6"/>
  <c r="K3" i="6"/>
  <c r="K19" i="6"/>
  <c r="K20" i="6"/>
  <c r="J10" i="6"/>
  <c r="J19" i="6"/>
  <c r="J20" i="6"/>
  <c r="J3" i="6"/>
  <c r="J8" i="6"/>
  <c r="M9" i="28"/>
  <c r="D2" i="4"/>
  <c r="S11" i="3"/>
  <c r="D2" i="3"/>
  <c r="A2" i="6"/>
  <c r="R88" i="3"/>
  <c r="O2" i="6"/>
  <c r="M8" i="28"/>
  <c r="P6" i="4"/>
  <c r="P33" i="4"/>
  <c r="P3" i="4"/>
  <c r="P43" i="3"/>
  <c r="P3" i="3"/>
  <c r="P44" i="3"/>
  <c r="S26" i="4"/>
  <c r="R39" i="3"/>
  <c r="S127" i="2"/>
  <c r="R21" i="3"/>
  <c r="R38" i="3"/>
  <c r="S94" i="2"/>
  <c r="S148" i="2"/>
  <c r="S115" i="2"/>
  <c r="R17" i="4"/>
  <c r="S126" i="2"/>
  <c r="S133" i="2"/>
  <c r="S151" i="2"/>
  <c r="R28" i="4"/>
  <c r="S136" i="2"/>
  <c r="R23" i="3"/>
  <c r="R50" i="3"/>
  <c r="S131" i="2"/>
  <c r="R20" i="3"/>
  <c r="S125" i="2"/>
  <c r="S147" i="2"/>
  <c r="S106" i="2"/>
  <c r="S129" i="2"/>
  <c r="R40" i="4"/>
  <c r="S139" i="2"/>
  <c r="R35" i="3"/>
  <c r="R29" i="3"/>
  <c r="R60" i="3"/>
  <c r="R53" i="4"/>
  <c r="R37" i="3"/>
  <c r="R42" i="4"/>
  <c r="R26" i="4"/>
  <c r="R58" i="4"/>
  <c r="S137" i="2"/>
  <c r="S120" i="2"/>
  <c r="R27" i="4"/>
  <c r="R52" i="4"/>
  <c r="R25" i="4"/>
  <c r="S123" i="2"/>
  <c r="S146" i="2"/>
  <c r="R70" i="3"/>
  <c r="R50" i="4"/>
  <c r="S140" i="2"/>
  <c r="S132" i="2"/>
  <c r="R13" i="4"/>
  <c r="R51" i="3"/>
  <c r="R31" i="4"/>
  <c r="S128" i="2"/>
  <c r="S152" i="2"/>
  <c r="S150" i="2"/>
  <c r="S130" i="2"/>
  <c r="S118" i="2"/>
  <c r="S138" i="2"/>
  <c r="R19" i="3"/>
  <c r="R64" i="3"/>
  <c r="R63" i="3"/>
  <c r="S135" i="2"/>
  <c r="R36" i="3"/>
  <c r="R52" i="3"/>
  <c r="R41" i="4"/>
  <c r="R40" i="3"/>
  <c r="R18" i="4"/>
  <c r="R28" i="3"/>
  <c r="R29" i="4"/>
  <c r="R11" i="4"/>
  <c r="R24" i="4"/>
  <c r="R39" i="4"/>
  <c r="R32" i="3"/>
  <c r="S116" i="2"/>
  <c r="S149" i="2"/>
  <c r="R59" i="4"/>
  <c r="S117" i="2"/>
  <c r="R53" i="3"/>
  <c r="R27" i="3"/>
  <c r="R12" i="4"/>
  <c r="S122" i="2"/>
  <c r="R21" i="4"/>
  <c r="R69" i="3"/>
  <c r="R18" i="3"/>
  <c r="R16" i="4"/>
  <c r="S104" i="2"/>
  <c r="R61" i="3"/>
  <c r="R42" i="3"/>
  <c r="R22" i="3"/>
  <c r="R24" i="3"/>
  <c r="S124" i="2"/>
  <c r="S134" i="2"/>
  <c r="S93" i="2"/>
  <c r="S105" i="2"/>
  <c r="R49" i="4"/>
  <c r="P45" i="4" l="1"/>
  <c r="P44" i="4" s="1"/>
  <c r="Q84" i="2"/>
  <c r="Q88" i="2" s="1"/>
  <c r="Q52" i="2"/>
  <c r="Q102" i="2"/>
  <c r="Q142" i="2"/>
  <c r="Q36" i="2" s="1"/>
  <c r="Q112" i="2"/>
  <c r="R110" i="2"/>
  <c r="R42" i="2" s="1"/>
  <c r="R75" i="2"/>
  <c r="Q83" i="2"/>
  <c r="R54" i="2"/>
  <c r="R62" i="2"/>
  <c r="R81" i="2"/>
  <c r="R53" i="2"/>
  <c r="R82" i="2"/>
  <c r="P34" i="2"/>
  <c r="P32" i="2" s="1"/>
  <c r="S76" i="2"/>
  <c r="L26" i="6"/>
  <c r="O37" i="4"/>
  <c r="O57" i="4" s="1"/>
  <c r="O61" i="4" s="1"/>
  <c r="O64" i="4" s="1"/>
  <c r="I56" i="3"/>
  <c r="J34" i="2"/>
  <c r="J32" i="2" s="1"/>
  <c r="J42" i="2"/>
  <c r="J40" i="2" s="1"/>
  <c r="I45" i="4"/>
  <c r="I44" i="4" s="1"/>
  <c r="I37" i="4" s="1"/>
  <c r="I57" i="4" s="1"/>
  <c r="I61" i="4" s="1"/>
  <c r="I64" i="4" s="1"/>
  <c r="I34" i="2"/>
  <c r="I32" i="2" s="1"/>
  <c r="H56" i="3"/>
  <c r="I42" i="2"/>
  <c r="I40" i="2" s="1"/>
  <c r="H45" i="4"/>
  <c r="H44" i="4" s="1"/>
  <c r="H37" i="4" s="1"/>
  <c r="H57" i="4" s="1"/>
  <c r="H61" i="4" s="1"/>
  <c r="H64" i="4" s="1"/>
  <c r="J56" i="3"/>
  <c r="K34" i="2"/>
  <c r="K32" i="2" s="1"/>
  <c r="K42" i="2"/>
  <c r="K40" i="2" s="1"/>
  <c r="J45" i="4"/>
  <c r="J44" i="4" s="1"/>
  <c r="J37" i="4" s="1"/>
  <c r="J57" i="4" s="1"/>
  <c r="J61" i="4" s="1"/>
  <c r="J64" i="4" s="1"/>
  <c r="K56" i="3"/>
  <c r="L34" i="2"/>
  <c r="L32" i="2" s="1"/>
  <c r="L42" i="2"/>
  <c r="L40" i="2" s="1"/>
  <c r="K45" i="4"/>
  <c r="K44" i="4" s="1"/>
  <c r="K37" i="4" s="1"/>
  <c r="K57" i="4" s="1"/>
  <c r="K61" i="4" s="1"/>
  <c r="K64" i="4" s="1"/>
  <c r="N42" i="2"/>
  <c r="N40" i="2" s="1"/>
  <c r="M45" i="4"/>
  <c r="M44" i="4" s="1"/>
  <c r="M37" i="4" s="1"/>
  <c r="M57" i="4" s="1"/>
  <c r="M61" i="4" s="1"/>
  <c r="M64" i="4" s="1"/>
  <c r="N34" i="2"/>
  <c r="N32" i="2" s="1"/>
  <c r="M56" i="3"/>
  <c r="M42" i="2"/>
  <c r="M40" i="2" s="1"/>
  <c r="L45" i="4"/>
  <c r="L44" i="4" s="1"/>
  <c r="L56" i="3"/>
  <c r="M34" i="2"/>
  <c r="M32" i="2" s="1"/>
  <c r="O42" i="2"/>
  <c r="O40" i="2" s="1"/>
  <c r="N45" i="4"/>
  <c r="N44" i="4" s="1"/>
  <c r="N56" i="3"/>
  <c r="N55" i="3" s="1"/>
  <c r="O34" i="2"/>
  <c r="O32" i="2" s="1"/>
  <c r="S103" i="2"/>
  <c r="R3" i="2"/>
  <c r="S5" i="2"/>
  <c r="S4" i="2" s="1"/>
  <c r="S41" i="2"/>
  <c r="N58" i="3"/>
  <c r="S33" i="2"/>
  <c r="P56" i="3"/>
  <c r="P55" i="3" s="1"/>
  <c r="Q34" i="2"/>
  <c r="N27" i="6"/>
  <c r="T7" i="2"/>
  <c r="T9" i="2"/>
  <c r="T12" i="2"/>
  <c r="T13" i="2"/>
  <c r="T8" i="2"/>
  <c r="T10" i="2"/>
  <c r="T11" i="2"/>
  <c r="T14" i="2"/>
  <c r="T6" i="2"/>
  <c r="S92" i="2"/>
  <c r="S55" i="2"/>
  <c r="S95" i="2"/>
  <c r="S35" i="2" s="1"/>
  <c r="O65" i="3"/>
  <c r="O89" i="3" s="1"/>
  <c r="Q143" i="2"/>
  <c r="Q44" i="2" s="1"/>
  <c r="Q40" i="2" s="1"/>
  <c r="Q87" i="2"/>
  <c r="Q86" i="2" s="1"/>
  <c r="R113" i="2"/>
  <c r="N14" i="6"/>
  <c r="N16" i="6"/>
  <c r="R41" i="3"/>
  <c r="R49" i="3"/>
  <c r="R31" i="3"/>
  <c r="Q16" i="3"/>
  <c r="N15" i="6"/>
  <c r="N25" i="6"/>
  <c r="P35" i="4"/>
  <c r="N17" i="6"/>
  <c r="N13" i="6"/>
  <c r="R109" i="2"/>
  <c r="R38" i="4"/>
  <c r="R15" i="4"/>
  <c r="R10" i="4"/>
  <c r="R51" i="4"/>
  <c r="R20" i="4"/>
  <c r="Q9" i="4"/>
  <c r="M12" i="6"/>
  <c r="Q32" i="4"/>
  <c r="R23" i="4"/>
  <c r="R62" i="3"/>
  <c r="S63" i="2"/>
  <c r="R48" i="4"/>
  <c r="S114" i="2"/>
  <c r="R30" i="4"/>
  <c r="R34" i="3"/>
  <c r="R26" i="3"/>
  <c r="R17" i="3"/>
  <c r="S145" i="2"/>
  <c r="R59" i="3"/>
  <c r="S121" i="2"/>
  <c r="S98" i="2"/>
  <c r="S43" i="2" s="1"/>
  <c r="Q4" i="3"/>
  <c r="Q44" i="3" s="1"/>
  <c r="N7" i="6"/>
  <c r="T26" i="4"/>
  <c r="N9" i="28"/>
  <c r="N7" i="28"/>
  <c r="P2" i="6"/>
  <c r="P34" i="4"/>
  <c r="J22" i="6"/>
  <c r="J21" i="6"/>
  <c r="P65" i="3"/>
  <c r="P58" i="3" s="1"/>
  <c r="M5" i="6"/>
  <c r="M4" i="6" s="1"/>
  <c r="Q6" i="4"/>
  <c r="Q3" i="4"/>
  <c r="Q33" i="4"/>
  <c r="N5" i="28"/>
  <c r="R8" i="3"/>
  <c r="R5" i="3" s="1"/>
  <c r="L6" i="6"/>
  <c r="L8" i="6"/>
  <c r="L3" i="6"/>
  <c r="L20" i="6"/>
  <c r="L19" i="6"/>
  <c r="L10" i="6"/>
  <c r="R5" i="4"/>
  <c r="P46" i="3"/>
  <c r="P45" i="3"/>
  <c r="S7" i="4"/>
  <c r="S5" i="4" s="1"/>
  <c r="N6" i="28"/>
  <c r="S7" i="3"/>
  <c r="T7" i="3" s="1"/>
  <c r="S14" i="3"/>
  <c r="T14" i="3" s="1"/>
  <c r="K21" i="6"/>
  <c r="K22" i="6"/>
  <c r="S49" i="4"/>
  <c r="T139" i="2"/>
  <c r="T106" i="2"/>
  <c r="S32" i="3"/>
  <c r="S22" i="3"/>
  <c r="T146" i="2"/>
  <c r="S21" i="4"/>
  <c r="S20" i="3"/>
  <c r="S59" i="4"/>
  <c r="T130" i="2"/>
  <c r="T133" i="2"/>
  <c r="S60" i="3"/>
  <c r="S18" i="4"/>
  <c r="S52" i="4"/>
  <c r="T93" i="2"/>
  <c r="S61" i="3"/>
  <c r="S39" i="3"/>
  <c r="T128" i="2"/>
  <c r="T148" i="2"/>
  <c r="S50" i="3"/>
  <c r="S24" i="3"/>
  <c r="S19" i="3"/>
  <c r="T134" i="2"/>
  <c r="S11" i="4"/>
  <c r="T137" i="2"/>
  <c r="S53" i="4"/>
  <c r="T151" i="2"/>
  <c r="T120" i="2"/>
  <c r="S38" i="3"/>
  <c r="T152" i="2"/>
  <c r="S28" i="4"/>
  <c r="S41" i="4"/>
  <c r="S27" i="4"/>
  <c r="S21" i="3"/>
  <c r="T119" i="2"/>
  <c r="T118" i="2"/>
  <c r="S25" i="4"/>
  <c r="S23" i="3"/>
  <c r="S64" i="3"/>
  <c r="T115" i="2"/>
  <c r="S17" i="4"/>
  <c r="T129" i="2"/>
  <c r="S63" i="3"/>
  <c r="T117" i="2"/>
  <c r="T140" i="2"/>
  <c r="T124" i="2"/>
  <c r="T105" i="2"/>
  <c r="S50" i="4"/>
  <c r="S28" i="3"/>
  <c r="T138" i="2"/>
  <c r="T149" i="2"/>
  <c r="S29" i="3"/>
  <c r="T116" i="2"/>
  <c r="S42" i="3"/>
  <c r="T135" i="2"/>
  <c r="S24" i="4"/>
  <c r="S12" i="4"/>
  <c r="S58" i="4"/>
  <c r="S39" i="4"/>
  <c r="S27" i="3"/>
  <c r="S31" i="4"/>
  <c r="T126" i="2"/>
  <c r="S13" i="4"/>
  <c r="S40" i="3"/>
  <c r="T127" i="2"/>
  <c r="S16" i="4"/>
  <c r="S42" i="4"/>
  <c r="S36" i="3"/>
  <c r="T122" i="2"/>
  <c r="T123" i="2"/>
  <c r="T150" i="2"/>
  <c r="T132" i="2"/>
  <c r="T136" i="2"/>
  <c r="T147" i="2"/>
  <c r="S35" i="3"/>
  <c r="S53" i="3"/>
  <c r="S18" i="3"/>
  <c r="S69" i="3"/>
  <c r="S37" i="3"/>
  <c r="T104" i="2"/>
  <c r="S70" i="3"/>
  <c r="T94" i="2"/>
  <c r="T131" i="2"/>
  <c r="S51" i="3"/>
  <c r="S52" i="3"/>
  <c r="S29" i="4"/>
  <c r="S40" i="4"/>
  <c r="T125" i="2"/>
  <c r="M26" i="6" l="1"/>
  <c r="Q45" i="4"/>
  <c r="Q44" i="4" s="1"/>
  <c r="Q32" i="2"/>
  <c r="R52" i="2"/>
  <c r="R84" i="2"/>
  <c r="R88" i="2" s="1"/>
  <c r="R143" i="2"/>
  <c r="R44" i="2" s="1"/>
  <c r="R40" i="2" s="1"/>
  <c r="S109" i="2"/>
  <c r="S34" i="2" s="1"/>
  <c r="S62" i="2"/>
  <c r="S82" i="2"/>
  <c r="S69" i="2"/>
  <c r="S54" i="2"/>
  <c r="S75" i="2"/>
  <c r="R83" i="2"/>
  <c r="S53" i="2"/>
  <c r="S83" i="2" s="1"/>
  <c r="S81" i="2"/>
  <c r="N48" i="3"/>
  <c r="N68" i="3" s="1"/>
  <c r="N72" i="3" s="1"/>
  <c r="N75" i="3" s="1"/>
  <c r="T76" i="2"/>
  <c r="T75" i="2" s="1"/>
  <c r="M55" i="3"/>
  <c r="M89" i="3"/>
  <c r="K55" i="3"/>
  <c r="K89" i="3"/>
  <c r="J55" i="3"/>
  <c r="J89" i="3"/>
  <c r="N89" i="3"/>
  <c r="K26" i="6"/>
  <c r="N37" i="4"/>
  <c r="N57" i="4" s="1"/>
  <c r="N61" i="4" s="1"/>
  <c r="N64" i="4" s="1"/>
  <c r="H55" i="3"/>
  <c r="H89" i="3"/>
  <c r="L55" i="3"/>
  <c r="L48" i="3" s="1"/>
  <c r="L68" i="3" s="1"/>
  <c r="L72" i="3" s="1"/>
  <c r="L75" i="3" s="1"/>
  <c r="L89" i="3"/>
  <c r="L37" i="4"/>
  <c r="L57" i="4" s="1"/>
  <c r="L61" i="4" s="1"/>
  <c r="L64" i="4" s="1"/>
  <c r="I55" i="3"/>
  <c r="I89" i="3"/>
  <c r="T103" i="2"/>
  <c r="S3" i="2"/>
  <c r="T5" i="2"/>
  <c r="T4" i="2" s="1"/>
  <c r="T69" i="2" s="1"/>
  <c r="T41" i="2"/>
  <c r="K28" i="6"/>
  <c r="T33" i="2"/>
  <c r="Q56" i="3"/>
  <c r="Q55" i="3" s="1"/>
  <c r="N26" i="6" s="1"/>
  <c r="R34" i="2"/>
  <c r="P54" i="4"/>
  <c r="P47" i="4" s="1"/>
  <c r="P37" i="4" s="1"/>
  <c r="P57" i="4" s="1"/>
  <c r="O27" i="6"/>
  <c r="P48" i="3"/>
  <c r="P68" i="3" s="1"/>
  <c r="P72" i="3" s="1"/>
  <c r="P75" i="3" s="1"/>
  <c r="P89" i="3"/>
  <c r="O58" i="3"/>
  <c r="L28" i="6" s="1"/>
  <c r="L24" i="6" s="1"/>
  <c r="U119" i="2"/>
  <c r="T23" i="3"/>
  <c r="T55" i="2"/>
  <c r="U71" i="2"/>
  <c r="U94" i="2"/>
  <c r="U126" i="2"/>
  <c r="R87" i="2"/>
  <c r="R86" i="2" s="1"/>
  <c r="T49" i="4"/>
  <c r="R142" i="2"/>
  <c r="U123" i="2"/>
  <c r="U118" i="2"/>
  <c r="O15" i="6"/>
  <c r="O17" i="6"/>
  <c r="O25" i="6"/>
  <c r="T21" i="3"/>
  <c r="T27" i="3"/>
  <c r="T28" i="3"/>
  <c r="T40" i="3"/>
  <c r="O14" i="6"/>
  <c r="N12" i="6"/>
  <c r="Q35" i="4"/>
  <c r="Q6" i="3"/>
  <c r="T31" i="4"/>
  <c r="S30" i="4"/>
  <c r="T30" i="4" s="1"/>
  <c r="T12" i="4"/>
  <c r="T53" i="4"/>
  <c r="T40" i="4"/>
  <c r="S51" i="4"/>
  <c r="T51" i="4" s="1"/>
  <c r="T52" i="4"/>
  <c r="T20" i="3"/>
  <c r="T38" i="3"/>
  <c r="S31" i="3"/>
  <c r="T31" i="3" s="1"/>
  <c r="T32" i="3"/>
  <c r="T53" i="3"/>
  <c r="T25" i="4"/>
  <c r="T39" i="3"/>
  <c r="T24" i="3"/>
  <c r="T42" i="4"/>
  <c r="T17" i="4"/>
  <c r="T13" i="4"/>
  <c r="T24" i="4"/>
  <c r="T59" i="4"/>
  <c r="S41" i="3"/>
  <c r="T41" i="3" s="1"/>
  <c r="T42" i="3"/>
  <c r="T16" i="4"/>
  <c r="Q3" i="3"/>
  <c r="Q45" i="3" s="1"/>
  <c r="Q43" i="3"/>
  <c r="R9" i="4"/>
  <c r="S113" i="2"/>
  <c r="S110" i="2"/>
  <c r="S42" i="2" s="1"/>
  <c r="O13" i="6"/>
  <c r="S23" i="4"/>
  <c r="T23" i="4" s="1"/>
  <c r="T27" i="4"/>
  <c r="S20" i="4"/>
  <c r="T20" i="4" s="1"/>
  <c r="T21" i="4"/>
  <c r="T50" i="3"/>
  <c r="T69" i="3"/>
  <c r="S15" i="4"/>
  <c r="T15" i="4" s="1"/>
  <c r="T18" i="4"/>
  <c r="T37" i="3"/>
  <c r="T28" i="4"/>
  <c r="T41" i="4"/>
  <c r="S38" i="4"/>
  <c r="T38" i="4" s="1"/>
  <c r="T39" i="4"/>
  <c r="T58" i="4"/>
  <c r="U129" i="2"/>
  <c r="T22" i="3"/>
  <c r="T29" i="4"/>
  <c r="S48" i="4"/>
  <c r="T48" i="4" s="1"/>
  <c r="T50" i="4"/>
  <c r="T51" i="3"/>
  <c r="T11" i="4"/>
  <c r="S10" i="4"/>
  <c r="T18" i="3"/>
  <c r="R16" i="3"/>
  <c r="U135" i="2"/>
  <c r="U138" i="2"/>
  <c r="U149" i="2"/>
  <c r="U151" i="2"/>
  <c r="T95" i="2"/>
  <c r="U67" i="2"/>
  <c r="T145" i="2"/>
  <c r="U145" i="2" s="1"/>
  <c r="U146" i="2"/>
  <c r="U117" i="2"/>
  <c r="U66" i="2"/>
  <c r="U59" i="2"/>
  <c r="U120" i="2"/>
  <c r="U131" i="2"/>
  <c r="T121" i="2"/>
  <c r="U121" i="2" s="1"/>
  <c r="U122" i="2"/>
  <c r="T63" i="2"/>
  <c r="T62" i="2" s="1"/>
  <c r="U64" i="2"/>
  <c r="U73" i="2"/>
  <c r="U124" i="2"/>
  <c r="U127" i="2"/>
  <c r="U139" i="2"/>
  <c r="U150" i="2"/>
  <c r="U72" i="2"/>
  <c r="U128" i="2"/>
  <c r="S26" i="3"/>
  <c r="T26" i="3" s="1"/>
  <c r="T29" i="3"/>
  <c r="U152" i="2"/>
  <c r="U136" i="2"/>
  <c r="U132" i="2"/>
  <c r="U140" i="2"/>
  <c r="T92" i="2"/>
  <c r="U92" i="2" s="1"/>
  <c r="U93" i="2"/>
  <c r="U134" i="2"/>
  <c r="T36" i="3"/>
  <c r="T61" i="3"/>
  <c r="U133" i="2"/>
  <c r="T98" i="2"/>
  <c r="T43" i="2" s="1"/>
  <c r="U65" i="2"/>
  <c r="T70" i="3"/>
  <c r="U77" i="2"/>
  <c r="U76" i="2"/>
  <c r="U104" i="2"/>
  <c r="S62" i="3"/>
  <c r="T62" i="3" s="1"/>
  <c r="T63" i="3"/>
  <c r="U125" i="2"/>
  <c r="S34" i="3"/>
  <c r="T34" i="3" s="1"/>
  <c r="T35" i="3"/>
  <c r="U137" i="2"/>
  <c r="U147" i="2"/>
  <c r="U106" i="2"/>
  <c r="S49" i="3"/>
  <c r="T49" i="3" s="1"/>
  <c r="T52" i="3"/>
  <c r="T19" i="3"/>
  <c r="S17" i="3"/>
  <c r="T17" i="3" s="1"/>
  <c r="U56" i="2"/>
  <c r="T114" i="2"/>
  <c r="U114" i="2" s="1"/>
  <c r="U115" i="2"/>
  <c r="U130" i="2"/>
  <c r="S59" i="3"/>
  <c r="T59" i="3" s="1"/>
  <c r="T60" i="3"/>
  <c r="U105" i="2"/>
  <c r="U57" i="2"/>
  <c r="U148" i="2"/>
  <c r="U58" i="2"/>
  <c r="U60" i="2"/>
  <c r="U78" i="2"/>
  <c r="U116" i="2"/>
  <c r="O16" i="6"/>
  <c r="Q34" i="4"/>
  <c r="S8" i="3"/>
  <c r="T8" i="3" s="1"/>
  <c r="O5" i="28"/>
  <c r="O8" i="28"/>
  <c r="O7" i="6"/>
  <c r="R4" i="3"/>
  <c r="R6" i="3" s="1"/>
  <c r="P9" i="6"/>
  <c r="S4" i="4"/>
  <c r="O7" i="28"/>
  <c r="T11" i="3"/>
  <c r="M6" i="6"/>
  <c r="M3" i="6"/>
  <c r="M10" i="6"/>
  <c r="M19" i="6"/>
  <c r="M20" i="6"/>
  <c r="M8" i="6"/>
  <c r="T7" i="4"/>
  <c r="O9" i="28"/>
  <c r="O6" i="28"/>
  <c r="L22" i="6"/>
  <c r="L21" i="6"/>
  <c r="R4" i="4"/>
  <c r="O9" i="6"/>
  <c r="T5" i="4"/>
  <c r="N5" i="6"/>
  <c r="Q54" i="4" l="1"/>
  <c r="Q47" i="4" s="1"/>
  <c r="Q37" i="4" s="1"/>
  <c r="R56" i="3"/>
  <c r="S52" i="2"/>
  <c r="R112" i="2"/>
  <c r="R102" i="2"/>
  <c r="T54" i="2"/>
  <c r="T52" i="2" s="1"/>
  <c r="S142" i="2"/>
  <c r="R65" i="3" s="1"/>
  <c r="R58" i="3" s="1"/>
  <c r="U103" i="2"/>
  <c r="S84" i="2"/>
  <c r="T81" i="2"/>
  <c r="T53" i="2"/>
  <c r="T82" i="2"/>
  <c r="I26" i="6"/>
  <c r="I24" i="6" s="1"/>
  <c r="I29" i="6" s="1"/>
  <c r="I48" i="3"/>
  <c r="I68" i="3" s="1"/>
  <c r="I72" i="3" s="1"/>
  <c r="I75" i="3" s="1"/>
  <c r="F26" i="6"/>
  <c r="F24" i="6" s="1"/>
  <c r="F29" i="6" s="1"/>
  <c r="H48" i="3"/>
  <c r="H68" i="3" s="1"/>
  <c r="H72" i="3" s="1"/>
  <c r="H75" i="3" s="1"/>
  <c r="E26" i="6"/>
  <c r="E24" i="6" s="1"/>
  <c r="E29" i="6" s="1"/>
  <c r="G26" i="6"/>
  <c r="G24" i="6" s="1"/>
  <c r="G29" i="6" s="1"/>
  <c r="J48" i="3"/>
  <c r="J68" i="3" s="1"/>
  <c r="J72" i="3" s="1"/>
  <c r="J75" i="3" s="1"/>
  <c r="H26" i="6"/>
  <c r="H24" i="6" s="1"/>
  <c r="H29" i="6" s="1"/>
  <c r="K48" i="3"/>
  <c r="K68" i="3" s="1"/>
  <c r="K72" i="3" s="1"/>
  <c r="K75" i="3" s="1"/>
  <c r="K24" i="6"/>
  <c r="K29" i="6" s="1"/>
  <c r="M48" i="3"/>
  <c r="M68" i="3" s="1"/>
  <c r="M72" i="3" s="1"/>
  <c r="M75" i="3" s="1"/>
  <c r="J26" i="6"/>
  <c r="J24" i="6" s="1"/>
  <c r="J29" i="6" s="1"/>
  <c r="T3" i="2"/>
  <c r="U4" i="2"/>
  <c r="U75" i="2" s="1"/>
  <c r="M28" i="6"/>
  <c r="M24" i="6" s="1"/>
  <c r="U41" i="2"/>
  <c r="U98" i="2"/>
  <c r="U43" i="2"/>
  <c r="R45" i="4"/>
  <c r="R44" i="4" s="1"/>
  <c r="U33" i="2"/>
  <c r="Q65" i="3"/>
  <c r="Q58" i="3" s="1"/>
  <c r="N28" i="6" s="1"/>
  <c r="R36" i="2"/>
  <c r="R32" i="2" s="1"/>
  <c r="U95" i="2"/>
  <c r="T35" i="2"/>
  <c r="U35" i="2" s="1"/>
  <c r="U48" i="2"/>
  <c r="L29" i="6"/>
  <c r="O48" i="3"/>
  <c r="O68" i="3" s="1"/>
  <c r="O72" i="3" s="1"/>
  <c r="O75" i="3" s="1"/>
  <c r="R55" i="3"/>
  <c r="S8" i="4"/>
  <c r="T10" i="4"/>
  <c r="U63" i="2"/>
  <c r="U62" i="2" s="1"/>
  <c r="U70" i="2"/>
  <c r="U69" i="2" s="1"/>
  <c r="U8" i="2"/>
  <c r="Q57" i="4"/>
  <c r="Q61" i="4" s="1"/>
  <c r="Q64" i="4" s="1"/>
  <c r="S87" i="2"/>
  <c r="S86" i="2" s="1"/>
  <c r="S143" i="2"/>
  <c r="S44" i="2" s="1"/>
  <c r="S40" i="2" s="1"/>
  <c r="Q46" i="3"/>
  <c r="P27" i="6"/>
  <c r="Q27" i="6" s="1"/>
  <c r="O12" i="6"/>
  <c r="S9" i="4"/>
  <c r="T113" i="2"/>
  <c r="P15" i="6"/>
  <c r="Q15" i="6" s="1"/>
  <c r="P17" i="6"/>
  <c r="Q17" i="6" s="1"/>
  <c r="U14" i="2"/>
  <c r="T109" i="2"/>
  <c r="P13" i="6"/>
  <c r="Q13" i="6" s="1"/>
  <c r="U55" i="2"/>
  <c r="U54" i="2" s="1"/>
  <c r="S16" i="3"/>
  <c r="T16" i="3" s="1"/>
  <c r="P14" i="6"/>
  <c r="Q14" i="6" s="1"/>
  <c r="P16" i="6"/>
  <c r="Q16" i="6" s="1"/>
  <c r="T110" i="2"/>
  <c r="T42" i="2" s="1"/>
  <c r="P25" i="6"/>
  <c r="Q25" i="6" s="1"/>
  <c r="U13" i="2"/>
  <c r="N24" i="6"/>
  <c r="P6" i="28"/>
  <c r="S5" i="3"/>
  <c r="P7" i="6" s="1"/>
  <c r="Q7" i="6" s="1"/>
  <c r="Q9" i="6"/>
  <c r="U11" i="2"/>
  <c r="S32" i="4"/>
  <c r="S33" i="4"/>
  <c r="S3" i="4"/>
  <c r="R44" i="3"/>
  <c r="R3" i="3"/>
  <c r="R43" i="3"/>
  <c r="M22" i="6"/>
  <c r="M21" i="6"/>
  <c r="O5" i="6"/>
  <c r="O4" i="6" s="1"/>
  <c r="O10" i="6" s="1"/>
  <c r="N4" i="6"/>
  <c r="N6" i="6" s="1"/>
  <c r="R6" i="4"/>
  <c r="R3" i="4"/>
  <c r="R33" i="4"/>
  <c r="R32" i="4"/>
  <c r="T4" i="4"/>
  <c r="S6" i="4"/>
  <c r="P61" i="4"/>
  <c r="U52" i="2" l="1"/>
  <c r="T84" i="2"/>
  <c r="T88" i="2" s="1"/>
  <c r="S36" i="2"/>
  <c r="S32" i="2" s="1"/>
  <c r="S88" i="2"/>
  <c r="S102" i="2"/>
  <c r="T102" i="2"/>
  <c r="S112" i="2"/>
  <c r="T143" i="2"/>
  <c r="T44" i="2" s="1"/>
  <c r="T40" i="2" s="1"/>
  <c r="T112" i="2"/>
  <c r="T83" i="2"/>
  <c r="M29" i="6"/>
  <c r="R48" i="3"/>
  <c r="R89" i="3"/>
  <c r="R91" i="3" s="1"/>
  <c r="U44" i="2"/>
  <c r="S45" i="4"/>
  <c r="T45" i="4" s="1"/>
  <c r="Q48" i="3"/>
  <c r="Q68" i="3" s="1"/>
  <c r="Q72" i="3" s="1"/>
  <c r="Q75" i="3" s="1"/>
  <c r="Q89" i="3"/>
  <c r="Q91" i="3" s="1"/>
  <c r="U109" i="2"/>
  <c r="T34" i="2"/>
  <c r="O26" i="6"/>
  <c r="U12" i="2"/>
  <c r="S34" i="4"/>
  <c r="T9" i="4"/>
  <c r="U53" i="2"/>
  <c r="P7" i="28"/>
  <c r="P5" i="28"/>
  <c r="R54" i="4"/>
  <c r="R47" i="4" s="1"/>
  <c r="R37" i="4" s="1"/>
  <c r="U113" i="2"/>
  <c r="T142" i="2"/>
  <c r="S35" i="4"/>
  <c r="T87" i="2"/>
  <c r="S56" i="3"/>
  <c r="U89" i="2"/>
  <c r="P12" i="6"/>
  <c r="Q12" i="6" s="1"/>
  <c r="U110" i="2"/>
  <c r="U7" i="2"/>
  <c r="S4" i="3"/>
  <c r="S6" i="3" s="1"/>
  <c r="T5" i="3"/>
  <c r="U6" i="2"/>
  <c r="O6" i="6"/>
  <c r="O3" i="6"/>
  <c r="O8" i="6"/>
  <c r="O19" i="6"/>
  <c r="O20" i="6"/>
  <c r="P9" i="28"/>
  <c r="U10" i="2"/>
  <c r="T32" i="4"/>
  <c r="T6" i="4"/>
  <c r="T33" i="4"/>
  <c r="P8" i="28"/>
  <c r="U9" i="2"/>
  <c r="R35" i="4"/>
  <c r="R34" i="4"/>
  <c r="T3" i="4"/>
  <c r="N8" i="6"/>
  <c r="N19" i="6"/>
  <c r="N10" i="6"/>
  <c r="N20" i="6"/>
  <c r="N3" i="6"/>
  <c r="R46" i="3"/>
  <c r="R45" i="3"/>
  <c r="P64" i="4"/>
  <c r="S44" i="4" l="1"/>
  <c r="T44" i="4" s="1"/>
  <c r="U87" i="2"/>
  <c r="T86" i="2"/>
  <c r="S54" i="4"/>
  <c r="S47" i="4" s="1"/>
  <c r="T47" i="4" s="1"/>
  <c r="U143" i="2"/>
  <c r="U42" i="2"/>
  <c r="U34" i="2"/>
  <c r="T36" i="2"/>
  <c r="T32" i="2" s="1"/>
  <c r="S55" i="3"/>
  <c r="T55" i="3" s="1"/>
  <c r="T35" i="4"/>
  <c r="O28" i="6"/>
  <c r="O24" i="6" s="1"/>
  <c r="S65" i="3"/>
  <c r="T65" i="3" s="1"/>
  <c r="U142" i="2"/>
  <c r="T56" i="3"/>
  <c r="S44" i="3"/>
  <c r="T4" i="3"/>
  <c r="T6" i="3" s="1"/>
  <c r="S3" i="3"/>
  <c r="S46" i="3" s="1"/>
  <c r="S43" i="3"/>
  <c r="R57" i="4"/>
  <c r="R61" i="4" s="1"/>
  <c r="R64" i="4" s="1"/>
  <c r="R68" i="3"/>
  <c r="N22" i="6"/>
  <c r="N29" i="6" s="1"/>
  <c r="N21" i="6"/>
  <c r="O22" i="6"/>
  <c r="O21" i="6"/>
  <c r="P5" i="6"/>
  <c r="U5" i="2"/>
  <c r="T54" i="4" l="1"/>
  <c r="U40" i="2"/>
  <c r="U32" i="2"/>
  <c r="U36" i="2"/>
  <c r="P26" i="6"/>
  <c r="Q26" i="6" s="1"/>
  <c r="S89" i="3"/>
  <c r="O29" i="6"/>
  <c r="T3" i="3"/>
  <c r="S45" i="3"/>
  <c r="S58" i="3"/>
  <c r="P28" i="6" s="1"/>
  <c r="Q28" i="6" s="1"/>
  <c r="R72" i="3"/>
  <c r="R75" i="3" s="1"/>
  <c r="P4" i="6"/>
  <c r="Q5" i="6"/>
  <c r="S37" i="4"/>
  <c r="T46" i="3"/>
  <c r="P6" i="6" l="1"/>
  <c r="Q4" i="6"/>
  <c r="T58" i="3"/>
  <c r="S48" i="3"/>
  <c r="T48" i="3" s="1"/>
  <c r="P20" i="6"/>
  <c r="Q20" i="6" s="1"/>
  <c r="P3" i="6"/>
  <c r="P10" i="6"/>
  <c r="P8" i="6"/>
  <c r="P19" i="6"/>
  <c r="P24" i="6"/>
  <c r="Q24" i="6" s="1"/>
  <c r="T37" i="4"/>
  <c r="S57" i="4"/>
  <c r="S68" i="3" l="1"/>
  <c r="S72" i="3" s="1"/>
  <c r="S75" i="3" s="1"/>
  <c r="T75" i="3" s="1"/>
  <c r="S61" i="4"/>
  <c r="T57" i="4"/>
  <c r="Q6" i="6"/>
  <c r="Q8" i="6"/>
  <c r="Q19" i="6"/>
  <c r="Q10" i="6"/>
  <c r="P22" i="6"/>
  <c r="Q3" i="6"/>
  <c r="Q21" i="6" s="1"/>
  <c r="P21" i="6"/>
  <c r="T72" i="3" l="1"/>
  <c r="T68" i="3"/>
  <c r="P29" i="6"/>
  <c r="Q29" i="6" s="1"/>
  <c r="Q22" i="6"/>
  <c r="T61" i="4"/>
  <c r="S64" i="4"/>
  <c r="T64" i="4" s="1"/>
  <c r="H854" i="9"/>
  <c r="G854" i="9" s="1"/>
  <c r="H855" i="9"/>
  <c r="G855" i="9" s="1"/>
  <c r="H818" i="9"/>
  <c r="G818" i="9" s="1"/>
  <c r="H857" i="9"/>
  <c r="G857" i="9" s="1"/>
  <c r="H856" i="9"/>
  <c r="G856" i="9" s="1"/>
  <c r="H302" i="9"/>
  <c r="G302" i="9" s="1"/>
  <c r="H797" i="9"/>
  <c r="G797" i="9" s="1"/>
  <c r="H833" i="9"/>
  <c r="G833" i="9" s="1"/>
  <c r="H870" i="9"/>
  <c r="G870" i="9" s="1"/>
  <c r="H820" i="9"/>
  <c r="G820" i="9" s="1"/>
  <c r="H821" i="9"/>
  <c r="G821" i="9" s="1"/>
  <c r="H828" i="9"/>
  <c r="G828" i="9" s="1"/>
  <c r="H823" i="9"/>
  <c r="G823" i="9" s="1"/>
  <c r="H824" i="9"/>
  <c r="G824" i="9" s="1"/>
  <c r="H894" i="9"/>
  <c r="G894" i="9" s="1"/>
  <c r="H826" i="9"/>
  <c r="G826" i="9" s="1"/>
  <c r="H890" i="9"/>
  <c r="G890" i="9" s="1"/>
  <c r="H892" i="9"/>
  <c r="G892" i="9" s="1"/>
  <c r="H903" i="9"/>
  <c r="G903" i="9" s="1"/>
  <c r="H334" i="9"/>
  <c r="G334" i="9" s="1"/>
  <c r="H68" i="9"/>
  <c r="G68" i="9" s="1"/>
  <c r="H861" i="9"/>
  <c r="G861" i="9" s="1"/>
  <c r="H862" i="9"/>
  <c r="G862" i="9" s="1"/>
  <c r="H863" i="9"/>
  <c r="G863" i="9" s="1"/>
  <c r="H864" i="9"/>
  <c r="G864" i="9" s="1"/>
  <c r="H865" i="9"/>
  <c r="G865" i="9" s="1"/>
  <c r="H830" i="9"/>
  <c r="G830" i="9" s="1"/>
  <c r="H868" i="9"/>
  <c r="G868" i="9" s="1"/>
  <c r="H860" i="9"/>
  <c r="G860" i="9" s="1"/>
  <c r="H829" i="9"/>
  <c r="G829" i="9" s="1"/>
  <c r="H867" i="9"/>
  <c r="G867" i="9" s="1"/>
  <c r="H869" i="9"/>
  <c r="G869" i="9" s="1"/>
  <c r="H871" i="9"/>
  <c r="G871" i="9" s="1"/>
  <c r="H819" i="9"/>
  <c r="G819" i="9" s="1"/>
  <c r="H872" i="9"/>
  <c r="G872" i="9" s="1"/>
  <c r="H827" i="9"/>
  <c r="G827" i="9" s="1"/>
  <c r="H876" i="9"/>
  <c r="G876" i="9" s="1"/>
  <c r="H877" i="9"/>
  <c r="G877" i="9" s="1"/>
  <c r="H878" i="9"/>
  <c r="G878" i="9" s="1"/>
  <c r="H879" i="9"/>
  <c r="G879" i="9" s="1"/>
  <c r="H880" i="9"/>
  <c r="G880" i="9" s="1"/>
  <c r="H881" i="9"/>
  <c r="G881" i="9" s="1"/>
  <c r="H882" i="9"/>
  <c r="G882" i="9" s="1"/>
  <c r="H883" i="9"/>
  <c r="G883" i="9" s="1"/>
  <c r="H884" i="9"/>
  <c r="G884" i="9" s="1"/>
  <c r="H885" i="9"/>
  <c r="G885" i="9" s="1"/>
  <c r="H886" i="9"/>
  <c r="G886" i="9" s="1"/>
  <c r="H887" i="9"/>
  <c r="G887" i="9" s="1"/>
  <c r="H888" i="9"/>
  <c r="G888" i="9" s="1"/>
  <c r="H891" i="9"/>
  <c r="G891" i="9" s="1"/>
  <c r="H960" i="9"/>
  <c r="G960" i="9" s="1"/>
  <c r="H910" i="9"/>
  <c r="G910" i="9" s="1"/>
  <c r="H911" i="9"/>
  <c r="G911" i="9" s="1"/>
  <c r="H932" i="9"/>
  <c r="G932" i="9" s="1"/>
  <c r="H923" i="9"/>
  <c r="G923" i="9" s="1"/>
  <c r="H825" i="9"/>
  <c r="G825" i="9" s="1"/>
  <c r="H875" i="9"/>
  <c r="G875" i="9" s="1"/>
  <c r="H874" i="9"/>
  <c r="G874" i="9" s="1"/>
  <c r="H925" i="9"/>
  <c r="G925" i="9" s="1"/>
  <c r="H904" i="9"/>
  <c r="G904" i="9" s="1"/>
  <c r="H897" i="9"/>
  <c r="G897" i="9" s="1"/>
  <c r="H896" i="9"/>
  <c r="G896" i="9" s="1"/>
  <c r="H898" i="9"/>
  <c r="G898" i="9" s="1"/>
  <c r="H912" i="9"/>
  <c r="G912" i="9" s="1"/>
  <c r="H920" i="9"/>
  <c r="G920" i="9" s="1"/>
  <c r="H901" i="9"/>
  <c r="G901" i="9" s="1"/>
  <c r="H893" i="9"/>
  <c r="G893" i="9" s="1"/>
  <c r="H899" i="9"/>
  <c r="G899" i="9" s="1"/>
  <c r="H873" i="9"/>
  <c r="G873" i="9" s="1"/>
  <c r="H921" i="9"/>
  <c r="G921" i="9" s="1"/>
  <c r="H922" i="9"/>
  <c r="G922" i="9" s="1"/>
  <c r="H939" i="9"/>
  <c r="G939" i="9" s="1"/>
  <c r="H940" i="9"/>
  <c r="G940" i="9" s="1"/>
  <c r="H93" i="9"/>
  <c r="G93" i="9" s="1"/>
  <c r="H946" i="9"/>
  <c r="G946" i="9" s="1"/>
  <c r="H947" i="9"/>
  <c r="G947" i="9" s="1"/>
  <c r="H948" i="9"/>
  <c r="G948" i="9" s="1"/>
  <c r="H938" i="9"/>
  <c r="G938" i="9" s="1"/>
  <c r="H950" i="9"/>
  <c r="G950" i="9" s="1"/>
  <c r="H951" i="9"/>
  <c r="G951" i="9" s="1"/>
  <c r="H952" i="9"/>
  <c r="G952" i="9" s="1"/>
  <c r="H959" i="9"/>
  <c r="G959" i="9" s="1"/>
  <c r="H955" i="9"/>
  <c r="G955" i="9" s="1"/>
  <c r="H954" i="9"/>
  <c r="G954" i="9" s="1"/>
  <c r="H963" i="9"/>
  <c r="G963" i="9" s="1"/>
  <c r="H956" i="9"/>
  <c r="G956" i="9" s="1"/>
  <c r="H953" i="9"/>
  <c r="G953" i="9" s="1"/>
  <c r="H965" i="9"/>
  <c r="G965" i="9" s="1"/>
  <c r="H964" i="9"/>
  <c r="G964" i="9" s="1"/>
  <c r="H961" i="9"/>
  <c r="G961" i="9" s="1"/>
  <c r="H908" i="9"/>
  <c r="G908" i="9" s="1"/>
  <c r="H957" i="9"/>
  <c r="G957" i="9" s="1"/>
  <c r="H958" i="9"/>
  <c r="G958" i="9" s="1"/>
  <c r="H962" i="9"/>
  <c r="G962" i="9" s="1"/>
  <c r="H966" i="9"/>
  <c r="G966" i="9" s="1"/>
  <c r="H967" i="9"/>
  <c r="G967" i="9" s="1"/>
  <c r="H968" i="9"/>
  <c r="G968" i="9" s="1"/>
  <c r="H969" i="9"/>
  <c r="G969" i="9" s="1"/>
  <c r="H970" i="9"/>
  <c r="G970" i="9" s="1"/>
  <c r="H971" i="9"/>
  <c r="G971" i="9" s="1"/>
  <c r="H972" i="9"/>
  <c r="G972" i="9" s="1"/>
  <c r="H974" i="9"/>
  <c r="G974" i="9" s="1"/>
  <c r="H973" i="9"/>
  <c r="G973" i="9" s="1"/>
  <c r="H975" i="9"/>
  <c r="G975" i="9" s="1"/>
  <c r="H976" i="9"/>
  <c r="G976" i="9" s="1"/>
  <c r="K154" i="2" l="1"/>
  <c r="K157" i="2" s="1"/>
  <c r="G33" i="6" s="1"/>
  <c r="G32" i="6" s="1"/>
  <c r="N154" i="2"/>
  <c r="N157" i="2" s="1"/>
  <c r="Q154" i="2"/>
  <c r="Q157" i="2" s="1"/>
  <c r="L154" i="2"/>
  <c r="L157" i="2" s="1"/>
  <c r="T154" i="2"/>
  <c r="T157" i="2" s="1"/>
  <c r="S154" i="2"/>
  <c r="S157" i="2" s="1"/>
  <c r="E23" i="6" l="1"/>
  <c r="U3" i="2"/>
  <c r="U86" i="2" s="1"/>
  <c r="O154" i="2"/>
  <c r="O157" i="2" s="1"/>
  <c r="O160" i="2" s="1"/>
  <c r="J154" i="2"/>
  <c r="J157" i="2" s="1"/>
  <c r="F33" i="6" s="1"/>
  <c r="F32" i="6" s="1"/>
  <c r="L160" i="2"/>
  <c r="H33" i="6"/>
  <c r="H32" i="6" s="1"/>
  <c r="M154" i="2"/>
  <c r="M157" i="2" s="1"/>
  <c r="I33" i="6" s="1"/>
  <c r="I32" i="6" s="1"/>
  <c r="P154" i="2"/>
  <c r="P157" i="2" s="1"/>
  <c r="P160" i="2" s="1"/>
  <c r="R154" i="2"/>
  <c r="R157" i="2" s="1"/>
  <c r="R160" i="2" s="1"/>
  <c r="Q160" i="2"/>
  <c r="M33" i="6"/>
  <c r="M32" i="6" s="1"/>
  <c r="N160" i="2"/>
  <c r="J33" i="6"/>
  <c r="J32" i="6" s="1"/>
  <c r="S160" i="2"/>
  <c r="O33" i="6"/>
  <c r="T160" i="2"/>
  <c r="P33" i="6"/>
  <c r="K160" i="2"/>
  <c r="K33" i="6" l="1"/>
  <c r="K32" i="6" s="1"/>
  <c r="J160" i="2"/>
  <c r="J161" i="2" s="1"/>
  <c r="I154" i="2"/>
  <c r="U154" i="2" s="1"/>
  <c r="U84" i="2"/>
  <c r="N33" i="6"/>
  <c r="L33" i="6"/>
  <c r="L32" i="6" s="1"/>
  <c r="M160" i="2"/>
  <c r="I157" i="2" l="1"/>
  <c r="I160" i="2" s="1"/>
  <c r="U160" i="2" l="1"/>
  <c r="I161" i="2"/>
  <c r="U161" i="2" s="1"/>
  <c r="U157" i="2"/>
  <c r="E33" i="6"/>
  <c r="E32" i="6" s="1"/>
  <c r="Q33" i="6" l="1"/>
  <c r="H936" i="9"/>
  <c r="G936" i="9"/>
  <c r="L936" i="9"/>
  <c r="H902" i="9"/>
  <c r="G902" i="9"/>
  <c r="L902" i="9"/>
  <c r="H234" i="9"/>
  <c r="G234" i="9"/>
  <c r="L234" i="9"/>
  <c r="G941" i="9"/>
  <c r="L941" i="9"/>
  <c r="H941" i="9"/>
  <c r="D864" i="9"/>
  <c r="H118" i="9"/>
  <c r="G118" i="9"/>
  <c r="L118" i="9"/>
  <c r="D862" i="9"/>
  <c r="L326" i="9"/>
  <c r="H326" i="9"/>
  <c r="G326" i="9"/>
  <c r="G934" i="9"/>
  <c r="L934" i="9"/>
  <c r="H934" i="9"/>
  <c r="H36" i="9"/>
  <c r="G36" i="9"/>
  <c r="L36" i="9"/>
  <c r="G933" i="9"/>
  <c r="L933" i="9"/>
  <c r="H933" i="9"/>
  <c r="D863" i="9"/>
  <c r="H866" i="9"/>
  <c r="G866" i="9"/>
  <c r="L866" i="9"/>
  <c r="L755" i="9"/>
  <c r="H755" i="9"/>
  <c r="G755" i="9"/>
  <c r="H851" i="9"/>
  <c r="G851" i="9"/>
  <c r="L851" i="9"/>
  <c r="D865" i="9"/>
  <c r="H703" i="9"/>
  <c r="G703" i="9"/>
  <c r="L703" i="9"/>
  <c r="G702" i="9"/>
  <c r="L702" i="9"/>
  <c r="H702" i="9"/>
  <c r="H945" i="9"/>
  <c r="G945" i="9"/>
  <c r="L945" i="9"/>
  <c r="G853" i="9"/>
  <c r="L853" i="9"/>
  <c r="H853" i="9"/>
  <c r="L831" i="9"/>
  <c r="H831" i="9"/>
  <c r="G831" i="9"/>
  <c r="H852" i="9"/>
  <c r="G852" i="9"/>
  <c r="L852" i="9"/>
  <c r="D861" i="9"/>
  <c r="G850" i="9"/>
  <c r="L850" i="9"/>
  <c r="H850" i="9"/>
  <c r="G918" i="9"/>
  <c r="L918" i="9"/>
  <c r="H91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1" authorId="0" shapeId="0" xr:uid="{86A3BB01-219C-4292-930A-69636502F4D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formato numérico. Vigilar puntos y comas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E1" authorId="0" shapeId="0" xr:uid="{7FA317C1-A5DD-4D9C-BFCF-79C9F67855C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formato numérico. Vigilar puntos y comas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1" authorId="0" shapeId="0" xr:uid="{1FACFD78-4347-48EF-A1CD-D3D7F89EFB4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solo sobre la lista. Pedir a raul o adrià para añadir</t>
        </r>
      </text>
    </comment>
    <comment ref="D1" authorId="0" shapeId="0" xr:uid="{43DBF4E9-E5B2-42F5-A7A4-11AD5AE9382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formato numérico. Vigilar puntos y comas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A18" authorId="0" shapeId="0" xr:uid="{E845188A-F8BB-402C-8028-02A870A2B17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solo sobre la lista. Pedir a raul o adrià para añadir</t>
        </r>
      </text>
    </comment>
    <comment ref="AD18" authorId="0" shapeId="0" xr:uid="{1D9FFF03-D074-433B-9870-ECFE1071340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formato numérico. Vigilar puntos y comas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1" authorId="0" shapeId="0" xr:uid="{7C7D6763-82C8-4D67-A441-6730DEF1BEC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solo sobre la lista. Pedir a raul o adrià para añadir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ventas_pyg (2)" description="Conexión a la consulta 'ventas_pyg (2)' en el libro." type="5" refreshedVersion="8" background="1" saveData="1">
    <dbPr connection="Provider=Microsoft.Mashup.OleDb.1;Data Source=$Workbook$;Location=&quot;ventas_pyg (2)&quot;;Extended Properties=&quot;&quot;" command="SELECT * FROM [ventas_pyg (2)]"/>
  </connection>
  <connection id="2" xr16:uid="{CAA94BBD-9409-4C6D-9FFF-01F48ECE2A3A}" keepAlive="1" name="Consulta - ventas_pyg (3)" description="Conexión a la consulta 'ventas_pyg (3)' en el libro." type="5" refreshedVersion="8" background="1" saveData="1">
    <dbPr connection="Provider=Microsoft.Mashup.OleDb.1;Data Source=$Workbook$;Location=&quot;ventas_pyg (3)&quot;;Extended Properties=&quot;&quot;" command="SELECT * FROM [ventas_pyg (3)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<sst xmlns="http://schemas.openxmlformats.org/spreadsheetml/2006/main" count="8017" uniqueCount="1576">
  <si>
    <t>Total</t>
  </si>
  <si>
    <t>Turnover</t>
  </si>
  <si>
    <t>Hannun</t>
  </si>
  <si>
    <t>Mirakl</t>
  </si>
  <si>
    <t>Country</t>
  </si>
  <si>
    <t>Sales</t>
  </si>
  <si>
    <t>Spain</t>
  </si>
  <si>
    <t>Share %</t>
  </si>
  <si>
    <t>ES</t>
  </si>
  <si>
    <t>Shopify</t>
  </si>
  <si>
    <t>Marketplaces</t>
  </si>
  <si>
    <t>&lt;</t>
  </si>
  <si>
    <t>Amazon Seller</t>
  </si>
  <si>
    <t>Choose</t>
  </si>
  <si>
    <t>Home24</t>
  </si>
  <si>
    <t>Leroy Merlin</t>
  </si>
  <si>
    <t>Maisons du Monde</t>
  </si>
  <si>
    <t>Germany</t>
  </si>
  <si>
    <t>DE</t>
  </si>
  <si>
    <t>France</t>
  </si>
  <si>
    <t>FR</t>
  </si>
  <si>
    <t>Italy</t>
  </si>
  <si>
    <t>IT</t>
  </si>
  <si>
    <t>Austria</t>
  </si>
  <si>
    <t>AT</t>
  </si>
  <si>
    <t>the Netherlands</t>
  </si>
  <si>
    <t>NL</t>
  </si>
  <si>
    <t>Belgium</t>
  </si>
  <si>
    <t>BE</t>
  </si>
  <si>
    <t>Portugal</t>
  </si>
  <si>
    <t>PT</t>
  </si>
  <si>
    <t>Other markets</t>
  </si>
  <si>
    <t>XX</t>
  </si>
  <si>
    <t>UK</t>
  </si>
  <si>
    <t>US</t>
  </si>
  <si>
    <t>Cost of sales</t>
  </si>
  <si>
    <t>Manufacturing</t>
  </si>
  <si>
    <t>manufacturing - Apphoto España  -&gt; SL</t>
  </si>
  <si>
    <t>AP Photo - ES</t>
  </si>
  <si>
    <t>manufacturing - Apphoto Canarias  -&gt; SL</t>
  </si>
  <si>
    <t>AP Photo - Canarias</t>
  </si>
  <si>
    <t>manufacturing - Pressing  -&gt; SL</t>
  </si>
  <si>
    <t>Pressing - FR/IT/PT/Canvas</t>
  </si>
  <si>
    <t>manufacturing - DCT  -&gt; SL</t>
  </si>
  <si>
    <t>DCT- DE/AT/BE/PO</t>
  </si>
  <si>
    <t>manufacturing - MB Editions  -&gt; SL</t>
  </si>
  <si>
    <t>logistics - artlink  -&gt; SL</t>
  </si>
  <si>
    <t>logistics - debex  -&gt; SL</t>
  </si>
  <si>
    <t>Marcos - Freight</t>
  </si>
  <si>
    <t>manufacturing - euroembalaje  -&gt; SL</t>
  </si>
  <si>
    <t>Shipping</t>
  </si>
  <si>
    <t>logistics - GLS  -&gt; SL</t>
  </si>
  <si>
    <t>logistics - Correos  -&gt; SL</t>
  </si>
  <si>
    <t>logistics - Asendia  -&gt; SL</t>
  </si>
  <si>
    <t>logistics - Spring  -&gt; SL</t>
  </si>
  <si>
    <t>logistics - UPS DE  -&gt; SL</t>
  </si>
  <si>
    <t>logistics - UPS FR  -&gt; SL</t>
  </si>
  <si>
    <t>Royalties</t>
  </si>
  <si>
    <t>royalties - Artistas  -&gt; SL</t>
  </si>
  <si>
    <t>UE</t>
  </si>
  <si>
    <t>royalties - Artistas  -&gt; Ltd</t>
  </si>
  <si>
    <t>Shared services - UK</t>
  </si>
  <si>
    <t>royalties - Artistas  -&gt; Inc</t>
  </si>
  <si>
    <t>Shared services - US</t>
  </si>
  <si>
    <t>Payments suppliers</t>
  </si>
  <si>
    <t>payment-suppliers - Shopify  -&gt; SL</t>
  </si>
  <si>
    <t>payment-suppliers - Paypal  -&gt; SL</t>
  </si>
  <si>
    <t>Paypal</t>
  </si>
  <si>
    <t>payment-suppliers - Amazon Pay  -&gt; SL</t>
  </si>
  <si>
    <t>Amazon Pay</t>
  </si>
  <si>
    <t>payment-suppliers - Klarna  -&gt; SL</t>
  </si>
  <si>
    <t>Klarna</t>
  </si>
  <si>
    <t>payment-suppliers - Revolut  -&gt; SL</t>
  </si>
  <si>
    <t>Revolut</t>
  </si>
  <si>
    <t>payment-suppliers - SeQura  -&gt; SL</t>
  </si>
  <si>
    <t>SeQura</t>
  </si>
  <si>
    <t>payment-suppliers - Amazon Seller  -&gt; SL</t>
  </si>
  <si>
    <t>payment-suppliers - Maisons du Monde  -&gt; SL</t>
  </si>
  <si>
    <t>payment-suppliers - Leroy Merlin  -&gt; SL</t>
  </si>
  <si>
    <t>payment-suppliers - Home24  -&gt; SL</t>
  </si>
  <si>
    <t>Returns - Rever</t>
  </si>
  <si>
    <t>returns - rever  -&gt; SL</t>
  </si>
  <si>
    <t>Gross margin %</t>
  </si>
  <si>
    <t>Gross margin</t>
  </si>
  <si>
    <t>Contributive margin %</t>
  </si>
  <si>
    <t>Contributive margin</t>
  </si>
  <si>
    <t>Fixed costs</t>
  </si>
  <si>
    <t>Marketing</t>
  </si>
  <si>
    <t>marketing - google  -&gt; SL</t>
  </si>
  <si>
    <t>google</t>
  </si>
  <si>
    <t>marketing - meta  -&gt; SL</t>
  </si>
  <si>
    <t>meta</t>
  </si>
  <si>
    <t>tiktok</t>
  </si>
  <si>
    <t>pinterest</t>
  </si>
  <si>
    <t>marketing - google  -&gt; Ltd</t>
  </si>
  <si>
    <t>marketing - meta  -&gt; Ltd</t>
  </si>
  <si>
    <t>marketing - tiktok  -&gt; Ltd</t>
  </si>
  <si>
    <t>marketing - pinterest  -&gt; Ltd</t>
  </si>
  <si>
    <t>marketing - google  -&gt; Inc</t>
  </si>
  <si>
    <t>marketing - meta  -&gt; Inc</t>
  </si>
  <si>
    <t>marketing - tiktok  -&gt; Inc</t>
  </si>
  <si>
    <t>marketing - pinterest  -&gt; Inc</t>
  </si>
  <si>
    <t>Staff</t>
  </si>
  <si>
    <t>staff - nomina-ceo -&gt; SL</t>
  </si>
  <si>
    <t>CEO</t>
  </si>
  <si>
    <t>staff - nomina-coo -&gt; SL</t>
  </si>
  <si>
    <t>COO</t>
  </si>
  <si>
    <t>staff - nomina-sac -&gt; SL</t>
  </si>
  <si>
    <t>SAC</t>
  </si>
  <si>
    <t>Administrative costs</t>
  </si>
  <si>
    <t>Administración y legal</t>
  </si>
  <si>
    <t>administrative - Claris Gestio  -&gt; SL</t>
  </si>
  <si>
    <t>Claris Gestió</t>
  </si>
  <si>
    <t>administrative - Torras y asociados  -&gt; SL</t>
  </si>
  <si>
    <t>Torras y asociados</t>
  </si>
  <si>
    <t>administrative - Preving Adeplus  -&gt; SL</t>
  </si>
  <si>
    <t>Preving&amp;Adeplus</t>
  </si>
  <si>
    <t>administrative - regus  -&gt; Inc</t>
  </si>
  <si>
    <t>Regus (Shared Services US)</t>
  </si>
  <si>
    <t>administrative - otros  -&gt; SL</t>
  </si>
  <si>
    <t>Otros</t>
  </si>
  <si>
    <t>Technology</t>
  </si>
  <si>
    <t>it - Shopify  -&gt; SL</t>
  </si>
  <si>
    <t>it - Amazon Subscription  -&gt; SL</t>
  </si>
  <si>
    <t>Amazon Subscription</t>
  </si>
  <si>
    <t>it - Godaddy  -&gt; SL</t>
  </si>
  <si>
    <t>Dominios</t>
  </si>
  <si>
    <t>it - Hetzner  -&gt; SL</t>
  </si>
  <si>
    <t>Hetzner</t>
  </si>
  <si>
    <t>it - Microsoft  -&gt; SL</t>
  </si>
  <si>
    <t>OneDrive</t>
  </si>
  <si>
    <t>it - Product Hero  -&gt; SL</t>
  </si>
  <si>
    <t>Product Hero</t>
  </si>
  <si>
    <t>it - Gsuite  -&gt; SL</t>
  </si>
  <si>
    <t>Gsuite</t>
  </si>
  <si>
    <t>it - Geotargetly  -&gt; SL</t>
  </si>
  <si>
    <t>GeoTargelty</t>
  </si>
  <si>
    <t>it - Railway  -&gt; SL</t>
  </si>
  <si>
    <t>railway</t>
  </si>
  <si>
    <t>it - Mas Movil  -&gt; SL</t>
  </si>
  <si>
    <t>Masmovil</t>
  </si>
  <si>
    <t>it - Symio  -&gt; SL</t>
  </si>
  <si>
    <t>Symio</t>
  </si>
  <si>
    <t>it - Canva  -&gt; SL</t>
  </si>
  <si>
    <t>Canva</t>
  </si>
  <si>
    <t>it - Gorgias  -&gt; SL</t>
  </si>
  <si>
    <t>Gorgias</t>
  </si>
  <si>
    <t>Lingpad</t>
  </si>
  <si>
    <t>it - Yuma  -&gt; SL</t>
  </si>
  <si>
    <t>Yuma</t>
  </si>
  <si>
    <t>it - adobe  -&gt; SL</t>
  </si>
  <si>
    <t>Adobe Photoshop</t>
  </si>
  <si>
    <t>it - epi  -&gt; SL</t>
  </si>
  <si>
    <t>EPI</t>
  </si>
  <si>
    <t>Shared Services</t>
  </si>
  <si>
    <t>the UK</t>
  </si>
  <si>
    <t>the US</t>
  </si>
  <si>
    <t>Tributos</t>
  </si>
  <si>
    <t>tributos - Gastos no deducibles  -&gt; SL</t>
  </si>
  <si>
    <t>Gastos no deducibles</t>
  </si>
  <si>
    <t>tributos - Amortización inmovilizado  -&gt; SL</t>
  </si>
  <si>
    <t>Amortización inmovilizado</t>
  </si>
  <si>
    <t>tributos - Dif. Neg. Cambio  -&gt; SL</t>
  </si>
  <si>
    <t>Dif. Neg. Cambio</t>
  </si>
  <si>
    <t>tributos - Comisiones bancarias  -&gt; SL</t>
  </si>
  <si>
    <t>Comisiones bancarias</t>
  </si>
  <si>
    <t>tributos - Seguros  -&gt; SL</t>
  </si>
  <si>
    <t>Seguros</t>
  </si>
  <si>
    <t>tributos - Otros gastos de gestión  -&gt; SL</t>
  </si>
  <si>
    <t>Otros gastos de gestión</t>
  </si>
  <si>
    <t>tributos - Intereses  -&gt; SL</t>
  </si>
  <si>
    <t>Intereses</t>
  </si>
  <si>
    <t>Operating profit</t>
  </si>
  <si>
    <t>Finance expenses</t>
  </si>
  <si>
    <t>Exchange differences</t>
  </si>
  <si>
    <t>Profits before taxation</t>
  </si>
  <si>
    <t>Taxes</t>
  </si>
  <si>
    <t>Profits after taxation</t>
  </si>
  <si>
    <t>Exchange rate GBP</t>
  </si>
  <si>
    <t>Exchange rate USD</t>
  </si>
  <si>
    <t>United Kingdom</t>
  </si>
  <si>
    <t>GB</t>
  </si>
  <si>
    <t>manufacturing - Proco print -&gt; Ltd</t>
  </si>
  <si>
    <t>Proco - Print</t>
  </si>
  <si>
    <t>manufacturing - Proco direct mailing -&gt; Ltd</t>
  </si>
  <si>
    <t>Proco - Direct mailing</t>
  </si>
  <si>
    <t>manufacturing - Proco Storage -&gt; Ltd</t>
  </si>
  <si>
    <t>Proco Storage</t>
  </si>
  <si>
    <t>manufacturing - Proco others -&gt; Ltd</t>
  </si>
  <si>
    <t>Proco - Others</t>
  </si>
  <si>
    <t>manufacturing - Proco frames -&gt; Ltd</t>
  </si>
  <si>
    <t>Frames - Freight</t>
  </si>
  <si>
    <t>manufacturing - jondo  -&gt; Ltd</t>
  </si>
  <si>
    <t>Jondo Canvas</t>
  </si>
  <si>
    <t>logistics - Proco carriage -&gt; Ltd</t>
  </si>
  <si>
    <t>Proco - DPD</t>
  </si>
  <si>
    <t>logistics - Proco postage -&gt; Ltd</t>
  </si>
  <si>
    <t>Proco - Royal Mail</t>
  </si>
  <si>
    <t>logistics - jondo  -&gt; Ltd</t>
  </si>
  <si>
    <t>payment-suppliers - Shopify  -&gt; Ltd</t>
  </si>
  <si>
    <t>payment-suppliers - Paypal  -&gt; Ltd</t>
  </si>
  <si>
    <t>payment-suppliers - Amazon Pay  -&gt; Ltd</t>
  </si>
  <si>
    <t>payment-suppliers - Klarna  -&gt; Ltd</t>
  </si>
  <si>
    <t>payment-suppliers - Revolut  -&gt; Ltd</t>
  </si>
  <si>
    <t>payment-suppliers - Amazon Seller  -&gt; Ltd</t>
  </si>
  <si>
    <t>returns - rever  -&gt; Ltd</t>
  </si>
  <si>
    <t>administrative - youraccountsntaxes  -&gt; Ltd</t>
  </si>
  <si>
    <t>YourAccountNTaxes</t>
  </si>
  <si>
    <t>administrative - otros  -&gt; Ltd</t>
  </si>
  <si>
    <t>it - Shopify  -&gt; Ltd</t>
  </si>
  <si>
    <t>it - Amazon Subscription  -&gt; Ltd</t>
  </si>
  <si>
    <t>Amazon Subscrition</t>
  </si>
  <si>
    <t>Shared services the UK</t>
  </si>
  <si>
    <t>uncategorized - incomes  -&gt; Ltd</t>
  </si>
  <si>
    <t>Uncategorized income</t>
  </si>
  <si>
    <t>uncategorized - expenses  -&gt; Ltd</t>
  </si>
  <si>
    <t>Uncategorized expenses</t>
  </si>
  <si>
    <t>United States</t>
  </si>
  <si>
    <t>manufacturing - TGI Inc  -&gt; Inc</t>
  </si>
  <si>
    <t>TGI</t>
  </si>
  <si>
    <t>manufacturing - jondo  -&gt; Inc</t>
  </si>
  <si>
    <t>logistics - TGI Inc  -&gt; Inc</t>
  </si>
  <si>
    <t>logistics - jondo  -&gt; Inc</t>
  </si>
  <si>
    <t>payment-suppliers - Shopify  -&gt; Inc</t>
  </si>
  <si>
    <t>payment-suppliers - Paypal  -&gt; Inc</t>
  </si>
  <si>
    <t>payment-suppliers - Amazon Pay  -&gt; Inc</t>
  </si>
  <si>
    <t>payment-suppliers - Klarna  -&gt; Inc</t>
  </si>
  <si>
    <t>payment-suppliers - Revolut  -&gt; Inc</t>
  </si>
  <si>
    <t>payment-suppliers - Amazon Seller  -&gt; Inc</t>
  </si>
  <si>
    <t>returns - rever  -&gt; Inc</t>
  </si>
  <si>
    <t>administrative - continuum  -&gt; Inc</t>
  </si>
  <si>
    <t>Continuum</t>
  </si>
  <si>
    <t>administrative - otros  -&gt; Inc</t>
  </si>
  <si>
    <t>it - Shopify  -&gt; Inc</t>
  </si>
  <si>
    <t>it - Amazon Subscription  -&gt; Inc</t>
  </si>
  <si>
    <t>Shared services the US</t>
  </si>
  <si>
    <t>uncategorized - incomes  -&gt; Inc</t>
  </si>
  <si>
    <t>uncategorized - expenses  -&gt; Inc</t>
  </si>
  <si>
    <t>Exchange rate US</t>
  </si>
  <si>
    <t>yyyymm</t>
  </si>
  <si>
    <t># invoice</t>
  </si>
  <si>
    <t>date</t>
  </si>
  <si>
    <t>due</t>
  </si>
  <si>
    <t>concept/supplier</t>
  </si>
  <si>
    <t>gross</t>
  </si>
  <si>
    <t>tax</t>
  </si>
  <si>
    <t>net</t>
  </si>
  <si>
    <t>concept</t>
  </si>
  <si>
    <t>tax_rate</t>
  </si>
  <si>
    <t>supplier</t>
  </si>
  <si>
    <t>entity</t>
  </si>
  <si>
    <t>currency</t>
  </si>
  <si>
    <t>A5/240337</t>
  </si>
  <si>
    <t>017/25</t>
  </si>
  <si>
    <t>7/190</t>
  </si>
  <si>
    <t>04400 -23277624</t>
  </si>
  <si>
    <t>G250180009</t>
  </si>
  <si>
    <t>ES2025B012622</t>
  </si>
  <si>
    <t>E0600UXYWH</t>
  </si>
  <si>
    <t>G074407245</t>
  </si>
  <si>
    <t>E2500110</t>
  </si>
  <si>
    <t>E2500574</t>
  </si>
  <si>
    <t>E2500774</t>
  </si>
  <si>
    <t>25/1/223</t>
  </si>
  <si>
    <t>1-1.087</t>
  </si>
  <si>
    <t>1-1.451</t>
  </si>
  <si>
    <t>1-453</t>
  </si>
  <si>
    <t>1-766</t>
  </si>
  <si>
    <t>25-0162</t>
  </si>
  <si>
    <t>VTA/25-005427</t>
  </si>
  <si>
    <t>GB-AEU-2025-222468</t>
  </si>
  <si>
    <t>RVR-6667</t>
  </si>
  <si>
    <t>RVR-6956</t>
  </si>
  <si>
    <t>RVR-6958</t>
  </si>
  <si>
    <t>3313-37371</t>
  </si>
  <si>
    <t>3313-37372</t>
  </si>
  <si>
    <t>3313-37487</t>
  </si>
  <si>
    <t>shared-services - ArtestaSL marketing -&gt; Ltd</t>
  </si>
  <si>
    <t>shared-services - ArtestaSL staff -&gt; Ltd</t>
  </si>
  <si>
    <t>shared-services - ArtestaSL tools-software -&gt; Ltd</t>
  </si>
  <si>
    <t>F00390/25</t>
  </si>
  <si>
    <t>IFC2502-00513</t>
  </si>
  <si>
    <t>IFC2502-05171</t>
  </si>
  <si>
    <t xml:space="preserve">7/548 </t>
  </si>
  <si>
    <t>04431-32848925-1_x000D_</t>
  </si>
  <si>
    <t>G250490010</t>
  </si>
  <si>
    <t>E0600V9G0G</t>
  </si>
  <si>
    <t>G078547724</t>
  </si>
  <si>
    <t>E2501601</t>
  </si>
  <si>
    <t>E2501166</t>
  </si>
  <si>
    <t>E2501350</t>
  </si>
  <si>
    <t>25/1/453</t>
  </si>
  <si>
    <t>1-2.732</t>
  </si>
  <si>
    <t>1-1.880</t>
  </si>
  <si>
    <t>1-2.188</t>
  </si>
  <si>
    <t>1-2.553</t>
  </si>
  <si>
    <t>25-0339</t>
  </si>
  <si>
    <t>25-0340</t>
  </si>
  <si>
    <t>29/02/2025</t>
  </si>
  <si>
    <t>RVR-7300</t>
  </si>
  <si>
    <t>RVR-7407</t>
  </si>
  <si>
    <t>RVR-7409</t>
  </si>
  <si>
    <t>3313-38096</t>
  </si>
  <si>
    <t>7/835</t>
  </si>
  <si>
    <t>it - etsy  -&gt; SL</t>
  </si>
  <si>
    <t>E2502165</t>
  </si>
  <si>
    <t>E2502563</t>
  </si>
  <si>
    <t>manufacturing - debex  -&gt; SL</t>
  </si>
  <si>
    <t>RVR-8215</t>
  </si>
  <si>
    <t>RVR-8283</t>
  </si>
  <si>
    <t>RVR-8640</t>
  </si>
  <si>
    <t>3313-38763</t>
  </si>
  <si>
    <t>072/25</t>
  </si>
  <si>
    <t>7/1076</t>
  </si>
  <si>
    <t>E2502818</t>
  </si>
  <si>
    <t>E2503234</t>
  </si>
  <si>
    <t>RVR-9366</t>
  </si>
  <si>
    <t>3313-39368</t>
  </si>
  <si>
    <t>F01526/25</t>
  </si>
  <si>
    <t>04520-24136736</t>
  </si>
  <si>
    <t>18/05/2025</t>
  </si>
  <si>
    <t>31/05/2025</t>
  </si>
  <si>
    <t>16/05/2025</t>
  </si>
  <si>
    <t>MC250006976346</t>
  </si>
  <si>
    <t>22/05/2025</t>
  </si>
  <si>
    <t>28/05/2025</t>
  </si>
  <si>
    <t>G092220772</t>
  </si>
  <si>
    <t>13/05/2025</t>
  </si>
  <si>
    <t>G092829151</t>
  </si>
  <si>
    <t>1602C2F5-0003</t>
  </si>
  <si>
    <t>29/05/2025</t>
  </si>
  <si>
    <t>17/05/2025</t>
  </si>
  <si>
    <t>RVR-9745</t>
  </si>
  <si>
    <t>RVR-10119</t>
  </si>
  <si>
    <t>3313-39957</t>
  </si>
  <si>
    <t>087000313888</t>
  </si>
  <si>
    <t>G251380008</t>
  </si>
  <si>
    <t>F01983/25</t>
  </si>
  <si>
    <t>7/2032</t>
  </si>
  <si>
    <t>RVR-10260</t>
  </si>
  <si>
    <t xml:space="preserve"> RVR-10930</t>
  </si>
  <si>
    <t>3313-40521</t>
  </si>
  <si>
    <t>F02413/25</t>
  </si>
  <si>
    <t>162/25</t>
  </si>
  <si>
    <t>7/2716</t>
  </si>
  <si>
    <t>RVR-11665</t>
  </si>
  <si>
    <t>RVR-11910</t>
  </si>
  <si>
    <t>RVR-11965</t>
  </si>
  <si>
    <t>manufacturing - artlink  -&gt; SL</t>
  </si>
  <si>
    <t>000 197873</t>
  </si>
  <si>
    <t>CN 000017200</t>
  </si>
  <si>
    <t>Cerrajería RAÚL: 1-251309</t>
  </si>
  <si>
    <t>CONTASIMPLE: ES-2025-26603</t>
  </si>
  <si>
    <t>INV-001235</t>
  </si>
  <si>
    <t>it - lingpad  -&gt; SL</t>
  </si>
  <si>
    <t>INV-001242</t>
  </si>
  <si>
    <t>E2505177</t>
  </si>
  <si>
    <t>E2505547</t>
  </si>
  <si>
    <t>3313-41006</t>
  </si>
  <si>
    <t>G102823874</t>
  </si>
  <si>
    <t>G102153826</t>
  </si>
  <si>
    <t>G251990010</t>
  </si>
  <si>
    <t>RVR-12700</t>
  </si>
  <si>
    <t>RVR-12381</t>
  </si>
  <si>
    <t>INV-001314</t>
  </si>
  <si>
    <t>LIZENZERO: 90698</t>
  </si>
  <si>
    <t>G107384666</t>
  </si>
  <si>
    <t>G108177989</t>
  </si>
  <si>
    <t>3313-41480</t>
  </si>
  <si>
    <t>SAMSUNG: 5200357454</t>
  </si>
  <si>
    <t>tools - personal tools  -&gt; SL</t>
  </si>
  <si>
    <t>G114098175</t>
  </si>
  <si>
    <t>G113480617</t>
  </si>
  <si>
    <t>MC250011184136</t>
  </si>
  <si>
    <t>INV-001399</t>
  </si>
  <si>
    <t>INV-001403</t>
  </si>
  <si>
    <t>3263-1139</t>
  </si>
  <si>
    <t>BD2110925-00000034</t>
  </si>
  <si>
    <t>20250913ES84474</t>
  </si>
  <si>
    <t>GB-AEU-2025-642211</t>
  </si>
  <si>
    <t>GB-AEU-2025-1015036</t>
  </si>
  <si>
    <t>GB-AEU-2025-2201304</t>
  </si>
  <si>
    <t>GB-AEU-2025-2614353</t>
  </si>
  <si>
    <t>GB-AEU-2025-3008258</t>
  </si>
  <si>
    <t>GB-AEU-2025-3394996</t>
  </si>
  <si>
    <t>GB-AEU-2025-3778290</t>
  </si>
  <si>
    <t>749E3EE3-0002</t>
  </si>
  <si>
    <t>it - hushed  -&gt; Inc</t>
  </si>
  <si>
    <t>749E3EE3-0004</t>
  </si>
  <si>
    <t>749E3EE3-0005_x000D_</t>
  </si>
  <si>
    <t>- €</t>
  </si>
  <si>
    <t>Rest of EU</t>
  </si>
  <si>
    <t>import</t>
  </si>
  <si>
    <t>entidad</t>
  </si>
  <si>
    <t>subcategoria</t>
  </si>
  <si>
    <t>categoria</t>
  </si>
  <si>
    <t>proveedor/categoria</t>
  </si>
  <si>
    <t>nomina-ceo</t>
  </si>
  <si>
    <t>staff</t>
  </si>
  <si>
    <t>SL</t>
  </si>
  <si>
    <t>nomina-coo</t>
  </si>
  <si>
    <t>nomina-sac</t>
  </si>
  <si>
    <t>proveedor</t>
  </si>
  <si>
    <t>metodo pago</t>
  </si>
  <si>
    <t>Apphoto España</t>
  </si>
  <si>
    <t>manufacturing</t>
  </si>
  <si>
    <t>Apphoto Canarias</t>
  </si>
  <si>
    <t>Pressing</t>
  </si>
  <si>
    <t>DCT</t>
  </si>
  <si>
    <t>MB Editions</t>
  </si>
  <si>
    <t>Proco</t>
  </si>
  <si>
    <t>print</t>
  </si>
  <si>
    <t>Ltd</t>
  </si>
  <si>
    <t>carriage</t>
  </si>
  <si>
    <t>logistics</t>
  </si>
  <si>
    <t>postage</t>
  </si>
  <si>
    <t>direct mailing</t>
  </si>
  <si>
    <t>Storage</t>
  </si>
  <si>
    <t>jondo</t>
  </si>
  <si>
    <t>TGI Inc</t>
  </si>
  <si>
    <t>Inc</t>
  </si>
  <si>
    <t>GLS</t>
  </si>
  <si>
    <t>Correos</t>
  </si>
  <si>
    <t>Oxperta</t>
  </si>
  <si>
    <t>Asendia</t>
  </si>
  <si>
    <t>Spring</t>
  </si>
  <si>
    <t>UPS FR</t>
  </si>
  <si>
    <t>UPS DE</t>
  </si>
  <si>
    <t>Artistas</t>
  </si>
  <si>
    <t>royalties</t>
  </si>
  <si>
    <t>payment-suppliers</t>
  </si>
  <si>
    <t>rever</t>
  </si>
  <si>
    <t>returns</t>
  </si>
  <si>
    <t>marketing</t>
  </si>
  <si>
    <t>Claris Gestio</t>
  </si>
  <si>
    <t>administrative</t>
  </si>
  <si>
    <t>it</t>
  </si>
  <si>
    <t>Preving Adeplus</t>
  </si>
  <si>
    <t>otros</t>
  </si>
  <si>
    <t>Microsoft</t>
  </si>
  <si>
    <t>Railway</t>
  </si>
  <si>
    <t>Geotargetly</t>
  </si>
  <si>
    <t>Mas Movil</t>
  </si>
  <si>
    <t>Konvo</t>
  </si>
  <si>
    <t>Godaddy</t>
  </si>
  <si>
    <t>Basuras - España</t>
  </si>
  <si>
    <t>tributos</t>
  </si>
  <si>
    <t>Basuras - Alemania</t>
  </si>
  <si>
    <t>Basuras - Francia</t>
  </si>
  <si>
    <t>personal tools</t>
  </si>
  <si>
    <t>tools</t>
  </si>
  <si>
    <t>caixabank</t>
  </si>
  <si>
    <t>comisiones</t>
  </si>
  <si>
    <t>paypal</t>
  </si>
  <si>
    <t>Rever</t>
  </si>
  <si>
    <t>ArtestaSL</t>
  </si>
  <si>
    <t>shared-services</t>
  </si>
  <si>
    <t>tools-software</t>
  </si>
  <si>
    <t>Certax</t>
  </si>
  <si>
    <t>Wise</t>
  </si>
  <si>
    <t>revolut</t>
  </si>
  <si>
    <t>regus</t>
  </si>
  <si>
    <t>ipostal</t>
  </si>
  <si>
    <t>Corporate fillings</t>
  </si>
  <si>
    <t>Cegid</t>
  </si>
  <si>
    <t>SkedSocial</t>
  </si>
  <si>
    <t>artlink</t>
  </si>
  <si>
    <t>debex</t>
  </si>
  <si>
    <t>hannun</t>
  </si>
  <si>
    <t>etsy</t>
  </si>
  <si>
    <t>euroembalaje</t>
  </si>
  <si>
    <t>adobe</t>
  </si>
  <si>
    <t>lingpad</t>
  </si>
  <si>
    <t>epi</t>
  </si>
  <si>
    <t>hushed</t>
  </si>
  <si>
    <t>frames</t>
  </si>
  <si>
    <t>youraccountsntaxes</t>
  </si>
  <si>
    <t>incomes</t>
  </si>
  <si>
    <t>uncategorized</t>
  </si>
  <si>
    <t>expenses</t>
  </si>
  <si>
    <t>others</t>
  </si>
  <si>
    <t>continuum</t>
  </si>
  <si>
    <t>order_month_yyyymm</t>
  </si>
  <si>
    <t>shipping_country_code</t>
  </si>
  <si>
    <t>payment_currency</t>
  </si>
  <si>
    <t>is_rever_tag</t>
  </si>
  <si>
    <t>is_hannun_tag</t>
  </si>
  <si>
    <t>is_mirakl_tag</t>
  </si>
  <si>
    <t>EUR</t>
  </si>
  <si>
    <t>GBP</t>
  </si>
  <si>
    <t>USD</t>
  </si>
  <si>
    <t>tags</t>
  </si>
  <si>
    <t>choose</t>
  </si>
  <si>
    <t>Descripcion</t>
  </si>
  <si>
    <t>Prima seguro convenios (pagado 1/1/2025)</t>
  </si>
  <si>
    <t>operating-profit</t>
  </si>
  <si>
    <t>EUR-GBP</t>
  </si>
  <si>
    <t>USD-EUR</t>
  </si>
  <si>
    <t>EUR-USD</t>
  </si>
  <si>
    <t>GBP-EUR</t>
  </si>
  <si>
    <t>Amazon Suscription</t>
  </si>
  <si>
    <t>EU</t>
  </si>
  <si>
    <t>GB-AEU-2025-583959</t>
  </si>
  <si>
    <t>GB-AEU-2025-318919</t>
  </si>
  <si>
    <t>GB-AEU-2025-1111820</t>
  </si>
  <si>
    <t>GB-AEU-2025-3749586</t>
  </si>
  <si>
    <t>logistics - debex  -&gt; Inc</t>
  </si>
  <si>
    <t>Frames - units sold</t>
  </si>
  <si>
    <t>Frame consumos</t>
  </si>
  <si>
    <t>K6205196</t>
  </si>
  <si>
    <t>manufacturing - frames  -&gt; Inc</t>
  </si>
  <si>
    <t>INV- 0425</t>
  </si>
  <si>
    <t>INV-0585</t>
  </si>
  <si>
    <t>TGI - Shipping</t>
  </si>
  <si>
    <t>INV-0586</t>
  </si>
  <si>
    <t>INV-0588</t>
  </si>
  <si>
    <t>Link</t>
  </si>
  <si>
    <t>administrative - Continuum  -&gt; Inc</t>
  </si>
  <si>
    <t>ARTESTA - 170063.pdf - Todos los documentos</t>
  </si>
  <si>
    <t>ARTESTA - 170064.pdf - Todos los documentos</t>
  </si>
  <si>
    <t>ARTESTA - invoice_181076.pdf - Todos los documentos</t>
  </si>
  <si>
    <t>RVR-13470</t>
  </si>
  <si>
    <t>ARTESTA - Invoice-RVR-13470.pdf - Todos los documentos</t>
  </si>
  <si>
    <t>RVR-13157</t>
  </si>
  <si>
    <t>ARTESTA - Documentos - REVER - Todos los documentos</t>
  </si>
  <si>
    <t>ARTESTA - 169920.pdf - Todos los documentos</t>
  </si>
  <si>
    <t>ARTESTA - Documentos - TGI - Todos los documentos</t>
  </si>
  <si>
    <t>25/1/2.234</t>
  </si>
  <si>
    <t>ARTESTA - fra.2432.pdf - Todos los documentos</t>
  </si>
  <si>
    <t xml:space="preserve">F00033/25 </t>
  </si>
  <si>
    <t>ARTESTA - Documentos - Legal - ok - Todos los documentos</t>
  </si>
  <si>
    <t>ARTESTA - 257F0000190-09438F.PDF - Todos los documentos</t>
  </si>
  <si>
    <t>Web</t>
  </si>
  <si>
    <t>B2B</t>
  </si>
  <si>
    <t>Bank transfer</t>
  </si>
  <si>
    <t>Marketplace</t>
  </si>
  <si>
    <t>Sales channel</t>
  </si>
  <si>
    <t>Order name</t>
  </si>
  <si>
    <t>Total sales</t>
  </si>
  <si>
    <t>Orders</t>
  </si>
  <si>
    <t>Gross sales</t>
  </si>
  <si>
    <t>Discounts</t>
  </si>
  <si>
    <t>Returns</t>
  </si>
  <si>
    <t>Net sales</t>
  </si>
  <si>
    <t>Shipping charges</t>
  </si>
  <si>
    <t>Duties</t>
  </si>
  <si>
    <t>Additional fees</t>
  </si>
  <si>
    <t>Online Store</t>
  </si>
  <si>
    <t>ES-69606</t>
  </si>
  <si>
    <t>ES-67388</t>
  </si>
  <si>
    <t>ES-68305</t>
  </si>
  <si>
    <t>ES-69281</t>
  </si>
  <si>
    <t>ES-69525</t>
  </si>
  <si>
    <t>ES-67042</t>
  </si>
  <si>
    <t>ES-69264</t>
  </si>
  <si>
    <t>ES-69047</t>
  </si>
  <si>
    <t>ES-68426</t>
  </si>
  <si>
    <t>ES-69526</t>
  </si>
  <si>
    <t>ES-68010</t>
  </si>
  <si>
    <t>ES-69205</t>
  </si>
  <si>
    <t>ES-66781</t>
  </si>
  <si>
    <t>ES-67849</t>
  </si>
  <si>
    <t>ES-68016</t>
  </si>
  <si>
    <t>ES-69190</t>
  </si>
  <si>
    <t>ES-67439</t>
  </si>
  <si>
    <t>ES-69294</t>
  </si>
  <si>
    <t>ES-67703</t>
  </si>
  <si>
    <t>ES-69745</t>
  </si>
  <si>
    <t>ES-67040</t>
  </si>
  <si>
    <t>ES-68619</t>
  </si>
  <si>
    <t>ES-67182</t>
  </si>
  <si>
    <t>ES-69748</t>
  </si>
  <si>
    <t>ES-69754</t>
  </si>
  <si>
    <t>ES-69255</t>
  </si>
  <si>
    <t>ES-69250</t>
  </si>
  <si>
    <t>ES-69251</t>
  </si>
  <si>
    <t>ES-69734</t>
  </si>
  <si>
    <t>ES-67568</t>
  </si>
  <si>
    <t>ES-67484</t>
  </si>
  <si>
    <t>ES-68027</t>
  </si>
  <si>
    <t>Hulk Discounts</t>
  </si>
  <si>
    <t>ES-69447</t>
  </si>
  <si>
    <t>ES-69376</t>
  </si>
  <si>
    <t>ES-67311</t>
  </si>
  <si>
    <t>ES-67028</t>
  </si>
  <si>
    <t>ES-69196</t>
  </si>
  <si>
    <t>ES-69508</t>
  </si>
  <si>
    <t>ES-67633</t>
  </si>
  <si>
    <t>ES-68705</t>
  </si>
  <si>
    <t>ES-68959</t>
  </si>
  <si>
    <t>ES-69094</t>
  </si>
  <si>
    <t>ES-68003</t>
  </si>
  <si>
    <t>ES-67674</t>
  </si>
  <si>
    <t>ES-67828</t>
  </si>
  <si>
    <t>ES-67864</t>
  </si>
  <si>
    <t>ES-66929</t>
  </si>
  <si>
    <t>ES-67922</t>
  </si>
  <si>
    <t>ES-69222</t>
  </si>
  <si>
    <t>ES-69290</t>
  </si>
  <si>
    <t>ES-68902</t>
  </si>
  <si>
    <t>ES-67025</t>
  </si>
  <si>
    <t>ES-68288</t>
  </si>
  <si>
    <t>ES-69664</t>
  </si>
  <si>
    <t>ES-67331</t>
  </si>
  <si>
    <t>ES-67490</t>
  </si>
  <si>
    <t>ES-67465</t>
  </si>
  <si>
    <t>ES-69299</t>
  </si>
  <si>
    <t>ES-68986</t>
  </si>
  <si>
    <t>ES-69167</t>
  </si>
  <si>
    <t>ES-69642</t>
  </si>
  <si>
    <t>ES-69708</t>
  </si>
  <si>
    <t>ES-69182</t>
  </si>
  <si>
    <t>ES-66756</t>
  </si>
  <si>
    <t>ES-67775</t>
  </si>
  <si>
    <t>ES-67020</t>
  </si>
  <si>
    <t>ES-67851</t>
  </si>
  <si>
    <t>ES-68310</t>
  </si>
  <si>
    <t>ES-68753</t>
  </si>
  <si>
    <t>ES-66877</t>
  </si>
  <si>
    <t>ES-69457</t>
  </si>
  <si>
    <t>ES-69176</t>
  </si>
  <si>
    <t>ES-66930</t>
  </si>
  <si>
    <t>ES-68735</t>
  </si>
  <si>
    <t>ES-69199</t>
  </si>
  <si>
    <t>ES-69539</t>
  </si>
  <si>
    <t>ES-67735</t>
  </si>
  <si>
    <t>ES-69018</t>
  </si>
  <si>
    <t>ES-68096</t>
  </si>
  <si>
    <t>ES-69262</t>
  </si>
  <si>
    <t>ES-68234</t>
  </si>
  <si>
    <t>ES-67747</t>
  </si>
  <si>
    <t>ES-67740</t>
  </si>
  <si>
    <t>ES-68443</t>
  </si>
  <si>
    <t>ES-68596</t>
  </si>
  <si>
    <t>ES-69720</t>
  </si>
  <si>
    <t>ES-69694</t>
  </si>
  <si>
    <t>ES-69253</t>
  </si>
  <si>
    <t>ES-69328</t>
  </si>
  <si>
    <t>ES-69517</t>
  </si>
  <si>
    <t>ES-69675</t>
  </si>
  <si>
    <t>ES-66744</t>
  </si>
  <si>
    <t>ES-69638</t>
  </si>
  <si>
    <t>ES-69365</t>
  </si>
  <si>
    <t>ES-68403</t>
  </si>
  <si>
    <t>ES-68697</t>
  </si>
  <si>
    <t>ES-68204</t>
  </si>
  <si>
    <t>ES-68601</t>
  </si>
  <si>
    <t>ES-68226</t>
  </si>
  <si>
    <t>ES-67030</t>
  </si>
  <si>
    <t>ES-69242</t>
  </si>
  <si>
    <t>ES-68613</t>
  </si>
  <si>
    <t>ES-69770</t>
  </si>
  <si>
    <t>ES-68617</t>
  </si>
  <si>
    <t>ES-68709</t>
  </si>
  <si>
    <t>ES-68338</t>
  </si>
  <si>
    <t>ES-69194</t>
  </si>
  <si>
    <t>ES-69083</t>
  </si>
  <si>
    <t>ES-67548</t>
  </si>
  <si>
    <t>ES-68661</t>
  </si>
  <si>
    <t>ES-68739</t>
  </si>
  <si>
    <t>ES-66943</t>
  </si>
  <si>
    <t>ES-67714</t>
  </si>
  <si>
    <t>ES-67888</t>
  </si>
  <si>
    <t>ES-67675</t>
  </si>
  <si>
    <t>ES-69221</t>
  </si>
  <si>
    <t>ES-68441</t>
  </si>
  <si>
    <t>ES-67054</t>
  </si>
  <si>
    <t>ES-69283</t>
  </si>
  <si>
    <t>ES-66771</t>
  </si>
  <si>
    <t>ES-69409</t>
  </si>
  <si>
    <t>ES-69682</t>
  </si>
  <si>
    <t>ES-67145</t>
  </si>
  <si>
    <t>ES-67206</t>
  </si>
  <si>
    <t>ES-68261</t>
  </si>
  <si>
    <t>ES-68015</t>
  </si>
  <si>
    <t>ES-67077</t>
  </si>
  <si>
    <t>ES-69092</t>
  </si>
  <si>
    <t>ES-69107</t>
  </si>
  <si>
    <t>ES-69179</t>
  </si>
  <si>
    <t>ES-66797</t>
  </si>
  <si>
    <t>ES-68314</t>
  </si>
  <si>
    <t>ES-68113</t>
  </si>
  <si>
    <t>ES-68330</t>
  </si>
  <si>
    <t>ES-67152</t>
  </si>
  <si>
    <t>ES-67491</t>
  </si>
  <si>
    <t>ES-69096</t>
  </si>
  <si>
    <t>ES-69676</t>
  </si>
  <si>
    <t>ES-69516</t>
  </si>
  <si>
    <t>ES-67647</t>
  </si>
  <si>
    <t>ES-69679</t>
  </si>
  <si>
    <t>ES-66768</t>
  </si>
  <si>
    <t>ES-68616</t>
  </si>
  <si>
    <t>ES-69742</t>
  </si>
  <si>
    <t>ES-68487</t>
  </si>
  <si>
    <t>ES-67742</t>
  </si>
  <si>
    <t>ES-68538</t>
  </si>
  <si>
    <t>ES-69090</t>
  </si>
  <si>
    <t>ES-68061</t>
  </si>
  <si>
    <t>ES-68469</t>
  </si>
  <si>
    <t>ES-67185</t>
  </si>
  <si>
    <t>ES-67940</t>
  </si>
  <si>
    <t>ES-68667</t>
  </si>
  <si>
    <t>ES-67547</t>
  </si>
  <si>
    <t>ES-66831</t>
  </si>
  <si>
    <t>ES-69776</t>
  </si>
  <si>
    <t>ES-66992</t>
  </si>
  <si>
    <t>ES-67450</t>
  </si>
  <si>
    <t>ES-67457</t>
  </si>
  <si>
    <t>ES-67363</t>
  </si>
  <si>
    <t>ES-68131</t>
  </si>
  <si>
    <t>Draft Orders</t>
  </si>
  <si>
    <t>ES-69213</t>
  </si>
  <si>
    <t>ES-67898</t>
  </si>
  <si>
    <t>ES-69577</t>
  </si>
  <si>
    <t>ES-69114</t>
  </si>
  <si>
    <t>ES-66758</t>
  </si>
  <si>
    <t>Hannun ERP</t>
  </si>
  <si>
    <t>ES-66936</t>
  </si>
  <si>
    <t>ES-68635</t>
  </si>
  <si>
    <t>ES-69568</t>
  </si>
  <si>
    <t>ES-69542</t>
  </si>
  <si>
    <t>ES-67861</t>
  </si>
  <si>
    <t>ES-67434</t>
  </si>
  <si>
    <t>ES-67617</t>
  </si>
  <si>
    <t>ES-67015</t>
  </si>
  <si>
    <t>ES-67555</t>
  </si>
  <si>
    <t>ES-66928</t>
  </si>
  <si>
    <t>ES-69060</t>
  </si>
  <si>
    <t>ES-68399</t>
  </si>
  <si>
    <t>ES-66864</t>
  </si>
  <si>
    <t>ES-67119</t>
  </si>
  <si>
    <t>ES-69065</t>
  </si>
  <si>
    <t>ES-67581</t>
  </si>
  <si>
    <t>ES-68869</t>
  </si>
  <si>
    <t>ES-66956</t>
  </si>
  <si>
    <t>ES-66798</t>
  </si>
  <si>
    <t>ES-68914</t>
  </si>
  <si>
    <t>ES-67610</t>
  </si>
  <si>
    <t>ES-67850</t>
  </si>
  <si>
    <t>ES-67489</t>
  </si>
  <si>
    <t>ES-67786</t>
  </si>
  <si>
    <t>ES-69317</t>
  </si>
  <si>
    <t>ES-66948</t>
  </si>
  <si>
    <t>ES-68692</t>
  </si>
  <si>
    <t>ES-69288</t>
  </si>
  <si>
    <t>ES-68947</t>
  </si>
  <si>
    <t>ES-68348</t>
  </si>
  <si>
    <t>ES-67831</t>
  </si>
  <si>
    <t>ES-69057</t>
  </si>
  <si>
    <t>ES-66937</t>
  </si>
  <si>
    <t>ES-66971</t>
  </si>
  <si>
    <t>ES-69686</t>
  </si>
  <si>
    <t>ES-67952</t>
  </si>
  <si>
    <t>ES-68720</t>
  </si>
  <si>
    <t>ES-68049</t>
  </si>
  <si>
    <t>ES-68334</t>
  </si>
  <si>
    <t>ES-66860</t>
  </si>
  <si>
    <t>ES-68567</t>
  </si>
  <si>
    <t>ES-69239</t>
  </si>
  <si>
    <t>ES-66908</t>
  </si>
  <si>
    <t>ES-67728</t>
  </si>
  <si>
    <t>ES-67789</t>
  </si>
  <si>
    <t>ES-68713</t>
  </si>
  <si>
    <t>ES-67037</t>
  </si>
  <si>
    <t>ES-67638</t>
  </si>
  <si>
    <t>ES-69773</t>
  </si>
  <si>
    <t>ES-69344</t>
  </si>
  <si>
    <t>ES-69223</t>
  </si>
  <si>
    <t>ES-69195</t>
  </si>
  <si>
    <t>ES-69161</t>
  </si>
  <si>
    <t>ES-68042</t>
  </si>
  <si>
    <t>ES-66931</t>
  </si>
  <si>
    <t>ES-69269</t>
  </si>
  <si>
    <t>ES-66998</t>
  </si>
  <si>
    <t>ES-68758</t>
  </si>
  <si>
    <t>ES-66909</t>
  </si>
  <si>
    <t>ES-68564</t>
  </si>
  <si>
    <t>ES-66932</t>
  </si>
  <si>
    <t>ES-68084</t>
  </si>
  <si>
    <t>ES-69078</t>
  </si>
  <si>
    <t>ES-66871</t>
  </si>
  <si>
    <t>ES-69596</t>
  </si>
  <si>
    <t>ES-69589</t>
  </si>
  <si>
    <t>ES-69722</t>
  </si>
  <si>
    <t>ES-69245</t>
  </si>
  <si>
    <t>ES-69637</t>
  </si>
  <si>
    <t>ES-66746</t>
  </si>
  <si>
    <t>ES-68161</t>
  </si>
  <si>
    <t>ES-68112</t>
  </si>
  <si>
    <t>ES-68453</t>
  </si>
  <si>
    <t>ES-66987</t>
  </si>
  <si>
    <t>ES-69087</t>
  </si>
  <si>
    <t>ES-69252</t>
  </si>
  <si>
    <t>ES-69678</t>
  </si>
  <si>
    <t>ES-67050</t>
  </si>
  <si>
    <t>ES-66964</t>
  </si>
  <si>
    <t>ES-66946</t>
  </si>
  <si>
    <t>ES-66763</t>
  </si>
  <si>
    <t>ES-69372</t>
  </si>
  <si>
    <t>ES-67799</t>
  </si>
  <si>
    <t>ES-67839</t>
  </si>
  <si>
    <t>ES-69236</t>
  </si>
  <si>
    <t>ES-67549</t>
  </si>
  <si>
    <t>ES-69149</t>
  </si>
  <si>
    <t>ES-68716</t>
  </si>
  <si>
    <t>ES-67383</t>
  </si>
  <si>
    <t>ES-68806</t>
  </si>
  <si>
    <t>ES-66799</t>
  </si>
  <si>
    <t>ES-68402</t>
  </si>
  <si>
    <t>ES-67033</t>
  </si>
  <si>
    <t>ES-66750</t>
  </si>
  <si>
    <t>ES-69665</t>
  </si>
  <si>
    <t>ES-69680</t>
  </si>
  <si>
    <t>ES-69549</t>
  </si>
  <si>
    <t>ES-67051</t>
  </si>
  <si>
    <t>ES-69137</t>
  </si>
  <si>
    <t>ES-67325</t>
  </si>
  <si>
    <t>ES-67906</t>
  </si>
  <si>
    <t>ES-68213</t>
  </si>
  <si>
    <t>ES-66840</t>
  </si>
  <si>
    <t>ES-68373</t>
  </si>
  <si>
    <t>ES-66772</t>
  </si>
  <si>
    <t>ES-69093</t>
  </si>
  <si>
    <t>ES-67148</t>
  </si>
  <si>
    <t>ES-67317</t>
  </si>
  <si>
    <t>ES-66902</t>
  </si>
  <si>
    <t>ES-66780</t>
  </si>
  <si>
    <t>ES-67798</t>
  </si>
  <si>
    <t>ES-69655</t>
  </si>
  <si>
    <t>ES-67574</t>
  </si>
  <si>
    <t>ES-67420</t>
  </si>
  <si>
    <t>ES-66939</t>
  </si>
  <si>
    <t>ES-69192</t>
  </si>
  <si>
    <t>ES-69475</t>
  </si>
  <si>
    <t>ES-69406</t>
  </si>
  <si>
    <t>ES-66848</t>
  </si>
  <si>
    <t>ES-68401</t>
  </si>
  <si>
    <t>ES-67180</t>
  </si>
  <si>
    <t>ES-68367</t>
  </si>
  <si>
    <t>ES-68911</t>
  </si>
  <si>
    <t>ES-69586</t>
  </si>
  <si>
    <t>ES-67950</t>
  </si>
  <si>
    <t>ES-69203</t>
  </si>
  <si>
    <t>ES-69491</t>
  </si>
  <si>
    <t>ES-69718</t>
  </si>
  <si>
    <t>ES-66102</t>
  </si>
  <si>
    <t>ES-63288</t>
  </si>
  <si>
    <t>ES-65465</t>
  </si>
  <si>
    <t>ES-63143</t>
  </si>
  <si>
    <t>ES-62397</t>
  </si>
  <si>
    <t>ES-65985</t>
  </si>
  <si>
    <t>ES-65978</t>
  </si>
  <si>
    <t>ES-66314</t>
  </si>
  <si>
    <t>ES-65480</t>
  </si>
  <si>
    <t>ES-66032</t>
  </si>
  <si>
    <t>ES-66565</t>
  </si>
  <si>
    <t>ES-66296</t>
  </si>
  <si>
    <t>ES-66548</t>
  </si>
  <si>
    <t>ES-64976</t>
  </si>
  <si>
    <t>artestastore.sharepoint.com/sites/ARTESTA/Shared Documents/Forms/AllItems.aspx?id=%2Fsites%2FARTESTA%2FShared Documents%2F6%2E Finances%2FArtesta Store%2C S%2EL%2F2025%2F1Q%2F1%2E January%2F7%2E Otros gastos de explotación%2F627%2E Publicidad%2C propaganda y RRPP - ok%2FCanva - ok%2Finvoice-04400-23277624%2Epdf&amp;parent=%2Fsites%2FARTESTA%2FShared Documents%2F6%2E Finances%2FArtesta Store%2C S%2EL%2F2025%2F1Q%2F1%2E January%2F7%2E Otros gastos de explotación%2F627%2E Publicidad%2C propaganda y RRPP - ok%2FCanva - ok</t>
  </si>
  <si>
    <t>artestastore.sharepoint.com/sites/ARTESTA/Shared Documents/Forms/AllItems.aspx?id=%2Fsites%2FARTESTA%2FShared Documents%2F6%2E Finances%2FArtesta Store%2C S%2EL%2F2025%2F1Q%2F1%2E January%2F7%2E Otros gastos de explotación%2F628%2E Suministros - ok%2FSoftware - ok%2FGeoTargetly - ok%2FG250180009%2Epdf&amp;parent=%2Fsites%2FARTESTA%2FShared Documents%2F6%2E Finances%2FArtesta Store%2C S%2EL%2F2025%2F1Q%2F1%2E January%2F7%2E Otros gastos de explotación%2F628%2E Suministros - ok%2FSoftware - ok%2FGeoTargetly - ok</t>
  </si>
  <si>
    <t>artestastore.sharepoint.com/sites/ARTESTA/Shared Documents/Forms/AllItems.aspx?id=%2Fsites%2FARTESTA%2FShared Documents%2F6%2E Finances%2FArtesta Store%2C S%2EL%2F2025%2F1Q%2F1%2E January%2F7%2E Otros gastos de explotación%2F628%2E Suministros - ok%2FWeb - ok%2FDominios - ok%2FES2025B012622%2Epdf&amp;parent=%2Fsites%2FARTESTA%2FShared Documents%2F6%2E Finances%2FArtesta Store%2C S%2EL%2F2025%2F1Q%2F1%2E January%2F7%2E Otros gastos de explotación%2F628%2E Suministros - ok%2FWeb - ok%2FDominios - ok</t>
  </si>
  <si>
    <t>artestastore.sharepoint.com/sites/ARTESTA/Shared Documents/Forms/AllItems.aspx?id=%2Fsites%2FARTESTA%2FShared Documents%2F6%2E Finances%2FArtesta Store%2C S%2EL%2F2025%2F1Q%2F1%2E January%2F7%2E Otros gastos de explotación%2F628%2E Suministros - ok%2FSoftware - ok%2FGSuite - ok%2F5169504656%2Epdf&amp;parent=%2Fsites%2FARTESTA%2FShared Documents%2F6%2E Finances%2FArtesta Store%2C S%2EL%2F2025%2F1Q%2F1%2E January%2F7%2E Otros gastos de explotación%2F628%2E Suministros - ok%2FSoftware - ok%2FGSuite - ok</t>
  </si>
  <si>
    <t>artestastore.sharepoint.com/sites/ARTESTA/Shared Documents/Forms/AllItems.aspx?id=%2Fsites%2FARTESTA%2FShared Documents%2F6%2E Finances%2FArtesta Store%2C S%2EL%2F2025%2F1Q%2F1%2E January%2F7%2E Otros gastos de explotación%2F628%2E Suministros - ok%2FWeb - ok%2FDominios - ok%2FgodaddyEnero1%2Epdf&amp;parent=%2Fsites%2FARTESTA%2FShared Documents%2F6%2E Finances%2FArtesta Store%2C S%2EL%2F2025%2F1Q%2F1%2E January%2F7%2E Otros gastos de explotación%2F628%2E Suministros - ok%2FWeb - ok%2FDominios - ok</t>
  </si>
  <si>
    <t>artestastore.sharepoint.com/sites/ARTESTA/Shared Documents/Forms/AllItems.aspx?id=%2Fsites%2FARTESTA%2FShared Documents%2F6%2E Finances%2FArtesta Store%2C S%2EL%2F2025%2F1Q%2F1%2E January%2F7%2E Otros gastos de explotación%2F628%2E Suministros - ok%2FWeb - ok%2FHetzner - ok%2FHetzner_2025-01-16_086000117862%2Epdf&amp;parent=%2Fsites%2FARTESTA%2FShared Documents%2F6%2E Finances%2FArtesta Store%2C S%2EL%2F2025%2F1Q%2F1%2E January%2F7%2E Otros gastos de explotación%2F628%2E Suministros - ok%2FWeb - ok%2FHetzner - ok</t>
  </si>
  <si>
    <t>artestastore.sharepoint.com/sites/ARTESTA/Shared Documents/Forms/AllItems.aspx?id=%2Fsites%2FARTESTA%2FShared Documents%2F6. Finances%2FArtesta Store%2C S.L%2F2025%2F1Q%2F1. January%2F7. Otros gastos de explotación%2F628. Suministros - ok%2FSoftware - ok%2FOneDrive - ok%2FE0600UXYWH.pdf&amp;parent=%2Fsites%2FARTESTA%2FShared Documents%2F6. Finances%2FArtesta Store%2C S.L%2F2025%2F1Q%2F1. January%2F7. Otros gastos de explotación%2F628. Suministros - ok%2FSoftware - ok%2FOneDrive - ok</t>
  </si>
  <si>
    <t>artestastore.sharepoint.com/sites/ARTESTA/Shared Documents/Forms/AllItems.aspx?id=%2Fsites%2FARTESTA%2FShared Documents%2F6%2E Finances%2FArtesta Store%2C S%2EL%2F2025%2F1Q%2F1%2E January%2F7%2E Otros gastos de explotación%2F628%2E Suministros - ok%2FSoftware - ok%2FOneDrive - ok%2FG074407245_b83413fe209a4ec4bc5a9e7671b3763b%2Epdf&amp;parent=%2Fsites%2FARTESTA%2FShared Documents%2F6%2E Finances%2FArtesta Store%2C S%2EL%2F2025%2F1Q%2F1%2E January%2F7%2E Otros gastos de explotación%2F628%2E Suministros - ok%2FSoftware - ok%2FOneDrive - ok</t>
  </si>
  <si>
    <t>artestastore.sharepoint.com/sites/ARTESTA/Shared Documents/Forms/AllItems.aspx?id=%2Fsites%2FARTESTA%2FShared Documents%2F6%2E Finances%2FArtesta Store%2C S%2EL%2F2025%2F1Q%2F1%2E January%2F7%2E Otros gastos de explotación%2F628%2E Suministros - ok%2FSoftware - ok%2FProduct Hero - ok%2Finvoice_134634%2Epdf&amp;parent=%2Fsites%2FARTESTA%2FShared Documents%2F6%2E Finances%2FArtesta Store%2C S%2EL%2F2025%2F1Q%2F1%2E January%2F7%2E Otros gastos de explotación%2F628%2E Suministros - ok%2FSoftware - ok%2FProduct Hero - ok</t>
  </si>
  <si>
    <t>artestastore.sharepoint.com/sites/ARTESTA/Shared Documents/Forms/AllItems.aspx?id=%2Fsites%2FARTESTA%2FShared Documents%2F6%2E Finances%2FArtesta Store%2C S%2EL%2F2025%2F1Q%2F1%2E January%2F7%2E Otros gastos de explotación%2F628%2E Suministros - ok%2FWeb - ok%2FShopify - ok%2FArtesta_319127596%2Epdf&amp;parent=%2Fsites%2FARTESTA%2FShared Documents%2F6%2E Finances%2FArtesta Store%2C S%2EL%2F2025%2F1Q%2F1%2E January%2F7%2E Otros gastos de explotación%2F628%2E Suministros - ok%2FWeb - ok%2FShopify - ok</t>
  </si>
  <si>
    <t>artestastore.sharepoint.com/sites/ARTESTA/Shared Documents/Forms/AllItems.aspx?id=%2Fsites%2FARTESTA%2FShared Documents%2F6%2E Finances%2FArtesta Store%2C S%2EL%2F2025%2F1Q%2F1%2E January%2F7%2E Otros gastos de explotación%2F624%2E Transportes - ok%2FCorreos - ok%2F4004229873%2EPDF&amp;parent=%2Fsites%2FARTESTA%2FShared Documents%2F6%2E Finances%2FArtesta Store%2C S%2EL%2F2025%2F1Q%2F1%2E January%2F7%2E Otros gastos de explotación%2F624%2E Transportes - ok%2FCorreos - ok</t>
  </si>
  <si>
    <t>artestastore.sharepoint.com/sites/ARTESTA/Shared Documents/Forms/AllItems.aspx?id=%2Fsites%2FARTESTA%2FShared Documents%2F6%2E Finances%2FArtesta Store%2C S%2EL%2F2025%2F1Q%2F1%2E January%2F7%2E Otros gastos de explotación%2F624%2E Transportes - ok%2FCorreos - ok%2F4004229874%2EPDF&amp;parent=%2Fsites%2FARTESTA%2FShared Documents%2F6%2E Finances%2FArtesta Store%2C S%2EL%2F2025%2F1Q%2F1%2E January%2F7%2E Otros gastos de explotación%2F624%2E Transportes - ok%2FCorreos - ok</t>
  </si>
  <si>
    <t>artestastore.sharepoint.com/sites/ARTESTA/Shared Documents/Forms/AllItems.aspx?id=%2Fsites%2FARTESTA%2FShared Documents%2F6%2E Finances%2FArtesta Store%2C S%2EL%2F2025%2F1Q%2F1%2E January%2F4%2E Aprovisionamientos - ok%2FDCT - ok%2FDCT_Artesta_41250051%2Epdf&amp;parent=%2Fsites%2FARTESTA%2FShared Documents%2F6%2E Finances%2FArtesta Store%2C S%2EL%2F2025%2F1Q%2F1%2E January%2F4%2E Aprovisionamientos - ok%2FDCT - ok</t>
  </si>
  <si>
    <t>artestastore.sharepoint.com/sites/ARTESTA/Shared Documents/Forms/AllItems.aspx?id=%2Fsites%2FARTESTA%2FShared Documents%2F6%2E Finances%2FArtesta Store%2C S%2EL%2F2025%2F1Q%2F1%2E January%2F4%2E Aprovisionamientos - ok%2FMB Editions - ok%2FARB_41250094%2Epdf&amp;parent=%2Fsites%2FARTESTA%2FShared Documents%2F6%2E Finances%2FArtesta Store%2C S%2EL%2F2025%2F1Q%2F1%2E January%2F4%2E Aprovisionamientos - ok%2FMB Editions - ok</t>
  </si>
  <si>
    <t>GLS - ok - OneDrive</t>
  </si>
  <si>
    <t>Spring - ok - OneDrive</t>
  </si>
  <si>
    <t>UPS DE - ok - OneDrive</t>
  </si>
  <si>
    <t>Invoice_324749008_011425.PDF</t>
  </si>
  <si>
    <t>Invoice_324781258_012125.PDF</t>
  </si>
  <si>
    <t>Invoice_324814236_012825.PDF</t>
  </si>
  <si>
    <t>UPS FR - ok - OneDrive</t>
  </si>
  <si>
    <t>fra.223.pdf</t>
  </si>
  <si>
    <t>2025-1-1087.pdf</t>
  </si>
  <si>
    <t>2025-1-1451.pdf</t>
  </si>
  <si>
    <t>2025-1-453.pdf</t>
  </si>
  <si>
    <t>2025-1-766.PDF</t>
  </si>
  <si>
    <t>RE_25-0162_.pdf</t>
  </si>
  <si>
    <t>25-0163</t>
  </si>
  <si>
    <t>DCT - ok - OneDrive</t>
  </si>
  <si>
    <t>Facture_9409.pdf</t>
  </si>
  <si>
    <t>MB Editions - ok - OneDrive</t>
  </si>
  <si>
    <t>Pressing - OneDrive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</si>
  <si>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</si>
  <si>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</si>
  <si>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</si>
  <si>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</si>
  <si>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</si>
  <si>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</si>
  <si>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</si>
  <si>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</si>
  <si>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</si>
  <si>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</si>
  <si>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</si>
  <si>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</si>
  <si>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</si>
  <si>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£ 1.018,80</t>
  </si>
  <si>
    <t>-</t>
  </si>
  <si>
    <t>Pago</t>
  </si>
  <si>
    <t>Facturas</t>
  </si>
  <si>
    <t>input-payment-suppliers</t>
  </si>
  <si>
    <t>Fecha factura</t>
  </si>
  <si>
    <t>Adjusted Staff</t>
  </si>
  <si>
    <t>tax_iva</t>
  </si>
  <si>
    <t>tax_rate_iva</t>
  </si>
  <si>
    <t>tax_irpf</t>
  </si>
  <si>
    <t>tax_rate_irpf</t>
  </si>
  <si>
    <t>25-1511</t>
  </si>
  <si>
    <t>Recibida/Emitida</t>
  </si>
  <si>
    <t>R</t>
  </si>
  <si>
    <t>Commissions</t>
  </si>
  <si>
    <t>RE_25-1516.pdf</t>
  </si>
  <si>
    <t>25-1516</t>
  </si>
  <si>
    <t>Escaneo0060 (1).pdf</t>
  </si>
  <si>
    <t>konvo</t>
  </si>
  <si>
    <t>it - konvo  -&gt; SL</t>
  </si>
  <si>
    <t>it - Konvo  -&gt; SL</t>
  </si>
  <si>
    <t>PAID</t>
  </si>
  <si>
    <t>LingPad</t>
  </si>
  <si>
    <t>KONVO</t>
  </si>
  <si>
    <t>B5F7DF3C5119</t>
  </si>
  <si>
    <t>IEE2025014413462</t>
  </si>
  <si>
    <t>E2507423</t>
  </si>
  <si>
    <t>E2508035</t>
  </si>
  <si>
    <t>7/3507</t>
  </si>
  <si>
    <t>RVR-14098</t>
  </si>
  <si>
    <t>EMA_Minuta_M1-259749.pdf</t>
  </si>
  <si>
    <t>M1259749</t>
  </si>
  <si>
    <t>1 - 13.535</t>
  </si>
  <si>
    <t>2025-1-13535.PDF</t>
  </si>
  <si>
    <t>F03709/25</t>
  </si>
  <si>
    <t>FacturaF03709_25.PDF</t>
  </si>
  <si>
    <t>OQXBYXMP-0001</t>
  </si>
  <si>
    <t>E2508458</t>
  </si>
  <si>
    <t>E2508458_ES_Invoice_O_110002125_2510141811.PDF</t>
  </si>
  <si>
    <t>1 - 13.821</t>
  </si>
  <si>
    <t>25-1601</t>
  </si>
  <si>
    <t>0090002696 credit note.PDF</t>
  </si>
  <si>
    <t>1 - 13.933</t>
  </si>
  <si>
    <t xml:space="preserve"> 04673-24863227</t>
  </si>
  <si>
    <t>invoice-04673-24863227.pdf</t>
  </si>
  <si>
    <t>G119516477</t>
  </si>
  <si>
    <t>G119516477_13e09ed801194f80b6d98334540d5530.pdf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</si>
  <si>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</si>
  <si>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</si>
  <si>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</si>
  <si>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</si>
  <si>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</si>
  <si>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</si>
  <si>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</si>
  <si>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</si>
  <si>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</si>
  <si>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</si>
  <si>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resguardo5351943776.pdf</t>
  </si>
  <si>
    <t>248617731comprobante.pdf</t>
  </si>
  <si>
    <t>326338437.pdf</t>
  </si>
  <si>
    <t>837372210.pdf</t>
  </si>
  <si>
    <t>326308211.pdf</t>
  </si>
  <si>
    <t>837333944.pdf</t>
  </si>
  <si>
    <t>Invoice_837253648_092225.PDF</t>
  </si>
  <si>
    <t>170377pdf.pdf</t>
  </si>
  <si>
    <t>170376.pdf</t>
  </si>
  <si>
    <t>1 - 13.957</t>
  </si>
  <si>
    <t>E2508758</t>
  </si>
  <si>
    <t>E2508758_ES_Invoice_O_110002125_2510222123.PDF</t>
  </si>
  <si>
    <t>2025-1-13957.PDF</t>
  </si>
  <si>
    <t>#436024038</t>
  </si>
  <si>
    <t>Artesta_436024038.pdf</t>
  </si>
  <si>
    <t>837291951.pdf</t>
  </si>
  <si>
    <t>1 - 14.217</t>
  </si>
  <si>
    <t>invoice_187149.pdf</t>
  </si>
  <si>
    <t>2025-1-14217.PDF</t>
  </si>
  <si>
    <t>G116476988</t>
  </si>
  <si>
    <t>G118898845_aa2a509d86064252b18e369738e801f1.pdf</t>
  </si>
  <si>
    <t>G116539269</t>
  </si>
  <si>
    <t>G118898845</t>
  </si>
  <si>
    <t>G116539269_24d1f11df34c4e259df5f27c2bd9d106.pdf</t>
  </si>
  <si>
    <t>G116476988_ff83aa72831744038691d1812e2a4cf0.pdf</t>
  </si>
  <si>
    <t>E2508925</t>
  </si>
  <si>
    <t>E2508925_ES_Invoice_O_110002125_2510282033.PDF</t>
  </si>
  <si>
    <t>RVR-14283</t>
  </si>
  <si>
    <t>Invoice-RVR-14283.pdf</t>
  </si>
  <si>
    <t>1602C2F5-0011</t>
  </si>
  <si>
    <t>railway_202510.pdf</t>
  </si>
  <si>
    <t>MC250012406938</t>
  </si>
  <si>
    <t>masmovil_202510.pdf</t>
  </si>
  <si>
    <t>dogaddy_oct.pdf</t>
  </si>
  <si>
    <t>IEE2025016384180</t>
  </si>
  <si>
    <t>adobe_oct.PDF</t>
  </si>
  <si>
    <t>ARTESTA.pdf</t>
  </si>
  <si>
    <t>25 / 1 / 2.492</t>
  </si>
  <si>
    <t>BD2110925-00000034.pdf</t>
  </si>
  <si>
    <t>Artesta Store S.L invoice no 000200478 (freight cost order to DCT in SEPTEMBER, OCTOBER).pdf</t>
  </si>
  <si>
    <t>toasty</t>
  </si>
  <si>
    <t>1 - 14.370</t>
  </si>
  <si>
    <t>2025-1-14370.PDF</t>
  </si>
  <si>
    <t>DBP/01212</t>
  </si>
  <si>
    <t>DBP/01213</t>
  </si>
  <si>
    <t>NOTARIA</t>
  </si>
  <si>
    <t>202511</t>
  </si>
  <si>
    <t>1602C2F5-0013</t>
  </si>
  <si>
    <t>Invoice-1602C2F5-0013.pdf</t>
  </si>
  <si>
    <t>Artesta Store S.L invoice no 000200601 (freight cost for DCT order OCTOBER).pdf</t>
  </si>
  <si>
    <t>Artesta Store S.L invoice no 000200600 (freight cost for Pressing order OCTOBER).pdf</t>
  </si>
  <si>
    <t>factura_25009943-normal.pdf</t>
  </si>
  <si>
    <t>25-1720</t>
  </si>
  <si>
    <t>25-1721</t>
  </si>
  <si>
    <t>RE_25-1721.pdf</t>
  </si>
  <si>
    <t>RE_25-1720.pdf</t>
  </si>
  <si>
    <t>comisiones - Wise  -&gt; Ltd</t>
  </si>
  <si>
    <t>Invoice_326370052_102225.PDF</t>
  </si>
  <si>
    <t>Invoice_326402778_102925.PDF</t>
  </si>
  <si>
    <t>balance_klarna_LTD_and_SL_31.10.pdf</t>
  </si>
  <si>
    <t>paypal_1025_SL_extracto_y_PS.xlsx</t>
  </si>
  <si>
    <t>PAYPAL_LTD_statement_31.10.csv</t>
  </si>
  <si>
    <t>coms_INC_PAYPAL_31.10.PDF</t>
  </si>
  <si>
    <t>REVOLUT_SL_coms_31.10.pdf</t>
  </si>
  <si>
    <t>PS_shopy_consolidated_31.10.xlsx</t>
  </si>
  <si>
    <t>1 - 14.461</t>
  </si>
  <si>
    <t>2025-1-14461.PDF</t>
  </si>
  <si>
    <t>4004491556.PDF</t>
  </si>
  <si>
    <t>4004491558.PDF</t>
  </si>
  <si>
    <t>749E3EE3-0009</t>
  </si>
  <si>
    <t>Invoice-749E3EE3-0009.pdf</t>
  </si>
  <si>
    <t>UPS</t>
  </si>
  <si>
    <t>DOC</t>
  </si>
  <si>
    <t>invoice-AS-87975.pdf</t>
  </si>
  <si>
    <t>suppliers-invoices_8babebef1b6d489083d661a31_16873df293a349a0903eb796d_06dbc4eb_invoice-AS-86255.pdf</t>
  </si>
  <si>
    <t>PROCO</t>
  </si>
  <si>
    <t>Transaction_248728448.pdf</t>
  </si>
  <si>
    <t>Escaneo0065.pdf</t>
  </si>
  <si>
    <t>3050010225.PDF</t>
  </si>
  <si>
    <t>logistics - artlink  -&gt; Ltd</t>
  </si>
  <si>
    <t>PCSI2506429</t>
  </si>
  <si>
    <t>PCSI2506429 ARTESTA CLR INV.pdf</t>
  </si>
  <si>
    <t>Shipping Frames/Customs</t>
  </si>
  <si>
    <t>Frames Purchase</t>
  </si>
  <si>
    <t>5399889449.pdf</t>
  </si>
  <si>
    <t>RVR-14781</t>
  </si>
  <si>
    <t>Invoice-RVR-14781.pdf</t>
  </si>
  <si>
    <t>257F0003826-09438F.PDF</t>
  </si>
  <si>
    <t>E2509165</t>
  </si>
  <si>
    <t>E2509165_ES_Invoice_O_110002125_2511040003.PDF</t>
  </si>
  <si>
    <t>F04076/25</t>
  </si>
  <si>
    <t>FacturaF04076_25.PDF</t>
  </si>
  <si>
    <t>E2509342</t>
  </si>
  <si>
    <t>E2509342_ES_Invoice_O_110002125_2511110033.PDF</t>
  </si>
  <si>
    <t>1 - 15.002</t>
  </si>
  <si>
    <t>2025-1-15002.PDF</t>
  </si>
  <si>
    <t>OQXBYXMP-0002</t>
  </si>
  <si>
    <t>Invoice-OQXBYXMP-0002.pdf</t>
  </si>
  <si>
    <t>G124246743</t>
  </si>
  <si>
    <t>G124246743_70018396e61a44beb6bda6fdcf5c6d4a.pdf</t>
  </si>
  <si>
    <t>INC-11-2025-6743</t>
  </si>
  <si>
    <t>invoice_INC-11-2025-6743.pdf</t>
  </si>
  <si>
    <t>170655.pdf</t>
  </si>
  <si>
    <t>170656.pdf</t>
  </si>
  <si>
    <t>Hetzner_2025-11-16_082000571420.pdf</t>
  </si>
  <si>
    <t>ES2025B221443</t>
  </si>
  <si>
    <t>ES2025B221443.pdf</t>
  </si>
  <si>
    <t>25-1804</t>
  </si>
  <si>
    <t>RE_25-1804.pdf</t>
  </si>
  <si>
    <t>1 - 15.325</t>
  </si>
  <si>
    <t>2025-1-15325.PDF</t>
  </si>
  <si>
    <t>04704-27277285</t>
  </si>
  <si>
    <t>invoice-04704-27277285.pdf</t>
  </si>
  <si>
    <t>G124989226</t>
  </si>
  <si>
    <t>G124989226_821de36145c645db9693bd3ca097b00f.pdf</t>
  </si>
  <si>
    <t>#450279981</t>
  </si>
  <si>
    <t>Artesta_450279981.pdf</t>
  </si>
  <si>
    <t>E2509782</t>
  </si>
  <si>
    <t>E2509782_ES_Invoice_O_110002125_2511251326.PDF</t>
  </si>
  <si>
    <t>1 - 15.774</t>
  </si>
  <si>
    <t>2025-1-15774.PDF</t>
  </si>
  <si>
    <t>mirakl</t>
  </si>
  <si>
    <t>it - mirakl  -&gt; SL</t>
  </si>
  <si>
    <t>INVSELLER133708CN01</t>
  </si>
  <si>
    <t>CreditNote-INVSELLER-133708-CN-01 (2).pdf</t>
  </si>
  <si>
    <t>2025-1-15833.PDF</t>
  </si>
  <si>
    <t>1 - 15.833</t>
  </si>
  <si>
    <t>invoice_193241.pdf</t>
  </si>
  <si>
    <t>25 / 1 / 2.737</t>
  </si>
  <si>
    <t>1 - 15.941</t>
  </si>
  <si>
    <t>fra.2737.pdf</t>
  </si>
  <si>
    <t>2025-1-15941.PDF</t>
  </si>
  <si>
    <t>RVR-15141</t>
  </si>
  <si>
    <t>Invoice-RVR-15141.pdf</t>
  </si>
  <si>
    <t>1602C2F5-0014</t>
  </si>
  <si>
    <t>25-1901</t>
  </si>
  <si>
    <t>RE_25-1901.pdf</t>
  </si>
  <si>
    <t>25-1902</t>
  </si>
  <si>
    <t>RE_25-1902.pdf</t>
  </si>
  <si>
    <t>4400037064.PDF</t>
  </si>
  <si>
    <t>2025-1-16019.PDF</t>
  </si>
  <si>
    <t>1 - 16.019</t>
  </si>
  <si>
    <t>202512</t>
  </si>
  <si>
    <t>SI6031033.pdf</t>
  </si>
  <si>
    <t>SI6031034.pdf</t>
  </si>
  <si>
    <t>4004528403.PDF</t>
  </si>
  <si>
    <t>4004528402.PDF</t>
  </si>
  <si>
    <t>factura_25011229-normal.pdf</t>
  </si>
  <si>
    <t>3050010538.PDF</t>
  </si>
  <si>
    <t>B5F7DF3C-5858</t>
  </si>
  <si>
    <t>B5F7DF3C-5826</t>
  </si>
  <si>
    <t>B5F7DF3C-5588</t>
  </si>
  <si>
    <t>B5F7DF3C-6064</t>
  </si>
  <si>
    <t>5420805103.pdf</t>
  </si>
  <si>
    <t>Escaneo0040.pdf</t>
  </si>
  <si>
    <t>Invoice-1602C2F5-0014.pdf</t>
  </si>
  <si>
    <t>INVOICE_1194_from_Continuum Advisory LLC.pdf</t>
  </si>
  <si>
    <t>Transaction_249288007.pdf</t>
  </si>
  <si>
    <t>RVR-15650</t>
  </si>
  <si>
    <t>Invoice-RVR-15650.pdf</t>
  </si>
  <si>
    <t>suppliedNote (3).pdf</t>
  </si>
  <si>
    <t>Suplidos</t>
  </si>
  <si>
    <t>7 / 4302</t>
  </si>
  <si>
    <t>257F0004302-09438F.PDF</t>
  </si>
  <si>
    <t>1-16.527</t>
  </si>
  <si>
    <t>2025-1-16527.PDF</t>
  </si>
  <si>
    <t>F04450/25</t>
  </si>
  <si>
    <t>FacturaF04450_25.PDF</t>
  </si>
  <si>
    <t>1-16.722</t>
  </si>
  <si>
    <t>2025-1-16722.PDF</t>
  </si>
  <si>
    <t>OQXBYXMP-0003</t>
  </si>
  <si>
    <t>Invoice-OQXBYXMP-0003.pdf</t>
  </si>
  <si>
    <t>25-2014</t>
  </si>
  <si>
    <t>RE_25-2014.pdf</t>
  </si>
  <si>
    <t>INV-0639</t>
  </si>
  <si>
    <t>Invoice INV-0639 (1) (1).pdf</t>
  </si>
  <si>
    <t>Hetzner_2025-12-16_084000585231.pdf</t>
  </si>
  <si>
    <t>1-16.977</t>
  </si>
  <si>
    <t>2025-1-16977.PDF</t>
  </si>
  <si>
    <t>Invoice-RVR-15980.pdf</t>
  </si>
  <si>
    <t>RVR15980</t>
  </si>
  <si>
    <t>1 - 17.279</t>
  </si>
  <si>
    <t>2025-1-17279.PDF</t>
  </si>
  <si>
    <t>170889.pdf</t>
  </si>
  <si>
    <t>170890.pdf</t>
  </si>
  <si>
    <t>1 - 17.832</t>
  </si>
  <si>
    <t>2025-1-17832.PDF</t>
  </si>
  <si>
    <t>INC-12-2025-29454</t>
  </si>
  <si>
    <t>invoice_INC-12-2025-29454.pdf</t>
  </si>
  <si>
    <t>25 / 1 / 3.074</t>
  </si>
  <si>
    <t>fra.3074.pdf</t>
  </si>
  <si>
    <t>Artesta Store S.L invoice no 000201923 (Freight cost PROCO December).pdf</t>
  </si>
  <si>
    <t>1 - 18.218</t>
  </si>
  <si>
    <t>2025-1-18218.PDF</t>
  </si>
  <si>
    <t>1602C2F5-0015</t>
  </si>
  <si>
    <t>Invoice-1602C2F5-0015.pdf</t>
  </si>
  <si>
    <t>RVR-16471</t>
  </si>
  <si>
    <t>Invoice-RVR-16471.pdf</t>
  </si>
  <si>
    <t>suppliedNote (4).pdf</t>
  </si>
  <si>
    <t>Invoice_326598098_120325.PDF</t>
  </si>
  <si>
    <t>Invoice_326665982_121025.PDF</t>
  </si>
  <si>
    <t>Invoice_326698238_121725.PDF</t>
  </si>
  <si>
    <t>Invoice_326731824_122425.PDF</t>
  </si>
  <si>
    <t>Invoice_326764766_123125.PDF</t>
  </si>
  <si>
    <t>Invoice_837653663_120125.PDF</t>
  </si>
  <si>
    <t>Invoice_837697358_120825.PDF</t>
  </si>
  <si>
    <t>Invoice_837741365_121525.PDF</t>
  </si>
  <si>
    <t>Invoice_837785830_122225.PDF</t>
  </si>
  <si>
    <t>Invoice_837832560_122925.PDF</t>
  </si>
  <si>
    <t>factura_25012040-normal.pdf</t>
  </si>
  <si>
    <t>disputa paypal AS-92009</t>
  </si>
  <si>
    <t>disputa paypal AS-92149, AS-93737</t>
  </si>
  <si>
    <t>4004550726 (1).PDF</t>
  </si>
  <si>
    <t>4004550727 (1).PDF</t>
  </si>
  <si>
    <t>invoice-AS-94602_choose202511.pdf</t>
  </si>
  <si>
    <t>pressing</t>
  </si>
  <si>
    <t>Factura_2025-0027.pdf</t>
  </si>
  <si>
    <t>202601</t>
  </si>
  <si>
    <t>SI6031746.pdf</t>
  </si>
  <si>
    <t>25-2078</t>
  </si>
  <si>
    <t>RE_25-2078 (1).pdf</t>
  </si>
  <si>
    <t>PCSI2600009</t>
  </si>
  <si>
    <t>pcs202601.pdf</t>
  </si>
  <si>
    <t>25-2088</t>
  </si>
  <si>
    <t>RE_25-2088.pdf</t>
  </si>
  <si>
    <t>=</t>
  </si>
  <si>
    <t>3050010784.PDF</t>
  </si>
  <si>
    <t>Godaddy (1).pdf</t>
  </si>
  <si>
    <t>IEE2025020393963</t>
  </si>
  <si>
    <t>Invoice_7218358730_INVOICE (2) (1).pdf</t>
  </si>
  <si>
    <t>3313-42838</t>
  </si>
  <si>
    <t>Invoice(3313-42838) (2).pdf</t>
  </si>
  <si>
    <t>04734-27543291</t>
  </si>
  <si>
    <t>invoice-04734-27543291 (1).pdf</t>
  </si>
  <si>
    <t>Comentarios</t>
  </si>
  <si>
    <t>Escaneo0035.pdf</t>
  </si>
  <si>
    <t>7/186</t>
  </si>
  <si>
    <t>267F0000186-09438F.PDF</t>
  </si>
  <si>
    <t>OQXBYXMP-0004</t>
  </si>
  <si>
    <t>Invoice-OQXBYXMP-0004.pdf</t>
  </si>
  <si>
    <t>INC-01-2026-35934</t>
  </si>
  <si>
    <t>invoice_INC-01-2026-35934.pdf</t>
  </si>
  <si>
    <t>26-0045</t>
  </si>
  <si>
    <t>RE_26-0045.pdf</t>
  </si>
  <si>
    <t>1 - 412</t>
  </si>
  <si>
    <t>2026-1-412.PDF</t>
  </si>
  <si>
    <t>Transaction_249902419.pdf</t>
  </si>
  <si>
    <t>G130456423</t>
  </si>
  <si>
    <t>G129767677</t>
  </si>
  <si>
    <t>livitum</t>
  </si>
  <si>
    <t>Factura_A_2026-0006.pdf</t>
  </si>
  <si>
    <t>INC-12-2025-21206</t>
  </si>
  <si>
    <t>gorgias-inc_invoice_Azq8UhV99K8Dd2a5h (2).pdf</t>
  </si>
  <si>
    <t>MC260001070524</t>
  </si>
  <si>
    <t>68d220f4-fba3-4efe-ba70-d5f1d5c59746 (1).pdf</t>
  </si>
  <si>
    <t>MC250014877320</t>
  </si>
  <si>
    <t>a1e4a466-8a83-4005-968f-c127cabc7a78 (1).pdf</t>
  </si>
  <si>
    <t>B5F7DF3C-5460</t>
  </si>
  <si>
    <t>Invoice-B5F7DF3C-5460.pdf</t>
  </si>
  <si>
    <t>B5F7DF3C-6503</t>
  </si>
  <si>
    <t>Invoice-B5F7DF3C-6503 (1).pdf</t>
  </si>
  <si>
    <t>B5F7DF3C-6554</t>
  </si>
  <si>
    <t>Invoice-B5F7DF3C-6554 (1).pdf</t>
  </si>
  <si>
    <t>B5F7DF3C-6249</t>
  </si>
  <si>
    <t>Invoice-B5F7DF3C-6249 (1).pdf</t>
  </si>
  <si>
    <t>Impuestos</t>
  </si>
  <si>
    <t>REGISTRO MERCANTIL</t>
  </si>
  <si>
    <t>Gasto directo</t>
  </si>
  <si>
    <t>ES-AEU-2025-1192406</t>
  </si>
  <si>
    <t>ES-AEU-2025-1192406.pdf</t>
  </si>
  <si>
    <t>5454860683.pdf</t>
  </si>
  <si>
    <t>IEE2025018427311</t>
  </si>
  <si>
    <t>invoice (4) (1).pdf</t>
  </si>
  <si>
    <t>Invoice(3313-42407).pdf</t>
  </si>
  <si>
    <t>Mi cuenta _ Facturación.pdf</t>
  </si>
  <si>
    <t>F25CUA30394</t>
  </si>
  <si>
    <t>f25 ARTESTA STORE S.L..pdf</t>
  </si>
  <si>
    <t>Artesta_464316001.pdf</t>
  </si>
  <si>
    <t>Hetzner_2026-01-16_084000638408 (2).pdf</t>
  </si>
  <si>
    <t>0 2 0 /26</t>
  </si>
  <si>
    <t>FACTURA Enero 2026 ARTESTA STORE, S. (1).pdf</t>
  </si>
  <si>
    <t>171048.pdf</t>
  </si>
  <si>
    <t>171047.pdf</t>
  </si>
  <si>
    <t>DOS VENCIMIENTOS (1ero 6k PAGADO el 30/01)</t>
  </si>
  <si>
    <t>5456877870.pdf</t>
  </si>
  <si>
    <t>1 - 841</t>
  </si>
  <si>
    <t>2026-1-841.PDF</t>
  </si>
  <si>
    <t>20260124_173457</t>
  </si>
  <si>
    <t>20260124_173457.jpg</t>
  </si>
  <si>
    <t>#479105361</t>
  </si>
  <si>
    <t>Artesta_479105361.pdf</t>
  </si>
  <si>
    <t>E2600764</t>
  </si>
  <si>
    <t>E2600764_ES_Invoice_O_110002125_2601271806 (2).PDF</t>
  </si>
  <si>
    <t>F00036/26</t>
  </si>
  <si>
    <t>FACTURAF00036_26..PDF</t>
  </si>
  <si>
    <t>invoice_205588.pdf</t>
  </si>
  <si>
    <t>26 / 1 / 147</t>
  </si>
  <si>
    <t>fra.147.pdf</t>
  </si>
  <si>
    <t>RVR-16823</t>
  </si>
  <si>
    <t>Invoice-RVR-16823.pdf</t>
  </si>
  <si>
    <t>SUPLIDOS REVER</t>
  </si>
  <si>
    <t>suppliedNote (5).pdf</t>
  </si>
  <si>
    <t>26-0166</t>
  </si>
  <si>
    <t>RE_26-0166.pdf</t>
  </si>
  <si>
    <t>26-0167</t>
  </si>
  <si>
    <t>RE_26-0167.pdf</t>
  </si>
  <si>
    <t>FAC/2026/26100000691</t>
  </si>
  <si>
    <t>202602</t>
  </si>
  <si>
    <t>factura_26100000691-normal.pdf</t>
  </si>
  <si>
    <t>Artesta Store S.L invoice no 000201873 (Freight cost DCT December).pdf</t>
  </si>
  <si>
    <t>Artesta Store S.L invoice no 000200600 (freight cost for Pressing order DECEMBER).pdf</t>
  </si>
  <si>
    <t>1 - 1.115</t>
  </si>
  <si>
    <t>2026-1-1115.PDF</t>
  </si>
  <si>
    <t>SI6032421.pdf</t>
  </si>
  <si>
    <t>Invoice_326821409_010726.PDF</t>
  </si>
  <si>
    <t>Invoice_326838548_011426.PDF</t>
  </si>
  <si>
    <t>Invoice_326867966_012126.PDF</t>
  </si>
  <si>
    <t>Invoice_326899416_012826.PDF</t>
  </si>
  <si>
    <t>Invoice_837858124_010526.PDF</t>
  </si>
  <si>
    <t>Invoice_837882632_011226.PDF</t>
  </si>
  <si>
    <t>Invoice_837917747_011926.PDF</t>
  </si>
  <si>
    <t>Invoice_837954641_012626.PDF</t>
  </si>
  <si>
    <t>4004566874 (1).PDF</t>
  </si>
  <si>
    <t>#464316001</t>
  </si>
  <si>
    <t>B5F7DF3C6721</t>
  </si>
  <si>
    <t>Invoice-B5F7DF3C-6721.pdf</t>
  </si>
  <si>
    <t>B5F7DF3C6940</t>
  </si>
  <si>
    <t>Invoice-B5F7DF3C-6940.pdf</t>
  </si>
  <si>
    <t>G135908417_c8f7f730eb7b47ca8d9c1f3cf7e07793.pdf</t>
  </si>
  <si>
    <t>G135908417</t>
  </si>
  <si>
    <t>G135222851_9fd45cdbe51248e4a50e7b1380e7f460.pdf</t>
  </si>
  <si>
    <t>G135222851</t>
  </si>
  <si>
    <t>5472439457.pdf</t>
  </si>
  <si>
    <t>IEE2026001813920</t>
  </si>
  <si>
    <t>IEE2026001813920.pdf</t>
  </si>
  <si>
    <t>3313-43718</t>
  </si>
  <si>
    <t>Invoice(3313-43718).pdf</t>
  </si>
  <si>
    <t>Introducir consumo de stock en PyG</t>
  </si>
  <si>
    <t>Crear proveedor CHAT GPT -&gt; (accesos andre a crear proveedores)</t>
  </si>
  <si>
    <t>Eliminar input-prov (ya NO hace falta)</t>
  </si>
  <si>
    <t>(de momento lo he metido en epi)</t>
  </si>
  <si>
    <t>7BSDV5AM0001</t>
  </si>
  <si>
    <t>Invoice-7BSDV5AM-0001.pdf</t>
  </si>
  <si>
    <t>04765-19148572</t>
  </si>
  <si>
    <t>invoice-04765-19148572.pdf</t>
  </si>
  <si>
    <t>BZHJNTUB0001</t>
  </si>
  <si>
    <t>Invoice-BZHJNTUB-0001.pdf</t>
  </si>
  <si>
    <t>Mi cuenta _ Facturacio╠ün.pdf</t>
  </si>
  <si>
    <t>Mi cuenta _ Facturacio╠ün_2.pdf</t>
  </si>
  <si>
    <t>202603</t>
  </si>
  <si>
    <t>VTA/26-007207</t>
  </si>
  <si>
    <t>administrative - hannun  -&gt; SL</t>
  </si>
  <si>
    <t>Pagada a través de dinero prestado</t>
  </si>
  <si>
    <t>26-0365</t>
  </si>
  <si>
    <t>RE_26-0365.pdf</t>
  </si>
  <si>
    <t>1 - 2.471</t>
  </si>
  <si>
    <t>2026-1-2471.PDF</t>
  </si>
  <si>
    <t>26-0364</t>
  </si>
  <si>
    <t>RE_26-0364.pdf</t>
  </si>
  <si>
    <t>FAC/2026/26100001651</t>
  </si>
  <si>
    <t>factura_26100001651-normal (2).pdf</t>
  </si>
  <si>
    <t>Transaction_251380763.pdf</t>
  </si>
  <si>
    <t>250807809.pdf</t>
  </si>
  <si>
    <t>RVR-18216</t>
  </si>
  <si>
    <t>Invoice-RVR-18216 (1).pdf</t>
  </si>
  <si>
    <t>suppliedNote (7).pdf</t>
  </si>
  <si>
    <t>RVR-17688</t>
  </si>
  <si>
    <t>Invoice-RVR-17688.pdf</t>
  </si>
  <si>
    <t>5489506571 (1).pdf</t>
  </si>
  <si>
    <t>5509802536.pdf</t>
  </si>
  <si>
    <t>4004608215.PDF</t>
  </si>
  <si>
    <t>REVER no provisionamos</t>
  </si>
  <si>
    <t>META no provisionamos</t>
  </si>
  <si>
    <t>Debe haber linea predeterminada de impuesto por proveedor</t>
  </si>
  <si>
    <t>1 - 2.355</t>
  </si>
  <si>
    <t>2026-1-2355.PDF</t>
  </si>
  <si>
    <t>#493806587</t>
  </si>
  <si>
    <t>Artesta_493806587.pdf</t>
  </si>
  <si>
    <t>1 - 2.275</t>
  </si>
  <si>
    <t>2026-1-2275.PDF</t>
  </si>
  <si>
    <t>26 / 1 / 377</t>
  </si>
  <si>
    <t>fra.377.pdf</t>
  </si>
  <si>
    <t>invoice_211723.pdf</t>
  </si>
  <si>
    <t>Escaneo0011.pdf</t>
  </si>
  <si>
    <t>IN6033326_001.pdf</t>
  </si>
  <si>
    <t>1 - 2.805</t>
  </si>
  <si>
    <t>FACTURAF00299_26.PDF</t>
  </si>
  <si>
    <t>F00299/26</t>
  </si>
  <si>
    <t>INVOICE_1236_from_Continuum Advisory LLC (3).pdf</t>
  </si>
  <si>
    <t>manufacturing - artlink  -&gt; Ltd</t>
  </si>
  <si>
    <t>PREVISION PEDIDO DE COMPRA</t>
  </si>
  <si>
    <t>5505030303 (2).pdf</t>
  </si>
  <si>
    <t>7/517</t>
  </si>
  <si>
    <t>267F0000517-09438F.PDF</t>
  </si>
  <si>
    <t>Invoice_326966374_020426.PDF</t>
  </si>
  <si>
    <t>Invoice_326997856_021126.PDF</t>
  </si>
  <si>
    <t>Invoice_327030108_021826.PDF</t>
  </si>
  <si>
    <t>Invoice_327061645_022526.PDF</t>
  </si>
  <si>
    <t>Invoice_837993499_020226.PDF</t>
  </si>
  <si>
    <t>Invoice_838043671_020926.PDF</t>
  </si>
  <si>
    <t>Invoice_838088024_021626.PDF</t>
  </si>
  <si>
    <t>1 - 1.413</t>
  </si>
  <si>
    <t>1413.pdf</t>
  </si>
  <si>
    <t>1 - 2.675</t>
  </si>
  <si>
    <t>2675.pdf</t>
  </si>
  <si>
    <t>1 - 1.960</t>
  </si>
  <si>
    <t>1960.pdf</t>
  </si>
  <si>
    <t>1 - 1.578</t>
  </si>
  <si>
    <t>1578.pdf</t>
  </si>
  <si>
    <t>G140910268</t>
  </si>
  <si>
    <t>G140910268_d9ebaff6cb4e4401b7c0af1fec815995.pdf</t>
  </si>
  <si>
    <t>G141681724</t>
  </si>
  <si>
    <t>G141681724_aca72520f4e64e60844a2344f7db077d.pdf</t>
  </si>
  <si>
    <t>PAYPAL FEES FEBRERO</t>
  </si>
  <si>
    <t>Escaneo0160.pdf</t>
  </si>
  <si>
    <t>FACTURAF00299_26 (2).PDF</t>
  </si>
  <si>
    <t>PROVISION 202602</t>
  </si>
  <si>
    <t>1 - 527</t>
  </si>
  <si>
    <t>5505030303.pdf</t>
  </si>
  <si>
    <t xml:space="preserve">PROVISION FEBRERO </t>
  </si>
  <si>
    <t>administrative - ipostal  -&gt; Inc</t>
  </si>
  <si>
    <t>tgi</t>
  </si>
  <si>
    <t>INC-02-2026-50341</t>
  </si>
  <si>
    <t>MC260002345804</t>
  </si>
  <si>
    <t>masmovil</t>
  </si>
  <si>
    <t>gorgias</t>
  </si>
  <si>
    <t>B5F7DF3C-7296</t>
  </si>
  <si>
    <t>B5F7DF3C-7132</t>
  </si>
  <si>
    <t>IEE2026003947036</t>
  </si>
  <si>
    <t>04796-33900634</t>
  </si>
  <si>
    <t>hetzner</t>
  </si>
  <si>
    <t>canva</t>
  </si>
  <si>
    <t>Invoice(3313-43718) (2) (2).pdf</t>
  </si>
  <si>
    <t>CHATGPT</t>
  </si>
  <si>
    <t>1602C2F50016</t>
  </si>
  <si>
    <t>Invoice-1602C2F5-0016.pdf</t>
  </si>
  <si>
    <t>VTA/26-010328</t>
  </si>
  <si>
    <t>HANNUN</t>
  </si>
  <si>
    <t>VTA/26-010329</t>
  </si>
  <si>
    <t>VTA/26-010327</t>
  </si>
  <si>
    <t>VTA/26-010330</t>
  </si>
  <si>
    <t>FRAS CHATGPT EN CARPETA (link)</t>
  </si>
  <si>
    <t>FRAS JONDOGO EN CARPETA (link)</t>
  </si>
  <si>
    <t>202511_jondogo</t>
  </si>
  <si>
    <t>202512_jondogo</t>
  </si>
  <si>
    <t>202601_jondogo</t>
  </si>
  <si>
    <t>202602_jondogo</t>
  </si>
  <si>
    <t>Shared services</t>
  </si>
  <si>
    <t>enero</t>
  </si>
  <si>
    <t>febrero</t>
  </si>
  <si>
    <t>PYG nuestro</t>
  </si>
  <si>
    <t>PYG christine</t>
  </si>
  <si>
    <t>Diferencia</t>
  </si>
  <si>
    <t xml:space="preserve">
1.14480</t>
  </si>
  <si>
    <t>26-0281</t>
  </si>
  <si>
    <t>RE_26-0281.pdf</t>
  </si>
  <si>
    <t>4004608216.PDF</t>
  </si>
  <si>
    <t>Toasty</t>
  </si>
  <si>
    <t>Impagos</t>
  </si>
  <si>
    <t>Royalties (Real)</t>
  </si>
  <si>
    <t>Staff  (20%)</t>
  </si>
  <si>
    <t>Marketing (Real)</t>
  </si>
  <si>
    <t>Administrative (20%)</t>
  </si>
  <si>
    <t>UK € - Invoice</t>
  </si>
  <si>
    <t>UK £ - Invoice</t>
  </si>
  <si>
    <t>UK € - Theorical</t>
  </si>
  <si>
    <t>Sales Adjustments</t>
  </si>
  <si>
    <t>Volver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</si>
  <si>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</si>
  <si>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</si>
  <si>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</si>
  <si>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</si>
  <si>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</si>
  <si>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</si>
  <si>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</si>
  <si>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</si>
  <si>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</si>
  <si>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</si>
  <si>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</si>
  <si>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</si>
  <si>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ruta</t>
  </si>
  <si>
    <t>comentarios</t>
  </si>
  <si>
    <t>invoice_date</t>
  </si>
  <si>
    <t>invoice_num</t>
  </si>
  <si>
    <t>client_name</t>
  </si>
  <si>
    <t>Fecha inicio</t>
  </si>
  <si>
    <t>Fecha fin</t>
  </si>
  <si>
    <t>/2026/1Q/202601/Ingresos/HANNUN/Factura_2026-0008.pdf</t>
  </si>
  <si>
    <t>2026-0008</t>
  </si>
  <si>
    <t>2026-0013</t>
  </si>
  <si>
    <t>/2026/1Q/202602/Ingresos/HANNUN/Factura_2026-0013.pdf</t>
  </si>
  <si>
    <t>Sales Rappels (B2B)</t>
  </si>
  <si>
    <t>Livitum</t>
  </si>
  <si>
    <t>A_2026-0006</t>
  </si>
  <si>
    <t>/2026/1Q/202601/Ingresos/709.%20Rappels/Factura_A_2026-0006.pdf</t>
  </si>
  <si>
    <t>order_id</t>
  </si>
  <si>
    <t>type</t>
  </si>
  <si>
    <t>AS-94172</t>
  </si>
  <si>
    <t>AS-90850</t>
  </si>
  <si>
    <t>country</t>
  </si>
  <si>
    <t>Chargeback retendo (perdido)</t>
  </si>
  <si>
    <t>Chargeback retenido (ganado 10/2)</t>
  </si>
  <si>
    <t>Chargeback Shopify</t>
  </si>
  <si>
    <t>Chargeback Paypal</t>
  </si>
  <si>
    <t>AS-91020</t>
  </si>
  <si>
    <t>Devolución por disputa</t>
  </si>
  <si>
    <t>AS-93737</t>
  </si>
  <si>
    <t>Retencion de saldo en paypal por disputa</t>
  </si>
  <si>
    <t>Chargeback ganado</t>
  </si>
  <si>
    <t>AS-97873</t>
  </si>
  <si>
    <t>H</t>
  </si>
  <si>
    <t>2026-0007</t>
  </si>
  <si>
    <t>/2026/1Q/202601/Ingresos/HANNUN/Factura_2026-0007%20(1).pdf</t>
  </si>
  <si>
    <t>subtype</t>
  </si>
  <si>
    <t>Shared Services - type</t>
  </si>
  <si>
    <t>Shared Services - subtype</t>
  </si>
  <si>
    <t>CNC</t>
  </si>
  <si>
    <t>Nómina Marc media jornada</t>
  </si>
  <si>
    <t>2026-0006</t>
  </si>
  <si>
    <t>/2026/1Q/202601/Ingresos/HANNUN/Factura_2026-0006%20(1).pdf</t>
  </si>
  <si>
    <t>CNC se anula con un gasto</t>
  </si>
  <si>
    <t>2026-0011</t>
  </si>
  <si>
    <t>/2026/1Q/202602/Ingresos/HANNUN/Factura_2026-0011.pdf</t>
  </si>
  <si>
    <t>/2026/1Q/202601/Ingresos/INTRACOMPANY/Factura_2026-0010.pdf</t>
  </si>
  <si>
    <t>2026-0010</t>
  </si>
  <si>
    <t>US € - Invoice</t>
  </si>
  <si>
    <t>US $ - Invoice</t>
  </si>
  <si>
    <t>2026-0009</t>
  </si>
  <si>
    <t>/2026/1Q/202601/Ingresos/INTRACOMPANY/Factura_2026-0009.pdf</t>
  </si>
  <si>
    <t>Shared services US 202601</t>
  </si>
  <si>
    <t>Shared services UK 202601</t>
  </si>
  <si>
    <t>US € - Theorical</t>
  </si>
  <si>
    <t>/2026/1Q/202602/Ingresos/LTD/Factura_2026-0015.pdf</t>
  </si>
  <si>
    <t>2026-0015</t>
  </si>
  <si>
    <t>2026-0014</t>
  </si>
  <si>
    <t>/2026/1Q/202602/Ingresos/INC/Factura_2026-0014.pdf</t>
  </si>
  <si>
    <t>Shared services UK 202602</t>
  </si>
  <si>
    <t>Shared services US 202602</t>
  </si>
  <si>
    <t>Artlink</t>
  </si>
  <si>
    <t>invoice_number</t>
  </si>
  <si>
    <t>/2026/1Q/202601/Gastos/Proveedores/AP%20Photo/2026-1-412.PDF</t>
  </si>
  <si>
    <t>/2026/1Q/202601/Gastos/Proveedores/AP%20Photo/2026-1-841.PDF</t>
  </si>
  <si>
    <t>/2026/1Q/202601/Gastos/Proveedores/AP%20Photo/2026-1-1115.PDF</t>
  </si>
  <si>
    <t>/2026/1Q/202601/Gastos/Proveedores/AP%20Photo/ARTESTA%20F.%20527.pdf</t>
  </si>
  <si>
    <t>/2026/1Q/202601/Gastos/Proveedores/DCT/RE_26-0045.pdf</t>
  </si>
  <si>
    <t>/2026/1Q/202601/Gastos/Proveedores/DCT/RE_26-0166.pdf</t>
  </si>
  <si>
    <t>/2026/1Q/202601/Gastos/Proveedores/DCT/RE_26-0167.pdf</t>
  </si>
  <si>
    <t>/2026/1Q/202602/Gastos/Proveedores/DCT/RE_26-0365.pdf</t>
  </si>
  <si>
    <t>/2026/1Q/202602/Gastos/Proveedores/DCT/RE_26-0364.pdf</t>
  </si>
  <si>
    <t>/2026/1Q/202602/Gastos/Proveedores/DCT/RE_26-0281.pdf</t>
  </si>
  <si>
    <t>/2026/1Q/202601/Gastos/Proveedores/Pressing/factura_26100000691-normal.pdf</t>
  </si>
  <si>
    <t>/2026/1Q/202602/Gastos/Proveedores/ap%20photo/fra.147.pdf</t>
  </si>
  <si>
    <t>/2026/1Q/202602/Gastos/Proveedores/ap%20photo/fra.377.pdf</t>
  </si>
  <si>
    <t>En la carpeta esta en febrero</t>
  </si>
  <si>
    <t>/2026/1Q/202602/Gastos/Proveedores/ap%20photo/1413.pdf</t>
  </si>
  <si>
    <t>/2026/1Q/202602/Gastos/Proveedores/ap%20photo/2026-1-1578.PDF</t>
  </si>
  <si>
    <t>/2026/1Q/202602/Gastos/Proveedores/ap%20photo/2026-1-1960.PDF</t>
  </si>
  <si>
    <t>/2026/1Q/202602/Gastos/Proveedores/ap%20photo/2026-1-2275.PDF</t>
  </si>
  <si>
    <t>/2026/1Q/202602/Gastos/Proveedores/ap%20photo/2026-1-2355.PDF</t>
  </si>
  <si>
    <t>/2026/1Q/202602/Gastos/Proveedores/ap%20photo/2026-1-2471.PDF</t>
  </si>
  <si>
    <t>/2026/1Q/202602/Gastos/Proveedores/ap%20photo/2026-1-2675.PDF</t>
  </si>
  <si>
    <t>/2026/1Q/202602/Gastos/Proveedores/pressing/factura_26100001651-normal%20(2).pdf</t>
  </si>
  <si>
    <t>/2026/1Q/202603/Proveedores/AP%20PHOTO/2026-1-2805.PDF</t>
  </si>
  <si>
    <t>Freight DE</t>
  </si>
  <si>
    <t>000203570</t>
  </si>
  <si>
    <t>/2026/1Q/202603/Gastos/Proveedores/Artlink/Artesta%20Store%20S.L%20invoice%20no%20000203570%20(Freight%20cost%20to%20order%20DCT%203001583).pdf</t>
  </si>
  <si>
    <t>Factura</t>
  </si>
  <si>
    <t>2026-0012</t>
  </si>
  <si>
    <t>manufacturing sl</t>
  </si>
  <si>
    <t>shipping sl</t>
  </si>
  <si>
    <t>Sprint</t>
  </si>
  <si>
    <t>Google - Invoice</t>
  </si>
  <si>
    <t>Meta - Invoice</t>
  </si>
  <si>
    <t>Marketing Trainee</t>
  </si>
  <si>
    <t>Finance</t>
  </si>
  <si>
    <t>/2026/1Q/202602/Ingresos/TOASTY/invoice-AS-99158.pdf</t>
  </si>
  <si>
    <t>AS-99158</t>
  </si>
  <si>
    <t>Provisionada en febrero</t>
  </si>
  <si>
    <t>/2026/1Q/202601/Gastos/Proveedores/REVER/suppliedNote%20(4).pdf</t>
  </si>
  <si>
    <t>/2026/1Q/202601/Gastos/Proveedores/REVER/suppliedNote%20(5).pdf</t>
  </si>
  <si>
    <t>Rever Supplies</t>
  </si>
  <si>
    <t>/2026/1Q/202602/Gastos/Proveedores/rever/suplidos/suppliedNote%20(7).pdf</t>
  </si>
  <si>
    <t>/2026/1Q/202601/Gastos/Proveedores/UPS/Invoice_326821409_010726.PDF</t>
  </si>
  <si>
    <t>/2026/1Q/202601/Gastos/Proveedores/UPS/Invoice_326838548_011426.PDF</t>
  </si>
  <si>
    <t>/2026/1Q/202601/Gastos/Proveedores/UPS/Invoice_326867966_012126.PDF</t>
  </si>
  <si>
    <t>/2026/1Q/202601/Gastos/Proveedores/UPS/Invoice_326899416_012826.PDF</t>
  </si>
  <si>
    <t>/2026/1Q/202601/Gastos/Proveedores/UPS/Invoice_837858124_010526.PDF</t>
  </si>
  <si>
    <t>/2026/1Q/202601/Gastos/Proveedores/UPS/Invoice_837882632_011226.PDF</t>
  </si>
  <si>
    <t>/2026/1Q/202601/Gastos/Proveedores/UPS/Invoice_837917747_011926.PDF</t>
  </si>
  <si>
    <t>/2026/1Q/202601/Gastos/Proveedores/UPS/Invoice_837954641_012626.PDF</t>
  </si>
  <si>
    <t>/2026/1Q/202601/Gastos/Proveedores/GLS/Escaneo0160.pdf</t>
  </si>
  <si>
    <t>/2026/1Q/202601/Gastos/Proveedores/Correos/4004566874.PDF</t>
  </si>
  <si>
    <t>/2026/1Q/202601/Gastos/Proveedores/SPRING/E2600764_ES_Invoice_O_110002125_2601271806%20(2).PDF</t>
  </si>
  <si>
    <t>/2026/1Q/202602/Gastos/Proveedores/UPS/Invoice_326966374_020426.PDF</t>
  </si>
  <si>
    <t>/2026/1Q/202602/Gastos/Proveedores/UPS/Invoice_326997856_021126.PDF</t>
  </si>
  <si>
    <t>/2026/1Q/202602/Gastos/Proveedores/UPS/Invoice_327030108_021826.PDF</t>
  </si>
  <si>
    <t>/2026/1Q/202602/Gastos/Proveedores/UPS/Invoice_327061645_022526.PDF</t>
  </si>
  <si>
    <t>/2026/1Q/202602/Gastos/Proveedores/UPS/Invoice_837993499_020226.PDF</t>
  </si>
  <si>
    <t>/2026/1Q/202602/Gastos/Proveedores/UPS/Invoice_838043671_020926.PDF</t>
  </si>
  <si>
    <t>/2026/1Q/202602/Gastos/Proveedores/UPS/Invoice_838088024_021626.PDF</t>
  </si>
  <si>
    <t>/2026/1Q/202602/Gastos/Proveedores/correos/4004608215.PDF</t>
  </si>
  <si>
    <t>/2026/1Q/202602/Gastos/Proveedores/correos/4004608216.PDF</t>
  </si>
  <si>
    <t>/2026/1Q/202602/Gastos/Proveedores/gls/Escaneo0011.pdf</t>
  </si>
  <si>
    <t>SALES</t>
  </si>
  <si>
    <t>PRESTACION SERVICIOS</t>
  </si>
  <si>
    <t>nomina-mkt</t>
  </si>
  <si>
    <t>staff - nomina-mkt -&gt; SL</t>
  </si>
  <si>
    <t>/2025/4Q/202512/Gastos/Proveedores/Correos/4004550727%20(1).PDF</t>
  </si>
  <si>
    <t>AS-101940</t>
  </si>
  <si>
    <t>/2026/1Q/202603/Ingresos/CHOOSE/invoice-AS-101940.pdf</t>
  </si>
  <si>
    <t>No tenemos factura</t>
  </si>
  <si>
    <t>total</t>
  </si>
  <si>
    <t>uk</t>
  </si>
  <si>
    <t>us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</si>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</sst>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#,##0.00\ &quot;€&quot;;[Red]\-#,##0.00\ &quot;€&quot;"/>
    <numFmt numFmtId="164" formatCode="0.0%"/>
    <numFmt numFmtId="165" formatCode="[$£-809]#,##0.00"/>
    <numFmt numFmtId="166" formatCode="[$$-409]#,##0.00"/>
    <numFmt numFmtId="167" formatCode="#,##0.00\ &quot;€&quot;"/>
    <numFmt numFmtId="168" formatCode="_-* #,##0.00\ [$€-C0A]_-;\-* #,##0.00\ [$€-C0A]_-;_-* &quot;-&quot;??\ [$€-C0A]_-;_-@_-"/>
    <numFmt numFmtId="169" formatCode="#,##0.00\ [$€-1]"/>
    <numFmt numFmtId="170" formatCode="0000"/>
    <numFmt numFmtId="171" formatCode="#,##0.00;[Red]\-#,##0.00;0"/>
    <numFmt numFmtId="172" formatCode="#,##0.00_ ;[Red]\-#,##0.00\ "/>
    <numFmt numFmtId="173" formatCode="yyyy\-mm\-dd;@"/>
  </numFmts>
  <fonts count="6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</font>
    <font>
      <i/>
      <sz val="10"/>
      <color theme="1"/>
      <name val="Calibri"/>
      <family val="2"/>
    </font>
    <font>
      <b/>
      <i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i/>
      <sz val="10"/>
      <color theme="0" tint="-0.249977111117893"/>
      <name val="Calibri"/>
      <family val="2"/>
    </font>
    <font>
      <b/>
      <sz val="10"/>
      <color theme="0" tint="-0.249977111117893"/>
      <name val="Calibri"/>
      <family val="2"/>
    </font>
    <font>
      <sz val="10"/>
      <color theme="0" tint="-0.249977111117893"/>
      <name val="Calibri"/>
      <family val="2"/>
    </font>
    <font>
      <i/>
      <sz val="10"/>
      <color theme="0" tint="-0.249977111117893"/>
      <name val="Calibri"/>
      <family val="2"/>
    </font>
    <font>
      <i/>
      <sz val="9"/>
      <color theme="1"/>
      <name val="Calibri"/>
      <family val="2"/>
    </font>
    <font>
      <b/>
      <sz val="10"/>
      <color rgb="FFFF0000"/>
      <name val="Calibri"/>
      <family val="2"/>
    </font>
    <font>
      <b/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Liberation Sans"/>
      <family val="2"/>
    </font>
    <font>
      <sz val="10"/>
      <color rgb="FF00B050"/>
      <name val="Calibri"/>
      <family val="2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b/>
      <u/>
      <sz val="10"/>
      <color theme="1"/>
      <name val="Calibri"/>
      <family val="2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9"/>
      <color theme="1"/>
      <name val="Calibri"/>
      <family val="2"/>
    </font>
    <font>
      <b/>
      <i/>
      <sz val="10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i/>
      <sz val="10"/>
      <color theme="0" tint="-0.249977111117893"/>
      <name val="Calibri"/>
      <family val="2"/>
    </font>
    <font>
      <b/>
      <sz val="10"/>
      <color theme="0" tint="-0.249977111117893"/>
      <name val="Calibri"/>
      <family val="2"/>
    </font>
    <font>
      <i/>
      <sz val="10"/>
      <color theme="0" tint="-0.249977111117893"/>
      <name val="Calibri"/>
      <family val="2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u/>
      <sz val="10"/>
      <color theme="1"/>
      <name val="Calibri"/>
      <family val="2"/>
    </font>
    <font>
      <i/>
      <sz val="10"/>
      <color theme="1"/>
      <name val="Calibri"/>
      <family val="2"/>
    </font>
    <font>
      <b/>
      <i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8"/>
      <color theme="1"/>
      <name val="Calibri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000000"/>
      <name val="Aptos"/>
      <family val="2"/>
    </font>
    <font>
      <sz val="8"/>
      <color rgb="FF505050"/>
      <name val="Arial"/>
      <family val="2"/>
    </font>
    <font>
      <sz val="11"/>
      <color theme="0" tint="-0.34998626667073579"/>
      <name val="Aptos Narrow"/>
      <family val="2"/>
      <scheme val="minor"/>
    </font>
    <font>
      <b/>
      <sz val="10"/>
      <color theme="0" tint="-0.34998626667073579"/>
      <name val="Calibri"/>
      <family val="2"/>
    </font>
    <font>
      <sz val="10"/>
      <color rgb="FFFF0000"/>
      <name val="Calibri"/>
      <family val="2"/>
    </font>
    <font>
      <sz val="10"/>
      <color theme="0" tint="-0.34998626667073579"/>
      <name val="Calibri"/>
      <family val="2"/>
    </font>
    <font>
      <b/>
      <u/>
      <sz val="1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sz val="10"/>
      <name val="Calibri"/>
      <family val="2"/>
    </font>
    <font>
      <b/>
      <sz val="14"/>
      <color theme="0"/>
      <name val="Calibri"/>
      <family val="2"/>
    </font>
    <font>
      <b/>
      <u/>
      <sz val="11"/>
      <color theme="0" tint="-0.34998626667073579"/>
      <name val="Aptos Narrow"/>
      <family val="2"/>
      <scheme val="minor"/>
    </font>
    <font>
      <b/>
      <i/>
      <sz val="10"/>
      <color theme="0" tint="-0.34998626667073579"/>
      <name val="Calibri"/>
      <family val="2"/>
    </font>
    <font>
      <b/>
      <u/>
      <sz val="10"/>
      <color theme="0" tint="-0.34998626667073579"/>
      <name val="Calibri"/>
      <family val="2"/>
    </font>
    <font>
      <i/>
      <sz val="10"/>
      <color theme="0" tint="-0.34998626667073579"/>
      <name val="Calibri"/>
      <family val="2"/>
    </font>
    <font>
      <b/>
      <sz val="11"/>
      <name val="Aptos Narrow"/>
      <family val="2"/>
      <scheme val="minor"/>
    </font>
    <font>
      <sz val="9"/>
      <color theme="0" tint="-0.34998626667073579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5E0B3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9C9"/>
        <bgColor indexed="64"/>
      </patternFill>
    </fill>
  </fills>
  <borders count="43">
    <border>
      <left/>
      <right/>
      <top/>
      <bottom/>
      <diagonal/>
    </border>
    <border>
      <left/>
      <right style="dotted">
        <color theme="0" tint="-4.9989318521683403E-2"/>
      </right>
      <top style="dotted">
        <color theme="0" tint="-4.9989318521683403E-2"/>
      </top>
      <bottom style="dotted">
        <color theme="0" tint="-4.9989318521683403E-2"/>
      </bottom>
      <diagonal/>
    </border>
    <border>
      <left style="dotted">
        <color theme="0" tint="-4.9989318521683403E-2"/>
      </left>
      <right style="dotted">
        <color theme="0" tint="-4.9989318521683403E-2"/>
      </right>
      <top style="dotted">
        <color theme="0" tint="-4.9989318521683403E-2"/>
      </top>
      <bottom style="dotted">
        <color theme="0" tint="-4.9989318521683403E-2"/>
      </bottom>
      <diagonal/>
    </border>
    <border>
      <left/>
      <right/>
      <top style="dotted">
        <color theme="0" tint="-4.9989318521683403E-2"/>
      </top>
      <bottom style="dotted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theme="0" tint="-4.9989318521683403E-2"/>
      </top>
      <bottom/>
      <diagonal/>
    </border>
    <border>
      <left style="dotted">
        <color theme="0" tint="-4.9989318521683403E-2"/>
      </left>
      <right style="dotted">
        <color theme="0" tint="-4.9989318521683403E-2"/>
      </right>
      <top style="dotted">
        <color theme="0" tint="-4.9989318521683403E-2"/>
      </top>
      <bottom/>
      <diagonal/>
    </border>
    <border>
      <left/>
      <right/>
      <top/>
      <bottom style="dotted">
        <color theme="0" tint="-4.9989318521683403E-2"/>
      </bottom>
      <diagonal/>
    </border>
    <border>
      <left style="dotted">
        <color theme="0" tint="-4.9989318521683403E-2"/>
      </left>
      <right style="dotted">
        <color theme="0" tint="-4.9989318521683403E-2"/>
      </right>
      <top/>
      <bottom style="dotted">
        <color theme="0" tint="-4.9989318521683403E-2"/>
      </bottom>
      <diagonal/>
    </border>
    <border>
      <left style="medium">
        <color indexed="64"/>
      </left>
      <right/>
      <top style="medium">
        <color indexed="64"/>
      </top>
      <bottom style="dotted">
        <color theme="0" tint="-4.9989318521683403E-2"/>
      </bottom>
      <diagonal/>
    </border>
    <border>
      <left style="dotted">
        <color theme="0" tint="-4.9989318521683403E-2"/>
      </left>
      <right style="dotted">
        <color theme="0" tint="-4.9989318521683403E-2"/>
      </right>
      <top style="medium">
        <color indexed="64"/>
      </top>
      <bottom style="dotted">
        <color theme="0" tint="-4.9989318521683403E-2"/>
      </bottom>
      <diagonal/>
    </border>
    <border>
      <left/>
      <right style="medium">
        <color indexed="64"/>
      </right>
      <top style="medium">
        <color indexed="64"/>
      </top>
      <bottom style="dotted">
        <color theme="0" tint="-4.9989318521683403E-2"/>
      </bottom>
      <diagonal/>
    </border>
    <border>
      <left style="medium">
        <color indexed="64"/>
      </left>
      <right/>
      <top style="dotted">
        <color theme="0" tint="-4.9989318521683403E-2"/>
      </top>
      <bottom style="medium">
        <color indexed="64"/>
      </bottom>
      <diagonal/>
    </border>
    <border>
      <left style="dotted">
        <color theme="0" tint="-4.9989318521683403E-2"/>
      </left>
      <right style="dotted">
        <color theme="0" tint="-4.9989318521683403E-2"/>
      </right>
      <top style="dotted">
        <color theme="0" tint="-4.9989318521683403E-2"/>
      </top>
      <bottom style="medium">
        <color indexed="64"/>
      </bottom>
      <diagonal/>
    </border>
    <border>
      <left/>
      <right style="medium">
        <color indexed="64"/>
      </right>
      <top style="dotted">
        <color theme="0" tint="-4.9989318521683403E-2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/>
      <top style="thin">
        <color rgb="FF44B3E1"/>
      </top>
      <bottom/>
      <diagonal/>
    </border>
    <border>
      <left/>
      <right style="thin">
        <color rgb="FF44B3E1"/>
      </right>
      <top style="thin">
        <color rgb="FF44B3E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 style="dotted">
        <color theme="0" tint="-4.9989318521683403E-2"/>
      </right>
      <top/>
      <bottom/>
      <diagonal/>
    </border>
    <border>
      <left/>
      <right style="dotted">
        <color theme="0" tint="-4.9989318521683403E-2"/>
      </right>
      <top style="dotted">
        <color theme="0" tint="-4.9989318521683403E-2"/>
      </top>
      <bottom/>
      <diagonal/>
    </border>
    <border>
      <left/>
      <right style="dotted">
        <color theme="0" tint="-4.9989318521683403E-2"/>
      </right>
      <top/>
      <bottom style="dotted">
        <color theme="0" tint="-4.9989318521683403E-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tted">
        <color theme="0" tint="-4.9989318521683403E-2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dotted">
        <color theme="0" tint="-4.9989318521683403E-2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dotted">
        <color theme="0" tint="-4.9989318521683403E-2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36" fillId="0" borderId="0" applyNumberFormat="0" applyFill="0" applyBorder="0" applyAlignment="0" applyProtection="0"/>
    <xf numFmtId="9" fontId="44" fillId="0" borderId="0" applyFont="0" applyFill="0" applyBorder="0" applyAlignment="0" applyProtection="0"/>
  </cellStyleXfs>
  <cellXfs count="445">
    <xf numFmtId="0" fontId="0" fillId="0" borderId="0" xfId="0"/>
    <xf numFmtId="0" fontId="4" fillId="0" borderId="1" xfId="0" applyFont="1" applyBorder="1" applyAlignment="1">
      <alignment horizontal="left" wrapText="1"/>
    </xf>
    <xf numFmtId="0" fontId="7" fillId="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left" wrapText="1"/>
    </xf>
    <xf numFmtId="0" fontId="1" fillId="4" borderId="3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left" wrapText="1"/>
    </xf>
    <xf numFmtId="0" fontId="2" fillId="4" borderId="3" xfId="0" applyFont="1" applyFill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0" fillId="0" borderId="3" xfId="0" applyBorder="1" applyAlignment="1">
      <alignment horizontal="left"/>
    </xf>
    <xf numFmtId="0" fontId="7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3" fillId="0" borderId="3" xfId="0" applyFont="1" applyBorder="1" applyAlignment="1">
      <alignment wrapText="1"/>
    </xf>
    <xf numFmtId="0" fontId="3" fillId="0" borderId="3" xfId="0" applyFont="1" applyBorder="1"/>
    <xf numFmtId="0" fontId="3" fillId="0" borderId="3" xfId="0" applyFont="1" applyBorder="1" applyAlignment="1">
      <alignment horizontal="right" wrapText="1"/>
    </xf>
    <xf numFmtId="0" fontId="11" fillId="0" borderId="3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/>
    <xf numFmtId="0" fontId="4" fillId="0" borderId="0" xfId="0" applyFont="1" applyAlignment="1">
      <alignment wrapText="1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8" fontId="7" fillId="3" borderId="2" xfId="0" applyNumberFormat="1" applyFont="1" applyFill="1" applyBorder="1" applyAlignment="1">
      <alignment horizontal="right" vertical="center" wrapText="1"/>
    </xf>
    <xf numFmtId="8" fontId="7" fillId="5" borderId="3" xfId="0" applyNumberFormat="1" applyFont="1" applyFill="1" applyBorder="1" applyAlignment="1">
      <alignment horizontal="right" vertical="center" wrapText="1"/>
    </xf>
    <xf numFmtId="8" fontId="2" fillId="4" borderId="2" xfId="0" applyNumberFormat="1" applyFont="1" applyFill="1" applyBorder="1" applyAlignment="1">
      <alignment horizontal="right" vertical="center" wrapText="1"/>
    </xf>
    <xf numFmtId="8" fontId="2" fillId="6" borderId="3" xfId="0" applyNumberFormat="1" applyFont="1" applyFill="1" applyBorder="1" applyAlignment="1">
      <alignment horizontal="right" vertical="center" wrapText="1"/>
    </xf>
    <xf numFmtId="164" fontId="12" fillId="4" borderId="2" xfId="0" applyNumberFormat="1" applyFont="1" applyFill="1" applyBorder="1" applyAlignment="1">
      <alignment horizontal="right" vertical="center" wrapText="1"/>
    </xf>
    <xf numFmtId="9" fontId="2" fillId="6" borderId="3" xfId="0" applyNumberFormat="1" applyFont="1" applyFill="1" applyBorder="1" applyAlignment="1">
      <alignment horizontal="right" vertical="center" wrapText="1"/>
    </xf>
    <xf numFmtId="8" fontId="13" fillId="4" borderId="2" xfId="0" applyNumberFormat="1" applyFont="1" applyFill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8" fontId="6" fillId="0" borderId="2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8" fontId="7" fillId="8" borderId="2" xfId="0" applyNumberFormat="1" applyFont="1" applyFill="1" applyBorder="1" applyAlignment="1">
      <alignment horizontal="right" vertical="center" wrapText="1"/>
    </xf>
    <xf numFmtId="8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8" fontId="9" fillId="0" borderId="2" xfId="0" applyNumberFormat="1" applyFont="1" applyBorder="1" applyAlignment="1">
      <alignment horizontal="right" vertical="center" wrapText="1"/>
    </xf>
    <xf numFmtId="8" fontId="10" fillId="0" borderId="2" xfId="0" applyNumberFormat="1" applyFont="1" applyBorder="1" applyAlignment="1">
      <alignment horizontal="right" vertical="center" wrapText="1"/>
    </xf>
    <xf numFmtId="14" fontId="0" fillId="0" borderId="0" xfId="0" applyNumberFormat="1"/>
    <xf numFmtId="0" fontId="5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0" fillId="0" borderId="4" xfId="0" applyBorder="1"/>
    <xf numFmtId="2" fontId="0" fillId="0" borderId="0" xfId="0" applyNumberFormat="1"/>
    <xf numFmtId="0" fontId="0" fillId="0" borderId="0" xfId="0" applyAlignment="1">
      <alignment horizontal="right"/>
    </xf>
    <xf numFmtId="8" fontId="6" fillId="0" borderId="6" xfId="0" applyNumberFormat="1" applyFont="1" applyBorder="1" applyAlignment="1">
      <alignment horizontal="right" vertical="center" wrapText="1"/>
    </xf>
    <xf numFmtId="0" fontId="3" fillId="0" borderId="7" xfId="0" applyFont="1" applyBorder="1" applyAlignment="1">
      <alignment horizontal="left" wrapText="1"/>
    </xf>
    <xf numFmtId="164" fontId="2" fillId="0" borderId="10" xfId="0" applyNumberFormat="1" applyFont="1" applyBorder="1" applyAlignment="1">
      <alignment horizontal="right" vertical="center" wrapText="1"/>
    </xf>
    <xf numFmtId="164" fontId="2" fillId="6" borderId="11" xfId="0" applyNumberFormat="1" applyFont="1" applyFill="1" applyBorder="1" applyAlignment="1">
      <alignment horizontal="right" vertical="center" wrapText="1"/>
    </xf>
    <xf numFmtId="8" fontId="2" fillId="0" borderId="13" xfId="0" applyNumberFormat="1" applyFont="1" applyBorder="1" applyAlignment="1">
      <alignment horizontal="right" vertical="center" wrapText="1"/>
    </xf>
    <xf numFmtId="8" fontId="2" fillId="6" borderId="14" xfId="0" applyNumberFormat="1" applyFont="1" applyFill="1" applyBorder="1" applyAlignment="1">
      <alignment horizontal="right" vertical="center" wrapText="1"/>
    </xf>
    <xf numFmtId="4" fontId="0" fillId="0" borderId="0" xfId="0" applyNumberFormat="1"/>
    <xf numFmtId="4" fontId="1" fillId="0" borderId="15" xfId="0" applyNumberFormat="1" applyFont="1" applyBorder="1" applyAlignment="1">
      <alignment horizontal="right" wrapText="1"/>
    </xf>
    <xf numFmtId="4" fontId="1" fillId="0" borderId="16" xfId="0" applyNumberFormat="1" applyFont="1" applyBorder="1" applyAlignment="1">
      <alignment horizontal="right" wrapText="1"/>
    </xf>
    <xf numFmtId="0" fontId="18" fillId="0" borderId="0" xfId="0" applyFont="1"/>
    <xf numFmtId="8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right"/>
    </xf>
    <xf numFmtId="14" fontId="19" fillId="0" borderId="0" xfId="0" applyNumberFormat="1" applyFont="1"/>
    <xf numFmtId="2" fontId="19" fillId="0" borderId="0" xfId="0" applyNumberFormat="1" applyFont="1"/>
    <xf numFmtId="17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11" borderId="18" xfId="0" applyFill="1" applyBorder="1"/>
    <xf numFmtId="0" fontId="0" fillId="0" borderId="18" xfId="0" applyBorder="1"/>
    <xf numFmtId="0" fontId="3" fillId="12" borderId="15" xfId="0" applyFont="1" applyFill="1" applyBorder="1" applyAlignment="1">
      <alignment wrapText="1"/>
    </xf>
    <xf numFmtId="8" fontId="2" fillId="12" borderId="15" xfId="0" applyNumberFormat="1" applyFont="1" applyFill="1" applyBorder="1" applyAlignment="1">
      <alignment horizontal="center" wrapText="1"/>
    </xf>
    <xf numFmtId="0" fontId="2" fillId="12" borderId="15" xfId="0" applyFont="1" applyFill="1" applyBorder="1" applyAlignment="1">
      <alignment horizontal="center" wrapText="1"/>
    </xf>
    <xf numFmtId="0" fontId="4" fillId="12" borderId="15" xfId="0" applyFont="1" applyFill="1" applyBorder="1" applyAlignment="1">
      <alignment horizontal="right" wrapText="1"/>
    </xf>
    <xf numFmtId="0" fontId="1" fillId="12" borderId="15" xfId="0" applyFont="1" applyFill="1" applyBorder="1" applyAlignment="1">
      <alignment wrapText="1"/>
    </xf>
    <xf numFmtId="0" fontId="2" fillId="12" borderId="15" xfId="0" applyFont="1" applyFill="1" applyBorder="1" applyAlignment="1">
      <alignment wrapText="1"/>
    </xf>
    <xf numFmtId="8" fontId="6" fillId="12" borderId="15" xfId="0" applyNumberFormat="1" applyFont="1" applyFill="1" applyBorder="1" applyAlignment="1">
      <alignment horizontal="center" wrapText="1"/>
    </xf>
    <xf numFmtId="0" fontId="6" fillId="12" borderId="15" xfId="0" applyFont="1" applyFill="1" applyBorder="1" applyAlignment="1">
      <alignment horizontal="center" wrapText="1"/>
    </xf>
    <xf numFmtId="0" fontId="0" fillId="11" borderId="17" xfId="0" applyFill="1" applyBorder="1"/>
    <xf numFmtId="0" fontId="0" fillId="11" borderId="18" xfId="0" applyFill="1" applyBorder="1" applyAlignment="1">
      <alignment horizontal="right"/>
    </xf>
    <xf numFmtId="14" fontId="0" fillId="11" borderId="18" xfId="0" applyNumberFormat="1" applyFill="1" applyBorder="1"/>
    <xf numFmtId="2" fontId="0" fillId="11" borderId="18" xfId="0" applyNumberFormat="1" applyFill="1" applyBorder="1"/>
    <xf numFmtId="0" fontId="0" fillId="11" borderId="19" xfId="0" applyFill="1" applyBorder="1"/>
    <xf numFmtId="0" fontId="0" fillId="0" borderId="18" xfId="0" applyBorder="1" applyAlignment="1">
      <alignment horizontal="right"/>
    </xf>
    <xf numFmtId="14" fontId="0" fillId="0" borderId="18" xfId="0" applyNumberFormat="1" applyBorder="1"/>
    <xf numFmtId="2" fontId="0" fillId="0" borderId="18" xfId="0" applyNumberFormat="1" applyBorder="1"/>
    <xf numFmtId="0" fontId="18" fillId="10" borderId="20" xfId="0" applyFont="1" applyFill="1" applyBorder="1"/>
    <xf numFmtId="0" fontId="18" fillId="10" borderId="20" xfId="0" applyFont="1" applyFill="1" applyBorder="1" applyAlignment="1">
      <alignment horizontal="right"/>
    </xf>
    <xf numFmtId="14" fontId="18" fillId="10" borderId="20" xfId="0" applyNumberFormat="1" applyFont="1" applyFill="1" applyBorder="1"/>
    <xf numFmtId="2" fontId="18" fillId="10" borderId="20" xfId="0" applyNumberFormat="1" applyFont="1" applyFill="1" applyBorder="1"/>
    <xf numFmtId="0" fontId="20" fillId="0" borderId="0" xfId="0" applyFont="1"/>
    <xf numFmtId="0" fontId="20" fillId="0" borderId="0" xfId="0" applyFont="1" applyAlignment="1">
      <alignment horizontal="right"/>
    </xf>
    <xf numFmtId="14" fontId="20" fillId="0" borderId="0" xfId="0" applyNumberFormat="1" applyFont="1"/>
    <xf numFmtId="2" fontId="20" fillId="0" borderId="0" xfId="0" applyNumberFormat="1" applyFont="1"/>
    <xf numFmtId="10" fontId="0" fillId="0" borderId="0" xfId="0" applyNumberFormat="1"/>
    <xf numFmtId="8" fontId="7" fillId="9" borderId="2" xfId="0" applyNumberFormat="1" applyFont="1" applyFill="1" applyBorder="1" applyAlignment="1">
      <alignment horizontal="right" vertical="center" wrapText="1"/>
    </xf>
    <xf numFmtId="14" fontId="21" fillId="0" borderId="0" xfId="0" applyNumberFormat="1" applyFont="1"/>
    <xf numFmtId="0" fontId="21" fillId="0" borderId="0" xfId="0" applyFont="1"/>
    <xf numFmtId="2" fontId="21" fillId="0" borderId="0" xfId="0" applyNumberFormat="1" applyFont="1"/>
    <xf numFmtId="8" fontId="22" fillId="0" borderId="6" xfId="0" applyNumberFormat="1" applyFont="1" applyBorder="1" applyAlignment="1">
      <alignment horizontal="right" vertical="center" wrapText="1"/>
    </xf>
    <xf numFmtId="0" fontId="18" fillId="0" borderId="20" xfId="0" applyFont="1" applyBorder="1"/>
    <xf numFmtId="2" fontId="18" fillId="0" borderId="20" xfId="0" applyNumberFormat="1" applyFont="1" applyBorder="1"/>
    <xf numFmtId="0" fontId="20" fillId="0" borderId="18" xfId="0" applyFont="1" applyBorder="1"/>
    <xf numFmtId="2" fontId="20" fillId="0" borderId="18" xfId="0" applyNumberFormat="1" applyFont="1" applyBorder="1"/>
    <xf numFmtId="8" fontId="7" fillId="5" borderId="2" xfId="0" applyNumberFormat="1" applyFont="1" applyFill="1" applyBorder="1" applyAlignment="1">
      <alignment horizontal="right" vertical="center" wrapText="1"/>
    </xf>
    <xf numFmtId="8" fontId="7" fillId="2" borderId="2" xfId="0" applyNumberFormat="1" applyFont="1" applyFill="1" applyBorder="1" applyAlignment="1">
      <alignment horizontal="right" vertical="center" wrapText="1"/>
    </xf>
    <xf numFmtId="0" fontId="26" fillId="4" borderId="3" xfId="0" applyFont="1" applyFill="1" applyBorder="1" applyAlignment="1">
      <alignment horizontal="center" wrapText="1"/>
    </xf>
    <xf numFmtId="0" fontId="27" fillId="4" borderId="3" xfId="0" applyFont="1" applyFill="1" applyBorder="1" applyAlignment="1">
      <alignment horizontal="center" wrapText="1"/>
    </xf>
    <xf numFmtId="0" fontId="27" fillId="4" borderId="3" xfId="0" applyFont="1" applyFill="1" applyBorder="1" applyAlignment="1">
      <alignment horizontal="left" wrapText="1"/>
    </xf>
    <xf numFmtId="0" fontId="29" fillId="4" borderId="3" xfId="0" applyFont="1" applyFill="1" applyBorder="1" applyAlignment="1">
      <alignment horizontal="center" wrapText="1"/>
    </xf>
    <xf numFmtId="0" fontId="29" fillId="4" borderId="3" xfId="0" applyFont="1" applyFill="1" applyBorder="1" applyAlignment="1">
      <alignment horizontal="left" wrapText="1"/>
    </xf>
    <xf numFmtId="0" fontId="27" fillId="0" borderId="3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wrapText="1"/>
    </xf>
    <xf numFmtId="0" fontId="25" fillId="0" borderId="3" xfId="0" applyFont="1" applyBorder="1"/>
    <xf numFmtId="0" fontId="25" fillId="0" borderId="3" xfId="0" applyFont="1" applyBorder="1" applyAlignment="1">
      <alignment wrapText="1"/>
    </xf>
    <xf numFmtId="0" fontId="25" fillId="0" borderId="3" xfId="0" applyFont="1" applyBorder="1" applyAlignment="1">
      <alignment horizontal="left" wrapText="1"/>
    </xf>
    <xf numFmtId="0" fontId="25" fillId="0" borderId="3" xfId="0" applyFont="1" applyBorder="1" applyAlignment="1">
      <alignment horizontal="right" wrapText="1"/>
    </xf>
    <xf numFmtId="0" fontId="27" fillId="0" borderId="3" xfId="0" applyFont="1" applyBorder="1" applyAlignment="1">
      <alignment horizontal="left" wrapText="1"/>
    </xf>
    <xf numFmtId="0" fontId="27" fillId="0" borderId="3" xfId="0" applyFont="1" applyBorder="1" applyAlignment="1">
      <alignment horizontal="right" wrapText="1"/>
    </xf>
    <xf numFmtId="0" fontId="27" fillId="0" borderId="1" xfId="0" applyFont="1" applyBorder="1" applyAlignment="1">
      <alignment horizontal="left" wrapText="1"/>
    </xf>
    <xf numFmtId="0" fontId="27" fillId="0" borderId="5" xfId="0" applyFont="1" applyBorder="1" applyAlignment="1">
      <alignment horizontal="left" wrapText="1"/>
    </xf>
    <xf numFmtId="0" fontId="25" fillId="0" borderId="7" xfId="0" applyFont="1" applyBorder="1" applyAlignment="1">
      <alignment horizontal="left" wrapText="1"/>
    </xf>
    <xf numFmtId="0" fontId="26" fillId="0" borderId="3" xfId="0" applyFont="1" applyBorder="1" applyAlignment="1">
      <alignment horizontal="left" wrapText="1"/>
    </xf>
    <xf numFmtId="0" fontId="31" fillId="0" borderId="3" xfId="0" applyFont="1" applyBorder="1" applyAlignment="1">
      <alignment horizontal="left" wrapText="1"/>
    </xf>
    <xf numFmtId="0" fontId="23" fillId="0" borderId="3" xfId="0" applyFont="1" applyBorder="1" applyAlignment="1">
      <alignment horizontal="left" wrapText="1"/>
    </xf>
    <xf numFmtId="0" fontId="27" fillId="0" borderId="3" xfId="0" applyFont="1" applyBorder="1" applyAlignment="1">
      <alignment horizontal="left"/>
    </xf>
    <xf numFmtId="0" fontId="27" fillId="0" borderId="3" xfId="0" applyFont="1" applyBorder="1" applyAlignment="1">
      <alignment horizontal="center" wrapText="1"/>
    </xf>
    <xf numFmtId="165" fontId="0" fillId="0" borderId="2" xfId="0" applyNumberFormat="1" applyBorder="1" applyAlignment="1">
      <alignment horizontal="right" vertical="center"/>
    </xf>
    <xf numFmtId="165" fontId="0" fillId="0" borderId="3" xfId="0" applyNumberFormat="1" applyBorder="1" applyAlignment="1">
      <alignment horizontal="right" vertical="center"/>
    </xf>
    <xf numFmtId="165" fontId="24" fillId="2" borderId="3" xfId="0" applyNumberFormat="1" applyFont="1" applyFill="1" applyBorder="1" applyAlignment="1">
      <alignment horizontal="center" vertical="center" wrapText="1"/>
    </xf>
    <xf numFmtId="165" fontId="24" fillId="3" borderId="2" xfId="0" applyNumberFormat="1" applyFont="1" applyFill="1" applyBorder="1" applyAlignment="1">
      <alignment horizontal="right" vertical="center" wrapText="1"/>
    </xf>
    <xf numFmtId="165" fontId="24" fillId="5" borderId="3" xfId="0" applyNumberFormat="1" applyFont="1" applyFill="1" applyBorder="1" applyAlignment="1">
      <alignment horizontal="right" vertical="center" wrapText="1"/>
    </xf>
    <xf numFmtId="165" fontId="26" fillId="4" borderId="2" xfId="0" applyNumberFormat="1" applyFont="1" applyFill="1" applyBorder="1" applyAlignment="1">
      <alignment horizontal="right" vertical="center" wrapText="1"/>
    </xf>
    <xf numFmtId="165" fontId="26" fillId="6" borderId="3" xfId="0" applyNumberFormat="1" applyFont="1" applyFill="1" applyBorder="1" applyAlignment="1">
      <alignment horizontal="right" vertical="center" wrapText="1"/>
    </xf>
    <xf numFmtId="165" fontId="30" fillId="4" borderId="2" xfId="0" applyNumberFormat="1" applyFont="1" applyFill="1" applyBorder="1" applyAlignment="1">
      <alignment horizontal="right" vertical="center" wrapText="1"/>
    </xf>
    <xf numFmtId="165" fontId="23" fillId="0" borderId="2" xfId="0" applyNumberFormat="1" applyFont="1" applyBorder="1" applyAlignment="1">
      <alignment horizontal="right" vertical="center" wrapText="1"/>
    </xf>
    <xf numFmtId="165" fontId="31" fillId="0" borderId="2" xfId="0" applyNumberFormat="1" applyFont="1" applyBorder="1" applyAlignment="1">
      <alignment horizontal="right" vertical="center" wrapText="1"/>
    </xf>
    <xf numFmtId="165" fontId="23" fillId="0" borderId="3" xfId="0" applyNumberFormat="1" applyFont="1" applyBorder="1" applyAlignment="1">
      <alignment horizontal="right" vertical="center" wrapText="1"/>
    </xf>
    <xf numFmtId="165" fontId="24" fillId="8" borderId="2" xfId="0" applyNumberFormat="1" applyFont="1" applyFill="1" applyBorder="1" applyAlignment="1">
      <alignment horizontal="right" vertical="center" wrapText="1"/>
    </xf>
    <xf numFmtId="165" fontId="26" fillId="0" borderId="2" xfId="0" applyNumberFormat="1" applyFont="1" applyBorder="1" applyAlignment="1">
      <alignment horizontal="right" vertical="center" wrapText="1"/>
    </xf>
    <xf numFmtId="165" fontId="31" fillId="0" borderId="6" xfId="0" applyNumberFormat="1" applyFont="1" applyBorder="1" applyAlignment="1">
      <alignment horizontal="right" vertical="center" wrapText="1"/>
    </xf>
    <xf numFmtId="165" fontId="26" fillId="6" borderId="5" xfId="0" applyNumberFormat="1" applyFont="1" applyFill="1" applyBorder="1" applyAlignment="1">
      <alignment horizontal="right" vertical="center" wrapText="1"/>
    </xf>
    <xf numFmtId="165" fontId="26" fillId="0" borderId="10" xfId="0" applyNumberFormat="1" applyFont="1" applyBorder="1" applyAlignment="1">
      <alignment horizontal="right" vertical="center" wrapText="1"/>
    </xf>
    <xf numFmtId="165" fontId="26" fillId="6" borderId="11" xfId="0" applyNumberFormat="1" applyFont="1" applyFill="1" applyBorder="1" applyAlignment="1">
      <alignment horizontal="right" vertical="center" wrapText="1"/>
    </xf>
    <xf numFmtId="165" fontId="26" fillId="0" borderId="13" xfId="0" applyNumberFormat="1" applyFont="1" applyBorder="1" applyAlignment="1">
      <alignment horizontal="right" vertical="center" wrapText="1"/>
    </xf>
    <xf numFmtId="165" fontId="26" fillId="6" borderId="14" xfId="0" applyNumberFormat="1" applyFont="1" applyFill="1" applyBorder="1" applyAlignment="1">
      <alignment horizontal="right" vertical="center" wrapText="1"/>
    </xf>
    <xf numFmtId="165" fontId="31" fillId="0" borderId="8" xfId="0" applyNumberFormat="1" applyFont="1" applyBorder="1" applyAlignment="1">
      <alignment horizontal="right" vertical="center" wrapText="1"/>
    </xf>
    <xf numFmtId="165" fontId="26" fillId="6" borderId="7" xfId="0" applyNumberFormat="1" applyFont="1" applyFill="1" applyBorder="1" applyAlignment="1">
      <alignment horizontal="right" vertical="center" wrapText="1"/>
    </xf>
    <xf numFmtId="165" fontId="24" fillId="9" borderId="2" xfId="0" applyNumberFormat="1" applyFont="1" applyFill="1" applyBorder="1" applyAlignment="1">
      <alignment horizontal="right" vertical="center" wrapText="1"/>
    </xf>
    <xf numFmtId="165" fontId="33" fillId="0" borderId="2" xfId="0" applyNumberFormat="1" applyFont="1" applyBorder="1" applyAlignment="1">
      <alignment horizontal="right" vertical="center" wrapText="1"/>
    </xf>
    <xf numFmtId="165" fontId="24" fillId="5" borderId="2" xfId="0" applyNumberFormat="1" applyFont="1" applyFill="1" applyBorder="1" applyAlignment="1">
      <alignment horizontal="right" vertical="center" wrapText="1"/>
    </xf>
    <xf numFmtId="165" fontId="24" fillId="2" borderId="2" xfId="0" applyNumberFormat="1" applyFont="1" applyFill="1" applyBorder="1" applyAlignment="1">
      <alignment horizontal="right" vertical="center" wrapText="1"/>
    </xf>
    <xf numFmtId="9" fontId="26" fillId="0" borderId="10" xfId="0" applyNumberFormat="1" applyFont="1" applyBorder="1" applyAlignment="1">
      <alignment horizontal="right" vertical="center" wrapText="1"/>
    </xf>
    <xf numFmtId="9" fontId="26" fillId="6" borderId="11" xfId="0" applyNumberFormat="1" applyFont="1" applyFill="1" applyBorder="1" applyAlignment="1">
      <alignment horizontal="right" vertical="center" wrapText="1"/>
    </xf>
    <xf numFmtId="0" fontId="27" fillId="0" borderId="0" xfId="0" applyFont="1" applyAlignment="1">
      <alignment wrapText="1"/>
    </xf>
    <xf numFmtId="1" fontId="0" fillId="0" borderId="2" xfId="0" applyNumberFormat="1" applyBorder="1" applyAlignment="1">
      <alignment horizontal="right" vertical="center"/>
    </xf>
    <xf numFmtId="1" fontId="0" fillId="0" borderId="0" xfId="0" applyNumberFormat="1"/>
    <xf numFmtId="1" fontId="0" fillId="0" borderId="3" xfId="0" applyNumberFormat="1" applyBorder="1" applyAlignment="1">
      <alignment horizontal="left"/>
    </xf>
    <xf numFmtId="1" fontId="0" fillId="0" borderId="3" xfId="0" applyNumberFormat="1" applyBorder="1" applyAlignment="1">
      <alignment horizontal="right" vertical="center"/>
    </xf>
    <xf numFmtId="9" fontId="28" fillId="4" borderId="2" xfId="0" applyNumberFormat="1" applyFont="1" applyFill="1" applyBorder="1" applyAlignment="1">
      <alignment horizontal="right" vertical="center" wrapText="1"/>
    </xf>
    <xf numFmtId="166" fontId="24" fillId="3" borderId="2" xfId="0" applyNumberFormat="1" applyFont="1" applyFill="1" applyBorder="1" applyAlignment="1">
      <alignment horizontal="right" vertical="center" wrapText="1"/>
    </xf>
    <xf numFmtId="166" fontId="24" fillId="5" borderId="3" xfId="0" applyNumberFormat="1" applyFont="1" applyFill="1" applyBorder="1" applyAlignment="1">
      <alignment horizontal="right" vertical="center" wrapText="1"/>
    </xf>
    <xf numFmtId="166" fontId="26" fillId="4" borderId="2" xfId="0" applyNumberFormat="1" applyFont="1" applyFill="1" applyBorder="1" applyAlignment="1">
      <alignment horizontal="right" vertical="center" wrapText="1"/>
    </xf>
    <xf numFmtId="166" fontId="26" fillId="6" borderId="3" xfId="0" applyNumberFormat="1" applyFont="1" applyFill="1" applyBorder="1" applyAlignment="1">
      <alignment horizontal="right" vertical="center" wrapText="1"/>
    </xf>
    <xf numFmtId="166" fontId="30" fillId="4" borderId="2" xfId="0" applyNumberFormat="1" applyFont="1" applyFill="1" applyBorder="1" applyAlignment="1">
      <alignment horizontal="right" vertical="center" wrapText="1"/>
    </xf>
    <xf numFmtId="166" fontId="23" fillId="0" borderId="2" xfId="0" applyNumberFormat="1" applyFont="1" applyBorder="1" applyAlignment="1">
      <alignment horizontal="right" vertical="center" wrapText="1"/>
    </xf>
    <xf numFmtId="166" fontId="31" fillId="0" borderId="2" xfId="0" applyNumberFormat="1" applyFont="1" applyBorder="1" applyAlignment="1">
      <alignment horizontal="right" vertical="center" wrapText="1"/>
    </xf>
    <xf numFmtId="166" fontId="23" fillId="0" borderId="3" xfId="0" applyNumberFormat="1" applyFont="1" applyBorder="1" applyAlignment="1">
      <alignment horizontal="right" vertical="center" wrapText="1"/>
    </xf>
    <xf numFmtId="166" fontId="24" fillId="8" borderId="2" xfId="0" applyNumberFormat="1" applyFont="1" applyFill="1" applyBorder="1" applyAlignment="1">
      <alignment horizontal="right" vertical="center" wrapText="1"/>
    </xf>
    <xf numFmtId="166" fontId="26" fillId="0" borderId="2" xfId="0" applyNumberFormat="1" applyFont="1" applyBorder="1" applyAlignment="1">
      <alignment horizontal="right" vertical="center" wrapText="1"/>
    </xf>
    <xf numFmtId="166" fontId="26" fillId="6" borderId="5" xfId="0" applyNumberFormat="1" applyFont="1" applyFill="1" applyBorder="1" applyAlignment="1">
      <alignment horizontal="right" vertical="center" wrapText="1"/>
    </xf>
    <xf numFmtId="166" fontId="26" fillId="0" borderId="10" xfId="0" applyNumberFormat="1" applyFont="1" applyBorder="1" applyAlignment="1">
      <alignment horizontal="right" vertical="center" wrapText="1"/>
    </xf>
    <xf numFmtId="166" fontId="26" fillId="6" borderId="11" xfId="0" applyNumberFormat="1" applyFont="1" applyFill="1" applyBorder="1" applyAlignment="1">
      <alignment horizontal="right" vertical="center" wrapText="1"/>
    </xf>
    <xf numFmtId="166" fontId="26" fillId="0" borderId="13" xfId="0" applyNumberFormat="1" applyFont="1" applyBorder="1" applyAlignment="1">
      <alignment horizontal="right" vertical="center" wrapText="1"/>
    </xf>
    <xf numFmtId="166" fontId="26" fillId="6" borderId="14" xfId="0" applyNumberFormat="1" applyFont="1" applyFill="1" applyBorder="1" applyAlignment="1">
      <alignment horizontal="right" vertical="center" wrapText="1"/>
    </xf>
    <xf numFmtId="166" fontId="31" fillId="0" borderId="8" xfId="0" applyNumberFormat="1" applyFont="1" applyBorder="1" applyAlignment="1">
      <alignment horizontal="right" vertical="center" wrapText="1"/>
    </xf>
    <xf numFmtId="166" fontId="26" fillId="6" borderId="7" xfId="0" applyNumberFormat="1" applyFont="1" applyFill="1" applyBorder="1" applyAlignment="1">
      <alignment horizontal="right" vertical="center" wrapText="1"/>
    </xf>
    <xf numFmtId="166" fontId="24" fillId="9" borderId="2" xfId="0" applyNumberFormat="1" applyFont="1" applyFill="1" applyBorder="1" applyAlignment="1">
      <alignment horizontal="right" vertical="center" wrapText="1"/>
    </xf>
    <xf numFmtId="166" fontId="31" fillId="0" borderId="6" xfId="0" applyNumberFormat="1" applyFont="1" applyBorder="1" applyAlignment="1">
      <alignment horizontal="right" vertical="center" wrapText="1"/>
    </xf>
    <xf numFmtId="166" fontId="0" fillId="0" borderId="2" xfId="0" applyNumberFormat="1" applyBorder="1" applyAlignment="1">
      <alignment horizontal="right" vertical="center"/>
    </xf>
    <xf numFmtId="166" fontId="33" fillId="0" borderId="2" xfId="0" applyNumberFormat="1" applyFont="1" applyBorder="1" applyAlignment="1">
      <alignment horizontal="right" vertical="center" wrapText="1"/>
    </xf>
    <xf numFmtId="166" fontId="24" fillId="5" borderId="2" xfId="0" applyNumberFormat="1" applyFont="1" applyFill="1" applyBorder="1" applyAlignment="1">
      <alignment horizontal="right" vertical="center" wrapText="1"/>
    </xf>
    <xf numFmtId="166" fontId="24" fillId="2" borderId="2" xfId="0" applyNumberFormat="1" applyFont="1" applyFill="1" applyBorder="1" applyAlignment="1">
      <alignment horizontal="right" vertical="center" wrapText="1"/>
    </xf>
    <xf numFmtId="9" fontId="26" fillId="6" borderId="3" xfId="0" applyNumberFormat="1" applyFont="1" applyFill="1" applyBorder="1" applyAlignment="1">
      <alignment horizontal="right" vertical="center" wrapText="1"/>
    </xf>
    <xf numFmtId="0" fontId="35" fillId="13" borderId="0" xfId="0" applyFont="1" applyFill="1"/>
    <xf numFmtId="0" fontId="0" fillId="0" borderId="21" xfId="0" applyBorder="1"/>
    <xf numFmtId="165" fontId="2" fillId="0" borderId="2" xfId="0" applyNumberFormat="1" applyFont="1" applyBorder="1" applyAlignment="1">
      <alignment horizontal="right" vertical="center" wrapText="1"/>
    </xf>
    <xf numFmtId="9" fontId="2" fillId="0" borderId="10" xfId="0" applyNumberFormat="1" applyFont="1" applyBorder="1" applyAlignment="1">
      <alignment horizontal="right" vertical="center" wrapText="1"/>
    </xf>
    <xf numFmtId="165" fontId="7" fillId="2" borderId="2" xfId="0" applyNumberFormat="1" applyFont="1" applyFill="1" applyBorder="1" applyAlignment="1">
      <alignment horizontal="center"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166" fontId="2" fillId="6" borderId="3" xfId="0" applyNumberFormat="1" applyFont="1" applyFill="1" applyBorder="1" applyAlignment="1">
      <alignment horizontal="right" vertical="center" wrapText="1"/>
    </xf>
    <xf numFmtId="166" fontId="1" fillId="0" borderId="2" xfId="0" applyNumberFormat="1" applyFont="1" applyBorder="1" applyAlignment="1">
      <alignment horizontal="right" vertical="center" wrapText="1"/>
    </xf>
    <xf numFmtId="166" fontId="1" fillId="0" borderId="3" xfId="0" applyNumberFormat="1" applyFont="1" applyBorder="1" applyAlignment="1">
      <alignment horizontal="right" vertical="center" wrapText="1"/>
    </xf>
    <xf numFmtId="166" fontId="6" fillId="0" borderId="8" xfId="0" applyNumberFormat="1" applyFont="1" applyBorder="1" applyAlignment="1">
      <alignment horizontal="right" vertical="center" wrapText="1"/>
    </xf>
    <xf numFmtId="166" fontId="2" fillId="6" borderId="7" xfId="0" applyNumberFormat="1" applyFont="1" applyFill="1" applyBorder="1" applyAlignment="1">
      <alignment horizontal="right" vertical="center" wrapText="1"/>
    </xf>
    <xf numFmtId="165" fontId="1" fillId="0" borderId="2" xfId="0" applyNumberFormat="1" applyFont="1" applyBorder="1" applyAlignment="1">
      <alignment horizontal="right" vertical="center" wrapText="1"/>
    </xf>
    <xf numFmtId="167" fontId="7" fillId="3" borderId="2" xfId="0" applyNumberFormat="1" applyFont="1" applyFill="1" applyBorder="1" applyAlignment="1">
      <alignment horizontal="right" vertical="center" wrapText="1"/>
    </xf>
    <xf numFmtId="167" fontId="7" fillId="5" borderId="3" xfId="0" applyNumberFormat="1" applyFont="1" applyFill="1" applyBorder="1" applyAlignment="1">
      <alignment horizontal="right" vertical="center" wrapText="1"/>
    </xf>
    <xf numFmtId="167" fontId="2" fillId="4" borderId="2" xfId="0" applyNumberFormat="1" applyFont="1" applyFill="1" applyBorder="1" applyAlignment="1">
      <alignment horizontal="right" vertical="center" wrapText="1"/>
    </xf>
    <xf numFmtId="167" fontId="2" fillId="6" borderId="3" xfId="0" applyNumberFormat="1" applyFont="1" applyFill="1" applyBorder="1" applyAlignment="1">
      <alignment horizontal="right" vertical="center" wrapText="1"/>
    </xf>
    <xf numFmtId="14" fontId="0" fillId="0" borderId="0" xfId="0" applyNumberFormat="1" applyAlignment="1">
      <alignment horizontal="right"/>
    </xf>
    <xf numFmtId="0" fontId="36" fillId="0" borderId="0" xfId="1"/>
    <xf numFmtId="0" fontId="37" fillId="0" borderId="0" xfId="0" applyFont="1"/>
    <xf numFmtId="8" fontId="37" fillId="0" borderId="0" xfId="0" applyNumberFormat="1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9" fontId="37" fillId="0" borderId="0" xfId="0" applyNumberFormat="1" applyFont="1"/>
    <xf numFmtId="0" fontId="41" fillId="0" borderId="0" xfId="0" applyFont="1"/>
    <xf numFmtId="8" fontId="42" fillId="0" borderId="0" xfId="0" applyNumberFormat="1" applyFont="1"/>
    <xf numFmtId="0" fontId="42" fillId="0" borderId="0" xfId="0" applyFont="1"/>
    <xf numFmtId="0" fontId="3" fillId="0" borderId="3" xfId="0" applyFont="1" applyBorder="1" applyAlignment="1">
      <alignment horizontal="left"/>
    </xf>
    <xf numFmtId="164" fontId="2" fillId="4" borderId="2" xfId="0" applyNumberFormat="1" applyFont="1" applyFill="1" applyBorder="1" applyAlignment="1">
      <alignment horizontal="right" vertical="center" wrapText="1"/>
    </xf>
    <xf numFmtId="164" fontId="13" fillId="4" borderId="2" xfId="0" applyNumberFormat="1" applyFont="1" applyFill="1" applyBorder="1" applyAlignment="1">
      <alignment horizontal="right" vertical="center" wrapText="1"/>
    </xf>
    <xf numFmtId="0" fontId="0" fillId="0" borderId="17" xfId="0" applyBorder="1"/>
    <xf numFmtId="0" fontId="0" fillId="0" borderId="19" xfId="0" applyBorder="1"/>
    <xf numFmtId="0" fontId="1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26" fillId="4" borderId="3" xfId="0" applyFont="1" applyFill="1" applyBorder="1" applyAlignment="1">
      <alignment wrapText="1"/>
    </xf>
    <xf numFmtId="2" fontId="2" fillId="0" borderId="0" xfId="0" applyNumberFormat="1" applyFont="1"/>
    <xf numFmtId="2" fontId="6" fillId="0" borderId="0" xfId="0" applyNumberFormat="1" applyFont="1"/>
    <xf numFmtId="2" fontId="1" fillId="0" borderId="0" xfId="0" applyNumberFormat="1" applyFont="1"/>
    <xf numFmtId="167" fontId="7" fillId="8" borderId="2" xfId="0" applyNumberFormat="1" applyFont="1" applyFill="1" applyBorder="1" applyAlignment="1">
      <alignment horizontal="right" vertical="center" wrapText="1"/>
    </xf>
    <xf numFmtId="167" fontId="2" fillId="0" borderId="2" xfId="0" applyNumberFormat="1" applyFont="1" applyBorder="1" applyAlignment="1">
      <alignment horizontal="right" vertical="center" wrapText="1"/>
    </xf>
    <xf numFmtId="167" fontId="2" fillId="0" borderId="10" xfId="0" applyNumberFormat="1" applyFont="1" applyBorder="1" applyAlignment="1">
      <alignment horizontal="right" vertical="center" wrapText="1"/>
    </xf>
    <xf numFmtId="167" fontId="2" fillId="6" borderId="14" xfId="0" applyNumberFormat="1" applyFont="1" applyFill="1" applyBorder="1" applyAlignment="1">
      <alignment horizontal="right" vertical="center" wrapText="1"/>
    </xf>
    <xf numFmtId="168" fontId="2" fillId="0" borderId="13" xfId="0" applyNumberFormat="1" applyFont="1" applyBorder="1" applyAlignment="1">
      <alignment horizontal="right" vertical="center" wrapText="1"/>
    </xf>
    <xf numFmtId="168" fontId="2" fillId="6" borderId="14" xfId="0" applyNumberFormat="1" applyFont="1" applyFill="1" applyBorder="1" applyAlignment="1">
      <alignment horizontal="right" vertical="center" wrapText="1"/>
    </xf>
    <xf numFmtId="168" fontId="7" fillId="9" borderId="2" xfId="0" applyNumberFormat="1" applyFont="1" applyFill="1" applyBorder="1" applyAlignment="1">
      <alignment horizontal="right" vertical="center" wrapText="1"/>
    </xf>
    <xf numFmtId="168" fontId="2" fillId="6" borderId="3" xfId="0" applyNumberFormat="1" applyFont="1" applyFill="1" applyBorder="1" applyAlignment="1">
      <alignment horizontal="right" vertical="center" wrapText="1"/>
    </xf>
    <xf numFmtId="168" fontId="2" fillId="0" borderId="2" xfId="0" applyNumberFormat="1" applyFont="1" applyBorder="1" applyAlignment="1">
      <alignment horizontal="right" vertical="center" wrapText="1"/>
    </xf>
    <xf numFmtId="168" fontId="7" fillId="5" borderId="2" xfId="0" applyNumberFormat="1" applyFont="1" applyFill="1" applyBorder="1" applyAlignment="1">
      <alignment horizontal="right" vertical="center" wrapText="1"/>
    </xf>
    <xf numFmtId="168" fontId="6" fillId="0" borderId="6" xfId="0" applyNumberFormat="1" applyFont="1" applyBorder="1" applyAlignment="1">
      <alignment horizontal="right" vertical="center" wrapText="1"/>
    </xf>
    <xf numFmtId="168" fontId="1" fillId="0" borderId="2" xfId="0" applyNumberFormat="1" applyFont="1" applyBorder="1" applyAlignment="1">
      <alignment horizontal="right" vertical="center" wrapText="1"/>
    </xf>
    <xf numFmtId="168" fontId="7" fillId="2" borderId="2" xfId="0" applyNumberFormat="1" applyFont="1" applyFill="1" applyBorder="1" applyAlignment="1">
      <alignment horizontal="right" vertical="center" wrapText="1"/>
    </xf>
    <xf numFmtId="168" fontId="6" fillId="0" borderId="8" xfId="0" applyNumberFormat="1" applyFont="1" applyBorder="1" applyAlignment="1">
      <alignment horizontal="right" vertical="center" wrapText="1"/>
    </xf>
    <xf numFmtId="167" fontId="2" fillId="0" borderId="8" xfId="0" applyNumberFormat="1" applyFont="1" applyBorder="1" applyAlignment="1">
      <alignment horizontal="right" vertical="center" wrapText="1"/>
    </xf>
    <xf numFmtId="167" fontId="2" fillId="6" borderId="7" xfId="0" applyNumberFormat="1" applyFont="1" applyFill="1" applyBorder="1" applyAlignment="1">
      <alignment horizontal="right" vertical="center" wrapText="1"/>
    </xf>
    <xf numFmtId="9" fontId="2" fillId="6" borderId="11" xfId="0" applyNumberFormat="1" applyFont="1" applyFill="1" applyBorder="1" applyAlignment="1">
      <alignment horizontal="right" vertical="center" wrapText="1"/>
    </xf>
    <xf numFmtId="0" fontId="36" fillId="0" borderId="0" xfId="1" applyNumberFormat="1"/>
    <xf numFmtId="0" fontId="0" fillId="0" borderId="22" xfId="0" applyBorder="1"/>
    <xf numFmtId="0" fontId="0" fillId="0" borderId="23" xfId="0" applyBorder="1"/>
    <xf numFmtId="4" fontId="0" fillId="0" borderId="23" xfId="0" applyNumberFormat="1" applyBorder="1"/>
    <xf numFmtId="0" fontId="0" fillId="0" borderId="24" xfId="0" applyBorder="1"/>
    <xf numFmtId="0" fontId="35" fillId="13" borderId="25" xfId="0" applyFont="1" applyFill="1" applyBorder="1"/>
    <xf numFmtId="0" fontId="35" fillId="13" borderId="26" xfId="0" applyFont="1" applyFill="1" applyBorder="1"/>
    <xf numFmtId="4" fontId="35" fillId="13" borderId="26" xfId="0" applyNumberFormat="1" applyFont="1" applyFill="1" applyBorder="1"/>
    <xf numFmtId="0" fontId="35" fillId="13" borderId="21" xfId="0" applyFont="1" applyFill="1" applyBorder="1"/>
    <xf numFmtId="0" fontId="35" fillId="0" borderId="27" xfId="0" applyFont="1" applyBorder="1"/>
    <xf numFmtId="0" fontId="35" fillId="0" borderId="28" xfId="0" applyFont="1" applyBorder="1"/>
    <xf numFmtId="4" fontId="35" fillId="0" borderId="28" xfId="0" applyNumberFormat="1" applyFont="1" applyBorder="1"/>
    <xf numFmtId="0" fontId="35" fillId="0" borderId="29" xfId="0" applyFont="1" applyBorder="1"/>
    <xf numFmtId="2" fontId="20" fillId="7" borderId="0" xfId="0" applyNumberFormat="1" applyFont="1" applyFill="1"/>
    <xf numFmtId="0" fontId="2" fillId="7" borderId="3" xfId="0" applyFont="1" applyFill="1" applyBorder="1" applyAlignment="1">
      <alignment horizontal="left" wrapText="1"/>
    </xf>
    <xf numFmtId="4" fontId="2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6" fillId="0" borderId="0" xfId="1" applyBorder="1"/>
    <xf numFmtId="0" fontId="43" fillId="0" borderId="2" xfId="0" applyFont="1" applyBorder="1" applyAlignment="1">
      <alignment horizontal="right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4" fontId="19" fillId="0" borderId="0" xfId="0" applyNumberFormat="1" applyFont="1"/>
    <xf numFmtId="49" fontId="0" fillId="0" borderId="0" xfId="0" applyNumberFormat="1" applyAlignment="1">
      <alignment horizontal="right"/>
    </xf>
    <xf numFmtId="2" fontId="0" fillId="0" borderId="30" xfId="0" applyNumberFormat="1" applyBorder="1"/>
    <xf numFmtId="164" fontId="0" fillId="0" borderId="0" xfId="2" applyNumberFormat="1" applyFont="1"/>
    <xf numFmtId="168" fontId="0" fillId="0" borderId="0" xfId="0" applyNumberFormat="1"/>
    <xf numFmtId="0" fontId="1" fillId="0" borderId="0" xfId="0" applyFont="1" applyAlignment="1">
      <alignment horizontal="right" wrapText="1"/>
    </xf>
    <xf numFmtId="2" fontId="0" fillId="0" borderId="15" xfId="0" applyNumberFormat="1" applyBorder="1"/>
    <xf numFmtId="16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165" fontId="2" fillId="0" borderId="3" xfId="0" applyNumberFormat="1" applyFont="1" applyBorder="1" applyAlignment="1">
      <alignment horizontal="right" vertical="center" wrapText="1"/>
    </xf>
    <xf numFmtId="14" fontId="0" fillId="0" borderId="2" xfId="0" applyNumberFormat="1" applyBorder="1" applyAlignment="1">
      <alignment horizontal="right" vertical="center"/>
    </xf>
    <xf numFmtId="0" fontId="47" fillId="0" borderId="0" xfId="0" applyFont="1" applyAlignment="1">
      <alignment horizontal="right"/>
    </xf>
    <xf numFmtId="0" fontId="48" fillId="0" borderId="0" xfId="0" applyFont="1"/>
    <xf numFmtId="0" fontId="49" fillId="0" borderId="0" xfId="0" applyFont="1"/>
    <xf numFmtId="4" fontId="50" fillId="0" borderId="0" xfId="0" applyNumberFormat="1" applyFont="1"/>
    <xf numFmtId="8" fontId="6" fillId="7" borderId="6" xfId="0" applyNumberFormat="1" applyFont="1" applyFill="1" applyBorder="1" applyAlignment="1">
      <alignment horizontal="right" vertical="center" wrapText="1"/>
    </xf>
    <xf numFmtId="169" fontId="44" fillId="0" borderId="0" xfId="0" applyNumberFormat="1" applyFont="1"/>
    <xf numFmtId="9" fontId="0" fillId="0" borderId="0" xfId="0" applyNumberFormat="1"/>
    <xf numFmtId="0" fontId="51" fillId="0" borderId="0" xfId="0" applyFont="1"/>
    <xf numFmtId="0" fontId="5" fillId="0" borderId="3" xfId="0" applyFont="1" applyBorder="1" applyAlignment="1">
      <alignment horizontal="left" wrapText="1"/>
    </xf>
    <xf numFmtId="0" fontId="0" fillId="0" borderId="0" xfId="0" applyNumberFormat="1"/>
    <xf numFmtId="0" fontId="19" fillId="0" borderId="0" xfId="0" applyNumberFormat="1" applyFont="1"/>
    <xf numFmtId="164" fontId="0" fillId="0" borderId="0" xfId="0" applyNumberFormat="1"/>
    <xf numFmtId="164" fontId="1" fillId="0" borderId="2" xfId="0" applyNumberFormat="1" applyFont="1" applyBorder="1" applyAlignment="1">
      <alignment horizontal="right" vertical="center" wrapText="1"/>
    </xf>
    <xf numFmtId="9" fontId="23" fillId="0" borderId="2" xfId="0" applyNumberFormat="1" applyFont="1" applyBorder="1" applyAlignment="1">
      <alignment horizontal="right" vertical="center" wrapText="1"/>
    </xf>
    <xf numFmtId="0" fontId="2" fillId="4" borderId="3" xfId="0" applyFont="1" applyFill="1" applyBorder="1" applyAlignment="1">
      <alignment horizontal="left" wrapText="1"/>
    </xf>
    <xf numFmtId="165" fontId="0" fillId="0" borderId="2" xfId="0" applyNumberFormat="1" applyBorder="1" applyAlignment="1">
      <alignment horizontal="left" vertical="center"/>
    </xf>
    <xf numFmtId="165" fontId="46" fillId="0" borderId="2" xfId="0" applyNumberFormat="1" applyFont="1" applyBorder="1" applyAlignment="1">
      <alignment horizontal="left" vertical="center"/>
    </xf>
    <xf numFmtId="165" fontId="46" fillId="0" borderId="2" xfId="0" applyNumberFormat="1" applyFont="1" applyBorder="1" applyAlignment="1">
      <alignment horizontal="right" vertical="center"/>
    </xf>
    <xf numFmtId="17" fontId="7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8" fontId="0" fillId="0" borderId="2" xfId="0" applyNumberFormat="1" applyBorder="1" applyAlignment="1">
      <alignment horizontal="right" vertical="center"/>
    </xf>
    <xf numFmtId="0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0" fontId="52" fillId="0" borderId="0" xfId="0" applyFont="1"/>
    <xf numFmtId="0" fontId="53" fillId="4" borderId="3" xfId="0" applyFont="1" applyFill="1" applyBorder="1" applyAlignment="1">
      <alignment horizontal="center"/>
    </xf>
    <xf numFmtId="0" fontId="53" fillId="4" borderId="3" xfId="0" applyFont="1" applyFill="1" applyBorder="1" applyAlignment="1">
      <alignment horizontal="left"/>
    </xf>
    <xf numFmtId="0" fontId="53" fillId="4" borderId="3" xfId="0" applyFont="1" applyFill="1" applyBorder="1" applyAlignment="1">
      <alignment horizontal="left" wrapText="1"/>
    </xf>
    <xf numFmtId="8" fontId="53" fillId="4" borderId="2" xfId="0" applyNumberFormat="1" applyFont="1" applyFill="1" applyBorder="1" applyAlignment="1">
      <alignment horizontal="right" vertical="center" wrapText="1"/>
    </xf>
    <xf numFmtId="8" fontId="53" fillId="6" borderId="3" xfId="0" applyNumberFormat="1" applyFont="1" applyFill="1" applyBorder="1" applyAlignment="1">
      <alignment horizontal="right" vertical="center" wrapText="1"/>
    </xf>
    <xf numFmtId="8" fontId="6" fillId="4" borderId="2" xfId="0" applyNumberFormat="1" applyFont="1" applyFill="1" applyBorder="1" applyAlignment="1">
      <alignment horizontal="right" vertical="center" wrapText="1"/>
    </xf>
    <xf numFmtId="8" fontId="54" fillId="4" borderId="2" xfId="0" applyNumberFormat="1" applyFont="1" applyFill="1" applyBorder="1" applyAlignment="1">
      <alignment horizontal="right" vertical="center" wrapText="1"/>
    </xf>
    <xf numFmtId="8" fontId="55" fillId="4" borderId="2" xfId="0" applyNumberFormat="1" applyFont="1" applyFill="1" applyBorder="1" applyAlignment="1">
      <alignment horizontal="right" vertical="center" wrapText="1"/>
    </xf>
    <xf numFmtId="0" fontId="0" fillId="0" borderId="2" xfId="0" applyNumberFormat="1" applyBorder="1" applyAlignment="1">
      <alignment horizontal="right" vertical="center"/>
    </xf>
    <xf numFmtId="14" fontId="0" fillId="0" borderId="4" xfId="0" applyNumberFormat="1" applyBorder="1"/>
    <xf numFmtId="0" fontId="0" fillId="0" borderId="4" xfId="0" applyNumberFormat="1" applyBorder="1"/>
    <xf numFmtId="0" fontId="46" fillId="14" borderId="4" xfId="0" applyFont="1" applyFill="1" applyBorder="1"/>
    <xf numFmtId="0" fontId="44" fillId="0" borderId="0" xfId="0" applyFont="1"/>
    <xf numFmtId="170" fontId="57" fillId="0" borderId="0" xfId="0" applyNumberFormat="1" applyFont="1"/>
    <xf numFmtId="172" fontId="0" fillId="0" borderId="0" xfId="0" applyNumberFormat="1"/>
    <xf numFmtId="171" fontId="0" fillId="0" borderId="0" xfId="0" applyNumberFormat="1"/>
    <xf numFmtId="0" fontId="0" fillId="0" borderId="0" xfId="0" applyAlignment="1">
      <alignment horizontal="right" wrapText="1"/>
    </xf>
    <xf numFmtId="0" fontId="0" fillId="0" borderId="0" xfId="0" applyAlignment="1">
      <alignment horizontal="left"/>
    </xf>
    <xf numFmtId="0" fontId="20" fillId="15" borderId="0" xfId="0" applyFont="1" applyFill="1" applyAlignment="1">
      <alignment horizontal="left"/>
    </xf>
    <xf numFmtId="0" fontId="58" fillId="4" borderId="3" xfId="0" applyFont="1" applyFill="1" applyBorder="1" applyAlignment="1">
      <alignment horizontal="center" wrapText="1"/>
    </xf>
    <xf numFmtId="4" fontId="0" fillId="0" borderId="0" xfId="0" applyNumberFormat="1" applyAlignment="1">
      <alignment horizontal="left"/>
    </xf>
    <xf numFmtId="4" fontId="19" fillId="0" borderId="0" xfId="0" applyNumberFormat="1" applyFont="1" applyAlignment="1">
      <alignment horizontal="left"/>
    </xf>
    <xf numFmtId="8" fontId="59" fillId="4" borderId="2" xfId="0" applyNumberFormat="1" applyFont="1" applyFill="1" applyBorder="1" applyAlignment="1">
      <alignment horizontal="right" vertical="center" wrapText="1"/>
    </xf>
    <xf numFmtId="8" fontId="59" fillId="5" borderId="2" xfId="0" applyNumberFormat="1" applyFont="1" applyFill="1" applyBorder="1" applyAlignment="1">
      <alignment horizontal="right" vertical="center" wrapText="1"/>
    </xf>
    <xf numFmtId="0" fontId="18" fillId="2" borderId="4" xfId="0" applyFont="1" applyFill="1" applyBorder="1"/>
    <xf numFmtId="173" fontId="0" fillId="0" borderId="0" xfId="0" applyNumberFormat="1"/>
    <xf numFmtId="0" fontId="0" fillId="0" borderId="0" xfId="0" quotePrefix="1"/>
    <xf numFmtId="0" fontId="3" fillId="0" borderId="3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4" borderId="3" xfId="0" applyFont="1" applyFill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8" fillId="8" borderId="4" xfId="0" applyFont="1" applyFill="1" applyBorder="1"/>
    <xf numFmtId="0" fontId="4" fillId="0" borderId="4" xfId="0" applyFont="1" applyBorder="1" applyAlignment="1">
      <alignment horizontal="left" wrapText="1"/>
    </xf>
    <xf numFmtId="0" fontId="0" fillId="0" borderId="0" xfId="0" applyNumberFormat="1" applyAlignment="1">
      <alignment horizontal="left"/>
    </xf>
    <xf numFmtId="0" fontId="2" fillId="0" borderId="3" xfId="0" applyFont="1" applyBorder="1" applyAlignment="1">
      <alignment horizontal="left"/>
    </xf>
    <xf numFmtId="8" fontId="53" fillId="0" borderId="2" xfId="0" applyNumberFormat="1" applyFont="1" applyBorder="1" applyAlignment="1">
      <alignment horizontal="right" vertical="center" wrapText="1"/>
    </xf>
    <xf numFmtId="0" fontId="63" fillId="0" borderId="3" xfId="0" applyFont="1" applyBorder="1" applyAlignment="1">
      <alignment horizontal="left" wrapText="1"/>
    </xf>
    <xf numFmtId="8" fontId="55" fillId="0" borderId="6" xfId="0" applyNumberFormat="1" applyFont="1" applyBorder="1" applyAlignment="1">
      <alignment horizontal="right" vertical="center" wrapText="1"/>
    </xf>
    <xf numFmtId="8" fontId="53" fillId="6" borderId="5" xfId="0" applyNumberFormat="1" applyFont="1" applyFill="1" applyBorder="1" applyAlignment="1">
      <alignment horizontal="right" vertical="center" wrapText="1"/>
    </xf>
    <xf numFmtId="0" fontId="64" fillId="0" borderId="3" xfId="0" applyFont="1" applyBorder="1" applyAlignment="1">
      <alignment horizontal="left" wrapText="1"/>
    </xf>
    <xf numFmtId="16" fontId="0" fillId="0" borderId="0" xfId="0" applyNumberFormat="1"/>
    <xf numFmtId="4" fontId="35" fillId="0" borderId="0" xfId="0" applyNumberFormat="1" applyFont="1"/>
    <xf numFmtId="0" fontId="2" fillId="4" borderId="0" xfId="0" applyFont="1" applyFill="1" applyBorder="1" applyAlignment="1">
      <alignment horizontal="center" wrapText="1"/>
    </xf>
    <xf numFmtId="0" fontId="53" fillId="4" borderId="0" xfId="0" applyFont="1" applyFill="1" applyBorder="1" applyAlignment="1">
      <alignment horizontal="left"/>
    </xf>
    <xf numFmtId="0" fontId="53" fillId="4" borderId="0" xfId="0" applyFont="1" applyFill="1" applyBorder="1" applyAlignment="1">
      <alignment horizontal="left" wrapText="1"/>
    </xf>
    <xf numFmtId="0" fontId="5" fillId="0" borderId="35" xfId="0" applyFont="1" applyBorder="1" applyAlignment="1">
      <alignment horizontal="left" wrapText="1"/>
    </xf>
    <xf numFmtId="0" fontId="4" fillId="0" borderId="35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64" fillId="0" borderId="3" xfId="0" applyFont="1" applyBorder="1" applyAlignment="1">
      <alignment horizontal="left" wrapText="1"/>
    </xf>
    <xf numFmtId="0" fontId="6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0" xfId="0" applyBorder="1"/>
    <xf numFmtId="164" fontId="66" fillId="0" borderId="2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wrapText="1"/>
    </xf>
    <xf numFmtId="164" fontId="53" fillId="6" borderId="3" xfId="0" applyNumberFormat="1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left" wrapText="1"/>
    </xf>
    <xf numFmtId="164" fontId="66" fillId="16" borderId="2" xfId="0" applyNumberFormat="1" applyFont="1" applyFill="1" applyBorder="1" applyAlignment="1">
      <alignment horizontal="center" vertical="center" wrapText="1"/>
    </xf>
    <xf numFmtId="8" fontId="2" fillId="16" borderId="2" xfId="0" applyNumberFormat="1" applyFont="1" applyFill="1" applyBorder="1" applyAlignment="1">
      <alignment horizontal="right" vertical="center" wrapText="1"/>
    </xf>
    <xf numFmtId="0" fontId="4" fillId="16" borderId="3" xfId="0" applyFont="1" applyFill="1" applyBorder="1" applyAlignment="1">
      <alignment horizontal="right" wrapText="1"/>
    </xf>
    <xf numFmtId="8" fontId="6" fillId="16" borderId="2" xfId="0" applyNumberFormat="1" applyFont="1" applyFill="1" applyBorder="1" applyAlignment="1">
      <alignment horizontal="right" vertical="center" wrapText="1"/>
    </xf>
    <xf numFmtId="8" fontId="54" fillId="16" borderId="2" xfId="0" applyNumberFormat="1" applyFont="1" applyFill="1" applyBorder="1" applyAlignment="1">
      <alignment horizontal="right" vertical="center" wrapText="1"/>
    </xf>
    <xf numFmtId="8" fontId="6" fillId="16" borderId="2" xfId="0" quotePrefix="1" applyNumberFormat="1" applyFont="1" applyFill="1" applyBorder="1" applyAlignment="1">
      <alignment horizontal="right" vertical="center" wrapText="1"/>
    </xf>
    <xf numFmtId="0" fontId="3" fillId="16" borderId="3" xfId="0" applyFont="1" applyFill="1" applyBorder="1" applyAlignment="1">
      <alignment horizontal="left" wrapText="1"/>
    </xf>
    <xf numFmtId="0" fontId="4" fillId="16" borderId="3" xfId="0" applyFont="1" applyFill="1" applyBorder="1" applyAlignment="1">
      <alignment horizontal="left"/>
    </xf>
    <xf numFmtId="8" fontId="2" fillId="0" borderId="10" xfId="0" applyNumberFormat="1" applyFont="1" applyBorder="1" applyAlignment="1">
      <alignment horizontal="right" vertical="center" wrapText="1"/>
    </xf>
    <xf numFmtId="0" fontId="2" fillId="4" borderId="3" xfId="0" applyFont="1" applyFill="1" applyBorder="1" applyAlignment="1">
      <alignment horizontal="left" wrapText="1"/>
    </xf>
    <xf numFmtId="0" fontId="3" fillId="4" borderId="3" xfId="0" applyFont="1" applyFill="1" applyBorder="1" applyAlignment="1">
      <alignment horizontal="left" wrapText="1"/>
    </xf>
    <xf numFmtId="0" fontId="60" fillId="5" borderId="3" xfId="0" applyFont="1" applyFill="1" applyBorder="1" applyAlignment="1">
      <alignment horizontal="left" wrapText="1"/>
    </xf>
    <xf numFmtId="0" fontId="60" fillId="5" borderId="1" xfId="0" applyFont="1" applyFill="1" applyBorder="1" applyAlignment="1">
      <alignment horizontal="left" wrapText="1"/>
    </xf>
    <xf numFmtId="0" fontId="56" fillId="16" borderId="3" xfId="1" applyFont="1" applyFill="1" applyBorder="1" applyAlignment="1">
      <alignment horizontal="left" wrapText="1"/>
    </xf>
    <xf numFmtId="0" fontId="56" fillId="16" borderId="1" xfId="1" applyFont="1" applyFill="1" applyBorder="1" applyAlignment="1">
      <alignment horizontal="left" wrapText="1"/>
    </xf>
    <xf numFmtId="0" fontId="3" fillId="7" borderId="37" xfId="0" applyFont="1" applyFill="1" applyBorder="1" applyAlignment="1">
      <alignment horizontal="left" wrapText="1"/>
    </xf>
    <xf numFmtId="0" fontId="3" fillId="7" borderId="38" xfId="0" applyFont="1" applyFill="1" applyBorder="1" applyAlignment="1">
      <alignment horizontal="left" wrapText="1"/>
    </xf>
    <xf numFmtId="0" fontId="3" fillId="7" borderId="39" xfId="0" applyFont="1" applyFill="1" applyBorder="1" applyAlignment="1">
      <alignment horizontal="left" wrapText="1"/>
    </xf>
    <xf numFmtId="0" fontId="60" fillId="8" borderId="5" xfId="0" applyFont="1" applyFill="1" applyBorder="1" applyAlignment="1">
      <alignment horizontal="left" wrapText="1"/>
    </xf>
    <xf numFmtId="0" fontId="60" fillId="8" borderId="32" xfId="0" applyFont="1" applyFill="1" applyBorder="1" applyAlignment="1">
      <alignment horizontal="left" wrapText="1"/>
    </xf>
    <xf numFmtId="0" fontId="56" fillId="16" borderId="7" xfId="1" applyFont="1" applyFill="1" applyBorder="1" applyAlignment="1">
      <alignment horizontal="left" wrapText="1"/>
    </xf>
    <xf numFmtId="0" fontId="56" fillId="16" borderId="33" xfId="1" applyFont="1" applyFill="1" applyBorder="1" applyAlignment="1">
      <alignment horizontal="left" wrapText="1"/>
    </xf>
    <xf numFmtId="0" fontId="4" fillId="16" borderId="3" xfId="0" applyFont="1" applyFill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64" fillId="0" borderId="3" xfId="0" applyFont="1" applyBorder="1" applyAlignment="1">
      <alignment horizontal="left" wrapText="1"/>
    </xf>
    <xf numFmtId="0" fontId="64" fillId="0" borderId="1" xfId="0" applyFont="1" applyBorder="1" applyAlignment="1">
      <alignment horizontal="left" wrapText="1"/>
    </xf>
    <xf numFmtId="0" fontId="62" fillId="0" borderId="3" xfId="0" applyFont="1" applyBorder="1" applyAlignment="1">
      <alignment horizontal="left" wrapText="1"/>
    </xf>
    <xf numFmtId="0" fontId="62" fillId="0" borderId="1" xfId="0" applyFont="1" applyBorder="1" applyAlignment="1">
      <alignment horizontal="left" wrapText="1"/>
    </xf>
    <xf numFmtId="0" fontId="56" fillId="4" borderId="3" xfId="1" applyFont="1" applyFill="1" applyBorder="1" applyAlignment="1">
      <alignment horizontal="left" wrapText="1"/>
    </xf>
    <xf numFmtId="0" fontId="61" fillId="4" borderId="3" xfId="1" applyFont="1" applyFill="1" applyBorder="1" applyAlignment="1">
      <alignment horizontal="left" wrapText="1"/>
    </xf>
    <xf numFmtId="0" fontId="65" fillId="4" borderId="0" xfId="1" applyFont="1" applyFill="1" applyBorder="1" applyAlignment="1">
      <alignment horizontal="left" wrapText="1"/>
    </xf>
    <xf numFmtId="0" fontId="65" fillId="4" borderId="31" xfId="1" applyFont="1" applyFill="1" applyBorder="1" applyAlignment="1">
      <alignment horizontal="left" wrapText="1"/>
    </xf>
    <xf numFmtId="0" fontId="45" fillId="0" borderId="3" xfId="0" applyFont="1" applyBorder="1" applyAlignment="1">
      <alignment horizontal="center" wrapText="1"/>
    </xf>
    <xf numFmtId="0" fontId="60" fillId="3" borderId="0" xfId="0" applyFont="1" applyFill="1" applyBorder="1" applyAlignment="1">
      <alignment horizontal="left" wrapText="1"/>
    </xf>
    <xf numFmtId="0" fontId="60" fillId="3" borderId="31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60" fillId="9" borderId="0" xfId="0" applyFont="1" applyFill="1" applyBorder="1" applyAlignment="1">
      <alignment horizontal="left" wrapText="1"/>
    </xf>
    <xf numFmtId="0" fontId="60" fillId="9" borderId="31" xfId="0" applyFont="1" applyFill="1" applyBorder="1" applyAlignment="1">
      <alignment horizontal="left" wrapText="1"/>
    </xf>
    <xf numFmtId="0" fontId="3" fillId="7" borderId="34" xfId="0" applyFont="1" applyFill="1" applyBorder="1" applyAlignment="1">
      <alignment horizontal="left" wrapText="1"/>
    </xf>
    <xf numFmtId="0" fontId="3" fillId="7" borderId="35" xfId="0" applyFont="1" applyFill="1" applyBorder="1" applyAlignment="1">
      <alignment horizontal="left" wrapText="1"/>
    </xf>
    <xf numFmtId="0" fontId="3" fillId="7" borderId="36" xfId="0" applyFont="1" applyFill="1" applyBorder="1" applyAlignment="1">
      <alignment horizontal="left" wrapText="1"/>
    </xf>
    <xf numFmtId="0" fontId="3" fillId="7" borderId="40" xfId="0" applyFont="1" applyFill="1" applyBorder="1" applyAlignment="1">
      <alignment horizontal="left" wrapText="1"/>
    </xf>
    <xf numFmtId="0" fontId="3" fillId="7" borderId="41" xfId="0" applyFont="1" applyFill="1" applyBorder="1" applyAlignment="1">
      <alignment horizontal="left" wrapText="1"/>
    </xf>
    <xf numFmtId="0" fontId="3" fillId="7" borderId="42" xfId="0" applyFont="1" applyFill="1" applyBorder="1" applyAlignment="1">
      <alignment horizontal="left" wrapText="1"/>
    </xf>
    <xf numFmtId="0" fontId="24" fillId="2" borderId="3" xfId="0" applyFont="1" applyFill="1" applyBorder="1" applyAlignment="1">
      <alignment horizontal="left" wrapText="1"/>
    </xf>
    <xf numFmtId="0" fontId="24" fillId="2" borderId="1" xfId="0" applyFont="1" applyFill="1" applyBorder="1" applyAlignment="1">
      <alignment horizontal="left" wrapText="1"/>
    </xf>
    <xf numFmtId="0" fontId="24" fillId="5" borderId="3" xfId="0" applyFont="1" applyFill="1" applyBorder="1" applyAlignment="1">
      <alignment horizontal="left" wrapText="1"/>
    </xf>
    <xf numFmtId="0" fontId="25" fillId="0" borderId="3" xfId="0" applyFont="1" applyBorder="1" applyAlignment="1">
      <alignment horizontal="left" wrapText="1"/>
    </xf>
    <xf numFmtId="0" fontId="26" fillId="0" borderId="3" xfId="0" applyFont="1" applyBorder="1" applyAlignment="1">
      <alignment horizontal="left" wrapText="1"/>
    </xf>
    <xf numFmtId="0" fontId="34" fillId="0" borderId="3" xfId="0" applyFont="1" applyBorder="1" applyAlignment="1">
      <alignment horizontal="left" wrapText="1"/>
    </xf>
    <xf numFmtId="0" fontId="34" fillId="0" borderId="1" xfId="0" applyFont="1" applyBorder="1" applyAlignment="1">
      <alignment horizontal="left" wrapText="1"/>
    </xf>
    <xf numFmtId="0" fontId="32" fillId="0" borderId="3" xfId="0" applyFont="1" applyBorder="1" applyAlignment="1">
      <alignment horizontal="left" wrapText="1"/>
    </xf>
    <xf numFmtId="0" fontId="27" fillId="0" borderId="3" xfId="0" applyFont="1" applyBorder="1" applyAlignment="1">
      <alignment horizontal="left" wrapText="1"/>
    </xf>
    <xf numFmtId="0" fontId="27" fillId="0" borderId="5" xfId="0" applyFont="1" applyBorder="1" applyAlignment="1">
      <alignment horizontal="left" wrapText="1"/>
    </xf>
    <xf numFmtId="0" fontId="25" fillId="7" borderId="9" xfId="0" applyFont="1" applyFill="1" applyBorder="1" applyAlignment="1">
      <alignment horizontal="left" wrapText="1"/>
    </xf>
    <xf numFmtId="0" fontId="25" fillId="7" borderId="12" xfId="0" applyFont="1" applyFill="1" applyBorder="1" applyAlignment="1">
      <alignment horizontal="left" wrapText="1"/>
    </xf>
    <xf numFmtId="0" fontId="24" fillId="9" borderId="3" xfId="0" applyFont="1" applyFill="1" applyBorder="1" applyAlignment="1">
      <alignment horizontal="left" wrapText="1"/>
    </xf>
    <xf numFmtId="0" fontId="29" fillId="4" borderId="3" xfId="0" applyFont="1" applyFill="1" applyBorder="1" applyAlignment="1">
      <alignment horizontal="left" wrapText="1"/>
    </xf>
    <xf numFmtId="0" fontId="24" fillId="3" borderId="3" xfId="0" applyFont="1" applyFill="1" applyBorder="1" applyAlignment="1">
      <alignment horizontal="left" wrapText="1"/>
    </xf>
    <xf numFmtId="0" fontId="25" fillId="4" borderId="3" xfId="0" applyFont="1" applyFill="1" applyBorder="1" applyAlignment="1">
      <alignment horizontal="left" wrapText="1"/>
    </xf>
    <xf numFmtId="0" fontId="26" fillId="4" borderId="3" xfId="0" applyFont="1" applyFill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25" fillId="0" borderId="3" xfId="0" applyFont="1" applyBorder="1" applyAlignment="1">
      <alignment horizontal="left"/>
    </xf>
    <xf numFmtId="0" fontId="24" fillId="8" borderId="3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7" fillId="5" borderId="3" xfId="0" applyFont="1" applyFill="1" applyBorder="1" applyAlignment="1">
      <alignment horizontal="left" wrapText="1"/>
    </xf>
    <xf numFmtId="0" fontId="3" fillId="0" borderId="3" xfId="0" applyFont="1" applyBorder="1" applyAlignment="1">
      <alignment horizontal="left"/>
    </xf>
    <xf numFmtId="0" fontId="3" fillId="7" borderId="12" xfId="0" applyFont="1" applyFill="1" applyBorder="1" applyAlignment="1">
      <alignment horizontal="left" wrapText="1"/>
    </xf>
    <xf numFmtId="0" fontId="7" fillId="9" borderId="3" xfId="0" applyFont="1" applyFill="1" applyBorder="1" applyAlignment="1">
      <alignment horizontal="left" wrapText="1"/>
    </xf>
    <xf numFmtId="0" fontId="3" fillId="7" borderId="9" xfId="0" applyFont="1" applyFill="1" applyBorder="1" applyAlignment="1">
      <alignment horizontal="left" wrapText="1"/>
    </xf>
    <xf numFmtId="0" fontId="7" fillId="3" borderId="3" xfId="0" applyFont="1" applyFill="1" applyBorder="1" applyAlignment="1">
      <alignment horizontal="left" wrapText="1"/>
    </xf>
    <xf numFmtId="0" fontId="7" fillId="8" borderId="3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</cellXfs>
  <cellStyles count="3">
    <cellStyle name="Hipervínculo" xfId="1" builtinId="8"/>
    <cellStyle name="Normal" xfId="0" builtinId="0"/>
    <cellStyle name="Porcentaje" xfId="2" builtinId="5"/>
  </cellStyles>
  <dxfs count="109">
    <dxf>
      <numFmt numFmtId="0" formatCode="General"/>
    </dxf>
    <dxf>
      <numFmt numFmtId="0" formatCode="General"/>
    </dxf>
    <dxf>
      <numFmt numFmtId="0" formatCode="General"/>
    </dxf>
    <dxf>
      <font>
        <color theme="9" tint="0.79998168889431442"/>
      </font>
    </dxf>
    <dxf>
      <font>
        <color theme="9" tint="0.79998168889431442"/>
      </font>
    </dxf>
    <dxf>
      <font>
        <color theme="9" tint="0.79998168889431442"/>
      </font>
    </dxf>
    <dxf>
      <font>
        <color rgb="FFFFC9C9"/>
      </font>
    </dxf>
    <dxf>
      <font>
        <color rgb="FFFFC9C9"/>
      </font>
    </dxf>
    <dxf>
      <font>
        <color rgb="FFFF0000"/>
      </font>
    </dxf>
    <dxf>
      <font>
        <color theme="0"/>
      </font>
    </dxf>
    <dxf>
      <font>
        <color theme="9" tint="0.79998168889431442"/>
      </font>
    </dxf>
    <dxf>
      <font>
        <color theme="9" tint="0.79998168889431442"/>
      </font>
    </dxf>
    <dxf>
      <font>
        <color theme="9" tint="0.79998168889431442"/>
      </font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19" formatCode="dd/mm/yyyy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4" formatCode="#,##0.00"/>
    </dxf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3" formatCode="0%"/>
    </dxf>
    <dxf>
      <numFmt numFmtId="2" formatCode="0.00"/>
    </dxf>
    <dxf>
      <numFmt numFmtId="13" formatCode="0%"/>
    </dxf>
    <dxf>
      <numFmt numFmtId="0" formatCode="General"/>
      <alignment horizontal="left" vertical="bottom" textRotation="0" wrapText="0" indent="0" justifyLastLine="0" shrinkToFit="0" readingOrder="0"/>
    </dxf>
    <dxf>
      <numFmt numFmtId="2" formatCode="0.00"/>
    </dxf>
    <dxf>
      <numFmt numFmtId="13" formatCode="0%"/>
    </dxf>
    <dxf>
      <numFmt numFmtId="4" formatCode="#,##0.00"/>
    </dxf>
    <dxf>
      <numFmt numFmtId="173" formatCode="yyyy\-mm\-dd;@"/>
    </dxf>
    <dxf>
      <numFmt numFmtId="4" formatCode="#,##0.00"/>
    </dxf>
    <dxf>
      <numFmt numFmtId="2" formatCode="0.00"/>
    </dxf>
    <dxf>
      <numFmt numFmtId="2" formatCode="0.00"/>
    </dxf>
    <dxf>
      <alignment horizontal="lef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13" formatCode="0%"/>
    </dxf>
    <dxf>
      <alignment horizontal="lef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left" vertical="bottom" textRotation="0" wrapText="0" indent="0" justifyLastLine="0" shrinkToFit="0" readingOrder="0"/>
    </dxf>
    <dxf>
      <numFmt numFmtId="4" formatCode="#,##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FFC9C9"/>
      <color rgb="FF00823B"/>
      <color rgb="FFFFFFC1"/>
      <color rgb="FFFFE593"/>
      <color rgb="FFFFF0C1"/>
      <color rgb="FFFFFFCC"/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onnections" Target="connection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47" Type="http://schemas.microsoft.com/office/2022/11/relationships/FeaturePropertyBag" Target="featurePropertyBag/featurePropertyBag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06/relationships/rdRichValue" Target="richData/rdrichvalue.xml"/><Relationship Id="rId52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22/10/relationships/richValueRel" Target="richData/richValueRel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46" Type="http://schemas.microsoft.com/office/2017/06/relationships/rdRichValueTypes" Target="richData/rdRichValueTypes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B00-000000000000}" autoFormatId="16" applyNumberFormats="0" applyBorderFormats="0" applyFontFormats="0" applyPatternFormats="0" applyAlignmentFormats="0" applyWidthHeightFormats="0">
  <queryTableRefresh nextId="10">
    <queryTableFields count="9">
      <queryTableField id="1" name="order_month_yyyymm" tableColumnId="1"/>
      <queryTableField id="2" name="shipping_country_code" tableColumnId="2"/>
      <queryTableField id="3" name="payment_currency" tableColumnId="3"/>
      <queryTableField id="4" name="is_rever_tag" tableColumnId="4"/>
      <queryTableField id="5" name="is_hannun_tag" tableColumnId="5"/>
      <queryTableField id="6" name="is_mirakl_tag" tableColumnId="6"/>
      <queryTableField id="7" name="tax" tableColumnId="7"/>
      <queryTableField id="8" name="gross" tableColumnId="8"/>
      <queryTableField id="9" name="net" tableColumnId="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EE0500-EF89-4D25-846B-69FC720DB445}" name="ventas_pyg__2" displayName="ventas_pyg__2" ref="C1:K385" tableType="queryTable" totalsRowShown="0">
  <autoFilter ref="C1:K385" xr:uid="{29EE0500-EF89-4D25-846B-69FC720DB445}"/>
  <tableColumns count="9">
    <tableColumn id="1" xr3:uid="{6DA37DFC-ADF8-41B0-8BD5-2DEAD1D19BE6}" uniqueName="1" name="order_month_yyyymm" queryTableFieldId="1" dataDxfId="2"/>
    <tableColumn id="2" xr3:uid="{21462471-B3B1-41CB-96A6-1AF08EB5067D}" uniqueName="2" name="shipping_country_code" queryTableFieldId="2" dataDxfId="1"/>
    <tableColumn id="3" xr3:uid="{CA413B6E-106C-435B-9433-C042270036A9}" uniqueName="3" name="payment_currency" queryTableFieldId="3" dataDxfId="0"/>
    <tableColumn id="4" xr3:uid="{12CF5DD9-78E9-4AF1-A1D1-CB55E0E1D412}" uniqueName="4" name="is_rever_tag" queryTableFieldId="4"/>
    <tableColumn id="5" xr3:uid="{58BF5049-C50D-4711-9C22-AC05AA3FEEB5}" uniqueName="5" name="is_hannun_tag" queryTableFieldId="5"/>
    <tableColumn id="6" xr3:uid="{5777C2AA-8242-4F7B-A0DA-C610DE7BFAB4}" uniqueName="6" name="is_mirakl_tag" queryTableFieldId="6"/>
    <tableColumn id="7" xr3:uid="{53FECA69-8737-4FCB-BAE4-D659A72F0D45}" uniqueName="7" name="tax" queryTableFieldId="7"/>
    <tableColumn id="8" xr3:uid="{0214729E-27CD-4D57-8DE0-0256F75FBEC5}" uniqueName="8" name="gross" queryTableFieldId="8"/>
    <tableColumn id="9" xr3:uid="{CBFC5095-B583-4605-9758-7BBA7C419DC1}" uniqueName="9" name="net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4FF1E9-51D2-4167-8F5A-BC687571F93A}" name="i_marketplaces_sl" displayName="i_marketplaces_sl" ref="C1:K5" totalsRowShown="0">
  <autoFilter ref="C1:K5" xr:uid="{C64FF1E9-51D2-4167-8F5A-BC687571F93A}"/>
  <tableColumns count="9">
    <tableColumn id="1" xr3:uid="{D9A32AAE-CE3F-489A-8708-4AABF45005F9}" name="yyyymm"/>
    <tableColumn id="2" xr3:uid="{8952A0B3-8FE6-4612-AE86-213DEDE3940B}" name="invoice_num"/>
    <tableColumn id="12" xr3:uid="{508852C5-7C3E-4D27-A12C-F76D4B739FA1}" name="client_name"/>
    <tableColumn id="4" xr3:uid="{3961648E-AA9A-4DDA-B0C3-FF038BF6A789}" name="gross" dataDxfId="108">
      <calculatedColumnFormula>+i_marketplaces_sl[[#This Row],[tax]]+i_marketplaces_sl[[#This Row],[net]]</calculatedColumnFormula>
    </tableColumn>
    <tableColumn id="11" xr3:uid="{9857C1C0-C828-4C6D-8903-648F878D7621}" name="tax_rate"/>
    <tableColumn id="5" xr3:uid="{106DC5FA-97FE-4CE4-A3DF-511CE74E11A5}" name="tax" dataDxfId="107">
      <calculatedColumnFormula>+i_marketplaces_sl[[#This Row],[tax_rate]]*i_marketplaces_sl[[#This Row],[net]]</calculatedColumnFormula>
    </tableColumn>
    <tableColumn id="7" xr3:uid="{B2BBEAD8-401F-4EE7-B8AB-8341BB98CD8B}" name="net" dataDxfId="106"/>
    <tableColumn id="8" xr3:uid="{E8871E9B-82D1-47C4-A0B1-1296268CDEB8}" name="ruta"/>
    <tableColumn id="9" xr3:uid="{B2CF385C-7C01-4C4A-9F6A-AA392D02D9CB}" name="comentari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C8988AF-46C5-4B91-9ADD-701612428893}" name="i_suplidos_sl" displayName="i_suplidos_sl" ref="C1:I4" totalsRowShown="0">
  <autoFilter ref="C1:I4" xr:uid="{70480AEA-A478-4154-B8DA-0FFE8221FD8F}"/>
  <tableColumns count="7">
    <tableColumn id="1" xr3:uid="{88D8C4B2-DE8D-480F-B756-D014591FF3C2}" name="yyyymm" dataDxfId="105"/>
    <tableColumn id="4" xr3:uid="{975EF740-115E-47CD-97A3-6FC988BB957E}" name="gross" dataDxfId="104">
      <calculatedColumnFormula>+i_suplidos_sl[[#This Row],[tax]]+i_suplidos_sl[[#This Row],[net]]</calculatedColumnFormula>
    </tableColumn>
    <tableColumn id="11" xr3:uid="{47A8B53D-3FF2-437D-8F90-8E54F20E4D88}" name="tax_rate"/>
    <tableColumn id="5" xr3:uid="{9EB36B32-AB77-4B62-9E62-2B07DF386BBD}" name="tax" dataDxfId="103">
      <calculatedColumnFormula>+i_suplidos_sl[[#This Row],[tax_rate]]*i_suplidos_sl[[#This Row],[net]]</calculatedColumnFormula>
    </tableColumn>
    <tableColumn id="7" xr3:uid="{D4E0D149-A728-4314-931E-E448C3FC1C84}" name="net"/>
    <tableColumn id="8" xr3:uid="{2CA6B4B3-2E0C-4DA5-ACA9-4D12CEF83790}" name="ruta"/>
    <tableColumn id="9" xr3:uid="{81E3C0C8-DC40-4850-B886-9749D234C7FF}" name="comentari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0480AEA-A478-4154-B8DA-0FFE8221FD8F}" name="i_rapels_sl" displayName="i_rapels_sl" ref="C1:K2" totalsRowShown="0">
  <autoFilter ref="C1:K2" xr:uid="{70480AEA-A478-4154-B8DA-0FFE8221FD8F}"/>
  <tableColumns count="9">
    <tableColumn id="1" xr3:uid="{7C7B9770-DC73-4202-8B04-FB531F026A74}" name="yyyymm"/>
    <tableColumn id="2" xr3:uid="{1993FD00-F599-4EBB-9678-F6E47E8DBB1D}" name="invoice_num"/>
    <tableColumn id="12" xr3:uid="{81CA1973-706D-431A-9DBB-5A4F21D96447}" name="client_name"/>
    <tableColumn id="4" xr3:uid="{94199618-A374-4004-8988-251D9975E415}" name="gross" dataDxfId="102">
      <calculatedColumnFormula>+i_rapels_sl[[#This Row],[tax]]+i_rapels_sl[[#This Row],[net]]</calculatedColumnFormula>
    </tableColumn>
    <tableColumn id="11" xr3:uid="{2DB8B862-7310-4C3B-AD4A-4EBB63393575}" name="tax_rate"/>
    <tableColumn id="5" xr3:uid="{90C65BDD-BCB5-4129-A768-F7B731311F9F}" name="tax" dataDxfId="101">
      <calculatedColumnFormula>+i_rapels_sl[[#This Row],[tax_rate]]*i_rapels_sl[[#This Row],[net]]</calculatedColumnFormula>
    </tableColumn>
    <tableColumn id="7" xr3:uid="{A290DBF3-04D5-45DD-AB93-12EC7C39F023}" name="net"/>
    <tableColumn id="8" xr3:uid="{9922A6FE-39B2-46BC-9E95-829CCF4E3AB5}" name="ruta"/>
    <tableColumn id="9" xr3:uid="{B04649DF-09CB-4F39-BC92-369FD9219FB5}" name="comentari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BBED0BA-47D6-4F8C-9344-4F0EA4C09423}" name="i_adjustments_sl" displayName="i_adjustments_sl" ref="C1:K7" totalsRowShown="0">
  <autoFilter ref="C1:K7" xr:uid="{9BBED0BA-47D6-4F8C-9344-4F0EA4C09423}"/>
  <tableColumns count="9">
    <tableColumn id="1" xr3:uid="{84069D71-CCCF-4015-9470-F74AF5137974}" name="yyyymm" dataDxfId="100"/>
    <tableColumn id="2" xr3:uid="{E1976108-09B2-4F4B-BE54-35DB7B693E66}" name="order_id"/>
    <tableColumn id="3" xr3:uid="{59AEDFC3-ABDB-462B-872E-2701FF3234C0}" name="type"/>
    <tableColumn id="10" xr3:uid="{E2019635-D2A3-4981-AB98-83BC16BD971C}" name="country"/>
    <tableColumn id="4" xr3:uid="{A8AC1363-B40D-4D7B-9A65-60BD7EFD639D}" name="gross"/>
    <tableColumn id="5" xr3:uid="{18032C12-5138-4299-A1ED-7A128DBE7637}" name="tax_rate" dataDxfId="99"/>
    <tableColumn id="6" xr3:uid="{02BF31FC-C001-494B-ABE4-B8780C8D0FC3}" name="tax" dataDxfId="98">
      <calculatedColumnFormula>-i_adjustments_sl[[#This Row],[gross]]/(1+i_adjustments_sl[[#This Row],[tax_rate]])+i_adjustments_sl[[#This Row],[gross]]</calculatedColumnFormula>
    </tableColumn>
    <tableColumn id="7" xr3:uid="{6698C8D9-58D1-4A00-A6F4-7493B37E924B}" name="net" dataDxfId="97">
      <calculatedColumnFormula>+i_adjustments_sl[[#This Row],[gross]]-i_adjustments_sl[[#This Row],[tax]]</calculatedColumnFormula>
    </tableColumn>
    <tableColumn id="8" xr3:uid="{18AA718D-B13A-418D-8733-FC6D9D7DA257}" name="comentario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4924E82-AA2E-4A5C-8DE2-829F717E6CB2}" name="i_sharedservices_sl" displayName="i_sharedservices_sl" ref="C1:L9" totalsRowShown="0">
  <autoFilter ref="C1:L9" xr:uid="{94924E82-AA2E-4A5C-8DE2-829F717E6CB2}"/>
  <tableColumns count="10">
    <tableColumn id="1" xr3:uid="{D4B03009-7391-4039-A40C-F732867D88C2}" name="yyyymm" dataDxfId="96"/>
    <tableColumn id="2" xr3:uid="{6BFC59CD-6ECA-47B5-8263-366A179A1146}" name="invoice_num"/>
    <tableColumn id="12" xr3:uid="{E9DF93D5-9D45-48A0-9B2E-9878A97D6C85}" name="type"/>
    <tableColumn id="6" xr3:uid="{81C97AB6-FDE7-47E3-A58A-61770E0694BE}" name="subtype"/>
    <tableColumn id="4" xr3:uid="{1783BD4F-B3D4-4463-A541-694DB176BAEE}" name="gross" dataDxfId="95">
      <calculatedColumnFormula>+i_sharedservices_sl[[#This Row],[tax]]+i_sharedservices_sl[[#This Row],[net]]</calculatedColumnFormula>
    </tableColumn>
    <tableColumn id="11" xr3:uid="{A7C5F274-FFDD-452F-B48E-A9F456ED854D}" name="tax_rate"/>
    <tableColumn id="5" xr3:uid="{D044DFE6-A80B-4CD5-BFF7-41B2FF50DB6D}" name="tax" dataDxfId="94">
      <calculatedColumnFormula>+i_sharedservices_sl[[#This Row],[tax_rate]]*i_sharedservices_sl[[#This Row],[net]]</calculatedColumnFormula>
    </tableColumn>
    <tableColumn id="7" xr3:uid="{083DF4D0-6DA0-40BC-9B65-7C4D9AEB9A0F}" name="net" dataDxfId="93"/>
    <tableColumn id="8" xr3:uid="{64B19667-10E0-48EB-B18D-522F535F3E53}" name="ruta"/>
    <tableColumn id="9" xr3:uid="{251B0E9C-4D39-4FBF-86AC-DA06927FD7C0}" name="comentario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2759A02-E61F-45C1-B44B-CAD0C89D0E93}" name="g_manufacturing_sl" displayName="g_manufacturing_sl" ref="C1:M24" totalsRowShown="0">
  <autoFilter ref="C1:M24" xr:uid="{C2759A02-E61F-45C1-B44B-CAD0C89D0E93}"/>
  <sortState xmlns:xlrd2="http://schemas.microsoft.com/office/spreadsheetml/2017/richdata2" ref="C2:M23">
    <sortCondition ref="C1:C23"/>
  </sortState>
  <tableColumns count="11">
    <tableColumn id="1" xr3:uid="{8E1A238F-7334-4FF4-8BF8-8314D487D2A0}" name="yyyymm"/>
    <tableColumn id="2" xr3:uid="{8810267D-0426-4B65-B2AA-72FCAA4D985E}" name="invoice_number"/>
    <tableColumn id="3" xr3:uid="{E0A55A46-3DF9-4942-8252-78591D43BA5A}" name="invoice_date" dataDxfId="92"/>
    <tableColumn id="4" xr3:uid="{16AF507D-B201-41E8-9E62-CD5B573EB9F2}" name="supplier"/>
    <tableColumn id="5" xr3:uid="{5B1D608A-864F-4A32-ADA1-7A156718B47C}" name="gross" dataDxfId="91">
      <calculatedColumnFormula>+g_manufacturing_sl[[#This Row],[tax_iva]]+g_manufacturing_sl[[#This Row],[net]]</calculatedColumnFormula>
    </tableColumn>
    <tableColumn id="6" xr3:uid="{3684C5BB-5057-461E-9FC0-AD462A87CB4D}" name="tax_rate_iva" dataDxfId="90"/>
    <tableColumn id="7" xr3:uid="{A0CFCD94-EB0D-4DAF-9243-B9CC8F5269AD}" name="tax_iva" dataDxfId="89">
      <calculatedColumnFormula>+g_manufacturing_sl[[#This Row],[tax_rate_iva]]*g_manufacturing_sl[[#This Row],[net]]</calculatedColumnFormula>
    </tableColumn>
    <tableColumn id="8" xr3:uid="{D2CA3E49-7DD2-4CF1-A251-3BABE670E0E8}" name="net"/>
    <tableColumn id="9" xr3:uid="{2CFE020B-A385-436E-968D-31C57EA810D2}" name="currency"/>
    <tableColumn id="11" xr3:uid="{A9A557B4-A2AF-420B-85A2-D9641762A7F5}" name="ruta"/>
    <tableColumn id="10" xr3:uid="{B0A17272-01CD-4FF7-BD5B-38F3366FE8B4}" name="Comentario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9526A91-D155-42CF-82E3-B8A7CC5336A6}" name="g_shipping_sl" displayName="g_shipping_sl" ref="C1:L24" totalsRowShown="0">
  <autoFilter ref="C1:L24" xr:uid="{C9526A91-D155-42CF-82E3-B8A7CC5336A6}">
    <filterColumn colId="0">
      <filters>
        <filter val="202601"/>
      </filters>
    </filterColumn>
    <filterColumn colId="2">
      <filters>
        <filter val="Sprint"/>
      </filters>
    </filterColumn>
  </autoFilter>
  <tableColumns count="10">
    <tableColumn id="1" xr3:uid="{BFD1806E-5154-4D75-AB17-CD2B73321652}" name="yyyymm"/>
    <tableColumn id="2" xr3:uid="{0CCED7C9-16CC-4532-9657-C92C722979AE}" name="invoice_number" dataDxfId="88"/>
    <tableColumn id="4" xr3:uid="{67EF11D6-B590-4D0E-A683-524C8EF10DF8}" name="supplier" dataDxfId="87"/>
    <tableColumn id="5" xr3:uid="{76ED28A0-699D-4F7C-BC5E-285608DC0111}" name="gross" dataDxfId="86">
      <calculatedColumnFormula>+g_shipping_sl[[#This Row],[tax_iva]]+g_shipping_sl[[#This Row],[net]]</calculatedColumnFormula>
    </tableColumn>
    <tableColumn id="6" xr3:uid="{0BEE87F3-AB51-448F-AF3B-481C4A0D1AE3}" name="tax_rate_iva" dataDxfId="85"/>
    <tableColumn id="7" xr3:uid="{902623E1-7855-40D3-9EB7-668FBD51B7A1}" name="tax_iva" dataDxfId="84">
      <calculatedColumnFormula>+g_shipping_sl[[#This Row],[tax_rate_iva]]*g_shipping_sl[[#This Row],[net]]</calculatedColumnFormula>
    </tableColumn>
    <tableColumn id="8" xr3:uid="{D88DC195-03FF-411F-9984-96DAF49B01BF}" name="net" dataDxfId="83"/>
    <tableColumn id="9" xr3:uid="{107D7BCE-05C5-4EB9-BE8E-6120D562F0FB}" name="currency"/>
    <tableColumn id="11" xr3:uid="{07155789-7134-41CE-8D21-604B11E4AE53}" name="ruta"/>
    <tableColumn id="10" xr3:uid="{D5177A52-067F-48D7-A9FF-D29543EBDEC0}" name="Comentario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712B69-2A48-4F43-9A12-CA509B5A3EF6}" name="g_royalties_sl" displayName="g_royalties_sl" ref="C1:I3" totalsRowShown="0">
  <autoFilter ref="C1:I3" xr:uid="{D00D47B9-1E05-4574-852B-CAFBBC2F6EBB}"/>
  <tableColumns count="7">
    <tableColumn id="1" xr3:uid="{BE329D7D-C3E8-4114-B842-7C3DC229D69E}" name="yyyymm"/>
    <tableColumn id="6" xr3:uid="{05561CFF-A11F-4FEC-BC05-AF34447DE485}" name="total" dataDxfId="82"/>
    <tableColumn id="7" xr3:uid="{38D96253-860D-49C2-BCC4-11F14B317890}" name="uk" dataDxfId="81"/>
    <tableColumn id="11" xr3:uid="{829FEA85-ED78-4707-BE61-687E0CFD658A}" name="us" dataDxfId="80"/>
    <tableColumn id="5" xr3:uid="{2A4B39C0-7F06-4A75-A1AA-4DCD2E0115BE}" name="currency" dataDxfId="79">
      <calculatedColumnFormula>VLOOKUP(#REF!,'sel-roy'!F:I,4,0)</calculatedColumnFormula>
    </tableColumn>
    <tableColumn id="12" xr3:uid="{2234019B-B054-4716-AD17-D5244222B1AF}" name="path"/>
    <tableColumn id="10" xr3:uid="{48893787-E39B-436E-9E19-008078B80433}" name="Comentarios" dataDxfId="7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EAE8154-28FE-4475-8C5B-FE40CD9DE4CB}" name="g_paymentsuplier_sl" displayName="g_paymentsuplier_sl" ref="C1:H7" totalsRowShown="0">
  <autoFilter ref="C1:H7" xr:uid="{D00D47B9-1E05-4574-852B-CAFBBC2F6EBB}"/>
  <tableColumns count="6">
    <tableColumn id="1" xr3:uid="{FA31356F-ACC6-44D8-AA59-3BD259EBB5F8}" name="yyyymm"/>
    <tableColumn id="2" xr3:uid="{CE58BCEE-C440-4981-BC06-D9576DF88754}" name="supplier"/>
    <tableColumn id="6" xr3:uid="{52FFA886-5CBB-46C7-8D8C-673033B9B5D2}" name="total" dataDxfId="77"/>
    <tableColumn id="5" xr3:uid="{FA51763D-14C9-48E7-B8D9-14DA85455E64}" name="currency" dataDxfId="76">
      <calculatedColumnFormula>VLOOKUP(#REF!,'sel-roy'!F:I,4,0)</calculatedColumnFormula>
    </tableColumn>
    <tableColumn id="12" xr3:uid="{3C14EE4B-1445-40F0-B22C-F10421A96D87}" name="path"/>
    <tableColumn id="10" xr3:uid="{181A457D-3EAE-443F-A250-F9CFD9183C70}" name="Comentarios" dataDxfId="7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B82441-ADEB-47DA-AE80-21C671F50918}" name="input_invoice" displayName="input_invoice" ref="A1:S976" totalsRowShown="0">
  <autoFilter ref="A1:S976" xr:uid="{3AB82441-ADEB-47DA-AE80-21C671F50918}">
    <filterColumn colId="0">
      <filters>
        <filter val="202601"/>
      </filters>
    </filterColumn>
    <filterColumn colId="5">
      <filters>
        <filter val="administrative - Claris Gestio  -&gt; SL"/>
        <filter val="administrative - Continuum  -&gt; Inc"/>
        <filter val="administrative - hannun  -&gt; SL"/>
        <filter val="administrative - otros  -&gt; SL"/>
        <filter val="administrative - regus  -&gt; Inc"/>
        <filter val="administrative - Torras y asociados  -&gt; SL"/>
      </filters>
    </filterColumn>
  </autoFilter>
  <sortState xmlns:xlrd2="http://schemas.microsoft.com/office/spreadsheetml/2017/richdata2" ref="A819:S966">
    <sortCondition ref="A1:A976"/>
  </sortState>
  <tableColumns count="19">
    <tableColumn id="1" xr3:uid="{D23B5695-8BDC-4D48-BEAE-C93A248EF0F3}" name="yyyymm"/>
    <tableColumn id="18" xr3:uid="{32C4275F-A669-40BF-B978-BC69358A6590}" name="Recibida/Emitida" dataDxfId="74"/>
    <tableColumn id="2" xr3:uid="{FA112DCE-09CC-4BFC-A166-4D8C15BE6210}" name="# invoice" dataDxfId="73"/>
    <tableColumn id="4" xr3:uid="{EF949C75-EB7E-4631-8C0D-B2A0F042771F}" name="date" dataDxfId="72"/>
    <tableColumn id="15" xr3:uid="{67DB1B3B-D636-4ABE-8A5A-7C0426F90CFD}" name="due" dataDxfId="71"/>
    <tableColumn id="3" xr3:uid="{B857E622-DE0F-4713-9027-FC362DF094FB}" name="concept/supplier"/>
    <tableColumn id="9" xr3:uid="{7EFF9F37-7023-4122-A8A0-6E401A419BB0}" name="gross" dataDxfId="70">
      <calculatedColumnFormula>MAX(+input_invoice[[#This Row],[net]]+input_invoice[[#This Row],[tax_iva]],input_invoice[[#This Row],[net]])</calculatedColumnFormula>
    </tableColumn>
    <tableColumn id="13" xr3:uid="{891C29D4-DC92-4B5C-854A-71141B9AAF82}" name="tax_iva" dataDxfId="69">
      <calculatedColumnFormula>input_invoice[[#This Row],[net]]*(MAX(input_invoice[[#This Row],[tax_rate_iva]],0)/100)</calculatedColumnFormula>
    </tableColumn>
    <tableColumn id="10" xr3:uid="{ED10CC49-6E47-4A18-A39E-123E4C8D1F5B}" name="tax_irpf" dataDxfId="68">
      <calculatedColumnFormula>-input_invoice[[#This Row],[net]]*input_invoice[[#This Row],[tax_rate_irpf]]/100</calculatedColumnFormula>
    </tableColumn>
    <tableColumn id="6" xr3:uid="{F4061A57-DC90-4B76-86BB-DE51C080ECD4}" name="net" dataDxfId="67"/>
    <tableColumn id="8" xr3:uid="{545E0327-C73A-4932-8EBA-BD50ABB3B4E2}" name="concept" dataDxfId="66">
      <calculatedColumnFormula>_xlfn.TEXTBEFORE(F2," - ")</calculatedColumnFormula>
    </tableColumn>
    <tableColumn id="11" xr3:uid="{DE1D8AB7-D46B-415A-95B8-DEDAB35F01A8}" name="tax_rate_iva">
      <calculatedColumnFormula>+input_invoice[[#This Row],[gross]]-input_invoice[[#This Row],[net]]</calculatedColumnFormula>
    </tableColumn>
    <tableColumn id="12" xr3:uid="{56DC9230-355E-46A9-AF39-D364D9765785}" name="tax_rate_irpf"/>
    <tableColumn id="14" xr3:uid="{13788F53-E85A-4411-9EF6-F22B2014B9B4}" name="supplier" dataDxfId="65">
      <calculatedColumnFormula>VLOOKUP(input_invoice[[#This Row],[concept/supplier]],'sel-invoice'!D:E,2,0)</calculatedColumnFormula>
    </tableColumn>
    <tableColumn id="16" xr3:uid="{7AD92E87-CD82-4780-8A57-B30AF3CF5B70}" name="entity" dataDxfId="64">
      <calculatedColumnFormula>VLOOKUP(input_invoice[[#This Row],[concept/supplier]],'sel-invoice'!D:F,3,0)</calculatedColumnFormula>
    </tableColumn>
    <tableColumn id="5" xr3:uid="{F4A8EE0D-31F9-4340-9B36-9938A332A965}" name="currency" dataDxfId="63">
      <calculatedColumnFormula>IF(input_invoice[[#This Row],[entity]]="SL","EUR",IF(input_invoice[[#This Row],[entity]]="Ltd","GBP",IF(input_invoice[[#This Row],[entity]]="Inc","USD","XXX")))</calculatedColumnFormula>
    </tableColumn>
    <tableColumn id="7" xr3:uid="{9A43650E-602C-B648-AE75-97C865D31654}" name="Link" dataDxfId="62"/>
    <tableColumn id="17" xr3:uid="{953763AF-79C5-46B1-8A7A-FF98B680B599}" name="PAID" dataDxfId="61"/>
    <tableColumn id="19" xr3:uid="{70A16904-9473-49A3-A61C-8FF0AD93FEA7}" name="Comentarios" dataDxfId="6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0D47B9-1E05-4574-852B-CAFBBC2F6EBB}" name="input_provisions" displayName="input_provisions" ref="A1:J75" totalsRowShown="0">
  <autoFilter ref="A1:J75" xr:uid="{D00D47B9-1E05-4574-852B-CAFBBC2F6EBB}"/>
  <tableColumns count="10">
    <tableColumn id="1" xr3:uid="{9FD326A6-4D0F-4368-BE07-9327AC41AC4F}" name="yyyymm"/>
    <tableColumn id="2" xr3:uid="{BB0BB2B6-805C-45C3-8A27-354C446453B9}" name="Fecha factura"/>
    <tableColumn id="3" xr3:uid="{5C51A083-A4E9-4BDB-9D2A-11EAD4D48F3C}" name="concept/supplier"/>
    <tableColumn id="6" xr3:uid="{C5838505-86C9-45FD-A760-439EA3825F9A}" name="import" dataDxfId="59"/>
    <tableColumn id="8" xr3:uid="{350BF3A2-DEAE-47CB-AFA0-F2476D85580E}" name="concept" dataDxfId="58">
      <calculatedColumnFormula>_xlfn.TEXTBEFORE(C2," - ")</calculatedColumnFormula>
    </tableColumn>
    <tableColumn id="14" xr3:uid="{640FE568-1608-439E-8C20-9E60A0B92697}" name="supplier" dataDxfId="57">
      <calculatedColumnFormula>VLOOKUP(input_provisions[[#This Row],[concept/supplier]],'sel-prov'!F:G,2,0)</calculatedColumnFormula>
    </tableColumn>
    <tableColumn id="4" xr3:uid="{C8E52325-C1EF-49DA-B9BF-31F3FEAFAFE8}" name="entity" dataDxfId="56">
      <calculatedColumnFormula>VLOOKUP(input_provisions[[#This Row],[concept/supplier]],'sel-prov'!F:H,3,0)</calculatedColumnFormula>
    </tableColumn>
    <tableColumn id="5" xr3:uid="{87073420-5282-4AF1-B600-4895FFEE2D39}" name="currency" dataDxfId="55">
      <calculatedColumnFormula>VLOOKUP(input_provisions[[#This Row],[concept/supplier]],'sel-prov'!F:I,4,0)</calculatedColumnFormula>
    </tableColumn>
    <tableColumn id="9" xr3:uid="{310167B2-3188-4D27-8240-DC21D0D23582}" name="Pago" dataDxfId="54"/>
    <tableColumn id="10" xr3:uid="{CCAB60D6-F503-42C3-BA47-4535606068E9}" name="Facturas" dataDxfId="5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CEB98B-7AA1-49D7-A366-77C43EFECE08}" name="Tabla5" displayName="Tabla5" ref="W18:AI88" totalsRowShown="0" headerRowDxfId="52" dataDxfId="50" headerRowBorderDxfId="51" tableBorderDxfId="49" totalsRowBorderDxfId="48">
  <autoFilter ref="W18:AI88" xr:uid="{EECEB98B-7AA1-49D7-A366-77C43EFECE08}"/>
  <tableColumns count="13">
    <tableColumn id="1" xr3:uid="{2FC04032-0FA0-4B99-ABCD-04D7F61FABB1}" name="yyyymm" dataDxfId="47"/>
    <tableColumn id="2" xr3:uid="{6DF5EBB8-1AD2-4EEA-B757-F62A6A30FD31}" name="# invoice" dataDxfId="46"/>
    <tableColumn id="3" xr3:uid="{864CBA96-1AB2-4A40-A11E-635C34E953C7}" name="date" dataDxfId="45"/>
    <tableColumn id="4" xr3:uid="{DDF6BFA7-1463-48B7-943B-681E8051EFC9}" name="due" dataDxfId="44"/>
    <tableColumn id="5" xr3:uid="{E655609F-18F9-4311-9922-235D9C3BDECD}" name="concept/supplier" dataDxfId="43"/>
    <tableColumn id="6" xr3:uid="{00B58DD6-1B98-4815-A5D7-E7654922BB6C}" name="gross" dataDxfId="42"/>
    <tableColumn id="7" xr3:uid="{1063155D-D5EF-4509-BA3B-9D1D4151A858}" name="tax" dataDxfId="41"/>
    <tableColumn id="8" xr3:uid="{4A8A38D4-E990-43F1-A757-003FBF05503A}" name="net" dataDxfId="40"/>
    <tableColumn id="9" xr3:uid="{69923CDD-2BC5-4EF5-A95F-2222E033EA00}" name="concept" dataDxfId="39">
      <calculatedColumnFormula>_xlfn.TEXTBEFORE(AA19," - ")</calculatedColumnFormula>
    </tableColumn>
    <tableColumn id="10" xr3:uid="{368719BA-075D-4666-ABE2-09E187E86F3D}" name="tax_rate" dataDxfId="38"/>
    <tableColumn id="11" xr3:uid="{D52E7546-AA99-4232-BE0A-9ADD66DE9EB7}" name="supplier" dataDxfId="37">
      <calculatedColumnFormula>VLOOKUP(input_invoice[[#This Row],[concept/supplier]],'sel-invoice'!Z:AA,2,0)</calculatedColumnFormula>
    </tableColumn>
    <tableColumn id="12" xr3:uid="{A411EF39-0ABF-4922-8B69-E9E1D9603AE2}" name="entity" dataDxfId="36">
      <calculatedColumnFormula>VLOOKUP(input_invoice[[#This Row],[concept/supplier]],'sel-invoice'!Z:AB,3,0)</calculatedColumnFormula>
    </tableColumn>
    <tableColumn id="13" xr3:uid="{442AD062-0E9E-459B-971D-84017F2C7ABD}" name="currency" dataDxfId="35">
      <calculatedColumnFormula>IF(input_invoice[[#This Row],[entity]]="SL","EUR",IF(input_invoice[[#This Row],[entity]]="Ltd","GBP",IF(input_invoice[[#This Row],[entity]]="Inc","USD","XXX")))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793CBB-868F-41A7-A4EF-ED0E89D6B261}" name="input_staff" displayName="input_staff" ref="A1:D44" totalsRowShown="0" headerRowDxfId="34" dataDxfId="33">
  <autoFilter ref="A1:D44" xr:uid="{54793CBB-868F-41A7-A4EF-ED0E89D6B261}"/>
  <tableColumns count="4">
    <tableColumn id="1" xr3:uid="{233E0077-8094-49E9-80AE-2E30D0251D61}" name="yyyymm" dataDxfId="32"/>
    <tableColumn id="2" xr3:uid="{DBA63F80-B8D7-45D5-B13D-03E953BFA04B}" name="concept/supplier" dataDxfId="31"/>
    <tableColumn id="3" xr3:uid="{C44076B6-DF7B-4FC2-ADB8-99EBA460315B}" name="import" dataDxfId="30"/>
    <tableColumn id="4" xr3:uid="{6AFACF75-14F2-4FDA-B0BA-DEF0E10A38F9}" name="entidad" dataDxfId="29">
      <calculatedColumnFormula>VLOOKUP(input_staff[[#This Row],[concept/supplier]],'sel-staff'!C:D,2,0)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50D478-9FEA-4961-8916-D9C207645B2D}" name="input_tributos" displayName="input_tributos" ref="A1:K8" totalsRowShown="0" headerRowDxfId="28" dataDxfId="26" headerRowBorderDxfId="27" tableBorderDxfId="25" totalsRowBorderDxfId="24">
  <autoFilter ref="A1:K8" xr:uid="{AA50D478-9FEA-4961-8916-D9C207645B2D}"/>
  <tableColumns count="11">
    <tableColumn id="1" xr3:uid="{5E1B61FF-614B-4251-A199-1051F920AF2C}" name="yyyymm" dataDxfId="23"/>
    <tableColumn id="5" xr3:uid="{5CD748DA-52BB-4FCC-95F2-4BD58CBA17D5}" name="concept/supplier" dataDxfId="22"/>
    <tableColumn id="6" xr3:uid="{920CBE1B-A528-4923-8D9F-4E6D54C1C35B}" name="gross" dataDxfId="21">
      <calculatedColumnFormula>MAX(+input_tributos[[#This Row],[net]]+input_tributos[[#This Row],[tax]],input_tributos[[#This Row],[net]])</calculatedColumnFormula>
    </tableColumn>
    <tableColumn id="7" xr3:uid="{4A5B719B-CF88-4051-B2A6-F335D7B91F3E}" name="tax" dataDxfId="20">
      <calculatedColumnFormula>input_tributos[[#This Row],[net]]*(MAX(input_tributos[[#This Row],[tax_rate]],0)/100)</calculatedColumnFormula>
    </tableColumn>
    <tableColumn id="8" xr3:uid="{4CCC8508-CF3B-4FAB-8F58-9C958C52FC29}" name="net" dataDxfId="19"/>
    <tableColumn id="9" xr3:uid="{BBFAD37E-6888-4089-AB91-05EA6F00598C}" name="concept" dataDxfId="18">
      <calculatedColumnFormula>_xlfn.TEXTBEFORE(B2," - ")</calculatedColumnFormula>
    </tableColumn>
    <tableColumn id="10" xr3:uid="{2CFBBE53-9E78-46BB-9FA5-86FF21B6E2AF}" name="tax_rate" dataDxfId="17"/>
    <tableColumn id="11" xr3:uid="{007EEFC4-354A-42D1-9145-C85DB1F71B82}" name="supplier" dataDxfId="16">
      <calculatedColumnFormula>VLOOKUP(input_tributos[[#This Row],[concept/supplier]],'sel-tributos'!D:E,2,0)</calculatedColumnFormula>
    </tableColumn>
    <tableColumn id="12" xr3:uid="{756AB966-65B3-49F4-A14A-21204031E91C}" name="entity" dataDxfId="15">
      <calculatedColumnFormula>VLOOKUP(input_tributos[[#This Row],[concept/supplier]],'sel-tributos'!D:F,3,0)</calculatedColumnFormula>
    </tableColumn>
    <tableColumn id="13" xr3:uid="{37D0C45E-3BFC-4C69-A9CF-AE1A495775DB}" name="currency" dataDxfId="14">
      <calculatedColumnFormula>IF(input_tributos[[#This Row],[entity]]="SL","EUR",IF(input_tributos[[#This Row],[entity]]="Ltd","GBP",IF(input_tributos[[#This Row],[entity]]="Inc","USD","XXX")))</calculatedColumnFormula>
    </tableColumn>
    <tableColumn id="14" xr3:uid="{7FE8A168-F78D-4C55-A22C-037D0EEC4F2B}" name="Descripcion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:b:/s/ARTESTA/EWMwThenk9NGuTSqQCp-vwQBKVI8oIy_2b1FNBTLtKYE7g?e=zVBNx8" TargetMode="External"/><Relationship Id="rId299" Type="http://schemas.openxmlformats.org/officeDocument/2006/relationships/hyperlink" Target="file:///C:\Users\andre\Downloads\G135908417_c8f7f730eb7b47ca8d9c1f3cf7e07793.pdf" TargetMode="External"/><Relationship Id="rId21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8%2E%20Suministros%20%2D%20ok%2FWeb%20%2D%20ok%2FDominios%20%2D%20ok%2FgodaddyEnero1%2Epdf&amp;parent=%2Fsites%2FARTESTA%2FShared%20Documents%2F6%2E%20Finances%2FArtesta%20Store%2C%20S%2EL%2F2025%2F1Q%2F1%2E%20January%2F7%2E%20Otros%20gastos%20de%20explotaci%C3%B3n%2F628%2E%20Suministros%20%2D%20ok%2FWeb%20%2D%20ok%2FDominios%20%2D%20ok" TargetMode="External"/><Relationship Id="rId63" Type="http://schemas.openxmlformats.org/officeDocument/2006/relationships/hyperlink" Target="../../../../:f:/s/ARTESTA/Eozt9RwYfqFBm3q_UleJ0T4BSjvH7PFj1rGJYs74jNsJ6A?e=JRnavm" TargetMode="External"/><Relationship Id="rId159" Type="http://schemas.openxmlformats.org/officeDocument/2006/relationships/hyperlink" Target="../../../../:b:/s/ARTESTA/IQBJUsyYRl8QT7PUu-38ekK7AbRy9K5I9WpZH01_wcuKu0Y?e=3CLkZk" TargetMode="External"/><Relationship Id="rId324" Type="http://schemas.openxmlformats.org/officeDocument/2006/relationships/hyperlink" Target="../../../../:b:/s/ARTESTA/IQCEcQEABgt_R7Yny-qiDmIyAQq3V0u4JWYseQyJzo4StSU?e=eYmf2r" TargetMode="External"/><Relationship Id="rId366" Type="http://schemas.openxmlformats.org/officeDocument/2006/relationships/hyperlink" Target="../../../../:f:/s/ARTESTA/IgBFOmK_slbkSbc-28xl-izMAYlZxvoZxFzOh0p1sZnj-BE?e=OQOfIF" TargetMode="External"/><Relationship Id="rId170" Type="http://schemas.openxmlformats.org/officeDocument/2006/relationships/hyperlink" Target="../../../../:b:/s/ARTESTA/IQDqWZQUnZeTToe82pNTz-WwAQ76QbuiJu-t1HGxF665g2I?e=mguap2" TargetMode="External"/><Relationship Id="rId226" Type="http://schemas.openxmlformats.org/officeDocument/2006/relationships/hyperlink" Target="../../../../:b:/s/ARTESTA/IQAennwb5F7uQLRXhH6P4VUqAdgWsD7dJcnmVpowyHWoslw?e=SmTYPr" TargetMode="External"/><Relationship Id="rId268" Type="http://schemas.openxmlformats.org/officeDocument/2006/relationships/hyperlink" Target="file:///C:\Users\34722\OneDrive%20-%20Artesta\Attachments\ARTESTA%20-%206.%20Finances\Artesta%20Store,%20S.L\2026\1Q\012026\Gastos\Proveedores\Shopify\Artesta_479105361.pdf" TargetMode="External"/><Relationship Id="rId32" Type="http://schemas.openxmlformats.org/officeDocument/2006/relationships/hyperlink" Target="https://artestastore-my.sharepoint.com/my?listurl=https%3A%2F%2Fartestastore%2Esharepoint%2Ecom%2Fsites%2FARTESTA%2FShared%20Documents&amp;remoteItem=%7B%22mp%22%3A%7B%22webAbsoluteUrl%22%3A%22https%3A%2F%2Fartestastore%2Dmy%2Esharepoint%2Ecom%2Fpersonal%2Ffinance%5Fartestastore%5Fonmicrosoft%5Fcom%22%2C%22listFullUrl%22%3A%22https%3A%2F%2Fartestastore%2Dmy%2Esharepoint%2Ecom%2Fpersonal%2Ffinance%5Fartestastore%5Fonmicrosoft%5Fcom%2FDocuments%22%2C%22rootFolder%22%3A%22%2Fpersonal%2Ffinance%5Fartestastore%5Fonmicrosoft%5Fcom%2FDocuments%2FAttachments%2FARTESTA%20%2D%206%2E%20Finances%22%7D%2C%22rsi%22%3A%7B%22listFullUrl%22%3A%22https%3A%2F%2Fartestastore%2Esharepoint%2Ecom%2Fsites%2FARTESTA%2FShared%20Documents%22%2C%22rootFolder%22%3A%22%2Fsites%2FARTESTA%2FShared%20Documents%2F6%2E%20Finances%2FArtesta%20Store%2C%20S%2EL%2F2025%2F1Q%2F1%2E%20January%2F7%2E%20Otros%20gastos%20de%20explotaci%C3%B3n%2F624%2E%20Transportes%20%2D%20ok%2FSpring%20%2D%20ok%22%2C%22webAbsoluteUrl%22%3A%22https%3A%2F%2Fartestastore%2Esharepoint%2Ecom%2Fsites%2FARTESTA%22%7D%7D&amp;viewid=7a0270c5%2D12e7%2D46ed%2Db71e%2Dd26f27d2378d&amp;id=%2Fsites%2FARTESTA%2FShared%20Documents%2F6%2E%20Finances%2FArtesta%20Store%2C%20S%2EL%2F2025%2F1Q%2F1%2E%20January%2F7%2E%20Otros%20gastos%20de%20explotaci%C3%B3n%2F624%2E%20Transportes%20%2D%20ok%2FSpring%20%2D%20ok%2FE2500110%5FES%5FInvoice%5FO%5F110002125%5F2501022302%2EPDF&amp;parent=%2Fsites%2FARTESTA%2FShared%20Documents%2F6%2E%20Finances%2FArtesta%20Store%2C%20S%2EL%2F2025%2F1Q%2F1%2E%20January%2F7%2E%20Otros%20gastos%20de%20explotaci%C3%B3n%2F624%2E%20Transportes%20%2D%20ok%2FSpring%20%2D%20ok&amp;parentview=0" TargetMode="External"/><Relationship Id="rId74" Type="http://schemas.openxmlformats.org/officeDocument/2006/relationships/hyperlink" Target="../../../../:b:/s/ARTESTA/EV7Wt8qGkedPvAnZX9PZ7GIBntzGr5lCqQrhr0hbpieypw?e=7KEB6K" TargetMode="External"/><Relationship Id="rId128" Type="http://schemas.openxmlformats.org/officeDocument/2006/relationships/hyperlink" Target="../../../../:f:/s/ARTESTA/El11Qwv-EBVPkxsOpSml-FsB-ZqPyf9Dl0oKKKfyF3VtTQ?e=sXpva0" TargetMode="External"/><Relationship Id="rId335" Type="http://schemas.openxmlformats.org/officeDocument/2006/relationships/hyperlink" Target="../../../../:b:/s/ARTESTA/IQBOLnAbB9xfRZwrMSTd7G2TAfAScm4znsKtjRUUs5ppLMA?e=gBxPim" TargetMode="External"/><Relationship Id="rId5" Type="http://schemas.openxmlformats.org/officeDocument/2006/relationships/hyperlink" Target="../Forms/AllItems.aspx?ga=1&amp;id=%2Fsites%2FARTESTA%2FShared%20Documents%2F6%2E%20Finances%2FArtesta%20Store%2C%20S%2EL%2F2025%2F3Q%2F202509%2FGastos%2FProveedores%2FREVER%2FInvoice%2DRVR%2D13157%2Epdf&amp;viewid=7a0270c5%2D12e7%2D46ed%2Db71e%2Dd26f27d2378d&amp;parent=%2Fsites%2FARTESTA%2FShared%20Documents%2F6%2E%20Finances%2FArtesta%20Store%2C%20S%2EL%2F2025%2F3Q%2F202509%2FGastos%2FProveedores%2FREVER" TargetMode="External"/><Relationship Id="rId181" Type="http://schemas.openxmlformats.org/officeDocument/2006/relationships/hyperlink" Target="../../../../:f:/s/ARTESTA/IgBsCckkR5XARqKZZip3ezMxAZ3Q3OBVwhmpslDI2-RW51w?e=x48viz" TargetMode="External"/><Relationship Id="rId237" Type="http://schemas.openxmlformats.org/officeDocument/2006/relationships/hyperlink" Target="file:///C:\Users\34722\OneDrive%20-%20Artesta\Attachments\ARTESTA%20-%206.%20Finances\Artesta%20Store,%20S.L\2026\1Q\012026\Gastos\Proveedores\TORRAS\267F0000186-09438F.PDF" TargetMode="External"/><Relationship Id="rId279" Type="http://schemas.openxmlformats.org/officeDocument/2006/relationships/hyperlink" Target="file:///C:\Users\34722\OneDrive%20-%20Artesta\Attachments\ARTESTA%20-%206.%20Finances\Artesta%20Store,%20S.L\2025\4Q\202512\Gastos\Proveedores\ARTLINK\Artesta%20Store%20S.L%20invoice%20no%20000201873%20(Freight%20cost%20DCT%20December).pdf" TargetMode="External"/><Relationship Id="rId43" Type="http://schemas.openxmlformats.org/officeDocument/2006/relationships/hyperlink" Target="../../../../:b:/s/ARTESTA/ETURFcRbMFBArAlEKa3I61UB4GSvZOdXG4kTGlxWxnjcDA?e=PKJ7vP" TargetMode="External"/><Relationship Id="rId139" Type="http://schemas.openxmlformats.org/officeDocument/2006/relationships/hyperlink" Target="../../../../:b:/s/ARTESTA/IQDwPakczZjzTYkOnR9VXRgAAcq4q90LsuzHhDjBo6k3VJs?e=VvGas4" TargetMode="External"/><Relationship Id="rId290" Type="http://schemas.openxmlformats.org/officeDocument/2006/relationships/hyperlink" Target="file:///C:\Users\34722\AppData\Local\Temp\58193734-dce5-49b9-8979-fd639cec71d7_579ae267-2ac3-48e1-8c15-cf282e7c8bbf.zip.1d7\Invoice_326899416_012826.PDF" TargetMode="External"/><Relationship Id="rId304" Type="http://schemas.openxmlformats.org/officeDocument/2006/relationships/hyperlink" Target="../../../../:b:/s/ARTESTA/IQAkwPH9YdO5TrQ6APrK_CvCAe4gKT17NqPSDuyHu5tkwzI?e=cwtch5" TargetMode="External"/><Relationship Id="rId346" Type="http://schemas.openxmlformats.org/officeDocument/2006/relationships/hyperlink" Target="file:///C:\Users\andre\Downloads\1960.pdf" TargetMode="External"/><Relationship Id="rId85" Type="http://schemas.openxmlformats.org/officeDocument/2006/relationships/hyperlink" Target="../../../../:b:/s/ARTESTA/EcVAx3Lb-lZOt_sPauLCf8wBYKd0BdAGzi8uDec0lLeRyQ?e=vuuIAN" TargetMode="External"/><Relationship Id="rId150" Type="http://schemas.openxmlformats.org/officeDocument/2006/relationships/hyperlink" Target="../../../../:b:/s/ARTESTA/IQBH2aCcRO7dSoCroFi-dYsKAW9XwD4z0Ei2oUa_X73r-gM?e=9a3QU6" TargetMode="External"/><Relationship Id="rId192" Type="http://schemas.openxmlformats.org/officeDocument/2006/relationships/hyperlink" Target="../../../../:b:/s/ARTESTA/IQBIHse8baioTaGbxCW4IWLbAQhTGg8Bua40mjbTehSCtu0?e=iqoFbL" TargetMode="External"/><Relationship Id="rId206" Type="http://schemas.openxmlformats.org/officeDocument/2006/relationships/hyperlink" Target="../../../../:b:/s/ARTESTA/IQCielmIcwqvTaa3bj2hHbrTAejFZY2ftKRBXIg1WRL5Tww?e=90bRE5" TargetMode="External"/><Relationship Id="rId248" Type="http://schemas.openxmlformats.org/officeDocument/2006/relationships/hyperlink" Target="../../../../:b:/s/ARTESTA/IQDC9zeK8YJvR78I-nU4T_mNAQgvcUAJkjj7dBM6QrH7MKI?e=buVhEr" TargetMode="External"/><Relationship Id="rId12" Type="http://schemas.openxmlformats.org/officeDocument/2006/relationships/hyperlink" Target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FACTURA%20Enero%202025%20ARTESTA%20STORE%2C%20S%2EL%2E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TargetMode="External"/><Relationship Id="rId108" Type="http://schemas.openxmlformats.org/officeDocument/2006/relationships/hyperlink" Target="../../../../:b:/s/ARTESTA/EZvYjuqAB11LlYCdZ8aujWoBsz5ULGpwEE-KffYYazX--w?e=SjoJsA" TargetMode="External"/><Relationship Id="rId315" Type="http://schemas.openxmlformats.org/officeDocument/2006/relationships/hyperlink" Target="../../../../:b:/s/ARTESTA/IQCQNxqr8cGlS6lpM2XrBGAYAYg1yTGXUldBQFgNPYS6huY?e=PWKqXI" TargetMode="External"/><Relationship Id="rId357" Type="http://schemas.openxmlformats.org/officeDocument/2006/relationships/hyperlink" Target="../../../../:f:/s/ARTESTA/IgBZDzGZrFCaQIEA71SYgOPSAbQFlcQLN1TyCDHolTPfziY?e=zcyD4u" TargetMode="External"/><Relationship Id="rId54" Type="http://schemas.openxmlformats.org/officeDocument/2006/relationships/hyperlink" Target="../../../../:f:/s/ARTESTA/EuLBxEf_mVpHonHs31cgxe8BkwDDLYrCmuy_1xUkrHxvKg?e=OumY0O" TargetMode="External"/><Relationship Id="rId96" Type="http://schemas.openxmlformats.org/officeDocument/2006/relationships/hyperlink" Target="../../../../:b:/s/ARTESTA/ET9icqI3tgRFnvTmEsRYOE8By17WTPI2E-KmDWAu3ySJDg?e=4Bzj4y" TargetMode="External"/><Relationship Id="rId161" Type="http://schemas.openxmlformats.org/officeDocument/2006/relationships/hyperlink" Target="../../../../:b:/s/ARTESTA/IQA1xgTW7ES3QLOCrHGN8WfaAYWz07djMyC7LbtP0yb55_g?e=SZkvqX" TargetMode="External"/><Relationship Id="rId217" Type="http://schemas.openxmlformats.org/officeDocument/2006/relationships/hyperlink" Target="../../../../:b:/s/ARTESTA/IQCx8DGqQzWaRJHNNEJ3rS4ZAUfNUSt8LUR6rXL6eVG_06E?e=b1tx9W" TargetMode="External"/><Relationship Id="rId259" Type="http://schemas.openxmlformats.org/officeDocument/2006/relationships/hyperlink" Target="file:///C:\Users\34722\Downloads\Artesta_450279981.pdf" TargetMode="External"/><Relationship Id="rId23" Type="http://schemas.openxmlformats.org/officeDocument/2006/relationships/hyperlink" Target="../Forms/AllItems.aspx?id=%2Fsites%2FARTESTA%2FShared%20Documents%2F6.%20Finances%2FArtesta%20Store%2C%20S.L%2F2025%2F1Q%2F1.%20January%2F7.%20Otros%20gastos%20de%20explotaci%C3%B3n%2F628.%20Suministros%20-%20ok%2FSoftware%20-%20ok%2FOneDrive%20-%20ok%2FE0600UXYWH.pdf&amp;parent=%2Fsites%2FARTESTA%2FShared%20Documents%2F6.%20Finances%2FArtesta%20Store%2C%20S.L%2F2025%2F1Q%2F1.%20January%2F7.%20Otros%20gastos%20de%20explotaci%C3%B3n%2F628.%20Suministros%20-%20ok%2FSoftware%20-%20ok%2FOneDrive%20-%20ok" TargetMode="External"/><Relationship Id="rId119" Type="http://schemas.openxmlformats.org/officeDocument/2006/relationships/hyperlink" Target="../../../../:x:/s/ARTESTA/EZQ_jHd4nGlOuOhQiWc_UyEBIDLhtys8ghftaH69Q_InOw?e=wfgwYC" TargetMode="External"/><Relationship Id="rId270" Type="http://schemas.openxmlformats.org/officeDocument/2006/relationships/hyperlink" Target="../../../../:b:/s/ARTESTA/IQDMg9SXOB63TKMWNFwjAodLAcFoaK_OwbBIavqQezPTMyY?e=tE9bO3" TargetMode="External"/><Relationship Id="rId326" Type="http://schemas.openxmlformats.org/officeDocument/2006/relationships/hyperlink" Target="../../../../:b:/s/ARTESTA/IQC-9iYw-07FR473G9fH8qGJAdvv2rfYLYYQD1684_2F7V8?e=5pzoqk" TargetMode="External"/><Relationship Id="rId65" Type="http://schemas.openxmlformats.org/officeDocument/2006/relationships/hyperlink" Target="../../../../:f:/s/ARTESTA/Eqgj3SWDf7tBu78Fq9t3dQEBm0teTvzNy3NDTP5OJcXszA?e=TXZYzc" TargetMode="External"/><Relationship Id="rId130" Type="http://schemas.openxmlformats.org/officeDocument/2006/relationships/hyperlink" Target="../../../../:f:/s/ARTESTA/EhvBZ6hys45Eu0KkVHe6W4QB-c4IQocTyZEkficGhZLFoA?e=BHEWDd" TargetMode="External"/><Relationship Id="rId368" Type="http://schemas.openxmlformats.org/officeDocument/2006/relationships/hyperlink" Target="../../../../:f:/s/ARTESTA/IgBhnr2oHsK_Rryhz6lEBMP2AclQbEhevKwspcPi0mkbpFQ?e=NPo1Kk" TargetMode="External"/><Relationship Id="rId172" Type="http://schemas.openxmlformats.org/officeDocument/2006/relationships/hyperlink" Target="../../../../:b:/s/ARTESTA/IQAmKxCNAv2cRpucJpt4J5q7AcBAz3qE5xq7-Fdw8iLVI1U?e=Mf8hjc" TargetMode="External"/><Relationship Id="rId228" Type="http://schemas.openxmlformats.org/officeDocument/2006/relationships/hyperlink" Target="file:///C:\Users\andre\OneDrive%20-%20Artesta\Attachments\ARTESTA%20-%206.%20Finances\Artesta%20Stores%20(UK)%20Ltd\2025\4Q\202512\Cost%20of%20sales\pcs202601.pdf" TargetMode="External"/><Relationship Id="rId281" Type="http://schemas.openxmlformats.org/officeDocument/2006/relationships/hyperlink" Target="../../../../:b:/s/ARTESTA/IQBjTavC2QdcQJVwk3jacrOZAbhMnCXKoGEpJZfl9zbEMuw?e=zFyXrq" TargetMode="External"/><Relationship Id="rId337" Type="http://schemas.openxmlformats.org/officeDocument/2006/relationships/hyperlink" Target="../../../../:b:/s/ARTESTA/IQCnyH1B4n4URYQ7OzkGowBDAdqpMuhDDFqnUrcGSOq9ixg?e=Jh1rDI" TargetMode="External"/><Relationship Id="rId34" Type="http://schemas.openxmlformats.org/officeDocument/2006/relationships/hyperlink" Target="https://artestastore-my.sharepoint.com/shared?listurl=https%3A%2F%2Fartestastore%2Esharepoint%2Ecom%2Fsites%2FARTESTA%2FShared%20Documents&amp;viewid=7a0270c5%2D12e7%2D46ed%2Db71e%2Dd26f27d2378d&amp;id=%2Fsites%2FARTESTA%2FShared%20Documents%2F6%2E%20Finances%2FArtesta%20Store%2C%20S%2EL%2F2025%2F1Q%2F1%2E%20January%2F7%2E%20Otros%20gastos%20de%20explotaci%C3%B3n%2F624%2E%20Transportes%20%2D%20ok%2FSpring%20%2D%20ok%2FE2500774%5FES%5FInvoice%5FO%5F110002125%5F2501290053%2EPDF&amp;parent=%2Fsites%2FARTESTA%2FShared%20Documents%2F6%2E%20Finances%2FArtesta%20Store%2C%20S%2EL%2F2025%2F1Q%2F1%2E%20January%2F7%2E%20Otros%20gastos%20de%20explotaci%C3%B3n%2F624%2E%20Transportes%20%2D%20ok%2FSpring%20%2D%20ok" TargetMode="External"/><Relationship Id="rId76" Type="http://schemas.openxmlformats.org/officeDocument/2006/relationships/hyperlink" Target="../../../../:b:/s/ARTESTA/ETozSlV2c9FMhiCNuYaA9DEB5EFeMpA6-RnWHDPqz_pffA?e=fLgagK" TargetMode="External"/><Relationship Id="rId141" Type="http://schemas.openxmlformats.org/officeDocument/2006/relationships/hyperlink" Target="../../../../:b:/s/ARTESTA/IQC1EzqnaaB7T7k1NrkSQEKZAdKrcdG5dG8di1QuZ0_c59M?e=weplWM" TargetMode="External"/><Relationship Id="rId7" Type="http://schemas.openxmlformats.org/officeDocument/2006/relationships/hyperlink" Target="../Forms/AllItems.aspx?viewid=7a0270c5%2D12e7%2D46ed%2Db71e%2Dd26f27d2378d&amp;ga=1&amp;id=%2Fsites%2FARTESTA%2FShared%20Documents%2F6%2E%20Finances%2FArtesta%20Inc%2F2025%2F3Q%2F202507%2FTGI%2F169920%2Epdf&amp;parent=%2Fsites%2FARTESTA%2FShared%20Documents%2F6%2E%20Finances%2FArtesta%20Inc%2F2025%2F3Q%2F202507%2FTGI" TargetMode="External"/><Relationship Id="rId183" Type="http://schemas.openxmlformats.org/officeDocument/2006/relationships/hyperlink" Target="../../../../:f:/s/ARTESTA/IgCtW257GU2HSKefmpsTMWLAAUT13iWrScLLTA8i_Lo8oZ0?e=evnVfk" TargetMode="External"/><Relationship Id="rId239" Type="http://schemas.openxmlformats.org/officeDocument/2006/relationships/hyperlink" Target="../../../../:b:/s/ARTESTA/IQA1Rk8c-Gs3T6A3YtsMntMUAVNVcjo06n8WGFk_JOcbz64?e=9Nm2pt" TargetMode="External"/><Relationship Id="rId250" Type="http://schemas.openxmlformats.org/officeDocument/2006/relationships/hyperlink" Target="../../../../:b:/s/ARTESTA/IQDXfdH0-6FJRrndkssCp8LVAQZgTsQncqCBledy0a-lZRk?e=TH8nYF" TargetMode="External"/><Relationship Id="rId292" Type="http://schemas.openxmlformats.org/officeDocument/2006/relationships/hyperlink" Target="file:///C:\Users\34722\AppData\Local\Temp\4c78ceec-7936-420b-9470-779e651d1615_579ae267-2ac3-48e1-8c15-cf282e7c8bbf.zip.615\Invoice_837882632_011226.PDF" TargetMode="External"/><Relationship Id="rId306" Type="http://schemas.openxmlformats.org/officeDocument/2006/relationships/hyperlink" Target="../../../../:b:/s/ARTESTA/IQCmjpbpC7ReSJY_yLnAz7lIAVaJZkcjs30EJcYUu5lvDME?e=Mf98DS" TargetMode="External"/><Relationship Id="rId45" Type="http://schemas.openxmlformats.org/officeDocument/2006/relationships/hyperlink" Target="../../../../:b:/s/ARTESTA/ETcDnd8A0DtGnP1fYy_oOYcBBHSkK_wDKdpv_z0P59DGbA?e=uYjhWF" TargetMode="External"/><Relationship Id="rId87" Type="http://schemas.openxmlformats.org/officeDocument/2006/relationships/hyperlink" Target="../../../../:b:/s/ARTESTA/EWzcQI9zsTZBvXRUWV6Zq1QBS4XLWWkIFc6C_CNxIs1qeQ?e=fBgcW3" TargetMode="External"/><Relationship Id="rId110" Type="http://schemas.openxmlformats.org/officeDocument/2006/relationships/hyperlink" Target="../../../../:b:/s/ARTESTA/ERQZTPUK1l9Nre8w95zpTsgB5uomDEGtDqYOzN7t1blouw?e=X5vqge" TargetMode="External"/><Relationship Id="rId348" Type="http://schemas.openxmlformats.org/officeDocument/2006/relationships/hyperlink" Target="file:///C:\Users\andre\OneDrive%20-%20Artesta\Attachments\ARTESTA%20-%206.%20Finances\Artesta%20Store,%20S.L\2026\1Q\202602\Gastos\Proveedores\microsoft\G140910268_d9ebaff6cb4e4401b7c0af1fec815995.pdf" TargetMode="External"/><Relationship Id="rId152" Type="http://schemas.openxmlformats.org/officeDocument/2006/relationships/hyperlink" Target="../../../../:b:/s/ARTESTA/IQCvJ5nPRfy3QaSDNeK5n3j3AZEE83FJJf8l3aYkqm2ZsHU?e=1yOP3k" TargetMode="External"/><Relationship Id="rId194" Type="http://schemas.openxmlformats.org/officeDocument/2006/relationships/hyperlink" Target="../../../../:b:/s/ARTESTA/IQB_a4mp3S9XRoeT24rvECNcAdB3-qvd_pGRkZyT88m52nM?e=kCGati" TargetMode="External"/><Relationship Id="rId208" Type="http://schemas.openxmlformats.org/officeDocument/2006/relationships/hyperlink" Target="../../../../:b:/s/ARTESTA/IQDKcuSK3Rq0TJdn_FpeaAcmAW_JEQwH26U-11M3IaN8YeE?e=vQiXQe" TargetMode="External"/><Relationship Id="rId261" Type="http://schemas.openxmlformats.org/officeDocument/2006/relationships/hyperlink" Target="file:///C:\Users\34722\Downloads\Hetzner_2026-01-16_084000638408%20(2).pdf" TargetMode="External"/><Relationship Id="rId14" Type="http://schemas.openxmlformats.org/officeDocument/2006/relationships/hyperlink" Target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Invoice%283313%2D37372%29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TargetMode="External"/><Relationship Id="rId56" Type="http://schemas.openxmlformats.org/officeDocument/2006/relationships/hyperlink" Target="../../../../:f:/s/ARTESTA/EjjZTUTnrChDnGiS-mAA9wwBhwXlOFskGU8hf9HVKFLhcQ?e=vwj8i4" TargetMode="External"/><Relationship Id="rId317" Type="http://schemas.openxmlformats.org/officeDocument/2006/relationships/hyperlink" Target="file:///C:\Users\andre\Downloads\IN6033326_001.pdf" TargetMode="External"/><Relationship Id="rId359" Type="http://schemas.openxmlformats.org/officeDocument/2006/relationships/hyperlink" Target="../../../../:f:/s/ARTESTA/IgALNZlFxWRnS4jXhuv7qytTARXGVf7RRwGuM-2AlTmyBOY?e=5DaWX7" TargetMode="External"/><Relationship Id="rId98" Type="http://schemas.openxmlformats.org/officeDocument/2006/relationships/hyperlink" Target="../../../../:b:/s/ARTESTA/ERNOfMi_ljRAiEc1j4tJoV0BEi4rHEk8L3HhxaFwZlUWMw?e=7R8ZJc" TargetMode="External"/><Relationship Id="rId121" Type="http://schemas.openxmlformats.org/officeDocument/2006/relationships/hyperlink" Target="../../../../:x:/s/ARTESTA/EZQ_jHd4nGlOuOhQiWc_UyEBIDLhtys8ghftaH69Q_InOw?e=wfgwYC" TargetMode="External"/><Relationship Id="rId163" Type="http://schemas.openxmlformats.org/officeDocument/2006/relationships/hyperlink" Target="../../../../:b:/s/ARTESTA/IQCUxYZUbzwiS5Ek3csRrUjVAfA_LArPIs1bPt4WYzurgNQ?e=VgnY3f" TargetMode="External"/><Relationship Id="rId219" Type="http://schemas.openxmlformats.org/officeDocument/2006/relationships/hyperlink" Target="file:///C:\Users\34722\OneDrive%20-%20Artesta\Attachments\ARTESTA%20-%206.%20Finances\Artesta%20Store,%20S.L\2025\4Q\202512\Gastos\Proveedores\UPS\Invoice_837741365_121525.PDF" TargetMode="External"/><Relationship Id="rId370" Type="http://schemas.openxmlformats.org/officeDocument/2006/relationships/hyperlink" Target="../../../../:b:/s/ARTESTA/IQCwT0m7lda5TaDp9mQE8w6SAa8Wvie4WI7jVhd0RZQYAWs?e=RNye8R" TargetMode="External"/><Relationship Id="rId230" Type="http://schemas.openxmlformats.org/officeDocument/2006/relationships/hyperlink" Target="../../../../:b:/s/ARTESTA/IQCQsb9x2I2kQ7wvN5LqgBMYAfQZG3H5DPK6hTuqN5QuJUQ?e=tytPdg" TargetMode="External"/><Relationship Id="rId25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8%2E%20Suministros%20%2D%20ok%2FSoftware%20%2D%20ok%2FProduct%20Hero%20%2D%20ok%2Finvoice%5F134634%2Epdf&amp;parent=%2Fsites%2FARTESTA%2FShared%20Documents%2F6%2E%20Finances%2FArtesta%20Store%2C%20S%2EL%2F2025%2F1Q%2F1%2E%20January%2F7%2E%20Otros%20gastos%20de%20explotaci%C3%B3n%2F628%2E%20Suministros%20%2D%20ok%2FSoftware%20%2D%20ok%2FProduct%20Hero%20%2D%20ok" TargetMode="External"/><Relationship Id="rId67" Type="http://schemas.openxmlformats.org/officeDocument/2006/relationships/hyperlink" Target="../../../../:f:/s/ARTESTA/EnOUHypkpYdMqq6-z8yk1kYByabx2ttLyUsi56pEXjqGDQ?e=R6f4Ey" TargetMode="External"/><Relationship Id="rId272" Type="http://schemas.openxmlformats.org/officeDocument/2006/relationships/hyperlink" Target="file:///C:\Users\34722\OneDrive%20-%20Artesta\Attachments\ARTESTA%20-%206.%20Finances\Artesta%20Store,%20S.L\2026\1Q\012026\CANARIAS\fra.147.pdf" TargetMode="External"/><Relationship Id="rId328" Type="http://schemas.openxmlformats.org/officeDocument/2006/relationships/hyperlink" Target="../../../../:b:/s/ARTESTA/IQD4ggzMAz4JR577nLk9eLdgAakNMbyjwxhKs3ijBk5KJJA?e=66QPXz" TargetMode="External"/><Relationship Id="rId132" Type="http://schemas.openxmlformats.org/officeDocument/2006/relationships/hyperlink" Target="../../../../:b:/s/ARTESTA/EfX1dvlk3CRHkljsM9juCZQBHGF9XhISPd3tgGOIU_ZDKg?e=s53nVq" TargetMode="External"/><Relationship Id="rId174" Type="http://schemas.openxmlformats.org/officeDocument/2006/relationships/hyperlink" Target="../../../../:b:/s/ARTESTA/IQAmKxCNAv2cRpucJpt4J5q7AcBAz3qE5xq7-Fdw8iLVI1U?e=Mf8hjc" TargetMode="External"/><Relationship Id="rId241" Type="http://schemas.openxmlformats.org/officeDocument/2006/relationships/hyperlink" Target="../../../../:b:/s/ARTESTA/IQCOyPD_LQ_XSZp8nOvlMD0sAUCMIpMftiX5_HDPCeEZiqA?e=g2hi4k" TargetMode="External"/><Relationship Id="rId36" Type="http://schemas.openxmlformats.org/officeDocument/2006/relationships/hyperlink" Target="../../../../:b:/s/ARTESTA/Efy0cWVHHihAkGoOjRWCmiEBvuFKh3MkzROL5JmNAqj-Lg?e=LyzZYf" TargetMode="External"/><Relationship Id="rId283" Type="http://schemas.openxmlformats.org/officeDocument/2006/relationships/hyperlink" Target="../../../../:b:/s/ARTESTA/IQDz7gNTgTwJSYO_VUkpLYV6AXp8aU4hQwvECbkaIpljlYo?e=EIz00V" TargetMode="External"/><Relationship Id="rId339" Type="http://schemas.openxmlformats.org/officeDocument/2006/relationships/hyperlink" Target="file:///C:\Users\andre\OneDrive%20-%20Artesta\Attachments\ARTESTA%20-%206.%20Finances\Artesta%20Store,%20S.L\2026\1Q\202602\Gastos\Proveedores\UPS\Invoice_327030108_021826.PDF" TargetMode="External"/><Relationship Id="rId78" Type="http://schemas.openxmlformats.org/officeDocument/2006/relationships/hyperlink" Target="../../../../:b:/s/ARTESTA/EXTzbFxRMIFMlTpLZYy2AZQBUrlx9s9doJjrPPNN9lY4kw?e=RFcFun" TargetMode="External"/><Relationship Id="rId99" Type="http://schemas.openxmlformats.org/officeDocument/2006/relationships/hyperlink" Target="../../../../:b:/s/ARTESTA/Edtxi9Cz1JdCkcuEBernrz4BEvyi692turWSGWJNwsd8WA?e=50xKgH" TargetMode="External"/><Relationship Id="rId101" Type="http://schemas.openxmlformats.org/officeDocument/2006/relationships/hyperlink" Target="../../../../:b:/s/ARTESTA/EUfDcfVCtElDr7OeSCdgEH8BOpvadLYatzvNy5y8tVcljg?e=dTAcMW" TargetMode="External"/><Relationship Id="rId122" Type="http://schemas.openxmlformats.org/officeDocument/2006/relationships/hyperlink" Target="../../../../:b:/s/ARTESTA/EZA-P44EJ9NKvfRURrJRy5cBcf-smL25pLPXw5e__7U2tQ?e=38SkMY" TargetMode="External"/><Relationship Id="rId143" Type="http://schemas.openxmlformats.org/officeDocument/2006/relationships/hyperlink" Target="../../../../:b:/s/ARTESTA/EY1rX2LU6uJPj2Xws3ztb4wB_99u_sj_Nz5vpYAIrk24iQ?e=kpoivK" TargetMode="External"/><Relationship Id="rId164" Type="http://schemas.openxmlformats.org/officeDocument/2006/relationships/hyperlink" Target="../../../../:b:/s/ARTESTA/IQDnQpcko8K8QJG3RKwp2QabAQR8WrFHVUwdO3ECWPKBD4Q?e=YUlYAx" TargetMode="External"/><Relationship Id="rId185" Type="http://schemas.openxmlformats.org/officeDocument/2006/relationships/hyperlink" Target="../../../../:b:/s/ARTESTA/IQAR8bbJ8O1xRpAxaViIqttGAeoyuhg7Ug-aRpIdFDC02QA?e=xT0zbf" TargetMode="External"/><Relationship Id="rId350" Type="http://schemas.openxmlformats.org/officeDocument/2006/relationships/hyperlink" Target="../../../../:b:/s/ARTESTA/IQDWAv4PWgFiRbDLjVurDkdJAf96GktCaNpBmmBqiMb52HY?e=dgU1BK" TargetMode="External"/><Relationship Id="rId371" Type="http://schemas.openxmlformats.org/officeDocument/2006/relationships/hyperlink" Target="../../../../:b:/s/ARTESTA/IQDq2i_vl2tsRJeOkT_ZbLL_AdKcFA10r8aQDpnOYLi-8GQ?e=NZSkhM" TargetMode="External"/><Relationship Id="rId9" Type="http://schemas.openxmlformats.org/officeDocument/2006/relationships/hyperlink" Target="../Forms/AllItems.aspx?viewid=7a0270c5%2D12e7%2D46ed%2Db71e%2Dd26f27d2378d&amp;ga=1&amp;id=%2Fsites%2FARTESTA%2FShared%20Documents%2F6%2E%20Finances%2FArtesta%20Store%2C%20S%2EL%2F2025%2F3Q%2F202509%2FGastos%2FProveedores%2FAP%20Photo%2Ffra%2E2432%2Epdf&amp;parent=%2Fsites%2FARTESTA%2FShared%20Documents%2F6%2E%20Finances%2FArtesta%20Store%2C%20S%2EL%2F2025%2F3Q%2F202509%2FGastos%2FProveedores%2FAP%20Photo" TargetMode="External"/><Relationship Id="rId210" Type="http://schemas.openxmlformats.org/officeDocument/2006/relationships/hyperlink" Target="../../../../:b:/s/ARTESTA/IQBqCMeEboNoSYEsDnWQ6oMCAarPcA3qoHO9xo9GnXZl--0?e=GK3RzA" TargetMode="External"/><Relationship Id="rId26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8%2E%20Suministros%20%2D%20ok%2FWeb%20%2D%20ok%2FShopify%20%2D%20ok%2FArtesta%5F319127596%2Epdf&amp;parent=%2Fsites%2FARTESTA%2FShared%20Documents%2F6%2E%20Finances%2FArtesta%20Store%2C%20S%2EL%2F2025%2F1Q%2F1%2E%20January%2F7%2E%20Otros%20gastos%20de%20explotaci%C3%B3n%2F628%2E%20Suministros%20%2D%20ok%2FWeb%20%2D%20ok%2FShopify%20%2D%20ok" TargetMode="External"/><Relationship Id="rId231" Type="http://schemas.openxmlformats.org/officeDocument/2006/relationships/hyperlink" Target="../../../../:b:/s/ARTESTA/IQCM7FBiEwhHS7UdGdjECodYASbSjQkC78-eLn0PmznVxAM?e=AlQ22x" TargetMode="External"/><Relationship Id="rId252" Type="http://schemas.openxmlformats.org/officeDocument/2006/relationships/hyperlink" Target="../../../../:f:/s/ARTESTA/IgA7N3eKl-NYQa3dKpv_aH9kAdtsBhisAi0p3UsOG9z_S5w?e=jKgmMX" TargetMode="External"/><Relationship Id="rId273" Type="http://schemas.openxmlformats.org/officeDocument/2006/relationships/hyperlink" Target="../../../../:b:/s/ARTESTA/IQCLFypK5h6FSownWUQxcNKDAa5t2sfhlhqgedKnTrrSjPM?e=fMReKm" TargetMode="External"/><Relationship Id="rId294" Type="http://schemas.openxmlformats.org/officeDocument/2006/relationships/hyperlink" Target="file:///C:\Users\34722\AppData\Local\Temp\839b24b6-1d06-4ad6-80f7-45d5fea18a85_579ae267-2ac3-48e1-8c15-cf282e7c8bbf.zip.a85\Invoice_837954641_012626.PDF" TargetMode="External"/><Relationship Id="rId308" Type="http://schemas.openxmlformats.org/officeDocument/2006/relationships/hyperlink" Target="../../../../:b:/s/ARTESTA/IQCXETulwkruS4VMRLWeYWzmAalkjD7sOVCLIwlNsD5oc0I?e=iR9IQH" TargetMode="External"/><Relationship Id="rId329" Type="http://schemas.openxmlformats.org/officeDocument/2006/relationships/hyperlink" Target="../../../../:b:/s/ARTESTA/IQDWpwJ-OIiJSp1aoaVFD5CLAbKW6UlNHJRlSGkbH2SvrFI?e=RBGLBS" TargetMode="External"/><Relationship Id="rId47" Type="http://schemas.openxmlformats.org/officeDocument/2006/relationships/hyperlink" Target="../../../../:b:/s/ARTESTA/EdQrLnuBfUdEmUxYYO4-LvIBtRwOC7HbgkBfP-BSJrSeJA?e=fwY6DT" TargetMode="External"/><Relationship Id="rId68" Type="http://schemas.openxmlformats.org/officeDocument/2006/relationships/hyperlink" Target="../../../../:b:/s/ARTESTA/EbrpaXGBBw9LswyTbXhI-BUBLy5D8uMHPJiZ_koZFIZoSw?e=QECTyW" TargetMode="External"/><Relationship Id="rId89" Type="http://schemas.openxmlformats.org/officeDocument/2006/relationships/hyperlink" Target="../../../../:b:/s/ARTESTA/ERsheBJEew5Bm3-4x4y_3mgBVU4iNWQpDOs5asYJb3IknQ?e=BaghTT" TargetMode="External"/><Relationship Id="rId112" Type="http://schemas.openxmlformats.org/officeDocument/2006/relationships/hyperlink" Target="../../../../:b:/s/ARTESTA/EVip9Qlv9U5JthJUQUfuQ6YBmg7JQkiVZbAS-rsZDdrcnQ?e=Y9TKlf" TargetMode="External"/><Relationship Id="rId133" Type="http://schemas.openxmlformats.org/officeDocument/2006/relationships/hyperlink" Target="../../../../:b:/s/ARTESTA/ESqAK1aVzM9NgiFEFB7fIGUBmRd83OS7G0G5oAK7yuAT_Q?e=r003bH" TargetMode="External"/><Relationship Id="rId154" Type="http://schemas.openxmlformats.org/officeDocument/2006/relationships/hyperlink" Target="../../../../:b:/s/ARTESTA/IQBZuJA9lhyzSY7Utye2MRZ4AVabXaxXggEmkjOpiiZ6Xm4?e=LujGfh" TargetMode="External"/><Relationship Id="rId175" Type="http://schemas.openxmlformats.org/officeDocument/2006/relationships/hyperlink" Target="../../../../:b:/s/ARTESTA/IQAmKxCNAv2cRpucJpt4J5q7AcBAz3qE5xq7-Fdw8iLVI1U?e=Mf8hjc" TargetMode="External"/><Relationship Id="rId340" Type="http://schemas.openxmlformats.org/officeDocument/2006/relationships/hyperlink" Target="file:///C:\Users\andre\OneDrive%20-%20Artesta\Attachments\ARTESTA%20-%206.%20Finances\Artesta%20Store,%20S.L\2026\1Q\202602\Gastos\Proveedores\UPS\Invoice_327061645_022526.PDF" TargetMode="External"/><Relationship Id="rId361" Type="http://schemas.openxmlformats.org/officeDocument/2006/relationships/hyperlink" Target="../../../../:b:/s/ARTESTA/IQAha1NNVdTRR7ILKgsTMN0hAVlaEA7HDfyUMsmDtjRG94o?e=nTHpa6" TargetMode="External"/><Relationship Id="rId196" Type="http://schemas.openxmlformats.org/officeDocument/2006/relationships/hyperlink" Target="../../../../:b:/s/ARTESTA/IQC27zJ5ehpES47MjGy6J0LdAdAGFyAuYp1hAcci7K35ghQ?e=RwaknQ" TargetMode="External"/><Relationship Id="rId200" Type="http://schemas.openxmlformats.org/officeDocument/2006/relationships/hyperlink" Target="../../../../:b:/s/ARTESTA/IQCIQl-RvCk8QaDgMr0RvX1JAdjxzofgWTLhRgwQ1BcXieU?e=mj6pOM" TargetMode="External"/><Relationship Id="rId16" Type="http://schemas.openxmlformats.org/officeDocument/2006/relationships/hyperlink" Target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M%C2%AA%20CONCEPCION%20ALONSO%20VALSALLO%20%2D%20FRA%20A5%20240337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TargetMode="External"/><Relationship Id="rId221" Type="http://schemas.openxmlformats.org/officeDocument/2006/relationships/hyperlink" Target="file:///C:\Users\34722\OneDrive%20-%20Artesta\Attachments\ARTESTA%20-%206.%20Finances\Artesta%20Store,%20S.L\2025\4Q\202512\Gastos\Proveedores\UPS\Invoice_837832560_122925.PDF" TargetMode="External"/><Relationship Id="rId242" Type="http://schemas.openxmlformats.org/officeDocument/2006/relationships/hyperlink" Target="file:///C:\Users\34722\Downloads\Transaction_249902419.pdf" TargetMode="External"/><Relationship Id="rId263" Type="http://schemas.openxmlformats.org/officeDocument/2006/relationships/hyperlink" Target="../../../../:b:/s/ARTESTA/IQDgNj_gvaqlSZw_Lppbyq49AQYjWEK3R0AVM5tX7nVf3CM?e=Trp0ko" TargetMode="External"/><Relationship Id="rId284" Type="http://schemas.openxmlformats.org/officeDocument/2006/relationships/hyperlink" Target="../../../../:b:/s/ARTESTA/IQDz7gNTgTwJSYO_VUkpLYV6AXp8aU4hQwvECbkaIpljlYo?e=EIz00V" TargetMode="External"/><Relationship Id="rId319" Type="http://schemas.openxmlformats.org/officeDocument/2006/relationships/hyperlink" Target="file:///C:\Users\andre\Downloads\IN6033326_001.pdf" TargetMode="External"/><Relationship Id="rId37" Type="http://schemas.openxmlformats.org/officeDocument/2006/relationships/hyperlink" Target="../../../../:b:/s/ARTESTA/EYIL6E_tB4ZGkDSlWM3CT84BJftGDIcIMTl_i5EVPSkauA?e=CH1oNx" TargetMode="External"/><Relationship Id="rId58" Type="http://schemas.openxmlformats.org/officeDocument/2006/relationships/hyperlink" Target="../../../../:f:/s/ARTESTA/EjjZTUTnrChDnGiS-mAA9wwBhwXlOFskGU8hf9HVKFLhcQ?e=vwj8i4" TargetMode="External"/><Relationship Id="rId79" Type="http://schemas.openxmlformats.org/officeDocument/2006/relationships/hyperlink" Target="../../../../:b:/s/ARTESTA/EU66M4pnVBJNp5rQoqt2F70Bj1P9VbqH80FqWFsZ7l1rBQ?e=GfI0aJ" TargetMode="External"/><Relationship Id="rId102" Type="http://schemas.openxmlformats.org/officeDocument/2006/relationships/hyperlink" Target="../../../../:b:/s/ARTESTA/EYYoLPQl1FhFsvwusa6hOIUBc9JUH8RsSbn_CNXh-VZv7Q?e=QBIqdc" TargetMode="External"/><Relationship Id="rId123" Type="http://schemas.openxmlformats.org/officeDocument/2006/relationships/hyperlink" Target="../../../../:b:/s/ARTESTA/ESWnW-l8uShDrumt0OeAB3YB3lTxMMwP3d2VzrPqISnZiw?e=zqw4Lj" TargetMode="External"/><Relationship Id="rId144" Type="http://schemas.openxmlformats.org/officeDocument/2006/relationships/hyperlink" Target="../../../../:b:/s/ARTESTA/EWpiwqcXpx1Ks7jHOQmX5ysBYiBQzGtMpuIflTFMIkKkqw?e=qlKnuy" TargetMode="External"/><Relationship Id="rId330" Type="http://schemas.openxmlformats.org/officeDocument/2006/relationships/hyperlink" Target="../../../../:b:/s/ARTESTA/IQAtAQYI5eLuTpkW2x9t0KTAAVPSud5jLxaUFy4nsBTN4Kw?e=wl8XgH" TargetMode="External"/><Relationship Id="rId90" Type="http://schemas.openxmlformats.org/officeDocument/2006/relationships/hyperlink" Target="../../../../:b:/s/ARTESTA/EUHnqibJ7e9Kp4he4fO7-yYB5Y5gdp8iNqFtvBFbkmPhWQ?e=uDsTGO" TargetMode="External"/><Relationship Id="rId165" Type="http://schemas.openxmlformats.org/officeDocument/2006/relationships/hyperlink" Target="../../../../:b:/s/ARTESTA/IQCTbQpnoOstSpnMtIk5RnGWAVfaBODV6XXmL2LLiKFC2Oo?e=fHzU5h" TargetMode="External"/><Relationship Id="rId186" Type="http://schemas.openxmlformats.org/officeDocument/2006/relationships/hyperlink" Target="../../../../:b:/s/ARTESTA/IQARrgmTtSwTRLEA8btygQUbAcsxGhHm9-LjP6yALS5alZQ?e=BRunL8" TargetMode="External"/><Relationship Id="rId351" Type="http://schemas.openxmlformats.org/officeDocument/2006/relationships/hyperlink" Target="../../../../:b:/s/ARTESTA/IQBkZGepts0CQKduU9Hw4RBDAYgtUXQTPBGA8jV9-HJ8DTc?e=aY0eIZ" TargetMode="External"/><Relationship Id="rId372" Type="http://schemas.openxmlformats.org/officeDocument/2006/relationships/hyperlink" Target="file:///C:\Users\andre\OneDrive%20-%20Artesta\Attachments\ARTESTA%20-%206.%20Finances\Artesta%20Store,%20S.L\2026\1Q\202602\Gastos\Proveedores\correos\4004608215.PDF" TargetMode="External"/><Relationship Id="rId211" Type="http://schemas.openxmlformats.org/officeDocument/2006/relationships/hyperlink" Target="../../../../:b:/s/ARTESTA/IQDnjzJkL2bNRLCsX5vuKPugAVH9PcH0YcRw-S_rde6jT1o?e=XiBUzc" TargetMode="External"/><Relationship Id="rId232" Type="http://schemas.openxmlformats.org/officeDocument/2006/relationships/hyperlink" Target="../../../../:b:/s/ARTESTA/IQCBMBi7rzOxQ6NT4lCvnq0QAYRfI4zOZKH7VUQoQ0xpb_o?e=1UWx9T" TargetMode="External"/><Relationship Id="rId253" Type="http://schemas.openxmlformats.org/officeDocument/2006/relationships/hyperlink" Target="file:///C:\Users\andre\Downloads\ES-AEU-2025-1192406.pdf" TargetMode="External"/><Relationship Id="rId274" Type="http://schemas.openxmlformats.org/officeDocument/2006/relationships/hyperlink" Target="file:///C:\Users\34722\Downloads\suppliedNote%20(5).pdf" TargetMode="External"/><Relationship Id="rId295" Type="http://schemas.openxmlformats.org/officeDocument/2006/relationships/hyperlink" Target="file:///C:\Users\andre\Downloads\4004566874%20(1).PDF" TargetMode="External"/><Relationship Id="rId309" Type="http://schemas.openxmlformats.org/officeDocument/2006/relationships/hyperlink" Target="../../../../:b:/s/ARTESTA/IQCyFihOOjHGTZBf-0GCA_YdAXeEyix9--0BbJzneKYbiWk?e=hSueIZ" TargetMode="External"/><Relationship Id="rId27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4%2E%20Transportes%20%2D%20ok%2FCorreos%20%2D%20ok%2F4004229873%2EPDF&amp;parent=%2Fsites%2FARTESTA%2FShared%20Documents%2F6%2E%20Finances%2FArtesta%20Store%2C%20S%2EL%2F2025%2F1Q%2F1%2E%20January%2F7%2E%20Otros%20gastos%20de%20explotaci%C3%B3n%2F624%2E%20Transportes%20%2D%20ok%2FCorreos%20%2D%20ok" TargetMode="External"/><Relationship Id="rId48" Type="http://schemas.openxmlformats.org/officeDocument/2006/relationships/hyperlink" Target="https://artestastore-my.sharepoint.com/shared?listurl=https%3A%2F%2Fartestastore%2Esharepoint%2Ecom%2Fsites%2FARTESTA%2FShared%20Documents&amp;viewid=7a0270c5%2D12e7%2D46ed%2Db71e%2Dd26f27d2378d&amp;id=%2Fsites%2FARTESTA%2FShared%20Documents%2F6%2E%20Finances%2FArtesta%20Store%2C%20S%2EL%2F2025%2F1Q%2F1%2E%20January%2F4%2E%20Aprovisionamientos%20%2D%20ok%2FMB%20Editions%20%2D%20ok%2FFacture%5F9429%2Epdf&amp;parent=%2Fsites%2FARTESTA%2FShared%20Documents%2F6%2E%20Finances%2FArtesta%20Store%2C%20S%2EL%2F2025%2F1Q%2F1%2E%20January%2F4%2E%20Aprovisionamientos%20%2D%20ok%2FMB%20Editions%20%2D%20ok" TargetMode="External"/><Relationship Id="rId69" Type="http://schemas.openxmlformats.org/officeDocument/2006/relationships/hyperlink" Target="../../../../:b:/s/ARTESTA/EbrpaXGBBw9LswyTbXhI-BUBLy5D8uMHPJiZ_koZFIZoSw?e=QECTyW" TargetMode="External"/><Relationship Id="rId113" Type="http://schemas.openxmlformats.org/officeDocument/2006/relationships/hyperlink" Target="../../../../:b:/s/ARTESTA/EfX84wU2klVGvPCngYNz0x0BebH9MMBZ2djmXDBLYN2i8g?e=SJpySm" TargetMode="External"/><Relationship Id="rId134" Type="http://schemas.openxmlformats.org/officeDocument/2006/relationships/hyperlink" Target="../../../../:b:/s/ARTESTA/EVPWFbr1ycFAphvkYAE4PEIBw2vYnx8zRkQ27ZpU6VzITw?e=lswMRe" TargetMode="External"/><Relationship Id="rId320" Type="http://schemas.openxmlformats.org/officeDocument/2006/relationships/hyperlink" Target="file:///C:\Users\andre\Downloads\IN6033326_001.pdf" TargetMode="External"/><Relationship Id="rId80" Type="http://schemas.openxmlformats.org/officeDocument/2006/relationships/hyperlink" Target="../../../../:b:/s/ARTESTA/EcyBt4tOfMhAnOeuDTF0vOQBts2OOSUqZh1me99SwCMqhQ?e=vuyGMz" TargetMode="External"/><Relationship Id="rId155" Type="http://schemas.openxmlformats.org/officeDocument/2006/relationships/hyperlink" Target="../../../../:b:/s/ARTESTA/IQDAgxNzggg-RLpThEkvv7fZAX4NysYssjEElT2wY7E3kmw?e=P3IFrn" TargetMode="External"/><Relationship Id="rId176" Type="http://schemas.openxmlformats.org/officeDocument/2006/relationships/hyperlink" Target="../../../../:b:/s/ARTESTA/IQAQ0di7FehCR50cMPAdqFK1AdPTkLwMtM9X8ZXpxkXcPgM?e=s8zZtR" TargetMode="External"/><Relationship Id="rId197" Type="http://schemas.openxmlformats.org/officeDocument/2006/relationships/hyperlink" Target="../../../../:b:/s/ARTESTA/IQDhR5yuYJBMS7SCnn_lsed7AWOEmHmpYpEoK1_Ry2Vn4zk?e=44Z2Up" TargetMode="External"/><Relationship Id="rId341" Type="http://schemas.openxmlformats.org/officeDocument/2006/relationships/hyperlink" Target="file:///C:\Users\andre\OneDrive%20-%20Artesta\Attachments\ARTESTA%20-%206.%20Finances\Artesta%20Store,%20S.L\2026\1Q\202602\Gastos\Proveedores\UPS\Invoice_837993499_020226.PDF" TargetMode="External"/><Relationship Id="rId362" Type="http://schemas.openxmlformats.org/officeDocument/2006/relationships/hyperlink" Target="../../../../:f:/s/ARTESTA/IgB4ddsKbCLzRZ68yZATYT1kAWlLcorOkSaTcsVOvQX0QUw?e=fW40j2" TargetMode="External"/><Relationship Id="rId201" Type="http://schemas.openxmlformats.org/officeDocument/2006/relationships/hyperlink" Target="../../../../:b:/s/ARTESTA/IQAygVtgq7kxQp_l4aRH1YFFAfTGfPqQ2GVxEV1QIRNHel8?e=YQOnE3" TargetMode="External"/><Relationship Id="rId222" Type="http://schemas.openxmlformats.org/officeDocument/2006/relationships/hyperlink" Target="../../../../:b:/s/ARTESTA/IQA0UC6AgfZJQKwZgNVLR9sTAQDn0LMwE_S81NMER3ijXCc?e=nCvMyq" TargetMode="External"/><Relationship Id="rId243" Type="http://schemas.openxmlformats.org/officeDocument/2006/relationships/hyperlink" Target="../../../../:f:/s/ARTESTA/IgCwXAn0apysTbB9os2ZP52KAd5fHOt8jXuJbWjx4mb_BEE?e=lO64cT" TargetMode="External"/><Relationship Id="rId264" Type="http://schemas.openxmlformats.org/officeDocument/2006/relationships/hyperlink" Target="../../../../:b:/s/ARTESTA/IQDXEsmXsW6eRK6U9fwb933QAThNQsRdp0i-s4ckEZ0dkM4?e=cjb7vf" TargetMode="External"/><Relationship Id="rId285" Type="http://schemas.openxmlformats.org/officeDocument/2006/relationships/hyperlink" Target="../../../../:b:/s/ARTESTA/IQDz7gNTgTwJSYO_VUkpLYV6AXp8aU4hQwvECbkaIpljlYo?e=EIz00V" TargetMode="External"/><Relationship Id="rId17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7%2E%20Publicidad%2C%20propaganda%20y%20RRPP%20%2D%20ok%2FCanva%20%2D%20ok%2Finvoice%2D04400%2D23277624%2Epdf&amp;parent=%2Fsites%2FARTESTA%2FShared%20Documents%2F6%2E%20Finances%2FArtesta%20Store%2C%20S%2EL%2F2025%2F1Q%2F1%2E%20January%2F7%2E%20Otros%20gastos%20de%20explotaci%C3%B3n%2F627%2E%20Publicidad%2C%20propaganda%20y%20RRPP%20%2D%20ok%2FCanva%20%2D%20ok" TargetMode="External"/><Relationship Id="rId38" Type="http://schemas.openxmlformats.org/officeDocument/2006/relationships/hyperlink" Target="../../../../:b:/s/ARTESTA/EVHRb1GMk99Nlqq4E7zOSccBBeNNz9PlPnwkxCGcyrMKSw?e=NLBIGX" TargetMode="External"/><Relationship Id="rId59" Type="http://schemas.openxmlformats.org/officeDocument/2006/relationships/hyperlink" Target="../../../../:f:/s/ARTESTA/EgqUwp_xTYdIpMscD_ixUi8Bm2NhjJakGUPyS88TFBpB0w?e=SczmE9" TargetMode="External"/><Relationship Id="rId103" Type="http://schemas.openxmlformats.org/officeDocument/2006/relationships/hyperlink" Target="../../../../:b:/s/ARTESTA/ET4HlpVJ94FKsKnMF7KRmsYB1dm7L8iruDfNPmEW1W5xSQ?e=Ssda36" TargetMode="External"/><Relationship Id="rId124" Type="http://schemas.openxmlformats.org/officeDocument/2006/relationships/hyperlink" Target="../../../../:b:/s/ARTESTA/EUPw3xrmNV1EsjQf6eOoE_MBMTewNo6m4Fh1GBj_SMhJfw?e=OTAzTC" TargetMode="External"/><Relationship Id="rId310" Type="http://schemas.openxmlformats.org/officeDocument/2006/relationships/hyperlink" Target="../../../../:b:/s/ARTESTA/IQBbSL6UU_ogR5_2OnnClnnFAeKEU9pLP834CcUhJvBLC44?e=7FY9vB" TargetMode="External"/><Relationship Id="rId70" Type="http://schemas.openxmlformats.org/officeDocument/2006/relationships/hyperlink" Target="../../../../:b:/s/ARTESTA/ERuCcvfarqhLvv3Wac8Rw2UBpvtkVIqWXJoXKGvOxKXWIA?e=mYVBUc" TargetMode="External"/><Relationship Id="rId91" Type="http://schemas.openxmlformats.org/officeDocument/2006/relationships/hyperlink" Target="../../../../:b:/s/ARTESTA/Eb4gQjUOOuBGmjgkiTSQyuwBXw5nB_gTOsXjbjmuDtU_Jg?e=WC8gHV" TargetMode="External"/><Relationship Id="rId145" Type="http://schemas.openxmlformats.org/officeDocument/2006/relationships/hyperlink" Target="../../../../:b:/s/ARTESTA/IQCvf3uJvlv6RoYDk9qcBKMrARkUWl3sVdL8PyjRlUyexog?e=dSmGht" TargetMode="External"/><Relationship Id="rId166" Type="http://schemas.openxmlformats.org/officeDocument/2006/relationships/hyperlink" Target="../../../../:b:/s/ARTESTA/IQDqWZQUnZeTToe82pNTz-WwAQ76QbuiJu-t1HGxF665g2I?e=mguap2" TargetMode="External"/><Relationship Id="rId187" Type="http://schemas.openxmlformats.org/officeDocument/2006/relationships/hyperlink" Target="../../../../:b:/s/ARTESTA/IQAxa1jZDFoHQqV8Ku_HeUmzAZmjL60vOMBerufnZ_2YTcc?e=eNedkU" TargetMode="External"/><Relationship Id="rId331" Type="http://schemas.openxmlformats.org/officeDocument/2006/relationships/hyperlink" Target="../../../../:b:/s/ARTESTA/IQDz0zBYlUN2RYsZ7EmUg-wGASj47OtcNopGxYZBmgKGYJ8?e=QLNPds" TargetMode="External"/><Relationship Id="rId352" Type="http://schemas.openxmlformats.org/officeDocument/2006/relationships/hyperlink" Target="file:///C:\Users\andre\OneDrive%20-%20Artesta\Attachments\ARTESTA%20-%206.%20Finances\Artesta%20Store,%20S.L\2026\1Q\202602\Gastos\Proveedores\google\5505030303.pdf" TargetMode="External"/><Relationship Id="rId373" Type="http://schemas.openxmlformats.org/officeDocument/2006/relationships/printerSettings" Target="../printerSettings/printerSettings4.bin"/><Relationship Id="rId1" Type="http://schemas.openxmlformats.org/officeDocument/2006/relationships/hyperlink" Target="../Forms/AllItems.aspx?viewid=7a0270c5%2D12e7%2D46ed%2Db71e%2Dd26f27d2378d&amp;ga=1&amp;id=%2Fsites%2FARTESTA%2FShared%20Documents%2F6%2E%20Finances%2FArtesta%20Inc%2F2025%2F3Q%2F202509%2F6%2E%20Gastos%2FTGI%2F170063%2Epdf&amp;parent=%2Fsites%2FARTESTA%2FShared%20Documents%2F6%2E%20Finances%2FArtesta%20Inc%2F2025%2F3Q%2F202509%2F6%2E%20Gastos%2FTGI" TargetMode="External"/><Relationship Id="rId212" Type="http://schemas.openxmlformats.org/officeDocument/2006/relationships/hyperlink" Target="../../../../:b:/s/ARTESTA/IQC65vasdDgoRrs3PXx-Tt_MAUgwLESV_Cp0EAI83tMY4uk?e=0zGAYi" TargetMode="External"/><Relationship Id="rId233" Type="http://schemas.openxmlformats.org/officeDocument/2006/relationships/hyperlink" Target="../../../../:b:/s/ARTESTA/IQBsMtlyL3yKS5RZS-HRjV_hAQ6HlhP7EL45AvuLRNH-ZtQ?e=wPJPCv" TargetMode="External"/><Relationship Id="rId254" Type="http://schemas.openxmlformats.org/officeDocument/2006/relationships/hyperlink" Target="file:///C:\Users\andre\Downloads\5454860683.pdf" TargetMode="External"/><Relationship Id="rId28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4%2E%20Transportes%20%2D%20ok%2FCorreos%20%2D%20ok%2F4004229874%2EPDF&amp;parent=%2Fsites%2FARTESTA%2FShared%20Documents%2F6%2E%20Finances%2FArtesta%20Store%2C%20S%2EL%2F2025%2F1Q%2F1%2E%20January%2F7%2E%20Otros%20gastos%20de%20explotaci%C3%B3n%2F624%2E%20Transportes%20%2D%20ok%2FCorreos%20%2D%20ok" TargetMode="External"/><Relationship Id="rId49" Type="http://schemas.openxmlformats.org/officeDocument/2006/relationships/hyperlink" Target="https://artestastore-my.sharepoint.com/shared?listurl=https%3A%2F%2Fartestastore%2Esharepoint%2Ecom%2Fsites%2FARTESTA%2FShared%20Documents&amp;id=%2Fsites%2FARTESTA%2FShared%20Documents%2F6%2E%20Finances%2FArtesta%20Store%2C%20S%2EL%2F2025%2F1Q%2F1%2E%20January%2F4%2E%20Aprovisionamientos%20%2D%20ok%2FMB%20Editions%20%2D%20ok%2FFacture%5F9483%2Epdf&amp;parent=%2Fsites%2FARTESTA%2FShared%20Documents%2F6%2E%20Finances%2FArtesta%20Store%2C%20S%2EL%2F2025%2F1Q%2F1%2E%20January%2F4%2E%20Aprovisionamientos%20%2D%20ok%2FMB%20Editions%20%2D%20ok&amp;viewid=7a0270c5%2D12e7%2D46ed%2Db71e%2Dd26f27d2378d" TargetMode="External"/><Relationship Id="rId114" Type="http://schemas.openxmlformats.org/officeDocument/2006/relationships/hyperlink" Target="../../../../:b:/s/ARTESTA/EQRQlRC4nThMnXoW9NBtFZgBfdaRA6UvHHM5lA_PxI9VDw?e=iZTo1e" TargetMode="External"/><Relationship Id="rId275" Type="http://schemas.openxmlformats.org/officeDocument/2006/relationships/hyperlink" Target="../../../../:b:/s/ARTESTA/IQA1pZ7i6qptRbwaqUB1eUvAAUXYs8PIxYcuauIYHHPRezM?e=Fn9gZA" TargetMode="External"/><Relationship Id="rId296" Type="http://schemas.openxmlformats.org/officeDocument/2006/relationships/hyperlink" Target="file:///C:\Users\andre\Downloads\Artesta_464316001.pdf" TargetMode="External"/><Relationship Id="rId300" Type="http://schemas.openxmlformats.org/officeDocument/2006/relationships/hyperlink" Target="file:///C:\Users\andre\Downloads\G135222851_9fd45cdbe51248e4a50e7b1380e7f460.pdf" TargetMode="External"/><Relationship Id="rId60" Type="http://schemas.openxmlformats.org/officeDocument/2006/relationships/hyperlink" Target="../../../../:b:/s/ARTESTA/ESxhvhAGMQ1GlYFBrCe9OYQBx7yvk95OSK3LEeizhI0_zA?e=AgcRN9" TargetMode="External"/><Relationship Id="rId81" Type="http://schemas.openxmlformats.org/officeDocument/2006/relationships/hyperlink" Target="../../../../:b:/s/ARTESTA/Edj7fOLde5NAk0wNiHO1uYkBzRDYwCbzC7YnsCXUydyQIw?e=8ZRXbP" TargetMode="External"/><Relationship Id="rId135" Type="http://schemas.openxmlformats.org/officeDocument/2006/relationships/hyperlink" Target="../../../../:b:/s/ARTESTA/ETmge0F20P1MqrBuSLn-yOgBqOgm7tBReE29PkS8rXYY2Q?e=GF0R5k" TargetMode="External"/><Relationship Id="rId156" Type="http://schemas.openxmlformats.org/officeDocument/2006/relationships/hyperlink" Target="../../../../:b:/s/ARTESTA/IQDcAcWad-NWQL9o9WMiEM5iAYPg21vvr9dVHbwhvfZ4EUU?e=dExRvm" TargetMode="External"/><Relationship Id="rId177" Type="http://schemas.openxmlformats.org/officeDocument/2006/relationships/hyperlink" Target="../../../../:b:/s/ARTESTA/IQDhOENC72XASJfac49b-kfFAcngoCxbvAhulIMvmakrHYQ?e=3ccjVO" TargetMode="External"/><Relationship Id="rId198" Type="http://schemas.openxmlformats.org/officeDocument/2006/relationships/hyperlink" Target="../../../../:b:/s/ARTESTA/IQDTrmLsp4TtRqelqhzRkITZAQeKbHarGAqPQEdEasj48mY?e=PDaflj" TargetMode="External"/><Relationship Id="rId321" Type="http://schemas.openxmlformats.org/officeDocument/2006/relationships/hyperlink" Target="file:///C:\Users\andre\Downloads\IN6033326_001.pdf" TargetMode="External"/><Relationship Id="rId342" Type="http://schemas.openxmlformats.org/officeDocument/2006/relationships/hyperlink" Target="file:///C:\Users\andre\OneDrive%20-%20Artesta\Attachments\ARTESTA%20-%206.%20Finances\Artesta%20Store,%20S.L\2026\1Q\202602\Gastos\Proveedores\UPS\Invoice_838043671_020926.PDF" TargetMode="External"/><Relationship Id="rId363" Type="http://schemas.openxmlformats.org/officeDocument/2006/relationships/hyperlink" Target="../../../../:b:/s/ARTESTA/IQDCpf3ZMtlfS5jYfilI1C2UAaIjP4C11EVQOtlIwyHN628?e=Kxx47U" TargetMode="External"/><Relationship Id="rId202" Type="http://schemas.openxmlformats.org/officeDocument/2006/relationships/hyperlink" Target="../../../../:b:/s/ARTESTA/IQCZx2QF-UtaT7PKlbuPgUZ0AZBjlekQhyVsMI0pok-jH2A?e=dJCinT" TargetMode="External"/><Relationship Id="rId223" Type="http://schemas.openxmlformats.org/officeDocument/2006/relationships/hyperlink" Target="../../../../:b:/s/ARTESTA/IQCd5bzIZ6H5RKn2QtuGwSwxAao3-SjMoEhhY3wj7Pt6jgM?e=vJ3Ri0" TargetMode="External"/><Relationship Id="rId244" Type="http://schemas.openxmlformats.org/officeDocument/2006/relationships/hyperlink" Target="../../../../:f:/s/ARTESTA/IgCwXAn0apysTbB9os2ZP52KAd5fHOt8jXuJbWjx4mb_BEE?e=lO64cT" TargetMode="External"/><Relationship Id="rId18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8%2E%20Suministros%20%2D%20ok%2FSoftware%20%2D%20ok%2FGeoTargetly%20%2D%20ok%2FG250180009%2Epdf&amp;parent=%2Fsites%2FARTESTA%2FShared%20Documents%2F6%2E%20Finances%2FArtesta%20Store%2C%20S%2EL%2F2025%2F1Q%2F1%2E%20January%2F7%2E%20Otros%20gastos%20de%20explotaci%C3%B3n%2F628%2E%20Suministros%20%2D%20ok%2FSoftware%20%2D%20ok%2FGeoTargetly%20%2D%20ok" TargetMode="External"/><Relationship Id="rId39" Type="http://schemas.openxmlformats.org/officeDocument/2006/relationships/hyperlink" Target="https://artestastore-my.sharepoint.com/shared?listurl=https%3A%2F%2Fartestastore%2Esharepoint%2Ecom%2Fsites%2FARTESTA%2FShared%20Documents&amp;viewid=7a0270c5%2D12e7%2D46ed%2Db71e%2Dd26f27d2378d&amp;id=%2Fsites%2FARTESTA%2FShared%20Documents%2F6%2E%20Finances%2FArtesta%20Store%2C%20S%2EL%2F2025%2F1Q%2F1%2E%20January%2F7%2E%20Otros%20gastos%20de%20explotaci%C3%B3n%2F624%2E%20Transportes%20%2D%20ok%2FUPS%20FR%20%2D%20ok%2F38c57dd0%2D658c%2D4dba%2D9b36%2Db0fee083874a%2Epdf&amp;parent=%2Fsites%2FARTESTA%2FShared%20Documents%2F6%2E%20Finances%2FArtesta%20Store%2C%20S%2EL%2F2025%2F1Q%2F1%2E%20January%2F7%2E%20Otros%20gastos%20de%20explotaci%C3%B3n%2F624%2E%20Transportes%20%2D%20ok%2FUPS%20FR%20%2D%20ok" TargetMode="External"/><Relationship Id="rId265" Type="http://schemas.openxmlformats.org/officeDocument/2006/relationships/hyperlink" Target="file:///C:\Users\34722\OneDrive%20-%20Artesta\Attachments\ARTESTA%20-%206.%20Finances\Artesta%20Store,%20S.L\2025\4Q\202512\Gastos\Proveedores\GOOGLE\5456877870.pdf" TargetMode="External"/><Relationship Id="rId286" Type="http://schemas.openxmlformats.org/officeDocument/2006/relationships/hyperlink" Target="../../../../:b:/s/ARTESTA/IQDz7gNTgTwJSYO_VUkpLYV6AXp8aU4hQwvECbkaIpljlYo?e=EIz00V" TargetMode="External"/><Relationship Id="rId50" Type="http://schemas.openxmlformats.org/officeDocument/2006/relationships/hyperlink" Target="https://artestastore-my.sharepoint.com/shared?listurl=https%3A%2F%2Fartestastore%2Esharepoint%2Ecom%2Fsites%2FARTESTA%2FShared%20Documents&amp;id=%2Fsites%2FARTESTA%2FShared%20Documents%2F6%2E%20Finances%2FArtesta%20Store%2C%20S%2EL%2F2025%2F1Q%2F1%2E%20January%2F4%2E%20Aprovisionamientos%20%2D%20ok%2FMB%20Editions%20%2D%20ok%2FFacture%5F9514%2Epdf&amp;parent=%2Fsites%2FARTESTA%2FShared%20Documents%2F6%2E%20Finances%2FArtesta%20Store%2C%20S%2EL%2F2025%2F1Q%2F1%2E%20January%2F4%2E%20Aprovisionamientos%20%2D%20ok%2FMB%20Editions%20%2D%20ok&amp;viewid=7a0270c5%2D12e7%2D46ed%2Db71e%2Dd26f27d2378d" TargetMode="External"/><Relationship Id="rId104" Type="http://schemas.openxmlformats.org/officeDocument/2006/relationships/hyperlink" Target="../../../../:f:/s/ARTESTA/EtY0FEAretJNvPgDhoTUsE4BY7ZgZrKh1HIiEDOduPlzRw?e=uNivv7" TargetMode="External"/><Relationship Id="rId125" Type="http://schemas.openxmlformats.org/officeDocument/2006/relationships/hyperlink" Target="../../../../:b:/s/ARTESTA/EUPw3xrmNV1EsjQf6eOoE_MBMTewNo6m4Fh1GBj_SMhJfw?e=OTAzTC" TargetMode="External"/><Relationship Id="rId146" Type="http://schemas.openxmlformats.org/officeDocument/2006/relationships/hyperlink" Target="../../../../:b:/s/ARTESTA/IQDCJphzv5mBS6AENysik_YCAe7KPCk6G3ay0xtmsfEmRmQ?e=RaXg2j" TargetMode="External"/><Relationship Id="rId167" Type="http://schemas.openxmlformats.org/officeDocument/2006/relationships/hyperlink" Target="../../../../:b:/s/ARTESTA/IQDqWZQUnZeTToe82pNTz-WwAQ76QbuiJu-t1HGxF665g2I?e=mguap2" TargetMode="External"/><Relationship Id="rId188" Type="http://schemas.openxmlformats.org/officeDocument/2006/relationships/hyperlink" Target="../../../../:b:/s/ARTESTA/IQB_VtavRoUETpAdISNdIUGNAS1bflYvZw-jDybXliZHcBk?e=qdokFc" TargetMode="External"/><Relationship Id="rId311" Type="http://schemas.openxmlformats.org/officeDocument/2006/relationships/hyperlink" Target="../../../../:b:/s/ARTESTA/IQBbSL6UU_ogR5_2OnnClnnFAeKEU9pLP834CcUhJvBLC44?e=7FY9vB" TargetMode="External"/><Relationship Id="rId332" Type="http://schemas.openxmlformats.org/officeDocument/2006/relationships/hyperlink" Target="../../../../:b:/s/ARTESTA/IQA1cYYO8PslSrLAyO3DQ794AVjEtFVzMFpOATiOq3n-yFM?e=Y39eut" TargetMode="External"/><Relationship Id="rId353" Type="http://schemas.openxmlformats.org/officeDocument/2006/relationships/hyperlink" Target="../../../../:f:/s/ARTESTA/IgD-kHIE9ZHsSIRpxGgunMXMASeFia3E9GK-Nv7f3w0ISUo?e=ZVi8bh" TargetMode="External"/><Relationship Id="rId374" Type="http://schemas.openxmlformats.org/officeDocument/2006/relationships/table" Target="../tables/table11.xml"/><Relationship Id="rId71" Type="http://schemas.openxmlformats.org/officeDocument/2006/relationships/hyperlink" Target="../../../../:b:/s/ARTESTA/Ef6-4BIlfu9KrNXIvPkWUX8BCJhWqWKU8fE7BUZjg5Pdww?e=1ekOVR" TargetMode="External"/><Relationship Id="rId92" Type="http://schemas.openxmlformats.org/officeDocument/2006/relationships/hyperlink" Target="../../../../:b:/s/ARTESTA/EVsC4jqaAHROtIY58yt8kskBcbnx1iwnDqejja6JSXKh-w?e=uLMkzj" TargetMode="External"/><Relationship Id="rId213" Type="http://schemas.openxmlformats.org/officeDocument/2006/relationships/hyperlink" Target="../../../../:b:/s/ARTESTA/IQDATmsRLQEAT7i6oRqPjYOWAZ1ihJxRBXARljw65sF9Pf0?e=y8fsBu" TargetMode="External"/><Relationship Id="rId234" Type="http://schemas.openxmlformats.org/officeDocument/2006/relationships/hyperlink" Target="../../../../:b:/s/ARTESTA/IQDrGIz9DtibS5xo3RyZ9ZgbAQqDKZxa63c9E7QapIe2514?e=evDYHS" TargetMode="External"/><Relationship Id="rId2" Type="http://schemas.openxmlformats.org/officeDocument/2006/relationships/hyperlink" Target="../Forms/AllItems.aspx?viewid=7a0270c5%2D12e7%2D46ed%2Db71e%2Dd26f27d2378d&amp;ga=1&amp;id=%2Fsites%2FARTESTA%2FShared%20Documents%2F6%2E%20Finances%2FArtesta%20Inc%2F2025%2F3Q%2F202509%2F6%2E%20Gastos%2FTGI%2F170064%2Epdf&amp;parent=%2Fsites%2FARTESTA%2FShared%20Documents%2F6%2E%20Finances%2FArtesta%20Inc%2F2025%2F3Q%2F202509%2F6%2E%20Gastos%2FTGI" TargetMode="External"/><Relationship Id="rId29" Type="http://schemas.openxmlformats.org/officeDocument/2006/relationships/hyperlink" Target="../Forms/AllItems.aspx?id=%2Fsites%2FARTESTA%2FShared%20Documents%2F6%2E%20Finances%2FArtesta%20Store%2C%20S%2EL%2F2025%2F1Q%2F1%2E%20January%2F4%2E%20Aprovisionamientos%20%2D%20ok%2FDCT%20%2D%20ok%2FDCT%5FArtesta%5F41250051%2Epdf&amp;parent=%2Fsites%2FARTESTA%2FShared%20Documents%2F6%2E%20Finances%2FArtesta%20Store%2C%20S%2EL%2F2025%2F1Q%2F1%2E%20January%2F4%2E%20Aprovisionamientos%20%2D%20ok%2FDCT%20%2D%20ok" TargetMode="External"/><Relationship Id="rId255" Type="http://schemas.openxmlformats.org/officeDocument/2006/relationships/hyperlink" Target="file:///C:\Users\andre\Downloads\invoice%20(4)%20(1).pdf" TargetMode="External"/><Relationship Id="rId276" Type="http://schemas.openxmlformats.org/officeDocument/2006/relationships/hyperlink" Target="../../../../:b:/s/ARTESTA/IQAiSBiFN1a7TLvgRmKA2edRAasyJS5x1mE7D3_hMMm1nwA?e=Np5wKR" TargetMode="External"/><Relationship Id="rId297" Type="http://schemas.openxmlformats.org/officeDocument/2006/relationships/hyperlink" Target="file:///C:\Users\andre\Downloads\Invoice-B5F7DF3C-6721.pdf" TargetMode="External"/><Relationship Id="rId40" Type="http://schemas.openxmlformats.org/officeDocument/2006/relationships/hyperlink" Target="../../../../:b:/s/ARTESTA/ETrTIgaGFyxIvHYfHqJytBkBC4XZ2zmX5rKsDGAVjzcOFQ?e=nUiXOW" TargetMode="External"/><Relationship Id="rId115" Type="http://schemas.openxmlformats.org/officeDocument/2006/relationships/hyperlink" Target="../../../../:x:/s/ARTESTA/EYzZI5ODgjtJjNVbCr2T_p8BAi8VqdgwB-2-yjgFeQPPWg?e=0RqmP3" TargetMode="External"/><Relationship Id="rId136" Type="http://schemas.openxmlformats.org/officeDocument/2006/relationships/hyperlink" Target="../../../../:b:/s/ARTESTA/EffAsBl1PhhKi6-453Ij76YBtVvGo3M5iVqIZbAvw-EadA?e=1VFq03" TargetMode="External"/><Relationship Id="rId157" Type="http://schemas.openxmlformats.org/officeDocument/2006/relationships/hyperlink" Target="../../../../:b:/s/ARTESTA/IQCkoWc_bfXYSoL5ozcG8S4JAavbaJsW9yNsOk8wbkKKHr4?e=SRdVo3" TargetMode="External"/><Relationship Id="rId178" Type="http://schemas.openxmlformats.org/officeDocument/2006/relationships/hyperlink" Target="../../../../:b:/s/ARTESTA/IQAHst32-fGISKK27X9AyEc-AZzSAIbAbWiewUD11DNsmCQ?e=EuglER" TargetMode="External"/><Relationship Id="rId301" Type="http://schemas.openxmlformats.org/officeDocument/2006/relationships/hyperlink" Target="../../../../:b:/s/ARTESTA/IQANGVDG24pbTqOticqqnKhGAY5kTGqOBsDnLy9Ow4N8ntk?e=11zXwX" TargetMode="External"/><Relationship Id="rId322" Type="http://schemas.openxmlformats.org/officeDocument/2006/relationships/hyperlink" Target="file:///C:\Users\andre\Downloads\Escaneo0011.pdf" TargetMode="External"/><Relationship Id="rId343" Type="http://schemas.openxmlformats.org/officeDocument/2006/relationships/hyperlink" Target="file:///C:\Users\andre\OneDrive%20-%20Artesta\Attachments\ARTESTA%20-%206.%20Finances\Artesta%20Store,%20S.L\2026\1Q\202602\Gastos\Proveedores\UPS\Invoice_838088024_021626.PDF" TargetMode="External"/><Relationship Id="rId364" Type="http://schemas.openxmlformats.org/officeDocument/2006/relationships/hyperlink" Target="../../../../:f:/s/ARTESTA/IgBya5nnq0YCQr3AQQdZMctLAbJMSBMxjSiiR_p9Aqjb9Q0?e=QOxkqQ" TargetMode="External"/><Relationship Id="rId61" Type="http://schemas.openxmlformats.org/officeDocument/2006/relationships/hyperlink" Target="../../../../:f:/s/ARTESTA/EsvWtw9CJd1HgqIYJ1NybyMBSnrJATEKyvXNW52uCpOs6g?e=W5Pb1q" TargetMode="External"/><Relationship Id="rId82" Type="http://schemas.openxmlformats.org/officeDocument/2006/relationships/hyperlink" Target="../../../../:b:/s/ARTESTA/EUMHD0pfzO9Ht4IOQrZ3tXABRMnG1pw-mYBrxfDpo_3jwQ?e=270pe2" TargetMode="External"/><Relationship Id="rId199" Type="http://schemas.openxmlformats.org/officeDocument/2006/relationships/hyperlink" Target="../../../../:b:/s/ARTESTA/IQDJdLO06FjAQa6y4tkO-6F8AaCLQr9PYYke0ZXIxo-TumA?e=iMLdSh" TargetMode="External"/><Relationship Id="rId203" Type="http://schemas.openxmlformats.org/officeDocument/2006/relationships/hyperlink" Target="../../../../:b:/s/ARTESTA/IQBk1o26y8yaRJrkwcv6ytbTAdyZYHHkE9qyYPYlAYwAXLg?e=qkevER" TargetMode="External"/><Relationship Id="rId19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8%2E%20Suministros%20%2D%20ok%2FWeb%20%2D%20ok%2FDominios%20%2D%20ok%2FES2025B012622%2Epdf&amp;parent=%2Fsites%2FARTESTA%2FShared%20Documents%2F6%2E%20Finances%2FArtesta%20Store%2C%20S%2EL%2F2025%2F1Q%2F1%2E%20January%2F7%2E%20Otros%20gastos%20de%20explotaci%C3%B3n%2F628%2E%20Suministros%20%2D%20ok%2FWeb%20%2D%20ok%2FDominios%20%2D%20ok" TargetMode="External"/><Relationship Id="rId224" Type="http://schemas.openxmlformats.org/officeDocument/2006/relationships/hyperlink" Target="../../../../:b:/s/ARTESTA/IQCd5bzIZ6H5RKn2QtuGwSwxAao3-SjMoEhhY3wj7Pt6jgM?e=vJ3Ri0" TargetMode="External"/><Relationship Id="rId245" Type="http://schemas.openxmlformats.org/officeDocument/2006/relationships/hyperlink" Target="file:///C:\Users\andre\OneDrive%20-%20Artesta\Attachments\ARTESTA%20-%206.%20Finances\Artesta%20Store,%20S.L\2025\4Q\202512\Gastos\Proveedores\Gorgias\gorgias-inc_invoice_Azq8UhV99K8Dd2a5h%20(2).pdf" TargetMode="External"/><Relationship Id="rId266" Type="http://schemas.openxmlformats.org/officeDocument/2006/relationships/hyperlink" Target="file:///C:\Users\34722\OneDrive%20-%20Artesta\Attachments\ARTESTA%20-%206.%20Finances\Artesta%20Store,%20S.L\2026\1Q\012026\Gastos\Proveedores\AP%20Photo\2026-1-841.PDF" TargetMode="External"/><Relationship Id="rId287" Type="http://schemas.openxmlformats.org/officeDocument/2006/relationships/hyperlink" Target="file:///C:\Users\34722\AppData\Local\Temp\f0556c6e-7359-4530-962f-6856012012eb_579ae267-2ac3-48e1-8c15-cf282e7c8bbf.zip.2eb\Invoice_326821409_010726.PDF" TargetMode="External"/><Relationship Id="rId30" Type="http://schemas.openxmlformats.org/officeDocument/2006/relationships/hyperlink" Target="../Forms/AllItems.aspx?id=%2Fsites%2FARTESTA%2FShared%20Documents%2F6%2E%20Finances%2FArtesta%20Store%2C%20S%2EL%2F2025%2F1Q%2F1%2E%20January%2F4%2E%20Aprovisionamientos%20%2D%20ok%2FMB%20Editions%20%2D%20ok%2FARB%5F41250094%2Epdf&amp;parent=%2Fsites%2FARTESTA%2FShared%20Documents%2F6%2E%20Finances%2FArtesta%20Store%2C%20S%2EL%2F2025%2F1Q%2F1%2E%20January%2F4%2E%20Aprovisionamientos%20%2D%20ok%2FMB%20Editions%20%2D%20ok" TargetMode="External"/><Relationship Id="rId105" Type="http://schemas.openxmlformats.org/officeDocument/2006/relationships/hyperlink" Target="../../../../:f:/s/ARTESTA/EtY0FEAretJNvPgDhoTUsE4BY7ZgZrKh1HIiEDOduPlzRw?e=uNivv7" TargetMode="External"/><Relationship Id="rId126" Type="http://schemas.openxmlformats.org/officeDocument/2006/relationships/hyperlink" Target="../../../../:b:/s/ARTESTA/Ed5qFHacsC1Luax6K8yBm5wByuJThgQhMSatr95s6pSdcw?e=ViBoqL" TargetMode="External"/><Relationship Id="rId147" Type="http://schemas.openxmlformats.org/officeDocument/2006/relationships/hyperlink" Target="../../../../:b:/s/ARTESTA/IQDjLUxIa9xwRZ6Hh_mn-D54AX-zuLc8nBxelVHvdkqqq6U?e=EopxiV" TargetMode="External"/><Relationship Id="rId168" Type="http://schemas.openxmlformats.org/officeDocument/2006/relationships/hyperlink" Target="../../../../:b:/s/ARTESTA/IQDqWZQUnZeTToe82pNTz-WwAQ76QbuiJu-t1HGxF665g2I?e=mguap2" TargetMode="External"/><Relationship Id="rId312" Type="http://schemas.openxmlformats.org/officeDocument/2006/relationships/hyperlink" Target="../../../../:b:/s/ARTESTA/IQC_9pXYjJS0T6NNC8Wm0MMqAe5xJllWUITNPqXLeJUzIe0?e=w7GTis" TargetMode="External"/><Relationship Id="rId333" Type="http://schemas.openxmlformats.org/officeDocument/2006/relationships/hyperlink" Target="../../../../:b:/s/ARTESTA/IQCMH5YUWtXOQZeJ2w_0pe8fAWBjRSE1CRZQgPqgt7JNABM?e=x8dsTv" TargetMode="External"/><Relationship Id="rId354" Type="http://schemas.openxmlformats.org/officeDocument/2006/relationships/hyperlink" Target="../../../../:f:/s/ARTESTA/IgD-kHIE9ZHsSIRpxGgunMXMASeFia3E9GK-Nv7f3w0ISUo?e=ZVi8bh" TargetMode="External"/><Relationship Id="rId51" Type="http://schemas.openxmlformats.org/officeDocument/2006/relationships/hyperlink" Target="https://artestastore-my.sharepoint.com/my?listurl=https%3A%2F%2Fartestastore%2Esharepoint%2Ecom%2Fsites%2FARTESTA%2FShared%20Documents&amp;remoteItem=%7B%22mp%22%3A%7B%22webAbsoluteUrl%22%3A%22https%3A%2F%2Fartestastore%2Dmy%2Esharepoint%2Ecom%2Fpersonal%2Ffinance%5Fartestastore%5Fonmicrosoft%5Fcom%22%2C%22listFullUrl%22%3A%22https%3A%2F%2Fartestastore%2Dmy%2Esharepoint%2Ecom%2Fpersonal%2Ffinance%5Fartestastore%5Fonmicrosoft%5Fcom%2FDocuments%22%2C%22rootFolder%22%3A%22%2Fpersonal%2Ffinance%5Fartestastore%5Fonmicrosoft%5Fcom%2FDocuments%2FAttachments%2FARTESTA%20%2D%206%2E%20Finances%22%7D%2C%22rsi%22%3A%7B%22listFullUrl%22%3A%22https%3A%2F%2Fartestastore%2Esharepoint%2Ecom%2Fsites%2FARTESTA%2FShared%20Documents%22%2C%22rootFolder%22%3A%22%2Fsites%2FARTESTA%2FShared%20Documents%2F6%2E%20Finances%2FArtesta%20Store%2C%20S%2EL%2F2025%2F1Q%2F1%2E%20January%2F4%2E%20Aprovisionamientos%20%2D%20ok%2FPressing%22%2C%22webAbsoluteUrl%22%3A%22https%3A%2F%2Fartestastore%2Esharepoint%2Ecom%2Fsites%2FARTESTA%22%7D%7D&amp;viewid=7a0270c5%2D12e7%2D46ed%2Db71e%2Dd26f27d2378d&amp;id=%2Fsites%2FARTESTA%2FShared%20Documents%2F6%2E%20Finances%2FArtesta%20Store%2C%20S%2EL%2F2025%2F1Q%2F1%2E%20January%2F4%2E%20Aprovisionamientos%20%2D%20ok%2FPressing%2Ffactura%5F25000823%2Dnormal%2Epdf&amp;parent=%2Fsites%2FARTESTA%2FShared%20Documents%2F6%2E%20Finances%2FArtesta%20Store%2C%20S%2EL%2F2025%2F1Q%2F1%2E%20January%2F4%2E%20Aprovisionamientos%20%2D%20ok%2FPressing&amp;parentview=0" TargetMode="External"/><Relationship Id="rId72" Type="http://schemas.openxmlformats.org/officeDocument/2006/relationships/hyperlink" Target="../../../../:b:/s/ARTESTA/EV8Saa5GhblCi3IrtkqRRs4BS2TIvXM5zGiUo0luCWcxCg?e=latgD5" TargetMode="External"/><Relationship Id="rId93" Type="http://schemas.openxmlformats.org/officeDocument/2006/relationships/hyperlink" Target="../../../../:b:/s/ARTESTA/EZQFF94q485Iua6mndNzj2cBLooo70d29Fj6zU_GididpQ?e=QZjWDb" TargetMode="External"/><Relationship Id="rId189" Type="http://schemas.openxmlformats.org/officeDocument/2006/relationships/hyperlink" Target="../../../../:b:/s/ARTESTA/IQDmQ54kF8hMQZTBAAs5S7jbAS-UeCv-zyCQyHppyIn8GvM?e=g1BTTW" TargetMode="External"/><Relationship Id="rId3" Type="http://schemas.openxmlformats.org/officeDocument/2006/relationships/hyperlink" Target="../Forms/AllItems.aspx?viewid=7a0270c5%2D12e7%2D46ed%2Db71e%2Dd26f27d2378d&amp;ga=1&amp;id=%2Fsites%2FARTESTA%2FShared%20Documents%2F6%2E%20Finances%2FArtesta%20Store%2C%20S%2EL%2F2025%2F3Q%2F202509%2FGastos%2FProveedores%2FProduct%20Hero%2Finvoice%5F181076%2Epdf&amp;parent=%2Fsites%2FARTESTA%2FShared%20Documents%2F6%2E%20Finances%2FArtesta%20Store%2C%20S%2EL%2F2025%2F3Q%2F202509%2FGastos%2FProveedores%2FProduct%20Hero" TargetMode="External"/><Relationship Id="rId214" Type="http://schemas.openxmlformats.org/officeDocument/2006/relationships/hyperlink" Target="../../../../:b:/s/ARTESTA/IQDqDtMVX3HIRZytIOUC_8BnAUEgOMwbl9HjLsqp2twm20Y?e=o9wdne" TargetMode="External"/><Relationship Id="rId235" Type="http://schemas.openxmlformats.org/officeDocument/2006/relationships/hyperlink" Target="../../../../:b:/s/ARTESTA/IQAF4ab6ZsVdQagKOd0PQHQ0ATpwFXGgbZJLBKFaeEhn7HY?e=vDD0lL" TargetMode="External"/><Relationship Id="rId256" Type="http://schemas.openxmlformats.org/officeDocument/2006/relationships/hyperlink" Target="file:///C:\Users\andre\Downloads\Invoice(3313-42407).pdf" TargetMode="External"/><Relationship Id="rId277" Type="http://schemas.openxmlformats.org/officeDocument/2006/relationships/hyperlink" Target="../../../../:b:/s/ARTESTA/IQDWcgfj1i9eTa_dDCq7GZSuAS7vJ5xqDiAQAsD3-vwp-co?e=ACb45u" TargetMode="External"/><Relationship Id="rId298" Type="http://schemas.openxmlformats.org/officeDocument/2006/relationships/hyperlink" Target="file:///C:\Users\andre\Downloads\Invoice-B5F7DF3C-6940.pdf" TargetMode="External"/><Relationship Id="rId116" Type="http://schemas.openxmlformats.org/officeDocument/2006/relationships/hyperlink" Target="../../../../:x:/s/ARTESTA/EbimFH1MV6pAmosYB5GqJvABaQhdVgDHZKJ0QII8VvHEKQ?e=25S50S" TargetMode="External"/><Relationship Id="rId137" Type="http://schemas.openxmlformats.org/officeDocument/2006/relationships/hyperlink" Target="../../../../:b:/s/ARTESTA/IQAbxaUggDpURYkGDFfTD2bUAej2hUXz-PYp8mjCHg_PL-s?e=GNz9dt" TargetMode="External"/><Relationship Id="rId158" Type="http://schemas.openxmlformats.org/officeDocument/2006/relationships/hyperlink" Target="../../../../:b:/s/ARTESTA/IQAks4nihLtsS7kgPKsuDlCoAcjobyMuDpqaRAgDE3GGklA?e=WIr7oV" TargetMode="External"/><Relationship Id="rId302" Type="http://schemas.openxmlformats.org/officeDocument/2006/relationships/hyperlink" Target="../../../../:b:/s/ARTESTA/IQBQKybjw-Z0Sp35QWr-yXD9AYm8SWeOD6C84Gz5S_MRMaM?e=wfbyAL" TargetMode="External"/><Relationship Id="rId323" Type="http://schemas.openxmlformats.org/officeDocument/2006/relationships/hyperlink" Target="file:///C:\Users\andre\OneDrive%20-%20Artesta\Attachments\ARTESTA%20-%206.%20Finances\Artesta%20Store,%20S.L\2026\1Q\202602\Gastos\Proveedores\Product%20Hero\invoice_211723.pdf" TargetMode="External"/><Relationship Id="rId344" Type="http://schemas.openxmlformats.org/officeDocument/2006/relationships/hyperlink" Target="../../../../:b:/s/ARTESTA/IQBwPLWzdFQfSoXTbs9WbEHYAQOsafyJtdSGy1Bs82WWvwQ?e=Ekld8b" TargetMode="External"/><Relationship Id="rId20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8%2E%20Suministros%20%2D%20ok%2FSoftware%20%2D%20ok%2FGSuite%20%2D%20ok%2F5169504656%2Epdf&amp;parent=%2Fsites%2FARTESTA%2FShared%20Documents%2F6%2E%20Finances%2FArtesta%20Store%2C%20S%2EL%2F2025%2F1Q%2F1%2E%20January%2F7%2E%20Otros%20gastos%20de%20explotaci%C3%B3n%2F628%2E%20Suministros%20%2D%20ok%2FSoftware%20%2D%20ok%2FGSuite%20%2D%20ok" TargetMode="External"/><Relationship Id="rId41" Type="http://schemas.openxmlformats.org/officeDocument/2006/relationships/hyperlink" Target="../../../../:b:/s/ARTESTA/EaEvv_R1CMVBkS4ilYV0ibUB10gVIm91f6KRaVyIRxhKjQ?e=NBJWIA" TargetMode="External"/><Relationship Id="rId62" Type="http://schemas.openxmlformats.org/officeDocument/2006/relationships/hyperlink" Target="../../../../:f:/s/ARTESTA/EsvWtw9CJd1HgqIYJ1NybyMBSnrJATEKyvXNW52uCpOs6g?e=W5Pb1q" TargetMode="External"/><Relationship Id="rId83" Type="http://schemas.openxmlformats.org/officeDocument/2006/relationships/hyperlink" Target="../../../../:b:/s/ARTESTA/EcRA-artjhdPhSWjiXbngooB3SRAz1p-kMNchLAjC1fM9g?e=s56KbT" TargetMode="External"/><Relationship Id="rId179" Type="http://schemas.openxmlformats.org/officeDocument/2006/relationships/hyperlink" Target="../../../../:b:/s/ARTESTA/IQC0G4jIlOr4TY9Rm4STVi6AARkksLfl5pTwwMRAZpbIewE?e=R0u1O8" TargetMode="External"/><Relationship Id="rId365" Type="http://schemas.openxmlformats.org/officeDocument/2006/relationships/hyperlink" Target="../../../../:f:/s/ARTESTA/IgBya5nnq0YCQr3AQQdZMctLAbJMSBMxjSiiR_p9Aqjb9Q0?e=QOxkqQ" TargetMode="External"/><Relationship Id="rId190" Type="http://schemas.openxmlformats.org/officeDocument/2006/relationships/hyperlink" Target="../../../../:b:/s/ARTESTA/IQBo-uZ1HlwvQ5kRqeCwTM9pAW81B50sz5xsypWldDOJQ10?e=edx3y8" TargetMode="External"/><Relationship Id="rId204" Type="http://schemas.openxmlformats.org/officeDocument/2006/relationships/hyperlink" Target="../../../../:b:/s/ARTESTA/IQClCyJ4jZT7RahBSujir_0qAfr1DmVmsXgVMIa0wfG2PuM?e=td1bUS" TargetMode="External"/><Relationship Id="rId225" Type="http://schemas.openxmlformats.org/officeDocument/2006/relationships/hyperlink" Target="../../../../:b:/s/ARTESTA/IQDydR6vpV_oSrjRGSOctSdBAcRyjWQ31hTsXnxs-HTNa0s?e=8J1FL3" TargetMode="External"/><Relationship Id="rId246" Type="http://schemas.openxmlformats.org/officeDocument/2006/relationships/hyperlink" Target="../../../../:b:/s/ARTESTA/IQAO2pgNl2QORr78HZCtG_2JAfKGL9QdbERNpgt8tiWBevY?e=LdeElv" TargetMode="External"/><Relationship Id="rId267" Type="http://schemas.openxmlformats.org/officeDocument/2006/relationships/hyperlink" Target="../../../../:i:/s/ARTESTA/IQCw_jx9YkoCQJXoikZirenPASLJEkZg03ptsr9PiHZXL2s?e=YtkIFo" TargetMode="External"/><Relationship Id="rId288" Type="http://schemas.openxmlformats.org/officeDocument/2006/relationships/hyperlink" Target="file:///C:\Users\34722\AppData\Local\Temp\05424324-579b-444a-8f62-1ca891ff1528_579ae267-2ac3-48e1-8c15-cf282e7c8bbf.zip.528\Invoice_326838548_011426.PDF" TargetMode="External"/><Relationship Id="rId106" Type="http://schemas.openxmlformats.org/officeDocument/2006/relationships/hyperlink" Target="../../../../:b:/s/ARTESTA/Ece-K8mBrqlJobZrxFwbAZgB5rCPQm3YVBafJ3tye-mnUQ?e=GceR1K" TargetMode="External"/><Relationship Id="rId127" Type="http://schemas.openxmlformats.org/officeDocument/2006/relationships/hyperlink" Target="../../../../:f:/s/ARTESTA/El11Qwv-EBVPkxsOpSml-FsB-ZqPyf9Dl0oKKKfyF3VtTQ?e=sXpva0" TargetMode="External"/><Relationship Id="rId313" Type="http://schemas.openxmlformats.org/officeDocument/2006/relationships/hyperlink" Target="file:///C:\Users\andre\OneDrive%20-%20Artesta\Attachments\ARTESTA%20-%206.%20Finances\Artesta%20Inc\2026\1Q\202602\Operating%20Expenses\Continuum\INVOICE_1236_from_Continuum%20Advisory%20LLC%20(3).pdf" TargetMode="External"/><Relationship Id="rId10" Type="http://schemas.openxmlformats.org/officeDocument/2006/relationships/hyperlink" Target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FacturaF00033%5F25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TargetMode="External"/><Relationship Id="rId31" Type="http://schemas.openxmlformats.org/officeDocument/2006/relationships/hyperlink" Target="https://artestastore-my.sharepoint.com/my?listurl=https%3A%2F%2Fartestastore%2Esharepoint%2Ecom%2Fsites%2FARTESTA%2FShared%20Documents&amp;remoteItem=%7B%22mp%22%3A%7B%22webAbsoluteUrl%22%3A%22https%3A%2F%2Fartestastore%2Dmy%2Esharepoint%2Ecom%2Fpersonal%2Ffinance%5Fartestastore%5Fonmicrosoft%5Fcom%22%2C%22listFullUrl%22%3A%22https%3A%2F%2Fartestastore%2Dmy%2Esharepoint%2Ecom%2Fpersonal%2Ffinance%5Fartestastore%5Fonmicrosoft%5Fcom%2FDocuments%22%2C%22rootFolder%22%3A%22%2Fpersonal%2Ffinance%5Fartestastore%5Fonmicrosoft%5Fcom%2FDocuments%2FAttachments%2FARTESTA%20%2D%206%2E%20Finances%22%7D%2C%22rsi%22%3A%7B%22listFullUrl%22%3A%22https%3A%2F%2Fartestastore%2Esharepoint%2Ecom%2Fsites%2FARTESTA%2FShared%20Documents%22%2C%22rootFolder%22%3A%22%2Fsites%2FARTESTA%2FShared%20Documents%2F6%2E%20Finances%2FArtesta%20Store%2C%20S%2EL%2F2025%2F1Q%2F1%2E%20January%2F7%2E%20Otros%20gastos%20de%20explotaci%C3%B3n%2F624%2E%20Transportes%20%2D%20ok%2FGLS%20%2D%20ok%22%2C%22webAbsoluteUrl%22%3A%22https%3A%2F%2Fartestastore%2Esharepoint%2Ecom%2Fsites%2FARTESTA%22%7D%7D&amp;viewid=7a0270c5%2D12e7%2D46ed%2Db71e%2Dd26f27d2378d&amp;source=waffle&amp;id=%2Fsites%2FARTESTA%2FShared%20Documents%2F6%2E%20Finances%2FArtesta%20Store%2C%20S%2EL%2F2025%2F1Q%2F1%2E%20January%2F7%2E%20Otros%20gastos%20de%20explotaci%C3%B3n%2F624%2E%20Transportes%20%2D%20ok%2FGLS%20%2D%20ok%2FEscaneo0095%2Epdf&amp;parent=%2Fsites%2FARTESTA%2FShared%20Documents%2F6%2E%20Finances%2FArtesta%20Store%2C%20S%2EL%2F2025%2F1Q%2F1%2E%20January%2F7%2E%20Otros%20gastos%20de%20explotaci%C3%B3n%2F624%2E%20Transportes%20%2D%20ok%2FGLS%20%2D%20ok&amp;parentview=0" TargetMode="External"/><Relationship Id="rId52" Type="http://schemas.openxmlformats.org/officeDocument/2006/relationships/hyperlink" Target="../../../../:f:/s/ARTESTA/EuLBxEf_mVpHonHs31cgxe8BkwDDLYrCmuy_1xUkrHxvKg?e=OumY0O" TargetMode="External"/><Relationship Id="rId73" Type="http://schemas.openxmlformats.org/officeDocument/2006/relationships/hyperlink" Target="../../../../:b:/s/ARTESTA/EbDuYofQPQRBrz2AnMNYIqUBIXF1E-IuyHMlw9DT87oZPw?e=CxuW7T" TargetMode="External"/><Relationship Id="rId94" Type="http://schemas.openxmlformats.org/officeDocument/2006/relationships/hyperlink" Target="../../../../:b:/s/ARTESTA/EZsCULsHo2pPqFK_JWy7ML4BADbXRjTk8IR4FilYL0SBgg?e=vvnYTp" TargetMode="External"/><Relationship Id="rId148" Type="http://schemas.openxmlformats.org/officeDocument/2006/relationships/hyperlink" Target="../../../../:b:/s/ARTESTA/IQDt7OMumkUwQolOJAIOcCH8AXRLHYffX6rdUnfJ-jSBaQs?e=PBbMxZ" TargetMode="External"/><Relationship Id="rId169" Type="http://schemas.openxmlformats.org/officeDocument/2006/relationships/hyperlink" Target="../../../../:b:/s/ARTESTA/IQDqWZQUnZeTToe82pNTz-WwAQ76QbuiJu-t1HGxF665g2I?e=mguap2" TargetMode="External"/><Relationship Id="rId334" Type="http://schemas.openxmlformats.org/officeDocument/2006/relationships/hyperlink" Target="../../../../:b:/s/ARTESTA/IQCHWlVgl-XhQ6vStYSLgIC1AevNba9pnW1YlBDxlzgSkJ8?e=qNJ4kk" TargetMode="External"/><Relationship Id="rId355" Type="http://schemas.openxmlformats.org/officeDocument/2006/relationships/hyperlink" Target="../../../../:f:/s/ARTESTA/IgBCXdC-CJXoSJv-cPPIKbbLAYNQhiRdfS5AIJpct1G6igw?e=R4vyDn" TargetMode="External"/><Relationship Id="rId4" Type="http://schemas.openxmlformats.org/officeDocument/2006/relationships/hyperlink" Target="../Forms/AllItems.aspx?viewid=7a0270c5%2D12e7%2D46ed%2Db71e%2Dd26f27d2378d&amp;ga=1&amp;id=%2Fsites%2FARTESTA%2FShared%20Documents%2F6%2E%20Finances%2FArtesta%20Store%2C%20S%2EL%2F2025%2F3Q%2F202509%2FGastos%2FProveedores%2FREVER%2FInvoice%2DRVR%2D13470%2Epdf&amp;parent=%2Fsites%2FARTESTA%2FShared%20Documents%2F6%2E%20Finances%2FArtesta%20Store%2C%20S%2EL%2F2025%2F3Q%2F202509%2FGastos%2FProveedores%2FREVER" TargetMode="External"/><Relationship Id="rId180" Type="http://schemas.openxmlformats.org/officeDocument/2006/relationships/hyperlink" Target="../../../../:f:/s/ARTESTA/IgBsCckkR5XARqKZZip3ezMxAZ3Q3OBVwhmpslDI2-RW51w?e=x48viz" TargetMode="External"/><Relationship Id="rId215" Type="http://schemas.openxmlformats.org/officeDocument/2006/relationships/hyperlink" Target="../../../../:b:/s/ARTESTA/IQAys8ABWuBuT75hL1xkResVAb2-sxvAXEcnV1NCk3-ZeiE?e=ctoY7b" TargetMode="External"/><Relationship Id="rId236" Type="http://schemas.openxmlformats.org/officeDocument/2006/relationships/hyperlink" Target="../../../../:f:/s/ARTESTA/IgCxf1AnX3svQb1EANE9VsEqAdpoUzYDf6dbRL9ujw4BJsg?e=BDd0gD" TargetMode="External"/><Relationship Id="rId257" Type="http://schemas.openxmlformats.org/officeDocument/2006/relationships/hyperlink" Target="file:///C:\Users\andre\Downloads\Mi%20cuenta%20_%20Facturacio&#204;&#129;n.pdf" TargetMode="External"/><Relationship Id="rId278" Type="http://schemas.openxmlformats.org/officeDocument/2006/relationships/hyperlink" Target="../../../../:b:/s/ARTESTA/IQCSmDeJ2Bt2SoLOPFuCWuOpAcjTEZVO_cdCznQeawHR4Fo?e=H7DeWw" TargetMode="External"/><Relationship Id="rId303" Type="http://schemas.openxmlformats.org/officeDocument/2006/relationships/hyperlink" Target="../../../../:b:/s/ARTESTA/IQCekB7cLZLlSoD8pp6LyD0-AZXHyzuEqz1R8Y7wTcdskec?e=YQOnkD" TargetMode="External"/><Relationship Id="rId42" Type="http://schemas.openxmlformats.org/officeDocument/2006/relationships/hyperlink" Target="../../../../:b:/s/ARTESTA/EYpZWqCKWvNCuZI-7Fa8LisBsH4do9JgkSWXXl0ZVEe7bQ?e=Zif2Le" TargetMode="External"/><Relationship Id="rId84" Type="http://schemas.openxmlformats.org/officeDocument/2006/relationships/hyperlink" Target="../../../../:b:/s/ARTESTA/EcDMM6wMZFdFtAKPYMsPq1ABvDTWIijpF5RXHOaO5q4TMA?e=yLbRUP" TargetMode="External"/><Relationship Id="rId138" Type="http://schemas.openxmlformats.org/officeDocument/2006/relationships/hyperlink" Target="../../../../:b:/s/ARTESTA/IQBGtxBom9RgTKDKmq8MpuIQAXB_YyIQJFpZfNHM275pCvo?e=zBYNrR" TargetMode="External"/><Relationship Id="rId345" Type="http://schemas.openxmlformats.org/officeDocument/2006/relationships/hyperlink" Target="../../../../:b:/s/ARTESTA/IQASrVleZ-StT7Vw2EGQA4ulATkVJcqBImZbky7XeRVWPiw?e=VtX7OA" TargetMode="External"/><Relationship Id="rId191" Type="http://schemas.openxmlformats.org/officeDocument/2006/relationships/hyperlink" Target="../../../../:b:/s/ARTESTA/IQA5jaZpA1wIQZ3I20TcHphnAVv7w-Hkp8Q-T_bMmChyC_I?e=61AQPq" TargetMode="External"/><Relationship Id="rId205" Type="http://schemas.openxmlformats.org/officeDocument/2006/relationships/hyperlink" Target="../../../../:b:/s/ARTESTA/IQCpzqh5Q_eMTZ4uGatbJKDFAZ9QkanP2PPyLHRfWa8DYCI?e=TyNTEd" TargetMode="External"/><Relationship Id="rId247" Type="http://schemas.openxmlformats.org/officeDocument/2006/relationships/hyperlink" Target="../../../../:b:/s/ARTESTA/IQCc5ahxBoSqSa2cNpYT6pGOAXWI7GhjOeFFePR9UwA6Q_c?e=yVbwNa" TargetMode="External"/><Relationship Id="rId107" Type="http://schemas.openxmlformats.org/officeDocument/2006/relationships/hyperlink" Target="../../../../:b:/s/ARTESTA/Eai0vCdTrX1Bniu-SGlBzWYBU6cI4e_GCunD7Cpb5KLIHg?e=4jUFwt" TargetMode="External"/><Relationship Id="rId289" Type="http://schemas.openxmlformats.org/officeDocument/2006/relationships/hyperlink" Target="file:///C:\Users\34722\AppData\Local\Temp\48937df9-1271-40db-b402-c6632d064764_579ae267-2ac3-48e1-8c15-cf282e7c8bbf.zip.764\Invoice_326867966_012126.PDF" TargetMode="External"/><Relationship Id="rId11" Type="http://schemas.openxmlformats.org/officeDocument/2006/relationships/hyperlink" Target="../Forms/AllItems.aspx?viewid=7a0270c5%2D12e7%2D46ed%2Db71e%2Dd26f27d2378d&amp;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257F0000190%2D09438F%2EPDF&amp;parent=%2Fsites%2FARTESTA%2FShared%20Documents%2F6%2E%20Finances%2FArtesta%20Store%2C%20S%2EL%2F2025%2F1Q%2F1%2E%20January%2F7%2E%20Otros%20gastos%20de%20explotaci%C3%B3n%2F622%2E%20Servicios%20profesionales%20independientes%20%2D%20ok%2FLegal%20%2D%20ok" TargetMode="External"/><Relationship Id="rId53" Type="http://schemas.openxmlformats.org/officeDocument/2006/relationships/hyperlink" Target="../../../../:f:/s/ARTESTA/EuLBxEf_mVpHonHs31cgxe8BkwDDLYrCmuy_1xUkrHxvKg?e=OumY0O" TargetMode="External"/><Relationship Id="rId149" Type="http://schemas.openxmlformats.org/officeDocument/2006/relationships/hyperlink" Target="../../../../:b:/s/ARTESTA/IQAfwns75BqcQZs3CkXOoeixAZXkkhB628myzFS26Wv54UY?e=B1xsQh" TargetMode="External"/><Relationship Id="rId314" Type="http://schemas.openxmlformats.org/officeDocument/2006/relationships/hyperlink" Target="file:///C:\Users\andre\Downloads\5505030303%20(2).pdf" TargetMode="External"/><Relationship Id="rId356" Type="http://schemas.openxmlformats.org/officeDocument/2006/relationships/hyperlink" Target="../../../../:f:/s/ARTESTA/IgARXErTfm00Qbyzc-ryr1DIARqr7eOQHQccTrwYy0r_eDg?e=CY7e4B" TargetMode="External"/><Relationship Id="rId95" Type="http://schemas.openxmlformats.org/officeDocument/2006/relationships/hyperlink" Target="../../../../:b:/s/ARTESTA/ETATZVxMyJNDr-Rx67qlKeABogZ7OKuFEy7DCdvYsMVeZw?e=iKfjXV" TargetMode="External"/><Relationship Id="rId160" Type="http://schemas.openxmlformats.org/officeDocument/2006/relationships/hyperlink" Target="../../../../:b:/s/ARTESTA/IQCVFPxCsI9oTa5Z1uwtgJk2AQuF4UhdMu58t1x0Q0JX53c?e=6ePUvS" TargetMode="External"/><Relationship Id="rId216" Type="http://schemas.openxmlformats.org/officeDocument/2006/relationships/hyperlink" Target="../../../../:b:/s/ARTESTA/IQBIpI_rrg4QTLpLoyytg0A-AYL1vKmuB3eeLKwYOzyGf8o?e=Nxmkfo" TargetMode="External"/><Relationship Id="rId258" Type="http://schemas.openxmlformats.org/officeDocument/2006/relationships/hyperlink" Target="file:///C:\Users\andre\Downloads\f25%20ARTESTA%20STORE%20S.L..pdf" TargetMode="External"/><Relationship Id="rId22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8%2E%20Suministros%20%2D%20ok%2FWeb%20%2D%20ok%2FHetzner%20%2D%20ok%2FHetzner%5F2025%2D01%2D16%5F086000117862%2Epdf&amp;parent=%2Fsites%2FARTESTA%2FShared%20Documents%2F6%2E%20Finances%2FArtesta%20Store%2C%20S%2EL%2F2025%2F1Q%2F1%2E%20January%2F7%2E%20Otros%20gastos%20de%20explotaci%C3%B3n%2F628%2E%20Suministros%20%2D%20ok%2FWeb%20%2D%20ok%2FHetzner%20%2D%20ok" TargetMode="External"/><Relationship Id="rId64" Type="http://schemas.openxmlformats.org/officeDocument/2006/relationships/hyperlink" Target="../../../../:f:/s/ARTESTA/Eqgj3SWDf7tBu78Fq9t3dQEBm0teTvzNy3NDTP5OJcXszA?e=TXZYzc" TargetMode="External"/><Relationship Id="rId118" Type="http://schemas.openxmlformats.org/officeDocument/2006/relationships/hyperlink" Target="../../../../:b:/s/ARTESTA/EXZjlckh8jNNmxedS1ciKFoBCJV5zmzYyKPBRsFXy6LOKQ?e=NvRunR" TargetMode="External"/><Relationship Id="rId325" Type="http://schemas.openxmlformats.org/officeDocument/2006/relationships/hyperlink" Target="../../../../:b:/s/ARTESTA/IQA8mOP4jDzRSKL6LZ7PRc3AARgyXmeH127Laut9KoDfw2Y?e=4d4PX5" TargetMode="External"/><Relationship Id="rId367" Type="http://schemas.openxmlformats.org/officeDocument/2006/relationships/hyperlink" Target="../../../../:f:/s/ARTESTA/IgDbIV2gDSdfTLRW0EhGT2G3AWZjFMQ7OsT8tlCAusBky6c?e=jNTKee" TargetMode="External"/><Relationship Id="rId171" Type="http://schemas.openxmlformats.org/officeDocument/2006/relationships/hyperlink" Target="../../../../:b:/s/ARTESTA/IQAmKxCNAv2cRpucJpt4J5q7AcBAz3qE5xq7-Fdw8iLVI1U?e=Mf8hjc" TargetMode="External"/><Relationship Id="rId227" Type="http://schemas.openxmlformats.org/officeDocument/2006/relationships/hyperlink" Target="file:///C:\Users\andre\Downloads\RE_25-2078%20(1).pdf" TargetMode="External"/><Relationship Id="rId269" Type="http://schemas.openxmlformats.org/officeDocument/2006/relationships/hyperlink" Target="../../../../:b:/s/ARTESTA/IQCc2EBWJJeySoOnbPU42D5FAZz0z85vFRNMjY_AuQbS098?e=XEKvFl" TargetMode="External"/><Relationship Id="rId33" Type="http://schemas.openxmlformats.org/officeDocument/2006/relationships/hyperlink" Target="https://artestastore-my.sharepoint.com/shared?listurl=https%3A%2F%2Fartestastore%2Esharepoint%2Ecom%2Fsites%2FARTESTA%2FShared%20Documents&amp;viewid=7a0270c5%2D12e7%2D46ed%2Db71e%2Dd26f27d2378d&amp;id=%2Fsites%2FARTESTA%2FShared%20Documents%2F6%2E%20Finances%2FArtesta%20Store%2C%20S%2EL%2F2025%2F1Q%2F1%2E%20January%2F7%2E%20Otros%20gastos%20de%20explotaci%C3%B3n%2F624%2E%20Transportes%20%2D%20ok%2FSpring%20%2D%20ok%2FE2500574%5FES%5FInvoice%5FO%5F110002125%5F2501211137%2EPDF&amp;parent=%2Fsites%2FARTESTA%2FShared%20Documents%2F6%2E%20Finances%2FArtesta%20Store%2C%20S%2EL%2F2025%2F1Q%2F1%2E%20January%2F7%2E%20Otros%20gastos%20de%20explotaci%C3%B3n%2F624%2E%20Transportes%20%2D%20ok%2FSpring%20%2D%20ok" TargetMode="External"/><Relationship Id="rId129" Type="http://schemas.openxmlformats.org/officeDocument/2006/relationships/hyperlink" Target="../../../../:f:/s/ARTESTA/EhvBZ6hys45Eu0KkVHe6W4QB-c4IQocTyZEkficGhZLFoA?e=BHEWDd" TargetMode="External"/><Relationship Id="rId280" Type="http://schemas.openxmlformats.org/officeDocument/2006/relationships/hyperlink" Target="../../../../:b:/s/ARTESTA/IQDePE_sdEAeQJIHHLEOWbLRAemj124vFZuyYdlpmCaGCXs?e=WZdrgl" TargetMode="External"/><Relationship Id="rId336" Type="http://schemas.openxmlformats.org/officeDocument/2006/relationships/hyperlink" Target="../../../../:b:/s/ARTESTA/IQDLq0AmGVFwSYDXuh6ZilOjAYuLjpRCkQHWsh67nWYDSQo?e=La5ueC" TargetMode="External"/><Relationship Id="rId75" Type="http://schemas.openxmlformats.org/officeDocument/2006/relationships/hyperlink" Target="../../../../:b:/s/ARTESTA/ER-M9EZARnRPmKNlbKx5oUsB9UNJMYQB9qtp1gU_BEj9Vg?e=Vnfupg" TargetMode="External"/><Relationship Id="rId140" Type="http://schemas.openxmlformats.org/officeDocument/2006/relationships/hyperlink" Target="../../../../:b:/s/ARTESTA/IQCkk3m7p7_nTYsCCMkx2pNMASIV6hevnrBgH1HVWQucoj0?e=RyPbE7" TargetMode="External"/><Relationship Id="rId182" Type="http://schemas.openxmlformats.org/officeDocument/2006/relationships/hyperlink" Target="../../../../:b:/s/ARTESTA/IQCnJwIKxJyQT6LmWunWwnFDAf2uEA7WmI9Z-mONV_mE3nk?e=QnZTX1" TargetMode="External"/><Relationship Id="rId6" Type="http://schemas.openxmlformats.org/officeDocument/2006/relationships/hyperlink" Target="../Forms/AllItems.aspx?ga=1&amp;id=%2Fsites%2FARTESTA%2FShared%20Documents%2F6%2E%20Finances%2FArtesta%20Store%2C%20S%2EL%2F2025%2F3Q%2F202509%2FGastos%2FProveedores%2FREVER%2FInvoice%2DRVR%2D13157%2Epdf&amp;viewid=7a0270c5%2D12e7%2D46ed%2Db71e%2Dd26f27d2378d&amp;parent=%2Fsites%2FARTESTA%2FShared%20Documents%2F6%2E%20Finances%2FArtesta%20Store%2C%20S%2EL%2F2025%2F3Q%2F202509%2FGastos%2FProveedores%2FREVER" TargetMode="External"/><Relationship Id="rId238" Type="http://schemas.openxmlformats.org/officeDocument/2006/relationships/hyperlink" Target="../../../../:b:/s/ARTESTA/IQCZyN9pUWyPQYuX0B7zoespAYPagcU_EPC3AM498sFgW3I?e=uy2nCa" TargetMode="External"/><Relationship Id="rId291" Type="http://schemas.openxmlformats.org/officeDocument/2006/relationships/hyperlink" Target="file:///C:\Users\34722\AppData\Local\Temp\ff5227f5-901a-4f67-bfee-b588687ea06f_579ae267-2ac3-48e1-8c15-cf282e7c8bbf.zip.06f\Invoice_837858124_010526.PDF" TargetMode="External"/><Relationship Id="rId305" Type="http://schemas.openxmlformats.org/officeDocument/2006/relationships/hyperlink" Target="../../../../:b:/s/ARTESTA/IQCAXtYheYljRIYxuQ6vCMB2AcQ6QUsS32JmLrJRDG3-nFk?e=mLtSDC" TargetMode="External"/><Relationship Id="rId347" Type="http://schemas.openxmlformats.org/officeDocument/2006/relationships/hyperlink" Target="file:///C:\Users\andre\Downloads\1578.pdf" TargetMode="External"/><Relationship Id="rId44" Type="http://schemas.openxmlformats.org/officeDocument/2006/relationships/hyperlink" Target="../../../../:b:/s/ARTESTA/EQmjy831w3JPjWLsaYzAJtEBHIQGiT3JfH6mi2dK2M3vJw?e=cex0wM" TargetMode="External"/><Relationship Id="rId86" Type="http://schemas.openxmlformats.org/officeDocument/2006/relationships/hyperlink" Target="../../../../:b:/s/ARTESTA/EQjMhX6Z7tZBh3VuglTgq1IBXFvoE9etexuMSPWs4cQXPA?e=qJfa3p" TargetMode="External"/><Relationship Id="rId151" Type="http://schemas.openxmlformats.org/officeDocument/2006/relationships/hyperlink" Target="../../../../:b:/s/ARTESTA/IQAyB5tJH37GSKCIaTsPl8NTAQ-RcnHnP73utSQYj2ZCN0A?e=YA8mMr" TargetMode="External"/><Relationship Id="rId193" Type="http://schemas.openxmlformats.org/officeDocument/2006/relationships/hyperlink" Target="../../../../:b:/s/ARTESTA/IQCmL3vFJ-BrRaFjly-IihhqAeHK6nWjD6iKSi4qvUbSVLI?e=5NFTiy" TargetMode="External"/><Relationship Id="rId207" Type="http://schemas.openxmlformats.org/officeDocument/2006/relationships/hyperlink" Target="../../../../:b:/s/ARTESTA/IQDtNHDvqzt5Rap_nLZ2DVMaARPMmeLjv4m3aoAFVa6yBuY?e=V5Mj0k" TargetMode="External"/><Relationship Id="rId249" Type="http://schemas.openxmlformats.org/officeDocument/2006/relationships/hyperlink" Target="../../../../:b:/s/ARTESTA/IQAIrWYEVRC4TIKEyA59E9b2AcVr6lzInUifBYqvCIJM5kA?e=m6WZmc" TargetMode="External"/><Relationship Id="rId13" Type="http://schemas.openxmlformats.org/officeDocument/2006/relationships/hyperlink" Target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Invoice%283313%2D37371%29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TargetMode="External"/><Relationship Id="rId109" Type="http://schemas.openxmlformats.org/officeDocument/2006/relationships/hyperlink" Target="../../../../:b:/s/ARTESTA/EYMpfeywJclFgoBiH_3XAp8B1g3KOwJOxAdRtw4ynl4UGw?e=y2hyUl" TargetMode="External"/><Relationship Id="rId260" Type="http://schemas.openxmlformats.org/officeDocument/2006/relationships/hyperlink" Target="file:///C:\Users\34722\Downloads\Artesta_464316001.pdf" TargetMode="External"/><Relationship Id="rId316" Type="http://schemas.openxmlformats.org/officeDocument/2006/relationships/hyperlink" Target="file:///C:\Users\andre\Downloads\FACTURAF00299_26.PDF" TargetMode="External"/><Relationship Id="rId55" Type="http://schemas.openxmlformats.org/officeDocument/2006/relationships/hyperlink" Target="../../../../:f:/s/ARTESTA/EjjZTUTnrChDnGiS-mAA9wwBhwXlOFskGU8hf9HVKFLhcQ?e=vwj8i4" TargetMode="External"/><Relationship Id="rId97" Type="http://schemas.openxmlformats.org/officeDocument/2006/relationships/hyperlink" Target="../../../../:b:/s/ARTESTA/EX8Ht1rW4INFjlGdXHOVXtQB_wFEGgtf9VsE6YQEo8Tdeg?e=G1zZGl" TargetMode="External"/><Relationship Id="rId120" Type="http://schemas.openxmlformats.org/officeDocument/2006/relationships/hyperlink" Target="../../../../:x:/s/ARTESTA/EZQ_jHd4nGlOuOhQiWc_UyEBIDLhtys8ghftaH69Q_InOw?e=wfgwYC" TargetMode="External"/><Relationship Id="rId358" Type="http://schemas.openxmlformats.org/officeDocument/2006/relationships/hyperlink" Target="../../../../:f:/s/ARTESTA/IgBZDzGZrFCaQIEA71SYgOPSAbQFlcQLN1TyCDHolTPfziY?e=zcyD4u" TargetMode="External"/><Relationship Id="rId162" Type="http://schemas.openxmlformats.org/officeDocument/2006/relationships/hyperlink" Target="../../../../:b:/s/ARTESTA/IQDXVz15NN1MRLnF9e7eHP6cAaN02O6k1RcLUZGpHTB-iWs?e=09p3d3" TargetMode="External"/><Relationship Id="rId218" Type="http://schemas.openxmlformats.org/officeDocument/2006/relationships/hyperlink" Target="../../../../:b:/s/ARTESTA/IQBDzi10-kQvS4hEil-6hGKsAWDHH40ErxYXBkljy1X-gJ8?e=85fJoG" TargetMode="External"/><Relationship Id="rId271" Type="http://schemas.openxmlformats.org/officeDocument/2006/relationships/hyperlink" Target="../../../../:b:/s/ARTESTA/IQBr_zSJhSu4QpdxHlhglx2bASd0-WFYroNydw1V0eJ-DGQ?e=g9qGGl" TargetMode="External"/><Relationship Id="rId24" Type="http://schemas.openxmlformats.org/officeDocument/2006/relationships/hyperlink" Target="../Forms/AllItems.aspx?id=%2Fsites%2FARTESTA%2FShared%20Documents%2F6%2E%20Finances%2FArtesta%20Store%2C%20S%2EL%2F2025%2F1Q%2F1%2E%20January%2F7%2E%20Otros%20gastos%20de%20explotaci%C3%B3n%2F628%2E%20Suministros%20%2D%20ok%2FSoftware%20%2D%20ok%2FOneDrive%20%2D%20ok%2FG074407245%5Fb83413fe209a4ec4bc5a9e7671b3763b%2Epdf&amp;parent=%2Fsites%2FARTESTA%2FShared%20Documents%2F6%2E%20Finances%2FArtesta%20Store%2C%20S%2EL%2F2025%2F1Q%2F1%2E%20January%2F7%2E%20Otros%20gastos%20de%20explotaci%C3%B3n%2F628%2E%20Suministros%20%2D%20ok%2FSoftware%20%2D%20ok%2FOneDrive%20%2D%20ok" TargetMode="External"/><Relationship Id="rId66" Type="http://schemas.openxmlformats.org/officeDocument/2006/relationships/hyperlink" Target="../../../../:f:/s/ARTESTA/Eqgj3SWDf7tBu78Fq9t3dQEBm0teTvzNy3NDTP5OJcXszA?e=TXZYzc" TargetMode="External"/><Relationship Id="rId131" Type="http://schemas.openxmlformats.org/officeDocument/2006/relationships/hyperlink" Target="../../../../:b:/s/ARTESTA/ESxAgawSi9pPs2VJCq0YWHEBJjQMJiySIdZXb6t-doBtdQ?e=e6NueK" TargetMode="External"/><Relationship Id="rId327" Type="http://schemas.openxmlformats.org/officeDocument/2006/relationships/hyperlink" Target="../../../../:b:/s/ARTESTA/IQATT4JZIxiiSYi2vNHyUjZXAc-Gl0h30x-y_IpBDSYPyp0?e=XxS3kY" TargetMode="External"/><Relationship Id="rId369" Type="http://schemas.openxmlformats.org/officeDocument/2006/relationships/hyperlink" Target="../../../../:f:/s/ARTESTA/IgCPm7n_PdcATKCNrkLWwz2ZAVOXggz_-KeRWFWo3RLpmTs?e=eV8ahq" TargetMode="External"/><Relationship Id="rId173" Type="http://schemas.openxmlformats.org/officeDocument/2006/relationships/hyperlink" Target="../../../../:b:/s/ARTESTA/IQAmKxCNAv2cRpucJpt4J5q7AcBAz3qE5xq7-Fdw8iLVI1U?e=Mf8hjc" TargetMode="External"/><Relationship Id="rId229" Type="http://schemas.openxmlformats.org/officeDocument/2006/relationships/hyperlink" Target="file:///C:\Users\andre\Downloads\RE_25-2088.pdf" TargetMode="External"/><Relationship Id="rId240" Type="http://schemas.openxmlformats.org/officeDocument/2006/relationships/hyperlink" Target="../../../../:b:/s/ARTESTA/IQBoaE4_dgR7Ra-QGpKMY74LAcKWstgUV_7cyNXIgu36E0M?e=hFErlI" TargetMode="External"/><Relationship Id="rId35" Type="http://schemas.openxmlformats.org/officeDocument/2006/relationships/hyperlink" Target="https://artestastore-my.sharepoint.com/my?listurl=https%3A%2F%2Fartestastore%2Esharepoint%2Ecom%2Fsites%2FARTESTA%2FShared%20Documents&amp;remoteItem=%7B%22mp%22%3A%7B%22webAbsoluteUrl%22%3A%22https%3A%2F%2Fartestastore%2Dmy%2Esharepoint%2Ecom%2Fpersonal%2Ffinance%5Fartestastore%5Fonmicrosoft%5Fcom%22%2C%22listFullUrl%22%3A%22https%3A%2F%2Fartestastore%2Dmy%2Esharepoint%2Ecom%2Fpersonal%2Ffinance%5Fartestastore%5Fonmicrosoft%5Fcom%2FDocuments%22%2C%22rootFolder%22%3A%22%2Fpersonal%2Ffinance%5Fartestastore%5Fonmicrosoft%5Fcom%2FDocuments%2FAttachments%2FARTESTA%20%2D%206%2E%20Finances%22%7D%2C%22rsi%22%3A%7B%22listFullUrl%22%3A%22https%3A%2F%2Fartestastore%2Esharepoint%2Ecom%2Fsites%2FARTESTA%2FShared%20Documents%22%2C%22rootFolder%22%3A%22%2Fsites%2FARTESTA%2FShared%20Documents%2F6%2E%20Finances%2FArtesta%20Store%2C%20S%2EL%2F2025%2F1Q%2F1%2E%20January%2F7%2E%20Otros%20gastos%20de%20explotaci%C3%B3n%2F624%2E%20Transportes%20%2D%20ok%2FUPS%20DE%20%2D%20ok%22%2C%22webAbsoluteUrl%22%3A%22https%3A%2F%2Fartestastore%2Esharepoint%2Ecom%2Fsites%2FARTESTA%22%7D%7D&amp;viewid=7a0270c5%2D12e7%2D46ed%2Db71e%2Dd26f27d2378d&amp;id=%2Fsites%2FARTESTA%2FShared%20Documents%2F6%2E%20Finances%2FArtesta%20Store%2C%20S%2EL%2F2025%2F1Q%2F1%2E%20January%2F7%2E%20Otros%20gastos%20de%20explotaci%C3%B3n%2F624%2E%20Transportes%20%2D%20ok%2FUPS%20DE%20%2D%20ok%2FInvoice%5F324727725%5F010725%2EPDF&amp;parent=%2Fsites%2FARTESTA%2FShared%20Documents%2F6%2E%20Finances%2FArtesta%20Store%2C%20S%2EL%2F2025%2F1Q%2F1%2E%20January%2F7%2E%20Otros%20gastos%20de%20explotaci%C3%B3n%2F624%2E%20Transportes%20%2D%20ok%2FUPS%20DE%20%2D%20ok&amp;parentview=0" TargetMode="External"/><Relationship Id="rId77" Type="http://schemas.openxmlformats.org/officeDocument/2006/relationships/hyperlink" Target="../../../../:b:/s/ARTESTA/EalV-9CssfhBuEFL4oKAPswBw9JdlVHQraS1BSLDuWE0nA?e=JHo2um" TargetMode="External"/><Relationship Id="rId100" Type="http://schemas.openxmlformats.org/officeDocument/2006/relationships/hyperlink" Target="../../../../:b:/s/ARTESTA/EX8Mw6dhwr1Pr6HGGld7NM4Bdi56DlIrNpmABPIqO4ivWA?e=IFRPGY" TargetMode="External"/><Relationship Id="rId282" Type="http://schemas.openxmlformats.org/officeDocument/2006/relationships/hyperlink" Target="../../../../:b:/s/ARTESTA/IQDz7gNTgTwJSYO_VUkpLYV6AXp8aU4hQwvECbkaIpljlYo?e=EIz00V" TargetMode="External"/><Relationship Id="rId338" Type="http://schemas.openxmlformats.org/officeDocument/2006/relationships/hyperlink" Target="file:///C:\Users\andre\OneDrive%20-%20Artesta\Attachments\ARTESTA%20-%206.%20Finances\Artesta%20Store,%20S.L\2026\1Q\202602\Gastos\Proveedores\UPS\Invoice_326997856_021126.PDF" TargetMode="External"/><Relationship Id="rId8" Type="http://schemas.openxmlformats.org/officeDocument/2006/relationships/hyperlink" Target="../Forms/AllItems.aspx?ga=1&amp;id=%2Fsites%2FARTESTA%2FShared%20Documents%2F6%2E%20Finances%2FArtesta%20Inc%2F2025%2F3Q%2F202507%2FTGI%2F169919%2Epdf&amp;viewid=7a0270c5%2D12e7%2D46ed%2Db71e%2Dd26f27d2378d&amp;parent=%2Fsites%2FARTESTA%2FShared%20Documents%2F6%2E%20Finances%2FArtesta%20Inc%2F2025%2F3Q%2F202507%2FTGI" TargetMode="External"/><Relationship Id="rId142" Type="http://schemas.openxmlformats.org/officeDocument/2006/relationships/hyperlink" Target="../../../../:b:/s/ARTESTA/IQDBZGzXWWGKRprphSmPkaI0AZaHrMiuUzCmDay2wR4Skhc?e=NFuRwF" TargetMode="External"/><Relationship Id="rId184" Type="http://schemas.openxmlformats.org/officeDocument/2006/relationships/hyperlink" Target="../../../../:f:/s/ARTESTA/IgCtW257GU2HSKefmpsTMWLAAUT13iWrScLLTA8i_Lo8oZ0?e=evnVfk" TargetMode="External"/><Relationship Id="rId251" Type="http://schemas.openxmlformats.org/officeDocument/2006/relationships/hyperlink" Target="../../../../:b:/s/ARTESTA/IQB_PJ-rAly5QaFAurvnNTzoAcAqPDG1OnycYsw42_TRDL0?e=qOF9OS" TargetMode="External"/><Relationship Id="rId46" Type="http://schemas.openxmlformats.org/officeDocument/2006/relationships/hyperlink" Target="https://artestastore-my.sharepoint.com/shared?listurl=https%3A%2F%2Fartestastore%2Esharepoint%2Ecom%2Fsites%2FARTESTA%2FShared%20Documents&amp;id=%2Fsites%2FARTESTA%2FShared%20Documents%2F6%2E%20Finances%2FArtesta%20Store%2C%20S%2EL%2F2025%2F1Q%2F1%2E%20January%2F4%2E%20Aprovisionamientos%20%2D%20ok%2FDCT%20%2D%20ok%2FRE%5F25%2D0163%5F%2Epdf&amp;parent=%2Fsites%2FARTESTA%2FShared%20Documents%2F6%2E%20Finances%2FArtesta%20Store%2C%20S%2EL%2F2025%2F1Q%2F1%2E%20January%2F4%2E%20Aprovisionamientos%20%2D%20ok%2FDCT%20%2D%20ok&amp;viewid=7a0270c5%2D12e7%2D46ed%2Db71e%2Dd26f27d2378d" TargetMode="External"/><Relationship Id="rId293" Type="http://schemas.openxmlformats.org/officeDocument/2006/relationships/hyperlink" Target="file:///C:\Users\34722\AppData\Local\Temp\b1b8fb11-7349-4473-93d3-fdc53d86748e_579ae267-2ac3-48e1-8c15-cf282e7c8bbf.zip.48e\Invoice_837917747_011926.PDF" TargetMode="External"/><Relationship Id="rId307" Type="http://schemas.openxmlformats.org/officeDocument/2006/relationships/hyperlink" Target="../../../../:b:/s/ARTESTA/IQBM6X5ov97WRK1bUO0NQLYUAWyAiqC78_Y5E0Q1hkTbU4s?e=qK2LmX" TargetMode="External"/><Relationship Id="rId349" Type="http://schemas.openxmlformats.org/officeDocument/2006/relationships/hyperlink" Target="file:///C:\Users\andre\OneDrive%20-%20Artesta\Attachments\ARTESTA%20-%206.%20Finances\Artesta%20Store,%20S.L\2026\1Q\202602\Gastos\Proveedores\microsoft\G141681724_aca72520f4e64e60844a2344f7db077d.pdf" TargetMode="External"/><Relationship Id="rId88" Type="http://schemas.openxmlformats.org/officeDocument/2006/relationships/hyperlink" Target="../../../../:b:/s/ARTESTA/EUa35yh7SJVOjzQhX2YXgegB3CsNmp2NnwaFF9j1f_rFlA?e=fFQWp1" TargetMode="External"/><Relationship Id="rId111" Type="http://schemas.openxmlformats.org/officeDocument/2006/relationships/hyperlink" Target="../../../../:b:/s/ARTESTA/EfGMhondnJ5LnNKL_18WZooBhcq0ynWmSP8r4LYl0rnC7g?e=79J8dS" TargetMode="External"/><Relationship Id="rId153" Type="http://schemas.openxmlformats.org/officeDocument/2006/relationships/hyperlink" Target="../../../../:b:/s/ARTESTA/IQA5o7FhOj5UQLtjmr4MUYG9Abu6VcVhyEs4FJOiNnt8ct4?e=2HLsYk" TargetMode="External"/><Relationship Id="rId195" Type="http://schemas.openxmlformats.org/officeDocument/2006/relationships/hyperlink" Target="../../../../:b:/s/ARTESTA/IQBg3pgKzF-9RY6LBH8BkJB_AW5hoMfJ-_5kZyVZk677dZE?e=yDj5oC" TargetMode="External"/><Relationship Id="rId209" Type="http://schemas.openxmlformats.org/officeDocument/2006/relationships/hyperlink" Target="../../../../:b:/s/ARTESTA/IQBqCMeEboNoSYEsDnWQ6oMCAarPcA3qoHO9xo9GnXZl--0?e=GK3RzA" TargetMode="External"/><Relationship Id="rId360" Type="http://schemas.openxmlformats.org/officeDocument/2006/relationships/hyperlink" Target="../../../../:f:/s/ARTESTA/IgAxdWhvHSzdQZhdNllBEe5qAXoOvILQHmkNADqSXDA5tho?e=RTrz9W" TargetMode="External"/><Relationship Id="rId220" Type="http://schemas.openxmlformats.org/officeDocument/2006/relationships/hyperlink" Target="file:///C:\Users\34722\OneDrive%20-%20Artesta\Attachments\ARTESTA%20-%206.%20Finances\Artesta%20Store,%20S.L\2025\4Q\202512\Gastos\Proveedores\UPS\Invoice_837785830_122225.PDF" TargetMode="External"/><Relationship Id="rId15" Type="http://schemas.openxmlformats.org/officeDocument/2006/relationships/hyperlink" Target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Invoice%283313%2D37371%29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TargetMode="External"/><Relationship Id="rId57" Type="http://schemas.openxmlformats.org/officeDocument/2006/relationships/hyperlink" Target="../../../../:b:/s/ARTESTA/EXlFl1k1D25GrI0DMewpWmABk0jrjh4zFoZoYEbwSrHn2Q?e=dMiLmp" TargetMode="External"/><Relationship Id="rId262" Type="http://schemas.openxmlformats.org/officeDocument/2006/relationships/hyperlink" Target="../../../../:b:/s/ARTESTA/IQDFIqnc_46LR4rMy7JPoDekAR3KBiYUyyIteT2MZZp0QZg?e=nBBk5q" TargetMode="External"/><Relationship Id="rId318" Type="http://schemas.openxmlformats.org/officeDocument/2006/relationships/hyperlink" Target="file:///C:\Users\andre\Downloads\IN6033326_001.pdf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3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4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5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hyperlink" Target="../../../../:f:/s/ARTESTA/IgAyinyNqfMXQrJOo1QZz2ECAQ25qAxawlHm2LJIwQhZYuc?e=cAGmcO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:b:/s/ARTESTA/IQBl8nl0OS8ERbVHnIgAV7yMAfuC0st5C-vuZn3yh58FiFw?e=Khb3r9" TargetMode="External"/><Relationship Id="rId2" Type="http://schemas.openxmlformats.org/officeDocument/2006/relationships/hyperlink" Target="../../../../:b:/s/ARTESTA/EXZLEJt7MWhBtKi-L13LaIMBd_UjCG_91gUCNHl3rjlHGg?e=PlrvpA" TargetMode="External"/><Relationship Id="rId1" Type="http://schemas.openxmlformats.org/officeDocument/2006/relationships/hyperlink" Target="../../../../:b:/s/ARTESTA/EeLagySYHVZAiipIW0R9UXwBENTZ3W-nfeB_BNKy_KX1KQ?e=FW5ViJ" TargetMode="External"/><Relationship Id="rId5" Type="http://schemas.openxmlformats.org/officeDocument/2006/relationships/hyperlink" Target="../../../../:b:/s/ARTESTA/IQA8QRL9WKMhTog6JY24mE9qAahCb0vEINbZXDiw9FSauk8?e=dpXqwZ" TargetMode="External"/><Relationship Id="rId4" Type="http://schemas.openxmlformats.org/officeDocument/2006/relationships/hyperlink" Target="../../../../:b:/s/ARTESTA/IQB5-3Jww4iIQ4iEqC80ZqSXAer1bCgmx_IBkpdRKEzBHEk?e=pJzKDB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3EF4-2855-4659-8FCE-FB4753862242}">
  <sheetPr>
    <tabColor rgb="FF92D050"/>
  </sheetPr>
  <dimension ref="A4:Q9"/>
  <sheetViews>
    <sheetView workbookViewId="0">
      <selection activeCell="L1" sqref="A1:L1048576"/>
    </sheetView>
  </sheetViews>
  <sheetFormatPr baseColWidth="10" defaultColWidth="10.6640625" defaultRowHeight="14.4" x14ac:dyDescent="0.3"/>
  <sheetData>
    <row r="4" spans="1:17" x14ac:dyDescent="0.3">
      <c r="A4" s="372" t="s">
        <v>5</v>
      </c>
      <c r="B4" s="372"/>
      <c r="C4" s="372"/>
      <c r="D4" s="372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1"/>
    </row>
    <row r="5" spans="1:17" x14ac:dyDescent="0.3">
      <c r="A5" s="3" t="e" vm="1">
        <v>#VALUE!</v>
      </c>
      <c r="B5" s="371" t="s">
        <v>6</v>
      </c>
      <c r="C5" s="371"/>
      <c r="D5" s="371"/>
      <c r="E5" s="210">
        <f>+('P&amp;G-SL'!I6-data_pyg_old!B3)/data_pyg_old!B3</f>
        <v>-0.42854757586906944</v>
      </c>
      <c r="F5" s="210">
        <f>+('P&amp;G-SL'!J6-data_pyg_old!C3)/data_pyg_old!C3</f>
        <v>-1.9304880957601737E-2</v>
      </c>
      <c r="G5" s="210">
        <f>+('P&amp;G-SL'!K6-data_pyg_old!D3)/data_pyg_old!D3</f>
        <v>-0.39952652870230421</v>
      </c>
      <c r="H5" s="210">
        <f>+('P&amp;G-SL'!L6-data_pyg_old!E3)/data_pyg_old!E3</f>
        <v>-1</v>
      </c>
      <c r="I5" s="210">
        <f>+('P&amp;G-SL'!M6-data_pyg_old!F3)/data_pyg_old!F3</f>
        <v>-1</v>
      </c>
      <c r="J5" s="210">
        <f>+('P&amp;G-SL'!N6-data_pyg_old!G3)/data_pyg_old!G3</f>
        <v>-1</v>
      </c>
      <c r="K5" s="210">
        <f>+('P&amp;G-SL'!O6-data_pyg_old!H3)/data_pyg_old!H3</f>
        <v>-1</v>
      </c>
      <c r="L5" s="210">
        <f>+('P&amp;G-SL'!P6-data_pyg_old!I3)/data_pyg_old!I3</f>
        <v>-1</v>
      </c>
      <c r="M5" s="210" t="e">
        <f>+('P&amp;G-SL'!Q6-data_pyg_old!J3)/data_pyg_old!J3</f>
        <v>#VALUE!</v>
      </c>
      <c r="N5" s="210" t="e">
        <f>+('P&amp;G-SL'!R6-data_pyg_old!K3)/data_pyg_old!K3</f>
        <v>#VALUE!</v>
      </c>
      <c r="O5" s="210" t="e">
        <f>+('P&amp;G-SL'!S6-data_pyg_old!L3)/data_pyg_old!L3</f>
        <v>#VALUE!</v>
      </c>
      <c r="P5" s="210" t="e">
        <f>+('P&amp;G-SL'!T6-data_pyg_old!M3)/data_pyg_old!M3</f>
        <v>#VALUE!</v>
      </c>
      <c r="Q5" s="31"/>
    </row>
    <row r="6" spans="1:17" x14ac:dyDescent="0.3">
      <c r="A6" s="3" t="e" vm="2">
        <v>#VALUE!</v>
      </c>
      <c r="B6" s="371" t="s">
        <v>17</v>
      </c>
      <c r="C6" s="371"/>
      <c r="D6" s="371"/>
      <c r="E6" s="210">
        <f>+('P&amp;G-SL'!I7-data_pyg_old!B22)/data_pyg_old!B22</f>
        <v>-0.22947362374045638</v>
      </c>
      <c r="F6" s="210">
        <f>+('P&amp;G-SL'!J7-data_pyg_old!C22)/data_pyg_old!C22</f>
        <v>-0.20288044767074198</v>
      </c>
      <c r="G6" s="210">
        <f>+('P&amp;G-SL'!K7-data_pyg_old!D22)/data_pyg_old!D22</f>
        <v>-0.38898447320557022</v>
      </c>
      <c r="H6" s="210">
        <f>+('P&amp;G-SL'!L7-data_pyg_old!E22)/data_pyg_old!E22</f>
        <v>-1</v>
      </c>
      <c r="I6" s="210">
        <f>+('P&amp;G-SL'!M7-data_pyg_old!F22)/data_pyg_old!F22</f>
        <v>-1</v>
      </c>
      <c r="J6" s="210">
        <f>+('P&amp;G-SL'!N7-data_pyg_old!G22)/data_pyg_old!G22</f>
        <v>-1</v>
      </c>
      <c r="K6" s="210">
        <f>+('P&amp;G-SL'!O7-data_pyg_old!H22)/data_pyg_old!H22</f>
        <v>-1</v>
      </c>
      <c r="L6" s="210">
        <f>+('P&amp;G-SL'!P7-data_pyg_old!I22)/data_pyg_old!I22</f>
        <v>-1</v>
      </c>
      <c r="M6" s="210" t="e">
        <f>+('P&amp;G-SL'!Q7-data_pyg_old!J22)/data_pyg_old!J22</f>
        <v>#VALUE!</v>
      </c>
      <c r="N6" s="210" t="e">
        <f>+('P&amp;G-SL'!R7-data_pyg_old!K22)/data_pyg_old!K22</f>
        <v>#VALUE!</v>
      </c>
      <c r="O6" s="210" t="e">
        <f>+('P&amp;G-SL'!S7-data_pyg_old!L22)/data_pyg_old!L22</f>
        <v>#VALUE!</v>
      </c>
      <c r="P6" s="210" t="e">
        <f>+('P&amp;G-SL'!T7-data_pyg_old!M22)/data_pyg_old!M22</f>
        <v>#VALUE!</v>
      </c>
      <c r="Q6" s="31"/>
    </row>
    <row r="7" spans="1:17" x14ac:dyDescent="0.3">
      <c r="A7" s="3" t="e" vm="3">
        <v>#VALUE!</v>
      </c>
      <c r="B7" s="371" t="s">
        <v>19</v>
      </c>
      <c r="C7" s="371"/>
      <c r="D7" s="371"/>
      <c r="E7" s="211">
        <f>(+'P&amp;G-SL'!I8-data_pyg_old!B37)/data_pyg_old!B37</f>
        <v>-0.27458723047202199</v>
      </c>
      <c r="F7" s="211">
        <f>(+'P&amp;G-SL'!J8-data_pyg_old!C37)/data_pyg_old!C37</f>
        <v>1.0280014305254968</v>
      </c>
      <c r="G7" s="211">
        <f>(+'P&amp;G-SL'!K8-data_pyg_old!D37)/data_pyg_old!D37</f>
        <v>0.35204661245620933</v>
      </c>
      <c r="H7" s="211">
        <f>(+'P&amp;G-SL'!L8-data_pyg_old!E37)/data_pyg_old!E37</f>
        <v>-1</v>
      </c>
      <c r="I7" s="211">
        <f>(+'P&amp;G-SL'!M8-data_pyg_old!F37)/data_pyg_old!F37</f>
        <v>-1</v>
      </c>
      <c r="J7" s="211">
        <f>(+'P&amp;G-SL'!N8-data_pyg_old!G37)/data_pyg_old!G37</f>
        <v>-1</v>
      </c>
      <c r="K7" s="211">
        <f>(+'P&amp;G-SL'!O8-data_pyg_old!H37)/data_pyg_old!H37</f>
        <v>-1</v>
      </c>
      <c r="L7" s="211">
        <f>(+'P&amp;G-SL'!P8-data_pyg_old!I37)/data_pyg_old!I37</f>
        <v>-1</v>
      </c>
      <c r="M7" s="211" t="e">
        <f>(+'P&amp;G-SL'!Q8-data_pyg_old!J37)/data_pyg_old!J37</f>
        <v>#VALUE!</v>
      </c>
      <c r="N7" s="211" t="e">
        <f>(+'P&amp;G-SL'!R8-data_pyg_old!K37)/data_pyg_old!K37</f>
        <v>#VALUE!</v>
      </c>
      <c r="O7" s="211" t="e">
        <f>(+'P&amp;G-SL'!S8-data_pyg_old!L37)/data_pyg_old!L37</f>
        <v>#VALUE!</v>
      </c>
      <c r="P7" s="211" t="e">
        <f>(+'P&amp;G-SL'!T8-data_pyg_old!M37)/data_pyg_old!M37</f>
        <v>#VALUE!</v>
      </c>
      <c r="Q7" s="31"/>
    </row>
    <row r="8" spans="1:17" x14ac:dyDescent="0.3">
      <c r="A8" s="3" t="e" vm="4">
        <v>#VALUE!</v>
      </c>
      <c r="B8" s="371" t="s">
        <v>21</v>
      </c>
      <c r="C8" s="371"/>
      <c r="D8" s="371"/>
      <c r="E8" s="210">
        <f>+('P&amp;G-SL'!I9-data_pyg_old!B52)/data_pyg_old!B52</f>
        <v>3.4047303013333012</v>
      </c>
      <c r="F8" s="210">
        <f>+('P&amp;G-SL'!J9-data_pyg_old!C52)/data_pyg_old!C52</f>
        <v>3.5485090460209081</v>
      </c>
      <c r="G8" s="210">
        <f>+('P&amp;G-SL'!K9-data_pyg_old!D52)/data_pyg_old!D52</f>
        <v>0.75869977542593336</v>
      </c>
      <c r="H8" s="210">
        <f>+('P&amp;G-SL'!L9-data_pyg_old!E52)/data_pyg_old!E52</f>
        <v>-1</v>
      </c>
      <c r="I8" s="210">
        <f>+('P&amp;G-SL'!M9-data_pyg_old!F52)/data_pyg_old!F52</f>
        <v>-1</v>
      </c>
      <c r="J8" s="210">
        <f>+('P&amp;G-SL'!N9-data_pyg_old!G52)/data_pyg_old!G52</f>
        <v>-1</v>
      </c>
      <c r="K8" s="210">
        <f>+('P&amp;G-SL'!O9-data_pyg_old!H52)/data_pyg_old!H52</f>
        <v>-1</v>
      </c>
      <c r="L8" s="210">
        <f>+('P&amp;G-SL'!P9-data_pyg_old!I52)/data_pyg_old!I52</f>
        <v>-1</v>
      </c>
      <c r="M8" s="210" t="e">
        <f>+('P&amp;G-SL'!Q9-data_pyg_old!J52)/data_pyg_old!J52</f>
        <v>#VALUE!</v>
      </c>
      <c r="N8" s="210" t="e">
        <f>+('P&amp;G-SL'!R9-data_pyg_old!K52)/data_pyg_old!K52</f>
        <v>#VALUE!</v>
      </c>
      <c r="O8" s="210" t="e">
        <f>+('P&amp;G-SL'!S9-data_pyg_old!L52)/data_pyg_old!L52</f>
        <v>#VALUE!</v>
      </c>
      <c r="P8" s="210" t="e">
        <f>+('P&amp;G-SL'!T9-data_pyg_old!M52)/data_pyg_old!M52</f>
        <v>#VALUE!</v>
      </c>
      <c r="Q8" s="31"/>
    </row>
    <row r="9" spans="1:17" x14ac:dyDescent="0.3">
      <c r="A9" s="3" t="e" vm="5">
        <v>#VALUE!</v>
      </c>
      <c r="B9" s="371" t="s">
        <v>23</v>
      </c>
      <c r="C9" s="371"/>
      <c r="D9" s="371"/>
      <c r="E9" s="210">
        <f>+('P&amp;G-SL'!I10-data_pyg_old!B98)/data_pyg_old!B98</f>
        <v>9.8625889159682192</v>
      </c>
      <c r="F9" s="210">
        <f>+('P&amp;G-SL'!J10-data_pyg_old!C98)/data_pyg_old!C98</f>
        <v>22.31839631690006</v>
      </c>
      <c r="G9" s="210">
        <f>+('P&amp;G-SL'!K10-data_pyg_old!D98)/data_pyg_old!D98</f>
        <v>3.1233171968649147</v>
      </c>
      <c r="H9" s="210">
        <f>+('P&amp;G-SL'!L10-data_pyg_old!E98)/data_pyg_old!E98</f>
        <v>-1</v>
      </c>
      <c r="I9" s="210">
        <f>+('P&amp;G-SL'!M10-data_pyg_old!F98)/data_pyg_old!F98</f>
        <v>-1</v>
      </c>
      <c r="J9" s="210">
        <f>+('P&amp;G-SL'!N10-data_pyg_old!G98)/data_pyg_old!G98</f>
        <v>-1</v>
      </c>
      <c r="K9" s="210">
        <f>+('P&amp;G-SL'!O10-data_pyg_old!H98)/data_pyg_old!H98</f>
        <v>-1</v>
      </c>
      <c r="L9" s="210">
        <f>+('P&amp;G-SL'!P10-data_pyg_old!I98)/data_pyg_old!I98</f>
        <v>-1</v>
      </c>
      <c r="M9" s="210" t="e">
        <f>+('P&amp;G-SL'!Q10-data_pyg_old!J98)/data_pyg_old!J98</f>
        <v>#VALUE!</v>
      </c>
      <c r="N9" s="210" t="e">
        <f>+('P&amp;G-SL'!R10-data_pyg_old!K98)/data_pyg_old!K98</f>
        <v>#VALUE!</v>
      </c>
      <c r="O9" s="210" t="e">
        <f>+('P&amp;G-SL'!S10-data_pyg_old!L98)/data_pyg_old!L98</f>
        <v>#VALUE!</v>
      </c>
      <c r="P9" s="210" t="e">
        <f>+('P&amp;G-SL'!T10-data_pyg_old!M98)/data_pyg_old!M98</f>
        <v>#VALUE!</v>
      </c>
      <c r="Q9" s="31"/>
    </row>
  </sheetData>
  <mergeCells count="6">
    <mergeCell ref="B9:D9"/>
    <mergeCell ref="A4:D4"/>
    <mergeCell ref="B5:D5"/>
    <mergeCell ref="B6:D6"/>
    <mergeCell ref="B7:D7"/>
    <mergeCell ref="B8:D8"/>
  </mergeCells>
  <conditionalFormatting sqref="E4:P4">
    <cfRule type="cellIs" dxfId="12" priority="3" operator="equal">
      <formula>0</formula>
    </cfRule>
  </conditionalFormatting>
  <conditionalFormatting sqref="E5:P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{15D694BB-C681-4793-A20A-B030F7365BA0}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D694BB-C681-4793-A20A-B030F7365B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E5:P9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D356-7FA1-466B-90C9-E28DB2BDFCC1}">
  <sheetPr>
    <tabColor rgb="FF92D050"/>
  </sheetPr>
  <dimension ref="A1:AW120"/>
  <sheetViews>
    <sheetView topLeftCell="N1" workbookViewId="0">
      <selection activeCell="L1" sqref="A1:L1048576"/>
    </sheetView>
  </sheetViews>
  <sheetFormatPr baseColWidth="10" defaultColWidth="10.6640625" defaultRowHeight="14.4" x14ac:dyDescent="0.3"/>
  <cols>
    <col min="14" max="14" width="13.33203125" bestFit="1" customWidth="1"/>
  </cols>
  <sheetData>
    <row r="1" spans="1:49" x14ac:dyDescent="0.3">
      <c r="A1" s="200" t="s">
        <v>1</v>
      </c>
      <c r="B1" s="201">
        <v>190037.6</v>
      </c>
      <c r="C1" s="201">
        <v>134163.24</v>
      </c>
      <c r="D1" s="201">
        <v>166288.41</v>
      </c>
      <c r="E1" s="201">
        <v>110118.52</v>
      </c>
      <c r="F1" s="201">
        <v>145019.23000000001</v>
      </c>
      <c r="G1" s="201">
        <v>112800.06</v>
      </c>
      <c r="H1" s="201">
        <v>145105.29999999999</v>
      </c>
      <c r="I1" s="201">
        <v>131261.64000000001</v>
      </c>
      <c r="J1" s="200" t="s">
        <v>390</v>
      </c>
      <c r="K1" s="200" t="s">
        <v>390</v>
      </c>
      <c r="L1" s="200" t="s">
        <v>390</v>
      </c>
      <c r="M1" s="200" t="s">
        <v>390</v>
      </c>
      <c r="N1" s="201">
        <v>1134794</v>
      </c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</row>
    <row r="2" spans="1:49" x14ac:dyDescent="0.3">
      <c r="A2" s="203" t="s">
        <v>5</v>
      </c>
      <c r="B2" s="201">
        <v>174998.39</v>
      </c>
      <c r="C2" s="201">
        <v>118201.5</v>
      </c>
      <c r="D2" s="201">
        <v>126289.62</v>
      </c>
      <c r="E2" s="201">
        <v>96766.19</v>
      </c>
      <c r="F2" s="201">
        <v>132420.92000000001</v>
      </c>
      <c r="G2" s="201">
        <v>98426.07</v>
      </c>
      <c r="H2" s="201">
        <v>122634.13</v>
      </c>
      <c r="I2" s="201">
        <v>111690.24000000001</v>
      </c>
      <c r="J2" s="200" t="s">
        <v>390</v>
      </c>
      <c r="K2" s="200" t="s">
        <v>390</v>
      </c>
      <c r="L2" s="200" t="s">
        <v>390</v>
      </c>
      <c r="M2" s="200" t="s">
        <v>390</v>
      </c>
      <c r="N2" s="201">
        <v>981427.06</v>
      </c>
      <c r="O2" s="202"/>
      <c r="P2" s="214"/>
      <c r="Q2" s="215" t="s">
        <v>891</v>
      </c>
      <c r="R2" s="215" t="s">
        <v>892</v>
      </c>
      <c r="S2" s="215" t="s">
        <v>893</v>
      </c>
      <c r="T2" s="215" t="s">
        <v>894</v>
      </c>
      <c r="U2" s="215" t="s">
        <v>895</v>
      </c>
      <c r="V2" s="215" t="s">
        <v>896</v>
      </c>
      <c r="W2" s="215" t="s">
        <v>897</v>
      </c>
      <c r="X2" s="215" t="s">
        <v>898</v>
      </c>
      <c r="Y2" s="215" t="s">
        <v>899</v>
      </c>
      <c r="Z2" s="215" t="s">
        <v>900</v>
      </c>
      <c r="AA2" s="215" t="s">
        <v>901</v>
      </c>
      <c r="AB2" s="215" t="s">
        <v>902</v>
      </c>
      <c r="AC2" s="215" t="s">
        <v>903</v>
      </c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</row>
    <row r="3" spans="1:49" x14ac:dyDescent="0.3">
      <c r="A3" s="200" t="s">
        <v>6</v>
      </c>
      <c r="B3" s="201">
        <v>107085.8</v>
      </c>
      <c r="C3" s="201">
        <v>74793.52</v>
      </c>
      <c r="D3" s="201">
        <v>76591.759999999995</v>
      </c>
      <c r="E3" s="201">
        <v>60258.69</v>
      </c>
      <c r="F3" s="201">
        <v>72717.13</v>
      </c>
      <c r="G3" s="201">
        <v>66400.2</v>
      </c>
      <c r="H3" s="201">
        <v>78448.45</v>
      </c>
      <c r="I3" s="201">
        <v>56561.37</v>
      </c>
      <c r="J3" s="200" t="s">
        <v>390</v>
      </c>
      <c r="K3" s="200" t="s">
        <v>390</v>
      </c>
      <c r="L3" s="200" t="s">
        <v>390</v>
      </c>
      <c r="M3" s="200" t="s">
        <v>390</v>
      </c>
      <c r="N3" s="201">
        <v>592856.92000000004</v>
      </c>
      <c r="O3" s="202"/>
      <c r="P3" s="215" t="s">
        <v>1</v>
      </c>
      <c r="Q3" s="220">
        <v>28261.01</v>
      </c>
      <c r="R3" s="220">
        <v>31634.75</v>
      </c>
      <c r="S3" s="220">
        <v>32185.53</v>
      </c>
      <c r="T3" s="220">
        <v>25510.99</v>
      </c>
      <c r="U3" s="220">
        <v>25273.31</v>
      </c>
      <c r="V3" s="220">
        <v>27123.55</v>
      </c>
      <c r="W3" s="220">
        <v>26037.43</v>
      </c>
      <c r="X3" s="220">
        <v>22881.03</v>
      </c>
      <c r="Y3" s="220" t="s">
        <v>905</v>
      </c>
      <c r="Z3" s="220" t="s">
        <v>905</v>
      </c>
      <c r="AA3" s="220" t="s">
        <v>905</v>
      </c>
      <c r="AB3" s="220" t="s">
        <v>905</v>
      </c>
      <c r="AC3" s="220">
        <v>218907.6</v>
      </c>
      <c r="AD3" s="214"/>
      <c r="AE3" s="214"/>
      <c r="AF3" s="214"/>
      <c r="AG3" s="214"/>
      <c r="AH3" s="214"/>
      <c r="AI3" s="214"/>
      <c r="AJ3" s="214"/>
      <c r="AK3" s="214"/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4"/>
    </row>
    <row r="4" spans="1:49" x14ac:dyDescent="0.3">
      <c r="A4" s="204" t="s">
        <v>7</v>
      </c>
      <c r="B4" s="205">
        <v>0.61</v>
      </c>
      <c r="C4" s="205">
        <v>0.63</v>
      </c>
      <c r="D4" s="205">
        <v>0.61</v>
      </c>
      <c r="E4" s="205">
        <v>0.62</v>
      </c>
      <c r="F4" s="205">
        <v>0.55000000000000004</v>
      </c>
      <c r="G4" s="205">
        <v>0.63</v>
      </c>
      <c r="H4" s="205">
        <v>0.64</v>
      </c>
      <c r="I4" s="205">
        <v>0.51</v>
      </c>
      <c r="J4" s="200" t="e">
        <v>#DIV/0!</v>
      </c>
      <c r="K4" s="200" t="e">
        <v>#DIV/0!</v>
      </c>
      <c r="L4" s="200" t="e">
        <v>#DIV/0!</v>
      </c>
      <c r="M4" s="200" t="e">
        <v>#DIV/0!</v>
      </c>
      <c r="N4" s="205">
        <v>0.6</v>
      </c>
      <c r="O4" s="202"/>
      <c r="P4" s="215" t="s">
        <v>155</v>
      </c>
      <c r="Q4" s="220">
        <v>28261.01</v>
      </c>
      <c r="R4" s="220">
        <v>31634.75</v>
      </c>
      <c r="S4" s="220">
        <v>32185.53</v>
      </c>
      <c r="T4" s="220">
        <v>25510.99</v>
      </c>
      <c r="U4" s="220">
        <v>25273.31</v>
      </c>
      <c r="V4" s="220">
        <v>27123.55</v>
      </c>
      <c r="W4" s="220">
        <v>26037.43</v>
      </c>
      <c r="X4" s="220">
        <v>22881.03</v>
      </c>
      <c r="Y4" s="220" t="s">
        <v>905</v>
      </c>
      <c r="Z4" s="220" t="s">
        <v>905</v>
      </c>
      <c r="AA4" s="220" t="s">
        <v>905</v>
      </c>
      <c r="AB4" s="220" t="s">
        <v>905</v>
      </c>
      <c r="AC4" s="220">
        <v>218907.6</v>
      </c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  <c r="AU4" s="214"/>
      <c r="AV4" s="214"/>
      <c r="AW4" s="214"/>
    </row>
    <row r="5" spans="1:49" x14ac:dyDescent="0.3">
      <c r="A5" s="206" t="s">
        <v>532</v>
      </c>
      <c r="B5" s="201">
        <v>101430.37</v>
      </c>
      <c r="C5" s="201">
        <v>65195.15</v>
      </c>
      <c r="D5" s="201">
        <v>66244.47</v>
      </c>
      <c r="E5" s="200" t="s">
        <v>390</v>
      </c>
      <c r="F5" s="200" t="s">
        <v>390</v>
      </c>
      <c r="G5" s="200" t="s">
        <v>390</v>
      </c>
      <c r="H5" s="202"/>
      <c r="I5" s="200" t="s">
        <v>390</v>
      </c>
      <c r="J5" s="200" t="s">
        <v>390</v>
      </c>
      <c r="K5" s="200" t="s">
        <v>390</v>
      </c>
      <c r="L5" s="200" t="s">
        <v>390</v>
      </c>
      <c r="M5" s="200" t="s">
        <v>390</v>
      </c>
      <c r="N5" s="201">
        <v>232869.99</v>
      </c>
      <c r="O5" s="202"/>
      <c r="P5" s="216" t="s">
        <v>532</v>
      </c>
      <c r="Q5" s="220">
        <v>28135.759999999998</v>
      </c>
      <c r="R5" s="220">
        <v>31521</v>
      </c>
      <c r="S5" s="220">
        <v>28707.38</v>
      </c>
      <c r="T5" s="220">
        <v>25470.240000000002</v>
      </c>
      <c r="U5" s="220">
        <v>25232.560000000001</v>
      </c>
      <c r="V5" s="220">
        <v>821.82</v>
      </c>
      <c r="W5" s="220" t="s">
        <v>905</v>
      </c>
      <c r="X5" s="220" t="s">
        <v>905</v>
      </c>
      <c r="Y5" s="220" t="s">
        <v>905</v>
      </c>
      <c r="Z5" s="220" t="s">
        <v>905</v>
      </c>
      <c r="AA5" s="220" t="s">
        <v>905</v>
      </c>
      <c r="AB5" s="220" t="s">
        <v>905</v>
      </c>
      <c r="AC5" s="220">
        <v>139888.76</v>
      </c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</row>
    <row r="6" spans="1:49" x14ac:dyDescent="0.3">
      <c r="A6" s="204" t="s">
        <v>9</v>
      </c>
      <c r="B6" s="207">
        <v>87370.09</v>
      </c>
      <c r="C6" s="207">
        <v>52964.62</v>
      </c>
      <c r="D6" s="207">
        <v>53946.7</v>
      </c>
      <c r="E6" s="208" t="s">
        <v>390</v>
      </c>
      <c r="F6" s="208" t="s">
        <v>390</v>
      </c>
      <c r="G6" s="208" t="s">
        <v>390</v>
      </c>
      <c r="H6" s="202"/>
      <c r="I6" s="208" t="s">
        <v>390</v>
      </c>
      <c r="J6" s="208" t="s">
        <v>390</v>
      </c>
      <c r="K6" s="208" t="s">
        <v>390</v>
      </c>
      <c r="L6" s="208" t="s">
        <v>390</v>
      </c>
      <c r="M6" s="208" t="s">
        <v>390</v>
      </c>
      <c r="N6" s="201">
        <v>194281.41</v>
      </c>
      <c r="O6" s="202"/>
      <c r="P6" s="217" t="s">
        <v>9</v>
      </c>
      <c r="Q6" s="221">
        <v>23454.86</v>
      </c>
      <c r="R6" s="221">
        <v>26313.42</v>
      </c>
      <c r="S6" s="221">
        <v>26810.639999999999</v>
      </c>
      <c r="T6" s="221">
        <v>22279.23</v>
      </c>
      <c r="U6" s="221">
        <v>21676.29</v>
      </c>
      <c r="V6" s="221" t="s">
        <v>905</v>
      </c>
      <c r="W6" s="221" t="s">
        <v>905</v>
      </c>
      <c r="X6" s="221" t="s">
        <v>905</v>
      </c>
      <c r="Y6" s="221" t="s">
        <v>905</v>
      </c>
      <c r="Z6" s="221" t="s">
        <v>905</v>
      </c>
      <c r="AA6" s="221" t="s">
        <v>905</v>
      </c>
      <c r="AB6" s="221" t="s">
        <v>905</v>
      </c>
      <c r="AC6" s="220">
        <v>120534.44</v>
      </c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</row>
    <row r="7" spans="1:49" x14ac:dyDescent="0.3">
      <c r="A7" s="204" t="s">
        <v>67</v>
      </c>
      <c r="B7" s="207">
        <v>10946.77</v>
      </c>
      <c r="C7" s="207">
        <v>8806.36</v>
      </c>
      <c r="D7" s="207">
        <v>9617.1</v>
      </c>
      <c r="E7" s="208" t="s">
        <v>390</v>
      </c>
      <c r="F7" s="208" t="s">
        <v>390</v>
      </c>
      <c r="G7" s="208" t="s">
        <v>390</v>
      </c>
      <c r="H7" s="202"/>
      <c r="I7" s="208" t="s">
        <v>390</v>
      </c>
      <c r="J7" s="208" t="s">
        <v>390</v>
      </c>
      <c r="K7" s="208" t="s">
        <v>390</v>
      </c>
      <c r="L7" s="208" t="s">
        <v>390</v>
      </c>
      <c r="M7" s="208" t="s">
        <v>390</v>
      </c>
      <c r="N7" s="201">
        <v>29370.23</v>
      </c>
      <c r="O7" s="202"/>
      <c r="P7" s="217" t="s">
        <v>67</v>
      </c>
      <c r="Q7" s="221">
        <v>3973.2</v>
      </c>
      <c r="R7" s="221">
        <v>4626.66</v>
      </c>
      <c r="S7" s="221">
        <v>936.91</v>
      </c>
      <c r="T7" s="221">
        <v>2479.59</v>
      </c>
      <c r="U7" s="221">
        <v>3178.86</v>
      </c>
      <c r="V7" s="221" t="s">
        <v>905</v>
      </c>
      <c r="W7" s="221" t="s">
        <v>905</v>
      </c>
      <c r="X7" s="221" t="s">
        <v>905</v>
      </c>
      <c r="Y7" s="221" t="s">
        <v>905</v>
      </c>
      <c r="Z7" s="221" t="s">
        <v>905</v>
      </c>
      <c r="AA7" s="221" t="s">
        <v>905</v>
      </c>
      <c r="AB7" s="221" t="s">
        <v>905</v>
      </c>
      <c r="AC7" s="220">
        <v>15195.22</v>
      </c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4"/>
      <c r="AS7" s="214"/>
      <c r="AT7" s="214"/>
      <c r="AU7" s="214"/>
      <c r="AV7" s="214"/>
      <c r="AW7" s="214"/>
    </row>
    <row r="8" spans="1:49" x14ac:dyDescent="0.3">
      <c r="A8" s="204" t="s">
        <v>69</v>
      </c>
      <c r="B8" s="208" t="s">
        <v>390</v>
      </c>
      <c r="C8" s="208" t="s">
        <v>390</v>
      </c>
      <c r="D8" s="202"/>
      <c r="E8" s="208" t="s">
        <v>390</v>
      </c>
      <c r="F8" s="208" t="s">
        <v>390</v>
      </c>
      <c r="G8" s="208" t="s">
        <v>390</v>
      </c>
      <c r="H8" s="202"/>
      <c r="I8" s="208" t="s">
        <v>390</v>
      </c>
      <c r="J8" s="208" t="s">
        <v>390</v>
      </c>
      <c r="K8" s="208" t="s">
        <v>390</v>
      </c>
      <c r="L8" s="208" t="s">
        <v>390</v>
      </c>
      <c r="M8" s="208" t="s">
        <v>390</v>
      </c>
      <c r="N8" s="200" t="s">
        <v>390</v>
      </c>
      <c r="O8" s="202"/>
      <c r="P8" s="217" t="s">
        <v>69</v>
      </c>
      <c r="Q8" s="221" t="s">
        <v>905</v>
      </c>
      <c r="R8" s="221" t="s">
        <v>905</v>
      </c>
      <c r="S8" s="221" t="s">
        <v>905</v>
      </c>
      <c r="T8" s="221" t="s">
        <v>905</v>
      </c>
      <c r="U8" s="221" t="s">
        <v>905</v>
      </c>
      <c r="V8" s="221" t="s">
        <v>905</v>
      </c>
      <c r="W8" s="221" t="s">
        <v>905</v>
      </c>
      <c r="X8" s="221" t="s">
        <v>905</v>
      </c>
      <c r="Y8" s="221" t="s">
        <v>905</v>
      </c>
      <c r="Z8" s="221" t="s">
        <v>905</v>
      </c>
      <c r="AA8" s="221" t="s">
        <v>905</v>
      </c>
      <c r="AB8" s="221" t="s">
        <v>905</v>
      </c>
      <c r="AC8" s="220" t="s">
        <v>905</v>
      </c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4"/>
      <c r="AW8" s="214"/>
    </row>
    <row r="9" spans="1:49" x14ac:dyDescent="0.3">
      <c r="A9" s="204" t="s">
        <v>71</v>
      </c>
      <c r="B9" s="207">
        <v>1477.01</v>
      </c>
      <c r="C9" s="207">
        <v>1523.75</v>
      </c>
      <c r="D9" s="207">
        <v>1731.8</v>
      </c>
      <c r="E9" s="208" t="s">
        <v>390</v>
      </c>
      <c r="F9" s="208" t="s">
        <v>390</v>
      </c>
      <c r="G9" s="208" t="s">
        <v>390</v>
      </c>
      <c r="H9" s="202"/>
      <c r="I9" s="208" t="s">
        <v>390</v>
      </c>
      <c r="J9" s="208" t="s">
        <v>390</v>
      </c>
      <c r="K9" s="208" t="s">
        <v>390</v>
      </c>
      <c r="L9" s="208" t="s">
        <v>390</v>
      </c>
      <c r="M9" s="208" t="s">
        <v>390</v>
      </c>
      <c r="N9" s="201">
        <v>4732.5600000000004</v>
      </c>
      <c r="O9" s="202"/>
      <c r="P9" s="217" t="s">
        <v>71</v>
      </c>
      <c r="Q9" s="221">
        <v>707.7</v>
      </c>
      <c r="R9" s="221">
        <v>580.91999999999996</v>
      </c>
      <c r="S9" s="221">
        <v>959.83</v>
      </c>
      <c r="T9" s="221">
        <v>639.97</v>
      </c>
      <c r="U9" s="221">
        <v>377.41</v>
      </c>
      <c r="V9" s="221">
        <v>821.82</v>
      </c>
      <c r="W9" s="221" t="s">
        <v>905</v>
      </c>
      <c r="X9" s="221" t="s">
        <v>905</v>
      </c>
      <c r="Y9" s="221" t="s">
        <v>905</v>
      </c>
      <c r="Z9" s="221" t="s">
        <v>905</v>
      </c>
      <c r="AA9" s="221" t="s">
        <v>905</v>
      </c>
      <c r="AB9" s="221" t="s">
        <v>905</v>
      </c>
      <c r="AC9" s="220">
        <v>4087.65</v>
      </c>
      <c r="AD9" s="214"/>
      <c r="AE9" s="214"/>
      <c r="AF9" s="214"/>
      <c r="AG9" s="214"/>
      <c r="AH9" s="214"/>
      <c r="AI9" s="214"/>
      <c r="AJ9" s="214"/>
      <c r="AK9" s="214"/>
      <c r="AL9" s="214"/>
      <c r="AM9" s="214"/>
      <c r="AN9" s="214"/>
      <c r="AO9" s="214"/>
      <c r="AP9" s="214"/>
      <c r="AQ9" s="214"/>
      <c r="AR9" s="214"/>
      <c r="AS9" s="214"/>
      <c r="AT9" s="214"/>
      <c r="AU9" s="214"/>
      <c r="AV9" s="214"/>
      <c r="AW9" s="214"/>
    </row>
    <row r="10" spans="1:49" x14ac:dyDescent="0.3">
      <c r="A10" s="204" t="s">
        <v>73</v>
      </c>
      <c r="B10" s="207">
        <v>482.29</v>
      </c>
      <c r="C10" s="207">
        <v>347.84</v>
      </c>
      <c r="D10" s="207">
        <v>50.5</v>
      </c>
      <c r="E10" s="208" t="s">
        <v>390</v>
      </c>
      <c r="F10" s="208" t="s">
        <v>390</v>
      </c>
      <c r="G10" s="208" t="s">
        <v>390</v>
      </c>
      <c r="H10" s="202"/>
      <c r="I10" s="208" t="s">
        <v>390</v>
      </c>
      <c r="J10" s="208" t="s">
        <v>390</v>
      </c>
      <c r="K10" s="208" t="s">
        <v>390</v>
      </c>
      <c r="L10" s="208" t="s">
        <v>390</v>
      </c>
      <c r="M10" s="208" t="s">
        <v>390</v>
      </c>
      <c r="N10" s="201">
        <v>880.63</v>
      </c>
      <c r="O10" s="202"/>
      <c r="P10" s="217" t="s">
        <v>73</v>
      </c>
      <c r="Q10" s="222"/>
      <c r="R10" s="221" t="s">
        <v>905</v>
      </c>
      <c r="S10" s="221" t="s">
        <v>905</v>
      </c>
      <c r="T10" s="221" t="s">
        <v>905</v>
      </c>
      <c r="U10" s="221" t="s">
        <v>905</v>
      </c>
      <c r="V10" s="221" t="s">
        <v>905</v>
      </c>
      <c r="W10" s="221" t="s">
        <v>905</v>
      </c>
      <c r="X10" s="221" t="s">
        <v>905</v>
      </c>
      <c r="Y10" s="221" t="s">
        <v>905</v>
      </c>
      <c r="Z10" s="221" t="s">
        <v>905</v>
      </c>
      <c r="AA10" s="221" t="s">
        <v>905</v>
      </c>
      <c r="AB10" s="221" t="s">
        <v>905</v>
      </c>
      <c r="AC10" s="220" t="s">
        <v>905</v>
      </c>
      <c r="AD10" s="214"/>
      <c r="AE10" s="214"/>
      <c r="AF10" s="214"/>
      <c r="AG10" s="214"/>
      <c r="AH10" s="214"/>
      <c r="AI10" s="214"/>
      <c r="AJ10" s="214"/>
      <c r="AK10" s="214"/>
      <c r="AL10" s="214"/>
      <c r="AM10" s="214"/>
      <c r="AN10" s="214"/>
      <c r="AO10" s="214"/>
      <c r="AP10" s="214"/>
      <c r="AQ10" s="214"/>
      <c r="AR10" s="214"/>
      <c r="AS10" s="214"/>
      <c r="AT10" s="214"/>
      <c r="AU10" s="214"/>
      <c r="AV10" s="214"/>
      <c r="AW10" s="214"/>
    </row>
    <row r="11" spans="1:49" x14ac:dyDescent="0.3">
      <c r="A11" s="204" t="s">
        <v>75</v>
      </c>
      <c r="B11" s="208" t="s">
        <v>390</v>
      </c>
      <c r="C11" s="208" t="s">
        <v>390</v>
      </c>
      <c r="D11" s="208" t="s">
        <v>390</v>
      </c>
      <c r="E11" s="208" t="s">
        <v>390</v>
      </c>
      <c r="F11" s="208" t="s">
        <v>390</v>
      </c>
      <c r="G11" s="208" t="s">
        <v>390</v>
      </c>
      <c r="H11" s="202"/>
      <c r="I11" s="208" t="s">
        <v>390</v>
      </c>
      <c r="J11" s="208" t="s">
        <v>390</v>
      </c>
      <c r="K11" s="208" t="s">
        <v>390</v>
      </c>
      <c r="L11" s="208" t="s">
        <v>390</v>
      </c>
      <c r="M11" s="208" t="s">
        <v>390</v>
      </c>
      <c r="N11" s="200" t="s">
        <v>390</v>
      </c>
      <c r="O11" s="202"/>
      <c r="P11" s="217" t="s">
        <v>534</v>
      </c>
      <c r="Q11" s="221" t="s">
        <v>905</v>
      </c>
      <c r="R11" s="221" t="s">
        <v>905</v>
      </c>
      <c r="S11" s="221" t="s">
        <v>905</v>
      </c>
      <c r="T11" s="221">
        <v>71.45</v>
      </c>
      <c r="U11" s="221" t="s">
        <v>905</v>
      </c>
      <c r="V11" s="221" t="s">
        <v>905</v>
      </c>
      <c r="W11" s="221" t="s">
        <v>905</v>
      </c>
      <c r="X11" s="221" t="s">
        <v>905</v>
      </c>
      <c r="Y11" s="221" t="s">
        <v>905</v>
      </c>
      <c r="Z11" s="221" t="s">
        <v>905</v>
      </c>
      <c r="AA11" s="221" t="s">
        <v>905</v>
      </c>
      <c r="AB11" s="221" t="s">
        <v>905</v>
      </c>
      <c r="AC11" s="220">
        <v>71.45</v>
      </c>
      <c r="AD11" s="214"/>
      <c r="AE11" s="214"/>
      <c r="AF11" s="214"/>
      <c r="AG11" s="214"/>
      <c r="AH11" s="214"/>
      <c r="AI11" s="214"/>
      <c r="AJ11" s="214"/>
      <c r="AK11" s="214"/>
      <c r="AL11" s="214"/>
      <c r="AM11" s="214"/>
      <c r="AN11" s="214"/>
      <c r="AO11" s="214"/>
      <c r="AP11" s="214"/>
      <c r="AQ11" s="214"/>
      <c r="AR11" s="214"/>
      <c r="AS11" s="214"/>
      <c r="AT11" s="214"/>
      <c r="AU11" s="214"/>
      <c r="AV11" s="214"/>
      <c r="AW11" s="214"/>
    </row>
    <row r="12" spans="1:49" x14ac:dyDescent="0.3">
      <c r="A12" s="204" t="s">
        <v>2</v>
      </c>
      <c r="B12" s="207">
        <v>1154.21</v>
      </c>
      <c r="C12" s="207">
        <v>1552.58</v>
      </c>
      <c r="D12" s="207">
        <v>898.37</v>
      </c>
      <c r="E12" s="208" t="s">
        <v>390</v>
      </c>
      <c r="F12" s="208" t="s">
        <v>390</v>
      </c>
      <c r="G12" s="208" t="s">
        <v>390</v>
      </c>
      <c r="H12" s="202"/>
      <c r="I12" s="208" t="s">
        <v>390</v>
      </c>
      <c r="J12" s="208" t="s">
        <v>390</v>
      </c>
      <c r="K12" s="208" t="s">
        <v>390</v>
      </c>
      <c r="L12" s="208" t="s">
        <v>390</v>
      </c>
      <c r="M12" s="208" t="s">
        <v>390</v>
      </c>
      <c r="N12" s="201">
        <v>3605.16</v>
      </c>
      <c r="O12" s="202"/>
      <c r="P12" s="216" t="s">
        <v>535</v>
      </c>
      <c r="Q12" s="220">
        <v>125.25</v>
      </c>
      <c r="R12" s="220">
        <v>113.75</v>
      </c>
      <c r="S12" s="220" t="s">
        <v>905</v>
      </c>
      <c r="T12" s="220">
        <v>40.75</v>
      </c>
      <c r="U12" s="220">
        <v>40.75</v>
      </c>
      <c r="V12" s="220" t="s">
        <v>905</v>
      </c>
      <c r="W12" s="220" t="s">
        <v>905</v>
      </c>
      <c r="X12" s="220" t="s">
        <v>905</v>
      </c>
      <c r="Y12" s="220" t="s">
        <v>905</v>
      </c>
      <c r="Z12" s="220" t="s">
        <v>905</v>
      </c>
      <c r="AA12" s="220" t="s">
        <v>905</v>
      </c>
      <c r="AB12" s="220" t="s">
        <v>905</v>
      </c>
      <c r="AC12" s="220">
        <v>320.5</v>
      </c>
      <c r="AD12" s="214"/>
      <c r="AE12" s="214"/>
      <c r="AF12" s="214"/>
      <c r="AG12" s="214"/>
      <c r="AH12" s="214"/>
      <c r="AI12" s="214"/>
      <c r="AJ12" s="214"/>
      <c r="AK12" s="214"/>
      <c r="AL12" s="214"/>
      <c r="AM12" s="214"/>
      <c r="AN12" s="214"/>
      <c r="AO12" s="214"/>
      <c r="AP12" s="214"/>
      <c r="AQ12" s="214"/>
      <c r="AR12" s="214"/>
      <c r="AS12" s="214"/>
      <c r="AT12" s="214"/>
      <c r="AU12" s="214"/>
      <c r="AV12" s="214"/>
      <c r="AW12" s="214"/>
    </row>
    <row r="13" spans="1:49" x14ac:dyDescent="0.3">
      <c r="A13" s="206" t="s">
        <v>533</v>
      </c>
      <c r="B13" s="201">
        <v>4386.25</v>
      </c>
      <c r="C13" s="201">
        <v>8435.65</v>
      </c>
      <c r="D13" s="201">
        <v>9467.2999999999993</v>
      </c>
      <c r="E13" s="200" t="s">
        <v>390</v>
      </c>
      <c r="F13" s="200" t="s">
        <v>390</v>
      </c>
      <c r="G13" s="200" t="s">
        <v>390</v>
      </c>
      <c r="H13" s="202"/>
      <c r="I13" s="200" t="s">
        <v>390</v>
      </c>
      <c r="J13" s="200" t="s">
        <v>390</v>
      </c>
      <c r="K13" s="200" t="s">
        <v>390</v>
      </c>
      <c r="L13" s="200" t="s">
        <v>390</v>
      </c>
      <c r="M13" s="200" t="s">
        <v>390</v>
      </c>
      <c r="N13" s="201">
        <v>22289.200000000001</v>
      </c>
      <c r="O13" s="202"/>
      <c r="P13" s="217" t="s">
        <v>12</v>
      </c>
      <c r="Q13" s="221">
        <v>125.25</v>
      </c>
      <c r="R13" s="221">
        <v>113.75</v>
      </c>
      <c r="S13" s="221" t="s">
        <v>905</v>
      </c>
      <c r="T13" s="221">
        <v>40.75</v>
      </c>
      <c r="U13" s="221">
        <v>40.75</v>
      </c>
      <c r="V13" s="221" t="s">
        <v>905</v>
      </c>
      <c r="W13" s="221" t="s">
        <v>905</v>
      </c>
      <c r="X13" s="221" t="s">
        <v>905</v>
      </c>
      <c r="Y13" s="221" t="s">
        <v>905</v>
      </c>
      <c r="Z13" s="221" t="s">
        <v>905</v>
      </c>
      <c r="AA13" s="221" t="s">
        <v>905</v>
      </c>
      <c r="AB13" s="221" t="s">
        <v>905</v>
      </c>
      <c r="AC13" s="220">
        <v>320.5</v>
      </c>
      <c r="AD13" s="214"/>
      <c r="AE13" s="214"/>
      <c r="AF13" s="214"/>
      <c r="AG13" s="214"/>
      <c r="AH13" s="214"/>
      <c r="AI13" s="214"/>
      <c r="AJ13" s="214"/>
      <c r="AK13" s="214"/>
      <c r="AL13" s="214"/>
      <c r="AM13" s="214"/>
      <c r="AN13" s="214"/>
      <c r="AO13" s="214"/>
      <c r="AP13" s="214"/>
      <c r="AQ13" s="214"/>
      <c r="AR13" s="214"/>
      <c r="AS13" s="214"/>
      <c r="AT13" s="214"/>
      <c r="AU13" s="214"/>
      <c r="AV13" s="214"/>
      <c r="AW13" s="214"/>
    </row>
    <row r="14" spans="1:49" x14ac:dyDescent="0.3">
      <c r="A14" s="204" t="s">
        <v>534</v>
      </c>
      <c r="B14" s="207">
        <v>4386.25</v>
      </c>
      <c r="C14" s="207">
        <v>8435.65</v>
      </c>
      <c r="D14" s="207">
        <v>9467.2999999999993</v>
      </c>
      <c r="E14" s="208" t="s">
        <v>390</v>
      </c>
      <c r="F14" s="208" t="s">
        <v>390</v>
      </c>
      <c r="G14" s="208" t="s">
        <v>390</v>
      </c>
      <c r="H14" s="202"/>
      <c r="I14" s="208" t="s">
        <v>390</v>
      </c>
      <c r="J14" s="208" t="s">
        <v>390</v>
      </c>
      <c r="K14" s="208" t="s">
        <v>390</v>
      </c>
      <c r="L14" s="208" t="s">
        <v>390</v>
      </c>
      <c r="M14" s="208" t="s">
        <v>390</v>
      </c>
      <c r="N14" s="201">
        <v>22289.200000000001</v>
      </c>
      <c r="O14" s="202"/>
      <c r="P14" s="216" t="s">
        <v>533</v>
      </c>
      <c r="Q14" s="221" t="s">
        <v>905</v>
      </c>
      <c r="R14" s="221" t="s">
        <v>905</v>
      </c>
      <c r="S14" s="221">
        <v>3478.15</v>
      </c>
      <c r="T14" s="220" t="s">
        <v>390</v>
      </c>
      <c r="U14" s="220" t="s">
        <v>390</v>
      </c>
      <c r="V14" s="220" t="s">
        <v>390</v>
      </c>
      <c r="W14" s="220" t="s">
        <v>390</v>
      </c>
      <c r="X14" s="220" t="s">
        <v>390</v>
      </c>
      <c r="Y14" s="220" t="s">
        <v>390</v>
      </c>
      <c r="Z14" s="220" t="s">
        <v>390</v>
      </c>
      <c r="AA14" s="220" t="s">
        <v>390</v>
      </c>
      <c r="AB14" s="220" t="s">
        <v>390</v>
      </c>
      <c r="AC14" s="220">
        <v>3478.15</v>
      </c>
      <c r="AD14" s="214"/>
      <c r="AE14" s="214"/>
      <c r="AF14" s="214"/>
      <c r="AG14" s="214"/>
      <c r="AH14" s="214"/>
      <c r="AI14" s="214"/>
      <c r="AJ14" s="214"/>
      <c r="AK14" s="214"/>
      <c r="AL14" s="214"/>
      <c r="AM14" s="214"/>
      <c r="AN14" s="214"/>
      <c r="AO14" s="214"/>
      <c r="AP14" s="214"/>
      <c r="AQ14" s="214"/>
      <c r="AR14" s="214"/>
      <c r="AS14" s="214"/>
      <c r="AT14" s="214"/>
      <c r="AU14" s="214"/>
      <c r="AV14" s="214"/>
      <c r="AW14" s="214"/>
    </row>
    <row r="15" spans="1:49" x14ac:dyDescent="0.3">
      <c r="A15" s="204" t="s">
        <v>532</v>
      </c>
      <c r="B15" s="208" t="s">
        <v>390</v>
      </c>
      <c r="C15" s="208" t="s">
        <v>390</v>
      </c>
      <c r="D15" s="202"/>
      <c r="E15" s="208" t="s">
        <v>390</v>
      </c>
      <c r="F15" s="208" t="s">
        <v>390</v>
      </c>
      <c r="G15" s="208" t="s">
        <v>390</v>
      </c>
      <c r="H15" s="202"/>
      <c r="I15" s="208" t="s">
        <v>390</v>
      </c>
      <c r="J15" s="208" t="s">
        <v>390</v>
      </c>
      <c r="K15" s="208" t="s">
        <v>390</v>
      </c>
      <c r="L15" s="208" t="s">
        <v>390</v>
      </c>
      <c r="M15" s="208" t="s">
        <v>390</v>
      </c>
      <c r="N15" s="200" t="s">
        <v>390</v>
      </c>
      <c r="O15" s="202"/>
      <c r="P15" s="217" t="s">
        <v>534</v>
      </c>
      <c r="Q15" s="221" t="s">
        <v>905</v>
      </c>
      <c r="R15" s="221" t="s">
        <v>905</v>
      </c>
      <c r="S15" s="221" t="s">
        <v>905</v>
      </c>
      <c r="T15" s="221" t="s">
        <v>390</v>
      </c>
      <c r="U15" s="221" t="s">
        <v>390</v>
      </c>
      <c r="V15" s="221" t="s">
        <v>390</v>
      </c>
      <c r="W15" s="221" t="s">
        <v>390</v>
      </c>
      <c r="X15" s="221" t="s">
        <v>390</v>
      </c>
      <c r="Y15" s="221" t="s">
        <v>390</v>
      </c>
      <c r="Z15" s="221" t="s">
        <v>390</v>
      </c>
      <c r="AA15" s="221" t="s">
        <v>390</v>
      </c>
      <c r="AB15" s="221" t="s">
        <v>390</v>
      </c>
      <c r="AC15" s="220" t="s">
        <v>390</v>
      </c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4"/>
      <c r="AR15" s="214"/>
      <c r="AS15" s="214"/>
      <c r="AT15" s="214"/>
      <c r="AU15" s="214"/>
      <c r="AV15" s="214"/>
      <c r="AW15" s="214"/>
    </row>
    <row r="16" spans="1:49" x14ac:dyDescent="0.3">
      <c r="A16" s="204" t="s">
        <v>67</v>
      </c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17" t="s">
        <v>532</v>
      </c>
      <c r="Q16" s="221" t="s">
        <v>905</v>
      </c>
      <c r="R16" s="221" t="s">
        <v>905</v>
      </c>
      <c r="S16" s="221">
        <v>2459.35</v>
      </c>
      <c r="T16" s="221" t="s">
        <v>390</v>
      </c>
      <c r="U16" s="221" t="s">
        <v>390</v>
      </c>
      <c r="V16" s="221" t="s">
        <v>390</v>
      </c>
      <c r="W16" s="221" t="s">
        <v>390</v>
      </c>
      <c r="X16" s="221" t="s">
        <v>390</v>
      </c>
      <c r="Y16" s="221" t="s">
        <v>390</v>
      </c>
      <c r="Z16" s="221" t="s">
        <v>390</v>
      </c>
      <c r="AA16" s="221" t="s">
        <v>390</v>
      </c>
      <c r="AB16" s="221" t="s">
        <v>390</v>
      </c>
      <c r="AC16" s="220">
        <v>2459.35</v>
      </c>
      <c r="AD16" s="214"/>
      <c r="AE16" s="214"/>
      <c r="AF16" s="214"/>
      <c r="AG16" s="214"/>
      <c r="AH16" s="214"/>
      <c r="AI16" s="214"/>
      <c r="AJ16" s="214"/>
      <c r="AK16" s="214"/>
      <c r="AL16" s="214"/>
      <c r="AM16" s="214"/>
      <c r="AN16" s="214"/>
      <c r="AO16" s="214"/>
      <c r="AP16" s="214"/>
      <c r="AQ16" s="214"/>
      <c r="AR16" s="214"/>
      <c r="AS16" s="214"/>
      <c r="AT16" s="214"/>
      <c r="AU16" s="214"/>
      <c r="AV16" s="214"/>
      <c r="AW16" s="214"/>
    </row>
    <row r="17" spans="1:49" x14ac:dyDescent="0.3">
      <c r="A17" s="206" t="s">
        <v>535</v>
      </c>
      <c r="B17" s="201">
        <v>1269.18</v>
      </c>
      <c r="C17" s="201">
        <v>1162.72</v>
      </c>
      <c r="D17" s="201">
        <v>879.99</v>
      </c>
      <c r="E17" s="200" t="s">
        <v>390</v>
      </c>
      <c r="F17" s="200" t="s">
        <v>390</v>
      </c>
      <c r="G17" s="200" t="s">
        <v>390</v>
      </c>
      <c r="H17" s="202"/>
      <c r="I17" s="200" t="s">
        <v>390</v>
      </c>
      <c r="J17" s="200" t="s">
        <v>390</v>
      </c>
      <c r="K17" s="200" t="s">
        <v>390</v>
      </c>
      <c r="L17" s="200" t="s">
        <v>390</v>
      </c>
      <c r="M17" s="200" t="s">
        <v>390</v>
      </c>
      <c r="N17" s="201">
        <v>3190.12</v>
      </c>
      <c r="O17" s="202"/>
      <c r="P17" s="217" t="s">
        <v>67</v>
      </c>
      <c r="Q17" s="214"/>
      <c r="R17" s="214"/>
      <c r="S17" s="218" t="s">
        <v>904</v>
      </c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  <c r="AM17" s="214"/>
      <c r="AN17" s="214"/>
      <c r="AO17" s="214"/>
      <c r="AP17" s="214"/>
      <c r="AQ17" s="214"/>
      <c r="AR17" s="214"/>
      <c r="AS17" s="214"/>
      <c r="AT17" s="214"/>
      <c r="AU17" s="214"/>
      <c r="AV17" s="214"/>
      <c r="AW17" s="214"/>
    </row>
    <row r="18" spans="1:49" x14ac:dyDescent="0.3">
      <c r="A18" s="204" t="s">
        <v>12</v>
      </c>
      <c r="B18" s="207">
        <v>223.01</v>
      </c>
      <c r="C18" s="207">
        <v>256.19</v>
      </c>
      <c r="D18" s="207">
        <v>174.5</v>
      </c>
      <c r="E18" s="208" t="s">
        <v>390</v>
      </c>
      <c r="F18" s="208" t="s">
        <v>390</v>
      </c>
      <c r="G18" s="208" t="s">
        <v>390</v>
      </c>
      <c r="H18" s="202"/>
      <c r="I18" s="208" t="s">
        <v>390</v>
      </c>
      <c r="J18" s="208" t="s">
        <v>390</v>
      </c>
      <c r="K18" s="208" t="s">
        <v>390</v>
      </c>
      <c r="L18" s="208" t="s">
        <v>390</v>
      </c>
      <c r="M18" s="208" t="s">
        <v>390</v>
      </c>
      <c r="N18" s="201">
        <v>653.70000000000005</v>
      </c>
      <c r="O18" s="202"/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214"/>
      <c r="AA18" s="214"/>
      <c r="AB18" s="214"/>
      <c r="AC18" s="214"/>
      <c r="AD18" s="214"/>
      <c r="AE18" s="214"/>
      <c r="AF18" s="214"/>
      <c r="AG18" s="214"/>
      <c r="AH18" s="214"/>
      <c r="AI18" s="214"/>
      <c r="AJ18" s="214"/>
      <c r="AK18" s="214"/>
      <c r="AL18" s="214"/>
      <c r="AM18" s="214"/>
      <c r="AN18" s="214"/>
      <c r="AO18" s="214"/>
      <c r="AP18" s="214"/>
      <c r="AQ18" s="214"/>
      <c r="AR18" s="214"/>
      <c r="AS18" s="214"/>
      <c r="AT18" s="214"/>
      <c r="AU18" s="214"/>
      <c r="AV18" s="214"/>
      <c r="AW18" s="214"/>
    </row>
    <row r="19" spans="1:49" x14ac:dyDescent="0.3">
      <c r="A19" s="204" t="s">
        <v>16</v>
      </c>
      <c r="B19" s="207">
        <v>979.43</v>
      </c>
      <c r="C19" s="207">
        <v>906.53</v>
      </c>
      <c r="D19" s="207">
        <v>650.46</v>
      </c>
      <c r="E19" s="208" t="s">
        <v>390</v>
      </c>
      <c r="F19" s="208" t="s">
        <v>390</v>
      </c>
      <c r="G19" s="208" t="s">
        <v>390</v>
      </c>
      <c r="H19" s="202"/>
      <c r="I19" s="208" t="s">
        <v>390</v>
      </c>
      <c r="J19" s="208" t="s">
        <v>390</v>
      </c>
      <c r="K19" s="208" t="s">
        <v>390</v>
      </c>
      <c r="L19" s="208" t="s">
        <v>390</v>
      </c>
      <c r="M19" s="208" t="s">
        <v>390</v>
      </c>
      <c r="N19" s="201">
        <v>2536.42</v>
      </c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</row>
    <row r="20" spans="1:49" x14ac:dyDescent="0.3">
      <c r="A20" s="204" t="s">
        <v>15</v>
      </c>
      <c r="B20" s="207">
        <v>66.739999999999995</v>
      </c>
      <c r="C20" s="208" t="s">
        <v>390</v>
      </c>
      <c r="D20" s="207">
        <v>55.03</v>
      </c>
      <c r="E20" s="208" t="s">
        <v>390</v>
      </c>
      <c r="F20" s="208" t="s">
        <v>390</v>
      </c>
      <c r="G20" s="208" t="s">
        <v>390</v>
      </c>
      <c r="H20" s="202"/>
      <c r="I20" s="208" t="s">
        <v>390</v>
      </c>
      <c r="J20" s="208" t="s">
        <v>390</v>
      </c>
      <c r="K20" s="208" t="s">
        <v>390</v>
      </c>
      <c r="L20" s="208" t="s">
        <v>390</v>
      </c>
      <c r="M20" s="208" t="s">
        <v>390</v>
      </c>
      <c r="N20" s="201">
        <v>121.77</v>
      </c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</row>
    <row r="21" spans="1:49" x14ac:dyDescent="0.3">
      <c r="A21" s="202"/>
      <c r="B21" s="202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</row>
    <row r="22" spans="1:49" x14ac:dyDescent="0.3">
      <c r="A22" s="200" t="s">
        <v>17</v>
      </c>
      <c r="B22" s="201">
        <v>27155.67</v>
      </c>
      <c r="C22" s="201">
        <v>24289.279999999999</v>
      </c>
      <c r="D22" s="201">
        <v>25631.82</v>
      </c>
      <c r="E22" s="201">
        <v>24271.09</v>
      </c>
      <c r="F22" s="201">
        <v>22639.29</v>
      </c>
      <c r="G22" s="201">
        <v>23154.400000000001</v>
      </c>
      <c r="H22" s="201">
        <v>17733.419999999998</v>
      </c>
      <c r="I22" s="201">
        <v>17029.18</v>
      </c>
      <c r="J22" s="200" t="s">
        <v>390</v>
      </c>
      <c r="K22" s="200" t="s">
        <v>390</v>
      </c>
      <c r="L22" s="200" t="s">
        <v>390</v>
      </c>
      <c r="M22" s="200" t="s">
        <v>390</v>
      </c>
      <c r="N22" s="201">
        <v>181904.15</v>
      </c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</row>
    <row r="23" spans="1:49" x14ac:dyDescent="0.3">
      <c r="A23" s="204" t="s">
        <v>7</v>
      </c>
      <c r="B23" s="205">
        <v>0.16</v>
      </c>
      <c r="C23" s="205">
        <v>0.21</v>
      </c>
      <c r="D23" s="205">
        <v>0.2</v>
      </c>
      <c r="E23" s="205">
        <v>0.25</v>
      </c>
      <c r="F23" s="205">
        <v>0.17</v>
      </c>
      <c r="G23" s="205">
        <v>0.22</v>
      </c>
      <c r="H23" s="202"/>
      <c r="I23" s="205">
        <v>0.15</v>
      </c>
      <c r="J23" s="200" t="e">
        <v>#DIV/0!</v>
      </c>
      <c r="K23" s="200" t="e">
        <v>#DIV/0!</v>
      </c>
      <c r="L23" s="200" t="e">
        <v>#DIV/0!</v>
      </c>
      <c r="M23" s="200" t="e">
        <v>#DIV/0!</v>
      </c>
      <c r="N23" s="205">
        <v>0.19</v>
      </c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</row>
    <row r="24" spans="1:49" x14ac:dyDescent="0.3">
      <c r="A24" s="206" t="s">
        <v>532</v>
      </c>
      <c r="B24" s="201">
        <v>25515.08</v>
      </c>
      <c r="C24" s="201">
        <v>22629.75</v>
      </c>
      <c r="D24" s="201">
        <v>24618.7</v>
      </c>
      <c r="E24" s="200" t="s">
        <v>390</v>
      </c>
      <c r="F24" s="200" t="s">
        <v>390</v>
      </c>
      <c r="G24" s="200" t="s">
        <v>390</v>
      </c>
      <c r="H24" s="202"/>
      <c r="I24" s="200" t="s">
        <v>390</v>
      </c>
      <c r="J24" s="200" t="s">
        <v>390</v>
      </c>
      <c r="K24" s="200" t="s">
        <v>390</v>
      </c>
      <c r="L24" s="200" t="s">
        <v>390</v>
      </c>
      <c r="M24" s="200" t="s">
        <v>390</v>
      </c>
      <c r="N24" s="201">
        <v>72763.53</v>
      </c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</row>
    <row r="25" spans="1:49" x14ac:dyDescent="0.3">
      <c r="A25" s="204" t="s">
        <v>9</v>
      </c>
      <c r="B25" s="207">
        <v>7756.93</v>
      </c>
      <c r="C25" s="207">
        <v>8263.4599999999991</v>
      </c>
      <c r="D25" s="207">
        <v>10156.799999999999</v>
      </c>
      <c r="E25" s="208" t="s">
        <v>390</v>
      </c>
      <c r="F25" s="208" t="s">
        <v>390</v>
      </c>
      <c r="G25" s="208" t="s">
        <v>390</v>
      </c>
      <c r="H25" s="202"/>
      <c r="I25" s="208" t="s">
        <v>390</v>
      </c>
      <c r="J25" s="208" t="s">
        <v>390</v>
      </c>
      <c r="K25" s="208" t="s">
        <v>390</v>
      </c>
      <c r="L25" s="208" t="s">
        <v>390</v>
      </c>
      <c r="M25" s="208" t="s">
        <v>390</v>
      </c>
      <c r="N25" s="201">
        <v>26177.19</v>
      </c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</row>
    <row r="26" spans="1:49" x14ac:dyDescent="0.3">
      <c r="A26" s="204" t="s">
        <v>67</v>
      </c>
      <c r="B26" s="207">
        <v>17758.150000000001</v>
      </c>
      <c r="C26" s="207">
        <v>14205.5</v>
      </c>
      <c r="D26" s="207">
        <v>13052.4</v>
      </c>
      <c r="E26" s="208" t="s">
        <v>390</v>
      </c>
      <c r="F26" s="208" t="s">
        <v>390</v>
      </c>
      <c r="G26" s="208" t="s">
        <v>390</v>
      </c>
      <c r="H26" s="202"/>
      <c r="I26" s="208" t="s">
        <v>390</v>
      </c>
      <c r="J26" s="208" t="s">
        <v>390</v>
      </c>
      <c r="K26" s="208" t="s">
        <v>390</v>
      </c>
      <c r="L26" s="208" t="s">
        <v>390</v>
      </c>
      <c r="M26" s="208" t="s">
        <v>390</v>
      </c>
      <c r="N26" s="201">
        <v>45016.05</v>
      </c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</row>
    <row r="27" spans="1:49" x14ac:dyDescent="0.3">
      <c r="A27" s="204" t="s">
        <v>69</v>
      </c>
      <c r="B27" s="208" t="s">
        <v>390</v>
      </c>
      <c r="C27" s="208" t="s">
        <v>390</v>
      </c>
      <c r="D27" s="208" t="s">
        <v>390</v>
      </c>
      <c r="E27" s="208" t="s">
        <v>390</v>
      </c>
      <c r="F27" s="208" t="s">
        <v>390</v>
      </c>
      <c r="G27" s="208" t="s">
        <v>390</v>
      </c>
      <c r="H27" s="202"/>
      <c r="I27" s="208" t="s">
        <v>390</v>
      </c>
      <c r="J27" s="208" t="s">
        <v>390</v>
      </c>
      <c r="K27" s="208" t="s">
        <v>390</v>
      </c>
      <c r="L27" s="208" t="s">
        <v>390</v>
      </c>
      <c r="M27" s="208" t="s">
        <v>390</v>
      </c>
      <c r="N27" s="200" t="s">
        <v>390</v>
      </c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</row>
    <row r="28" spans="1:49" x14ac:dyDescent="0.3">
      <c r="A28" s="204" t="s">
        <v>71</v>
      </c>
      <c r="B28" s="208" t="s">
        <v>390</v>
      </c>
      <c r="C28" s="208" t="s">
        <v>390</v>
      </c>
      <c r="D28" s="208" t="s">
        <v>390</v>
      </c>
      <c r="E28" s="208" t="s">
        <v>390</v>
      </c>
      <c r="F28" s="208" t="s">
        <v>390</v>
      </c>
      <c r="G28" s="208" t="s">
        <v>390</v>
      </c>
      <c r="H28" s="202"/>
      <c r="I28" s="208" t="s">
        <v>390</v>
      </c>
      <c r="J28" s="208" t="s">
        <v>390</v>
      </c>
      <c r="K28" s="208" t="s">
        <v>390</v>
      </c>
      <c r="L28" s="208" t="s">
        <v>390</v>
      </c>
      <c r="M28" s="208" t="s">
        <v>390</v>
      </c>
      <c r="N28" s="200" t="s">
        <v>390</v>
      </c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</row>
    <row r="29" spans="1:49" x14ac:dyDescent="0.3">
      <c r="A29" s="204" t="s">
        <v>73</v>
      </c>
      <c r="B29" s="208" t="s">
        <v>390</v>
      </c>
      <c r="C29" s="208" t="s">
        <v>390</v>
      </c>
      <c r="D29" s="208" t="s">
        <v>390</v>
      </c>
      <c r="E29" s="208" t="s">
        <v>390</v>
      </c>
      <c r="F29" s="208" t="s">
        <v>390</v>
      </c>
      <c r="G29" s="208" t="s">
        <v>390</v>
      </c>
      <c r="H29" s="202"/>
      <c r="I29" s="208" t="s">
        <v>390</v>
      </c>
      <c r="J29" s="208" t="s">
        <v>390</v>
      </c>
      <c r="K29" s="208" t="s">
        <v>390</v>
      </c>
      <c r="L29" s="208" t="s">
        <v>390</v>
      </c>
      <c r="M29" s="208" t="s">
        <v>390</v>
      </c>
      <c r="N29" s="200" t="s">
        <v>390</v>
      </c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</row>
    <row r="30" spans="1:49" x14ac:dyDescent="0.3">
      <c r="A30" s="204" t="s">
        <v>534</v>
      </c>
      <c r="B30" s="208" t="s">
        <v>390</v>
      </c>
      <c r="C30" s="207">
        <v>160.79</v>
      </c>
      <c r="D30" s="207">
        <v>1409.5</v>
      </c>
      <c r="E30" s="208" t="s">
        <v>390</v>
      </c>
      <c r="F30" s="208" t="s">
        <v>390</v>
      </c>
      <c r="G30" s="208" t="s">
        <v>390</v>
      </c>
      <c r="H30" s="202"/>
      <c r="I30" s="208" t="s">
        <v>390</v>
      </c>
      <c r="J30" s="208" t="s">
        <v>390</v>
      </c>
      <c r="K30" s="208" t="s">
        <v>390</v>
      </c>
      <c r="L30" s="208" t="s">
        <v>390</v>
      </c>
      <c r="M30" s="208" t="s">
        <v>390</v>
      </c>
      <c r="N30" s="201">
        <v>1570.29</v>
      </c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</row>
    <row r="31" spans="1:49" x14ac:dyDescent="0.3">
      <c r="A31" s="206" t="s">
        <v>535</v>
      </c>
      <c r="B31" s="201">
        <v>1640.59</v>
      </c>
      <c r="C31" s="201">
        <v>1659.53</v>
      </c>
      <c r="D31" s="201">
        <v>1013.12</v>
      </c>
      <c r="E31" s="200" t="s">
        <v>390</v>
      </c>
      <c r="F31" s="200" t="s">
        <v>390</v>
      </c>
      <c r="G31" s="200" t="s">
        <v>390</v>
      </c>
      <c r="H31" s="202"/>
      <c r="I31" s="200" t="s">
        <v>390</v>
      </c>
      <c r="J31" s="200" t="s">
        <v>390</v>
      </c>
      <c r="K31" s="200" t="s">
        <v>390</v>
      </c>
      <c r="L31" s="200" t="s">
        <v>390</v>
      </c>
      <c r="M31" s="200" t="s">
        <v>390</v>
      </c>
      <c r="N31" s="201">
        <v>792.23</v>
      </c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</row>
    <row r="32" spans="1:49" x14ac:dyDescent="0.3">
      <c r="A32" s="204" t="s">
        <v>12</v>
      </c>
      <c r="B32" s="207">
        <v>310.91000000000003</v>
      </c>
      <c r="C32" s="207">
        <v>203.62</v>
      </c>
      <c r="D32" s="207">
        <v>277.7</v>
      </c>
      <c r="E32" s="208" t="s">
        <v>390</v>
      </c>
      <c r="F32" s="208" t="s">
        <v>390</v>
      </c>
      <c r="G32" s="208" t="s">
        <v>390</v>
      </c>
      <c r="H32" s="202"/>
      <c r="I32" s="208" t="s">
        <v>390</v>
      </c>
      <c r="J32" s="208" t="s">
        <v>390</v>
      </c>
      <c r="K32" s="208" t="s">
        <v>390</v>
      </c>
      <c r="L32" s="208" t="s">
        <v>390</v>
      </c>
      <c r="M32" s="208" t="s">
        <v>390</v>
      </c>
      <c r="N32" s="201">
        <v>792.23</v>
      </c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</row>
    <row r="33" spans="1:34" x14ac:dyDescent="0.3">
      <c r="A33" s="204" t="s">
        <v>16</v>
      </c>
      <c r="B33" s="207">
        <v>1329.68</v>
      </c>
      <c r="C33" s="207">
        <v>1350.25</v>
      </c>
      <c r="D33" s="207">
        <v>340.2</v>
      </c>
      <c r="E33" s="208" t="s">
        <v>390</v>
      </c>
      <c r="F33" s="208" t="s">
        <v>390</v>
      </c>
      <c r="G33" s="208" t="s">
        <v>390</v>
      </c>
      <c r="H33" s="202"/>
      <c r="I33" s="208" t="s">
        <v>390</v>
      </c>
      <c r="J33" s="208" t="s">
        <v>390</v>
      </c>
      <c r="K33" s="208" t="s">
        <v>390</v>
      </c>
      <c r="L33" s="208" t="s">
        <v>390</v>
      </c>
      <c r="M33" s="208" t="s">
        <v>390</v>
      </c>
      <c r="N33" s="200" t="s">
        <v>390</v>
      </c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</row>
    <row r="34" spans="1:34" x14ac:dyDescent="0.3">
      <c r="A34" s="204" t="s">
        <v>15</v>
      </c>
      <c r="B34" s="208" t="s">
        <v>390</v>
      </c>
      <c r="C34" s="208" t="s">
        <v>390</v>
      </c>
      <c r="D34" s="208" t="s">
        <v>390</v>
      </c>
      <c r="E34" s="208" t="s">
        <v>390</v>
      </c>
      <c r="F34" s="208" t="s">
        <v>390</v>
      </c>
      <c r="G34" s="208" t="s">
        <v>390</v>
      </c>
      <c r="H34" s="202"/>
      <c r="I34" s="208" t="s">
        <v>390</v>
      </c>
      <c r="J34" s="208" t="s">
        <v>390</v>
      </c>
      <c r="K34" s="208" t="s">
        <v>390</v>
      </c>
      <c r="L34" s="208" t="s">
        <v>390</v>
      </c>
      <c r="M34" s="208" t="s">
        <v>390</v>
      </c>
      <c r="N34" s="200" t="s">
        <v>390</v>
      </c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</row>
    <row r="35" spans="1:34" x14ac:dyDescent="0.3">
      <c r="A35" s="204" t="s">
        <v>14</v>
      </c>
      <c r="B35" s="208" t="s">
        <v>390</v>
      </c>
      <c r="C35" s="207">
        <v>105.66</v>
      </c>
      <c r="D35" s="207">
        <v>395.22</v>
      </c>
      <c r="E35" s="208" t="s">
        <v>390</v>
      </c>
      <c r="F35" s="208" t="s">
        <v>390</v>
      </c>
      <c r="G35" s="208" t="s">
        <v>390</v>
      </c>
      <c r="H35" s="202"/>
      <c r="I35" s="208" t="s">
        <v>390</v>
      </c>
      <c r="J35" s="208" t="s">
        <v>390</v>
      </c>
      <c r="K35" s="208" t="s">
        <v>390</v>
      </c>
      <c r="L35" s="208" t="s">
        <v>390</v>
      </c>
      <c r="M35" s="208" t="s">
        <v>390</v>
      </c>
      <c r="N35" s="201">
        <v>500.88</v>
      </c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</row>
    <row r="36" spans="1:34" x14ac:dyDescent="0.3">
      <c r="A36" s="202"/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</row>
    <row r="37" spans="1:34" x14ac:dyDescent="0.3">
      <c r="A37" s="200" t="s">
        <v>19</v>
      </c>
      <c r="B37" s="201">
        <v>35276.949999999997</v>
      </c>
      <c r="C37" s="201">
        <v>13561.45</v>
      </c>
      <c r="D37" s="201">
        <v>16399.05</v>
      </c>
      <c r="E37" s="201">
        <v>8456.84</v>
      </c>
      <c r="F37" s="201">
        <v>32386.23</v>
      </c>
      <c r="G37" s="201">
        <v>6207.97</v>
      </c>
      <c r="H37" s="201">
        <v>14615.31</v>
      </c>
      <c r="I37" s="201">
        <v>18120.88</v>
      </c>
      <c r="J37" s="200" t="s">
        <v>390</v>
      </c>
      <c r="K37" s="200" t="s">
        <v>390</v>
      </c>
      <c r="L37" s="200" t="s">
        <v>390</v>
      </c>
      <c r="M37" s="200" t="s">
        <v>390</v>
      </c>
      <c r="N37" s="201">
        <v>145024.68</v>
      </c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  <c r="AH37" s="202"/>
    </row>
    <row r="38" spans="1:34" x14ac:dyDescent="0.3">
      <c r="A38" s="206" t="s">
        <v>532</v>
      </c>
      <c r="B38" s="201">
        <v>15640.02</v>
      </c>
      <c r="C38" s="201">
        <v>13561.45</v>
      </c>
      <c r="D38" s="201">
        <v>13617.4</v>
      </c>
      <c r="E38" s="200" t="s">
        <v>390</v>
      </c>
      <c r="F38" s="201">
        <v>11538.53</v>
      </c>
      <c r="G38" s="201">
        <v>13612.1</v>
      </c>
      <c r="H38" s="202"/>
      <c r="I38" s="200" t="s">
        <v>390</v>
      </c>
      <c r="J38" s="200" t="s">
        <v>390</v>
      </c>
      <c r="K38" s="200" t="s">
        <v>390</v>
      </c>
      <c r="L38" s="200" t="s">
        <v>390</v>
      </c>
      <c r="M38" s="200" t="s">
        <v>390</v>
      </c>
      <c r="N38" s="201">
        <v>67969.5</v>
      </c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</row>
    <row r="39" spans="1:34" x14ac:dyDescent="0.3">
      <c r="A39" s="204" t="s">
        <v>9</v>
      </c>
      <c r="B39" s="207">
        <v>12765.42</v>
      </c>
      <c r="C39" s="207">
        <v>10947.48</v>
      </c>
      <c r="D39" s="207">
        <v>11594.3</v>
      </c>
      <c r="E39" s="208" t="s">
        <v>390</v>
      </c>
      <c r="F39" s="208" t="s">
        <v>390</v>
      </c>
      <c r="G39" s="208" t="s">
        <v>390</v>
      </c>
      <c r="H39" s="202"/>
      <c r="I39" s="208" t="s">
        <v>390</v>
      </c>
      <c r="J39" s="208" t="s">
        <v>390</v>
      </c>
      <c r="K39" s="208" t="s">
        <v>390</v>
      </c>
      <c r="L39" s="208" t="s">
        <v>390</v>
      </c>
      <c r="M39" s="208" t="s">
        <v>390</v>
      </c>
      <c r="N39" s="201">
        <v>35307.199999999997</v>
      </c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</row>
    <row r="40" spans="1:34" x14ac:dyDescent="0.3">
      <c r="A40" s="204" t="s">
        <v>67</v>
      </c>
      <c r="B40" s="207">
        <v>2874.6</v>
      </c>
      <c r="C40" s="207">
        <v>2463.75</v>
      </c>
      <c r="D40" s="207">
        <v>1875.4</v>
      </c>
      <c r="E40" s="208" t="s">
        <v>390</v>
      </c>
      <c r="F40" s="208" t="s">
        <v>390</v>
      </c>
      <c r="G40" s="208" t="s">
        <v>390</v>
      </c>
      <c r="H40" s="202"/>
      <c r="I40" s="208" t="s">
        <v>390</v>
      </c>
      <c r="J40" s="208" t="s">
        <v>390</v>
      </c>
      <c r="K40" s="208" t="s">
        <v>390</v>
      </c>
      <c r="L40" s="208" t="s">
        <v>390</v>
      </c>
      <c r="M40" s="208" t="s">
        <v>390</v>
      </c>
      <c r="N40" s="201">
        <v>7213.75</v>
      </c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</row>
    <row r="41" spans="1:34" x14ac:dyDescent="0.3">
      <c r="A41" s="204" t="s">
        <v>69</v>
      </c>
      <c r="B41" s="208" t="s">
        <v>390</v>
      </c>
      <c r="C41" s="208" t="s">
        <v>390</v>
      </c>
      <c r="D41" s="208" t="s">
        <v>390</v>
      </c>
      <c r="E41" s="208" t="s">
        <v>390</v>
      </c>
      <c r="F41" s="208" t="s">
        <v>390</v>
      </c>
      <c r="G41" s="208" t="s">
        <v>390</v>
      </c>
      <c r="H41" s="202"/>
      <c r="I41" s="208" t="s">
        <v>390</v>
      </c>
      <c r="J41" s="208" t="s">
        <v>390</v>
      </c>
      <c r="K41" s="208" t="s">
        <v>390</v>
      </c>
      <c r="L41" s="208" t="s">
        <v>390</v>
      </c>
      <c r="M41" s="208" t="s">
        <v>390</v>
      </c>
      <c r="N41" s="200" t="s">
        <v>390</v>
      </c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</row>
    <row r="42" spans="1:34" x14ac:dyDescent="0.3">
      <c r="A42" s="204" t="s">
        <v>71</v>
      </c>
      <c r="B42" s="208" t="s">
        <v>390</v>
      </c>
      <c r="C42" s="208" t="s">
        <v>390</v>
      </c>
      <c r="D42" s="208" t="s">
        <v>390</v>
      </c>
      <c r="E42" s="208" t="s">
        <v>390</v>
      </c>
      <c r="F42" s="208" t="s">
        <v>390</v>
      </c>
      <c r="G42" s="208" t="s">
        <v>390</v>
      </c>
      <c r="H42" s="202"/>
      <c r="I42" s="208" t="s">
        <v>390</v>
      </c>
      <c r="J42" s="208" t="s">
        <v>390</v>
      </c>
      <c r="K42" s="208" t="s">
        <v>390</v>
      </c>
      <c r="L42" s="208" t="s">
        <v>390</v>
      </c>
      <c r="M42" s="208" t="s">
        <v>390</v>
      </c>
      <c r="N42" s="200" t="s">
        <v>390</v>
      </c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</row>
    <row r="43" spans="1:34" x14ac:dyDescent="0.3">
      <c r="A43" s="204" t="s">
        <v>73</v>
      </c>
      <c r="B43" s="208" t="s">
        <v>390</v>
      </c>
      <c r="C43" s="207">
        <v>34.869999999999997</v>
      </c>
      <c r="D43" s="208" t="s">
        <v>390</v>
      </c>
      <c r="E43" s="208" t="s">
        <v>390</v>
      </c>
      <c r="F43" s="208" t="s">
        <v>390</v>
      </c>
      <c r="G43" s="208" t="s">
        <v>390</v>
      </c>
      <c r="H43" s="202"/>
      <c r="I43" s="208" t="s">
        <v>390</v>
      </c>
      <c r="J43" s="208" t="s">
        <v>390</v>
      </c>
      <c r="K43" s="208" t="s">
        <v>390</v>
      </c>
      <c r="L43" s="208" t="s">
        <v>390</v>
      </c>
      <c r="M43" s="208" t="s">
        <v>390</v>
      </c>
      <c r="N43" s="201">
        <v>34.869999999999997</v>
      </c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</row>
    <row r="44" spans="1:34" x14ac:dyDescent="0.3">
      <c r="A44" s="204" t="s">
        <v>534</v>
      </c>
      <c r="B44" s="208" t="s">
        <v>390</v>
      </c>
      <c r="C44" s="207">
        <v>115.35</v>
      </c>
      <c r="D44" s="207">
        <v>147.69999999999999</v>
      </c>
      <c r="E44" s="208" t="s">
        <v>390</v>
      </c>
      <c r="F44" s="208" t="s">
        <v>390</v>
      </c>
      <c r="G44" s="208" t="s">
        <v>390</v>
      </c>
      <c r="H44" s="202"/>
      <c r="I44" s="208" t="s">
        <v>390</v>
      </c>
      <c r="J44" s="208" t="s">
        <v>390</v>
      </c>
      <c r="K44" s="208" t="s">
        <v>390</v>
      </c>
      <c r="L44" s="208" t="s">
        <v>390</v>
      </c>
      <c r="M44" s="208" t="s">
        <v>390</v>
      </c>
      <c r="N44" s="201">
        <v>263.05</v>
      </c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</row>
    <row r="45" spans="1:34" x14ac:dyDescent="0.3">
      <c r="A45" s="206" t="s">
        <v>535</v>
      </c>
      <c r="B45" s="201">
        <v>19636.93</v>
      </c>
      <c r="C45" s="200" t="s">
        <v>390</v>
      </c>
      <c r="D45" s="201">
        <v>2781.65</v>
      </c>
      <c r="E45" s="200" t="s">
        <v>390</v>
      </c>
      <c r="F45" s="201">
        <v>20847.7</v>
      </c>
      <c r="G45" s="201">
        <v>-7404.13</v>
      </c>
      <c r="H45" s="202"/>
      <c r="I45" s="200" t="s">
        <v>390</v>
      </c>
      <c r="J45" s="200" t="s">
        <v>390</v>
      </c>
      <c r="K45" s="200" t="s">
        <v>390</v>
      </c>
      <c r="L45" s="200" t="s">
        <v>390</v>
      </c>
      <c r="M45" s="200" t="s">
        <v>390</v>
      </c>
      <c r="N45" s="201">
        <v>35862.15</v>
      </c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</row>
    <row r="46" spans="1:34" x14ac:dyDescent="0.3">
      <c r="A46" s="204" t="s">
        <v>12</v>
      </c>
      <c r="B46" s="208" t="s">
        <v>390</v>
      </c>
      <c r="C46" s="208" t="s">
        <v>390</v>
      </c>
      <c r="D46" s="208" t="s">
        <v>390</v>
      </c>
      <c r="E46" s="208" t="s">
        <v>390</v>
      </c>
      <c r="F46" s="208" t="s">
        <v>390</v>
      </c>
      <c r="G46" s="208" t="s">
        <v>390</v>
      </c>
      <c r="H46" s="202"/>
      <c r="I46" s="208" t="s">
        <v>390</v>
      </c>
      <c r="J46" s="208" t="s">
        <v>390</v>
      </c>
      <c r="K46" s="208" t="s">
        <v>390</v>
      </c>
      <c r="L46" s="208" t="s">
        <v>390</v>
      </c>
      <c r="M46" s="208" t="s">
        <v>390</v>
      </c>
      <c r="N46" s="200" t="s">
        <v>390</v>
      </c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</row>
    <row r="47" spans="1:34" x14ac:dyDescent="0.3">
      <c r="A47" s="204" t="s">
        <v>13</v>
      </c>
      <c r="B47" s="207">
        <v>19636.93</v>
      </c>
      <c r="C47" s="208" t="s">
        <v>390</v>
      </c>
      <c r="D47" s="207">
        <v>2781.65</v>
      </c>
      <c r="E47" s="208" t="s">
        <v>390</v>
      </c>
      <c r="F47" s="207">
        <v>20847.7</v>
      </c>
      <c r="G47" s="207">
        <v>-7404.13</v>
      </c>
      <c r="H47" s="202"/>
      <c r="I47" s="208" t="s">
        <v>390</v>
      </c>
      <c r="J47" s="208" t="s">
        <v>390</v>
      </c>
      <c r="K47" s="208" t="s">
        <v>390</v>
      </c>
      <c r="L47" s="208" t="s">
        <v>390</v>
      </c>
      <c r="M47" s="208" t="s">
        <v>390</v>
      </c>
      <c r="N47" s="201">
        <v>35862.15</v>
      </c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</row>
    <row r="48" spans="1:34" x14ac:dyDescent="0.3">
      <c r="A48" s="204" t="s">
        <v>16</v>
      </c>
      <c r="B48" s="208" t="s">
        <v>390</v>
      </c>
      <c r="C48" s="208" t="s">
        <v>390</v>
      </c>
      <c r="D48" s="208" t="s">
        <v>390</v>
      </c>
      <c r="E48" s="208" t="s">
        <v>390</v>
      </c>
      <c r="F48" s="208" t="s">
        <v>390</v>
      </c>
      <c r="G48" s="208" t="s">
        <v>390</v>
      </c>
      <c r="H48" s="202"/>
      <c r="I48" s="208" t="s">
        <v>390</v>
      </c>
      <c r="J48" s="208" t="s">
        <v>390</v>
      </c>
      <c r="K48" s="208" t="s">
        <v>390</v>
      </c>
      <c r="L48" s="208" t="s">
        <v>390</v>
      </c>
      <c r="M48" s="208" t="s">
        <v>390</v>
      </c>
      <c r="N48" s="200" t="s">
        <v>390</v>
      </c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</row>
    <row r="49" spans="1:34" x14ac:dyDescent="0.3">
      <c r="A49" s="204" t="s">
        <v>15</v>
      </c>
      <c r="B49" s="208" t="s">
        <v>390</v>
      </c>
      <c r="C49" s="208" t="s">
        <v>390</v>
      </c>
      <c r="D49" s="208" t="s">
        <v>390</v>
      </c>
      <c r="E49" s="208" t="s">
        <v>390</v>
      </c>
      <c r="F49" s="208" t="s">
        <v>390</v>
      </c>
      <c r="G49" s="208" t="s">
        <v>390</v>
      </c>
      <c r="H49" s="202"/>
      <c r="I49" s="208" t="s">
        <v>390</v>
      </c>
      <c r="J49" s="208" t="s">
        <v>390</v>
      </c>
      <c r="K49" s="208" t="s">
        <v>390</v>
      </c>
      <c r="L49" s="208" t="s">
        <v>390</v>
      </c>
      <c r="M49" s="208" t="s">
        <v>390</v>
      </c>
      <c r="N49" s="200" t="s">
        <v>390</v>
      </c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</row>
    <row r="50" spans="1:34" x14ac:dyDescent="0.3">
      <c r="A50" s="202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</row>
    <row r="51" spans="1:34" x14ac:dyDescent="0.3">
      <c r="A51" s="204" t="s">
        <v>7</v>
      </c>
      <c r="B51" s="205">
        <v>0.2</v>
      </c>
      <c r="C51" s="205">
        <v>0.11</v>
      </c>
      <c r="D51" s="205">
        <v>0.13</v>
      </c>
      <c r="E51" s="205">
        <v>0.09</v>
      </c>
      <c r="F51" s="205">
        <v>0.24</v>
      </c>
      <c r="G51" s="205">
        <v>0.06</v>
      </c>
      <c r="H51" s="202"/>
      <c r="I51" s="205">
        <v>0.16</v>
      </c>
      <c r="J51" s="200" t="e">
        <v>#DIV/0!</v>
      </c>
      <c r="K51" s="200" t="e">
        <v>#DIV/0!</v>
      </c>
      <c r="L51" s="200" t="e">
        <v>#DIV/0!</v>
      </c>
      <c r="M51" s="200" t="e">
        <v>#DIV/0!</v>
      </c>
      <c r="N51" s="205">
        <v>0.15</v>
      </c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</row>
    <row r="52" spans="1:34" x14ac:dyDescent="0.3">
      <c r="A52" s="200" t="s">
        <v>21</v>
      </c>
      <c r="B52" s="201">
        <v>4196.3500000000004</v>
      </c>
      <c r="C52" s="201">
        <v>4406.91</v>
      </c>
      <c r="D52" s="201">
        <v>6073.72</v>
      </c>
      <c r="E52" s="201">
        <v>2936.99</v>
      </c>
      <c r="F52" s="201">
        <v>2074.75</v>
      </c>
      <c r="G52" s="201">
        <v>2056.1999999999998</v>
      </c>
      <c r="H52" s="201">
        <v>9924.85</v>
      </c>
      <c r="I52" s="201">
        <v>13695.03</v>
      </c>
      <c r="J52" s="200" t="s">
        <v>390</v>
      </c>
      <c r="K52" s="200" t="s">
        <v>390</v>
      </c>
      <c r="L52" s="200" t="s">
        <v>390</v>
      </c>
      <c r="M52" s="200" t="s">
        <v>390</v>
      </c>
      <c r="N52" s="201">
        <v>45364.800000000003</v>
      </c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</row>
    <row r="53" spans="1:34" x14ac:dyDescent="0.3">
      <c r="A53" s="204" t="s">
        <v>7</v>
      </c>
      <c r="B53" s="205">
        <v>0.02</v>
      </c>
      <c r="C53" s="205">
        <v>0.04</v>
      </c>
      <c r="D53" s="205">
        <v>0.05</v>
      </c>
      <c r="E53" s="205">
        <v>0.03</v>
      </c>
      <c r="F53" s="205">
        <v>0.02</v>
      </c>
      <c r="G53" s="205">
        <v>0.02</v>
      </c>
      <c r="H53" s="202"/>
      <c r="I53" s="205">
        <v>0.12</v>
      </c>
      <c r="J53" s="200" t="e">
        <v>#DIV/0!</v>
      </c>
      <c r="K53" s="200" t="e">
        <v>#DIV/0!</v>
      </c>
      <c r="L53" s="200" t="e">
        <v>#DIV/0!</v>
      </c>
      <c r="M53" s="200" t="e">
        <v>#DIV/0!</v>
      </c>
      <c r="N53" s="205">
        <v>0.05</v>
      </c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</row>
    <row r="54" spans="1:34" x14ac:dyDescent="0.3">
      <c r="A54" s="206" t="s">
        <v>532</v>
      </c>
      <c r="B54" s="201">
        <v>4114.24</v>
      </c>
      <c r="C54" s="201">
        <v>4382.3599999999997</v>
      </c>
      <c r="D54" s="201">
        <v>5994.7</v>
      </c>
      <c r="E54" s="200" t="s">
        <v>390</v>
      </c>
      <c r="F54" s="200" t="s">
        <v>390</v>
      </c>
      <c r="G54" s="200" t="s">
        <v>390</v>
      </c>
      <c r="H54" s="202"/>
      <c r="I54" s="200" t="s">
        <v>390</v>
      </c>
      <c r="J54" s="200" t="s">
        <v>390</v>
      </c>
      <c r="K54" s="200" t="s">
        <v>390</v>
      </c>
      <c r="L54" s="200" t="s">
        <v>390</v>
      </c>
      <c r="M54" s="200" t="s">
        <v>390</v>
      </c>
      <c r="N54" s="201">
        <v>14491.3</v>
      </c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</row>
    <row r="55" spans="1:34" x14ac:dyDescent="0.3">
      <c r="A55" s="204" t="s">
        <v>9</v>
      </c>
      <c r="B55" s="207">
        <v>1463.84</v>
      </c>
      <c r="C55" s="207">
        <v>2855.62</v>
      </c>
      <c r="D55" s="207">
        <v>5944.6</v>
      </c>
      <c r="E55" s="208" t="s">
        <v>390</v>
      </c>
      <c r="F55" s="208" t="s">
        <v>390</v>
      </c>
      <c r="G55" s="208" t="s">
        <v>390</v>
      </c>
      <c r="H55" s="202"/>
      <c r="I55" s="208" t="s">
        <v>390</v>
      </c>
      <c r="J55" s="208" t="s">
        <v>390</v>
      </c>
      <c r="K55" s="208" t="s">
        <v>390</v>
      </c>
      <c r="L55" s="208" t="s">
        <v>390</v>
      </c>
      <c r="M55" s="208" t="s">
        <v>390</v>
      </c>
      <c r="N55" s="201">
        <v>10264.06</v>
      </c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  <c r="AC55" s="202"/>
      <c r="AD55" s="202"/>
      <c r="AE55" s="202"/>
      <c r="AF55" s="202"/>
      <c r="AG55" s="202"/>
      <c r="AH55" s="202"/>
    </row>
    <row r="56" spans="1:34" x14ac:dyDescent="0.3">
      <c r="A56" s="204" t="s">
        <v>67</v>
      </c>
      <c r="B56" s="207">
        <v>2650.4</v>
      </c>
      <c r="C56" s="207">
        <v>1526.74</v>
      </c>
      <c r="D56" s="207">
        <v>50.1</v>
      </c>
      <c r="E56" s="208" t="s">
        <v>390</v>
      </c>
      <c r="F56" s="208" t="s">
        <v>390</v>
      </c>
      <c r="G56" s="208" t="s">
        <v>390</v>
      </c>
      <c r="H56" s="202"/>
      <c r="I56" s="208" t="s">
        <v>390</v>
      </c>
      <c r="J56" s="208" t="s">
        <v>390</v>
      </c>
      <c r="K56" s="208" t="s">
        <v>390</v>
      </c>
      <c r="L56" s="208" t="s">
        <v>390</v>
      </c>
      <c r="M56" s="208" t="s">
        <v>390</v>
      </c>
      <c r="N56" s="201">
        <v>4227.24</v>
      </c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</row>
    <row r="57" spans="1:34" x14ac:dyDescent="0.3">
      <c r="A57" s="204" t="s">
        <v>69</v>
      </c>
      <c r="B57" s="208" t="s">
        <v>390</v>
      </c>
      <c r="C57" s="208" t="s">
        <v>390</v>
      </c>
      <c r="D57" s="208" t="s">
        <v>390</v>
      </c>
      <c r="E57" s="208" t="s">
        <v>390</v>
      </c>
      <c r="F57" s="208" t="s">
        <v>390</v>
      </c>
      <c r="G57" s="208" t="s">
        <v>390</v>
      </c>
      <c r="H57" s="202"/>
      <c r="I57" s="208" t="s">
        <v>390</v>
      </c>
      <c r="J57" s="208" t="s">
        <v>390</v>
      </c>
      <c r="K57" s="208" t="s">
        <v>390</v>
      </c>
      <c r="L57" s="208" t="s">
        <v>390</v>
      </c>
      <c r="M57" s="208" t="s">
        <v>390</v>
      </c>
      <c r="N57" s="200" t="s">
        <v>390</v>
      </c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  <c r="AB57" s="202"/>
      <c r="AC57" s="202"/>
      <c r="AD57" s="202"/>
      <c r="AE57" s="202"/>
      <c r="AF57" s="202"/>
      <c r="AG57" s="202"/>
      <c r="AH57" s="202"/>
    </row>
    <row r="58" spans="1:34" x14ac:dyDescent="0.3">
      <c r="A58" s="204" t="s">
        <v>71</v>
      </c>
      <c r="B58" s="208" t="s">
        <v>390</v>
      </c>
      <c r="C58" s="208" t="s">
        <v>390</v>
      </c>
      <c r="D58" s="208" t="s">
        <v>390</v>
      </c>
      <c r="E58" s="208" t="s">
        <v>390</v>
      </c>
      <c r="F58" s="208" t="s">
        <v>390</v>
      </c>
      <c r="G58" s="208" t="s">
        <v>390</v>
      </c>
      <c r="H58" s="202"/>
      <c r="I58" s="208" t="s">
        <v>390</v>
      </c>
      <c r="J58" s="208" t="s">
        <v>390</v>
      </c>
      <c r="K58" s="208" t="s">
        <v>390</v>
      </c>
      <c r="L58" s="208" t="s">
        <v>390</v>
      </c>
      <c r="M58" s="208" t="s">
        <v>390</v>
      </c>
      <c r="N58" s="200" t="s">
        <v>390</v>
      </c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2"/>
      <c r="AE58" s="202"/>
      <c r="AF58" s="202"/>
      <c r="AG58" s="202"/>
      <c r="AH58" s="202"/>
    </row>
    <row r="59" spans="1:34" x14ac:dyDescent="0.3">
      <c r="A59" s="204" t="s">
        <v>73</v>
      </c>
      <c r="B59" s="208" t="s">
        <v>390</v>
      </c>
      <c r="C59" s="208" t="s">
        <v>390</v>
      </c>
      <c r="D59" s="208" t="s">
        <v>390</v>
      </c>
      <c r="E59" s="208" t="s">
        <v>390</v>
      </c>
      <c r="F59" s="208" t="s">
        <v>390</v>
      </c>
      <c r="G59" s="208" t="s">
        <v>390</v>
      </c>
      <c r="H59" s="202"/>
      <c r="I59" s="208" t="s">
        <v>390</v>
      </c>
      <c r="J59" s="208" t="s">
        <v>390</v>
      </c>
      <c r="K59" s="208" t="s">
        <v>390</v>
      </c>
      <c r="L59" s="208" t="s">
        <v>390</v>
      </c>
      <c r="M59" s="208" t="s">
        <v>390</v>
      </c>
      <c r="N59" s="200" t="s">
        <v>390</v>
      </c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2"/>
      <c r="AC59" s="202"/>
      <c r="AD59" s="202"/>
      <c r="AE59" s="202"/>
      <c r="AF59" s="202"/>
      <c r="AG59" s="202"/>
      <c r="AH59" s="202"/>
    </row>
    <row r="60" spans="1:34" x14ac:dyDescent="0.3">
      <c r="A60" s="204" t="s">
        <v>534</v>
      </c>
      <c r="B60" s="208" t="s">
        <v>390</v>
      </c>
      <c r="C60" s="208" t="s">
        <v>390</v>
      </c>
      <c r="D60" s="208" t="s">
        <v>390</v>
      </c>
      <c r="E60" s="208" t="s">
        <v>390</v>
      </c>
      <c r="F60" s="208" t="s">
        <v>390</v>
      </c>
      <c r="G60" s="208" t="s">
        <v>390</v>
      </c>
      <c r="H60" s="202"/>
      <c r="I60" s="208" t="s">
        <v>390</v>
      </c>
      <c r="J60" s="208" t="s">
        <v>390</v>
      </c>
      <c r="K60" s="208" t="s">
        <v>390</v>
      </c>
      <c r="L60" s="208" t="s">
        <v>390</v>
      </c>
      <c r="M60" s="208" t="s">
        <v>390</v>
      </c>
      <c r="N60" s="200" t="s">
        <v>390</v>
      </c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02"/>
      <c r="AE60" s="202"/>
      <c r="AF60" s="202"/>
      <c r="AG60" s="202"/>
      <c r="AH60" s="202"/>
    </row>
    <row r="61" spans="1:34" x14ac:dyDescent="0.3">
      <c r="A61" s="206" t="s">
        <v>535</v>
      </c>
      <c r="B61" s="201">
        <v>82.11</v>
      </c>
      <c r="C61" s="201">
        <v>24.55</v>
      </c>
      <c r="D61" s="201">
        <v>79.02</v>
      </c>
      <c r="E61" s="200" t="s">
        <v>390</v>
      </c>
      <c r="F61" s="200" t="s">
        <v>390</v>
      </c>
      <c r="G61" s="200" t="s">
        <v>390</v>
      </c>
      <c r="H61" s="202"/>
      <c r="I61" s="200" t="s">
        <v>390</v>
      </c>
      <c r="J61" s="200" t="s">
        <v>390</v>
      </c>
      <c r="K61" s="200" t="s">
        <v>390</v>
      </c>
      <c r="L61" s="200" t="s">
        <v>390</v>
      </c>
      <c r="M61" s="200" t="s">
        <v>390</v>
      </c>
      <c r="N61" s="201">
        <v>185.68</v>
      </c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  <c r="AE61" s="202"/>
      <c r="AF61" s="202"/>
      <c r="AG61" s="202"/>
      <c r="AH61" s="202"/>
    </row>
    <row r="62" spans="1:34" x14ac:dyDescent="0.3">
      <c r="A62" s="204" t="s">
        <v>12</v>
      </c>
      <c r="B62" s="207">
        <v>82.11</v>
      </c>
      <c r="C62" s="207">
        <v>24.55</v>
      </c>
      <c r="D62" s="207">
        <v>79.02</v>
      </c>
      <c r="E62" s="208" t="s">
        <v>390</v>
      </c>
      <c r="F62" s="208" t="s">
        <v>390</v>
      </c>
      <c r="G62" s="208" t="s">
        <v>390</v>
      </c>
      <c r="H62" s="202"/>
      <c r="I62" s="208" t="s">
        <v>390</v>
      </c>
      <c r="J62" s="208" t="s">
        <v>390</v>
      </c>
      <c r="K62" s="208" t="s">
        <v>390</v>
      </c>
      <c r="L62" s="208" t="s">
        <v>390</v>
      </c>
      <c r="M62" s="208" t="s">
        <v>390</v>
      </c>
      <c r="N62" s="201">
        <v>185.68</v>
      </c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2"/>
      <c r="AC62" s="202"/>
      <c r="AD62" s="202"/>
      <c r="AE62" s="202"/>
      <c r="AF62" s="202"/>
      <c r="AG62" s="202"/>
      <c r="AH62" s="202"/>
    </row>
    <row r="63" spans="1:34" x14ac:dyDescent="0.3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  <c r="AB63" s="202"/>
      <c r="AC63" s="202"/>
      <c r="AD63" s="202"/>
      <c r="AE63" s="202"/>
      <c r="AF63" s="202"/>
      <c r="AG63" s="202"/>
      <c r="AH63" s="202"/>
    </row>
    <row r="64" spans="1:34" x14ac:dyDescent="0.3">
      <c r="A64" s="200" t="s">
        <v>25</v>
      </c>
      <c r="B64" s="201">
        <v>374.65</v>
      </c>
      <c r="C64" s="201">
        <v>254.08</v>
      </c>
      <c r="D64" s="201">
        <v>31.07</v>
      </c>
      <c r="E64" s="201">
        <v>14.83</v>
      </c>
      <c r="F64" s="201">
        <v>49.5</v>
      </c>
      <c r="G64" s="201">
        <v>57.9</v>
      </c>
      <c r="H64" s="201">
        <v>150.99</v>
      </c>
      <c r="I64" s="201">
        <v>416.82</v>
      </c>
      <c r="J64" s="200" t="s">
        <v>390</v>
      </c>
      <c r="K64" s="200" t="s">
        <v>390</v>
      </c>
      <c r="L64" s="200" t="s">
        <v>390</v>
      </c>
      <c r="M64" s="200" t="s">
        <v>390</v>
      </c>
      <c r="N64" s="201">
        <v>1349.84</v>
      </c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  <c r="AB64" s="202"/>
      <c r="AC64" s="202"/>
      <c r="AD64" s="202"/>
      <c r="AE64" s="202"/>
      <c r="AF64" s="202"/>
      <c r="AG64" s="202"/>
      <c r="AH64" s="202"/>
    </row>
    <row r="65" spans="1:34" x14ac:dyDescent="0.3">
      <c r="A65" s="204" t="s">
        <v>7</v>
      </c>
      <c r="B65" s="205">
        <v>0</v>
      </c>
      <c r="C65" s="205">
        <v>0</v>
      </c>
      <c r="D65" s="205">
        <v>0</v>
      </c>
      <c r="E65" s="205">
        <v>0</v>
      </c>
      <c r="F65" s="205">
        <v>0</v>
      </c>
      <c r="G65" s="205">
        <v>0</v>
      </c>
      <c r="H65" s="202"/>
      <c r="I65" s="205">
        <v>0</v>
      </c>
      <c r="J65" s="200" t="e">
        <v>#DIV/0!</v>
      </c>
      <c r="K65" s="200" t="e">
        <v>#DIV/0!</v>
      </c>
      <c r="L65" s="200" t="e">
        <v>#DIV/0!</v>
      </c>
      <c r="M65" s="200" t="e">
        <v>#DIV/0!</v>
      </c>
      <c r="N65" s="205">
        <v>0.01</v>
      </c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2"/>
      <c r="AF65" s="202"/>
      <c r="AG65" s="202"/>
      <c r="AH65" s="202"/>
    </row>
    <row r="66" spans="1:34" x14ac:dyDescent="0.3">
      <c r="A66" s="206" t="s">
        <v>532</v>
      </c>
      <c r="B66" s="201">
        <v>374.65</v>
      </c>
      <c r="C66" s="201">
        <v>254.08</v>
      </c>
      <c r="D66" s="201">
        <v>31.07</v>
      </c>
      <c r="E66" s="200" t="s">
        <v>390</v>
      </c>
      <c r="F66" s="200" t="s">
        <v>390</v>
      </c>
      <c r="G66" s="200" t="s">
        <v>390</v>
      </c>
      <c r="H66" s="202"/>
      <c r="I66" s="200" t="s">
        <v>390</v>
      </c>
      <c r="J66" s="200" t="s">
        <v>390</v>
      </c>
      <c r="K66" s="200" t="s">
        <v>390</v>
      </c>
      <c r="L66" s="200" t="s">
        <v>390</v>
      </c>
      <c r="M66" s="200" t="s">
        <v>390</v>
      </c>
      <c r="N66" s="201">
        <v>659.8</v>
      </c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</row>
    <row r="67" spans="1:34" x14ac:dyDescent="0.3">
      <c r="A67" s="204" t="s">
        <v>9</v>
      </c>
      <c r="B67" s="207">
        <v>374.65</v>
      </c>
      <c r="C67" s="207">
        <v>254.08</v>
      </c>
      <c r="D67" s="207">
        <v>31.07</v>
      </c>
      <c r="E67" s="208" t="s">
        <v>390</v>
      </c>
      <c r="F67" s="208" t="s">
        <v>390</v>
      </c>
      <c r="G67" s="208" t="s">
        <v>390</v>
      </c>
      <c r="H67" s="202"/>
      <c r="I67" s="208" t="s">
        <v>390</v>
      </c>
      <c r="J67" s="208" t="s">
        <v>390</v>
      </c>
      <c r="K67" s="208" t="s">
        <v>390</v>
      </c>
      <c r="L67" s="208" t="s">
        <v>390</v>
      </c>
      <c r="M67" s="208" t="s">
        <v>390</v>
      </c>
      <c r="N67" s="201">
        <v>659.8</v>
      </c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  <c r="AC67" s="202"/>
      <c r="AD67" s="202"/>
      <c r="AE67" s="202"/>
      <c r="AF67" s="202"/>
      <c r="AG67" s="202"/>
      <c r="AH67" s="202"/>
    </row>
    <row r="68" spans="1:34" x14ac:dyDescent="0.3">
      <c r="A68" s="204" t="s">
        <v>67</v>
      </c>
      <c r="B68" s="208" t="s">
        <v>390</v>
      </c>
      <c r="C68" s="208" t="s">
        <v>390</v>
      </c>
      <c r="D68" s="208" t="s">
        <v>390</v>
      </c>
      <c r="E68" s="208" t="s">
        <v>390</v>
      </c>
      <c r="F68" s="208" t="s">
        <v>390</v>
      </c>
      <c r="G68" s="208" t="s">
        <v>390</v>
      </c>
      <c r="H68" s="202"/>
      <c r="I68" s="208" t="s">
        <v>390</v>
      </c>
      <c r="J68" s="208" t="s">
        <v>390</v>
      </c>
      <c r="K68" s="208" t="s">
        <v>390</v>
      </c>
      <c r="L68" s="208" t="s">
        <v>390</v>
      </c>
      <c r="M68" s="208" t="s">
        <v>390</v>
      </c>
      <c r="N68" s="200" t="s">
        <v>390</v>
      </c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  <c r="AF68" s="202"/>
      <c r="AG68" s="202"/>
      <c r="AH68" s="202"/>
    </row>
    <row r="69" spans="1:34" x14ac:dyDescent="0.3">
      <c r="A69" s="204" t="s">
        <v>69</v>
      </c>
      <c r="B69" s="208" t="s">
        <v>390</v>
      </c>
      <c r="C69" s="208" t="s">
        <v>390</v>
      </c>
      <c r="D69" s="208" t="s">
        <v>390</v>
      </c>
      <c r="E69" s="208" t="s">
        <v>390</v>
      </c>
      <c r="F69" s="208" t="s">
        <v>390</v>
      </c>
      <c r="G69" s="208" t="s">
        <v>390</v>
      </c>
      <c r="H69" s="202"/>
      <c r="I69" s="208" t="s">
        <v>390</v>
      </c>
      <c r="J69" s="208" t="s">
        <v>390</v>
      </c>
      <c r="K69" s="208" t="s">
        <v>390</v>
      </c>
      <c r="L69" s="208" t="s">
        <v>390</v>
      </c>
      <c r="M69" s="208" t="s">
        <v>390</v>
      </c>
      <c r="N69" s="200" t="s">
        <v>390</v>
      </c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  <c r="AE69" s="202"/>
      <c r="AF69" s="202"/>
      <c r="AG69" s="202"/>
      <c r="AH69" s="202"/>
    </row>
    <row r="70" spans="1:34" x14ac:dyDescent="0.3">
      <c r="A70" s="204" t="s">
        <v>71</v>
      </c>
      <c r="B70" s="208" t="s">
        <v>390</v>
      </c>
      <c r="C70" s="208" t="s">
        <v>390</v>
      </c>
      <c r="D70" s="208" t="s">
        <v>390</v>
      </c>
      <c r="E70" s="208" t="s">
        <v>390</v>
      </c>
      <c r="F70" s="208" t="s">
        <v>390</v>
      </c>
      <c r="G70" s="208" t="s">
        <v>390</v>
      </c>
      <c r="H70" s="202"/>
      <c r="I70" s="208" t="s">
        <v>390</v>
      </c>
      <c r="J70" s="208" t="s">
        <v>390</v>
      </c>
      <c r="K70" s="208" t="s">
        <v>390</v>
      </c>
      <c r="L70" s="208" t="s">
        <v>390</v>
      </c>
      <c r="M70" s="208" t="s">
        <v>390</v>
      </c>
      <c r="N70" s="200" t="s">
        <v>390</v>
      </c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  <c r="AB70" s="202"/>
      <c r="AC70" s="202"/>
      <c r="AD70" s="202"/>
      <c r="AE70" s="202"/>
      <c r="AF70" s="202"/>
      <c r="AG70" s="202"/>
      <c r="AH70" s="202"/>
    </row>
    <row r="71" spans="1:34" x14ac:dyDescent="0.3">
      <c r="A71" s="204" t="s">
        <v>73</v>
      </c>
      <c r="B71" s="208" t="s">
        <v>390</v>
      </c>
      <c r="C71" s="208" t="s">
        <v>390</v>
      </c>
      <c r="D71" s="208" t="s">
        <v>390</v>
      </c>
      <c r="E71" s="208" t="s">
        <v>390</v>
      </c>
      <c r="F71" s="208" t="s">
        <v>390</v>
      </c>
      <c r="G71" s="208" t="s">
        <v>390</v>
      </c>
      <c r="H71" s="202"/>
      <c r="I71" s="208" t="s">
        <v>390</v>
      </c>
      <c r="J71" s="208" t="s">
        <v>390</v>
      </c>
      <c r="K71" s="208" t="s">
        <v>390</v>
      </c>
      <c r="L71" s="208" t="s">
        <v>390</v>
      </c>
      <c r="M71" s="208" t="s">
        <v>390</v>
      </c>
      <c r="N71" s="200" t="s">
        <v>390</v>
      </c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  <c r="AC71" s="202"/>
      <c r="AD71" s="202"/>
      <c r="AE71" s="202"/>
      <c r="AF71" s="202"/>
      <c r="AG71" s="202"/>
      <c r="AH71" s="202"/>
    </row>
    <row r="72" spans="1:34" x14ac:dyDescent="0.3">
      <c r="A72" s="206" t="s">
        <v>535</v>
      </c>
      <c r="B72" s="208" t="s">
        <v>390</v>
      </c>
      <c r="C72" s="208" t="s">
        <v>390</v>
      </c>
      <c r="D72" s="208" t="s">
        <v>390</v>
      </c>
      <c r="E72" s="208" t="s">
        <v>390</v>
      </c>
      <c r="F72" s="208" t="s">
        <v>390</v>
      </c>
      <c r="G72" s="208" t="s">
        <v>390</v>
      </c>
      <c r="H72" s="202"/>
      <c r="I72" s="208" t="s">
        <v>390</v>
      </c>
      <c r="J72" s="208" t="s">
        <v>390</v>
      </c>
      <c r="K72" s="208" t="s">
        <v>390</v>
      </c>
      <c r="L72" s="208" t="s">
        <v>390</v>
      </c>
      <c r="M72" s="208" t="s">
        <v>390</v>
      </c>
      <c r="N72" s="200" t="s">
        <v>390</v>
      </c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  <c r="AC72" s="202"/>
      <c r="AD72" s="202"/>
      <c r="AE72" s="202"/>
      <c r="AF72" s="202"/>
      <c r="AG72" s="202"/>
      <c r="AH72" s="202"/>
    </row>
    <row r="73" spans="1:34" x14ac:dyDescent="0.3">
      <c r="A73" s="204" t="s">
        <v>12</v>
      </c>
      <c r="B73" s="208" t="s">
        <v>390</v>
      </c>
      <c r="C73" s="208" t="s">
        <v>390</v>
      </c>
      <c r="D73" s="208" t="s">
        <v>390</v>
      </c>
      <c r="E73" s="208" t="s">
        <v>390</v>
      </c>
      <c r="F73" s="208" t="s">
        <v>390</v>
      </c>
      <c r="G73" s="208" t="s">
        <v>390</v>
      </c>
      <c r="H73" s="202"/>
      <c r="I73" s="208" t="s">
        <v>390</v>
      </c>
      <c r="J73" s="208" t="s">
        <v>390</v>
      </c>
      <c r="K73" s="208" t="s">
        <v>390</v>
      </c>
      <c r="L73" s="208" t="s">
        <v>390</v>
      </c>
      <c r="M73" s="208" t="s">
        <v>390</v>
      </c>
      <c r="N73" s="200" t="s">
        <v>390</v>
      </c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  <c r="AC73" s="202"/>
      <c r="AD73" s="202"/>
      <c r="AE73" s="202"/>
      <c r="AF73" s="202"/>
      <c r="AG73" s="202"/>
      <c r="AH73" s="202"/>
    </row>
    <row r="74" spans="1:34" x14ac:dyDescent="0.3">
      <c r="A74" s="202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</row>
    <row r="75" spans="1:34" x14ac:dyDescent="0.3">
      <c r="A75" s="200" t="s">
        <v>27</v>
      </c>
      <c r="B75" s="201">
        <v>235.61</v>
      </c>
      <c r="C75" s="201">
        <v>50.29</v>
      </c>
      <c r="D75" s="201">
        <v>76.7</v>
      </c>
      <c r="E75" s="201">
        <v>232.18</v>
      </c>
      <c r="F75" s="201">
        <v>533.77</v>
      </c>
      <c r="G75" s="201">
        <v>54.2</v>
      </c>
      <c r="H75" s="201">
        <v>54.2</v>
      </c>
      <c r="I75" s="201">
        <v>461.61</v>
      </c>
      <c r="J75" s="200" t="s">
        <v>390</v>
      </c>
      <c r="K75" s="200" t="s">
        <v>390</v>
      </c>
      <c r="L75" s="200" t="s">
        <v>390</v>
      </c>
      <c r="M75" s="200" t="s">
        <v>390</v>
      </c>
      <c r="N75" s="201">
        <v>1698.56</v>
      </c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</row>
    <row r="76" spans="1:34" x14ac:dyDescent="0.3">
      <c r="A76" s="204" t="s">
        <v>7</v>
      </c>
      <c r="B76" s="205">
        <v>0</v>
      </c>
      <c r="C76" s="205">
        <v>0</v>
      </c>
      <c r="D76" s="205">
        <v>0</v>
      </c>
      <c r="E76" s="205">
        <v>0</v>
      </c>
      <c r="F76" s="205">
        <v>0</v>
      </c>
      <c r="G76" s="205">
        <v>0</v>
      </c>
      <c r="H76" s="202"/>
      <c r="I76" s="205">
        <v>0</v>
      </c>
      <c r="J76" s="200" t="e">
        <v>#DIV/0!</v>
      </c>
      <c r="K76" s="200" t="e">
        <v>#DIV/0!</v>
      </c>
      <c r="L76" s="200" t="e">
        <v>#DIV/0!</v>
      </c>
      <c r="M76" s="200" t="e">
        <v>#DIV/0!</v>
      </c>
      <c r="N76" s="205">
        <v>0.01</v>
      </c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2"/>
      <c r="AE76" s="202"/>
      <c r="AF76" s="202"/>
      <c r="AG76" s="202"/>
      <c r="AH76" s="202"/>
    </row>
    <row r="77" spans="1:34" x14ac:dyDescent="0.3">
      <c r="A77" s="206" t="s">
        <v>532</v>
      </c>
      <c r="B77" s="201">
        <v>235.61</v>
      </c>
      <c r="C77" s="201">
        <v>50.29</v>
      </c>
      <c r="D77" s="201">
        <v>76.7</v>
      </c>
      <c r="E77" s="200" t="s">
        <v>390</v>
      </c>
      <c r="F77" s="200" t="s">
        <v>390</v>
      </c>
      <c r="G77" s="200" t="s">
        <v>390</v>
      </c>
      <c r="H77" s="202"/>
      <c r="I77" s="200" t="s">
        <v>390</v>
      </c>
      <c r="J77" s="200" t="s">
        <v>390</v>
      </c>
      <c r="K77" s="200" t="s">
        <v>390</v>
      </c>
      <c r="L77" s="200" t="s">
        <v>390</v>
      </c>
      <c r="M77" s="200" t="s">
        <v>390</v>
      </c>
      <c r="N77" s="201">
        <v>362.6</v>
      </c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2"/>
      <c r="AC77" s="202"/>
      <c r="AD77" s="202"/>
      <c r="AE77" s="202"/>
      <c r="AF77" s="202"/>
      <c r="AG77" s="202"/>
      <c r="AH77" s="202"/>
    </row>
    <row r="78" spans="1:34" x14ac:dyDescent="0.3">
      <c r="A78" s="204" t="s">
        <v>9</v>
      </c>
      <c r="B78" s="207">
        <v>175.45</v>
      </c>
      <c r="C78" s="207">
        <v>50.29</v>
      </c>
      <c r="D78" s="207">
        <v>76.7</v>
      </c>
      <c r="E78" s="208" t="s">
        <v>390</v>
      </c>
      <c r="F78" s="208" t="s">
        <v>390</v>
      </c>
      <c r="G78" s="208" t="s">
        <v>390</v>
      </c>
      <c r="H78" s="202"/>
      <c r="I78" s="208" t="s">
        <v>390</v>
      </c>
      <c r="J78" s="208" t="s">
        <v>390</v>
      </c>
      <c r="K78" s="208" t="s">
        <v>390</v>
      </c>
      <c r="L78" s="208" t="s">
        <v>390</v>
      </c>
      <c r="M78" s="208" t="s">
        <v>390</v>
      </c>
      <c r="N78" s="201">
        <v>302.44</v>
      </c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  <c r="AC78" s="202"/>
      <c r="AD78" s="202"/>
      <c r="AE78" s="202"/>
      <c r="AF78" s="202"/>
      <c r="AG78" s="202"/>
      <c r="AH78" s="202"/>
    </row>
    <row r="79" spans="1:34" x14ac:dyDescent="0.3">
      <c r="A79" s="204" t="s">
        <v>67</v>
      </c>
      <c r="B79" s="207">
        <v>60.16</v>
      </c>
      <c r="C79" s="208" t="s">
        <v>390</v>
      </c>
      <c r="D79" s="208" t="s">
        <v>390</v>
      </c>
      <c r="E79" s="208" t="s">
        <v>390</v>
      </c>
      <c r="F79" s="208" t="s">
        <v>390</v>
      </c>
      <c r="G79" s="208" t="s">
        <v>390</v>
      </c>
      <c r="H79" s="202"/>
      <c r="I79" s="208" t="s">
        <v>390</v>
      </c>
      <c r="J79" s="208" t="s">
        <v>390</v>
      </c>
      <c r="K79" s="208" t="s">
        <v>390</v>
      </c>
      <c r="L79" s="208" t="s">
        <v>390</v>
      </c>
      <c r="M79" s="208" t="s">
        <v>390</v>
      </c>
      <c r="N79" s="201">
        <v>60.16</v>
      </c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202"/>
      <c r="AB79" s="202"/>
      <c r="AC79" s="202"/>
      <c r="AD79" s="202"/>
      <c r="AE79" s="202"/>
      <c r="AF79" s="202"/>
      <c r="AG79" s="202"/>
      <c r="AH79" s="202"/>
    </row>
    <row r="80" spans="1:34" x14ac:dyDescent="0.3">
      <c r="A80" s="204" t="s">
        <v>69</v>
      </c>
      <c r="B80" s="208" t="s">
        <v>390</v>
      </c>
      <c r="C80" s="208" t="s">
        <v>390</v>
      </c>
      <c r="D80" s="208" t="s">
        <v>390</v>
      </c>
      <c r="E80" s="208" t="s">
        <v>390</v>
      </c>
      <c r="F80" s="208" t="s">
        <v>390</v>
      </c>
      <c r="G80" s="208" t="s">
        <v>390</v>
      </c>
      <c r="H80" s="202"/>
      <c r="I80" s="208" t="s">
        <v>390</v>
      </c>
      <c r="J80" s="208" t="s">
        <v>390</v>
      </c>
      <c r="K80" s="208" t="s">
        <v>390</v>
      </c>
      <c r="L80" s="208" t="s">
        <v>390</v>
      </c>
      <c r="M80" s="208" t="s">
        <v>390</v>
      </c>
      <c r="N80" s="200" t="s">
        <v>390</v>
      </c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  <c r="AB80" s="202"/>
      <c r="AC80" s="202"/>
      <c r="AD80" s="202"/>
      <c r="AE80" s="202"/>
      <c r="AF80" s="202"/>
      <c r="AG80" s="202"/>
      <c r="AH80" s="202"/>
    </row>
    <row r="81" spans="1:34" x14ac:dyDescent="0.3">
      <c r="A81" s="204" t="s">
        <v>71</v>
      </c>
      <c r="B81" s="208" t="s">
        <v>390</v>
      </c>
      <c r="C81" s="208" t="s">
        <v>390</v>
      </c>
      <c r="D81" s="208" t="s">
        <v>390</v>
      </c>
      <c r="E81" s="208" t="s">
        <v>390</v>
      </c>
      <c r="F81" s="208" t="s">
        <v>390</v>
      </c>
      <c r="G81" s="208" t="s">
        <v>390</v>
      </c>
      <c r="H81" s="202"/>
      <c r="I81" s="208" t="s">
        <v>390</v>
      </c>
      <c r="J81" s="208" t="s">
        <v>390</v>
      </c>
      <c r="K81" s="208" t="s">
        <v>390</v>
      </c>
      <c r="L81" s="208" t="s">
        <v>390</v>
      </c>
      <c r="M81" s="208" t="s">
        <v>390</v>
      </c>
      <c r="N81" s="200" t="s">
        <v>390</v>
      </c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</row>
    <row r="82" spans="1:34" x14ac:dyDescent="0.3">
      <c r="A82" s="204" t="s">
        <v>73</v>
      </c>
      <c r="B82" s="208" t="s">
        <v>390</v>
      </c>
      <c r="C82" s="208" t="s">
        <v>390</v>
      </c>
      <c r="D82" s="208" t="s">
        <v>390</v>
      </c>
      <c r="E82" s="208" t="s">
        <v>390</v>
      </c>
      <c r="F82" s="208" t="s">
        <v>390</v>
      </c>
      <c r="G82" s="208" t="s">
        <v>390</v>
      </c>
      <c r="H82" s="202"/>
      <c r="I82" s="208" t="s">
        <v>390</v>
      </c>
      <c r="J82" s="208" t="s">
        <v>390</v>
      </c>
      <c r="K82" s="208" t="s">
        <v>390</v>
      </c>
      <c r="L82" s="208" t="s">
        <v>390</v>
      </c>
      <c r="M82" s="208" t="s">
        <v>390</v>
      </c>
      <c r="N82" s="200" t="s">
        <v>390</v>
      </c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202"/>
      <c r="AF82" s="202"/>
      <c r="AG82" s="202"/>
      <c r="AH82" s="202"/>
    </row>
    <row r="83" spans="1:34" x14ac:dyDescent="0.3">
      <c r="A83" s="206" t="s">
        <v>535</v>
      </c>
      <c r="B83" s="200" t="s">
        <v>390</v>
      </c>
      <c r="C83" s="200" t="s">
        <v>390</v>
      </c>
      <c r="D83" s="200" t="s">
        <v>390</v>
      </c>
      <c r="E83" s="200" t="s">
        <v>390</v>
      </c>
      <c r="F83" s="200" t="s">
        <v>390</v>
      </c>
      <c r="G83" s="200" t="s">
        <v>390</v>
      </c>
      <c r="H83" s="202"/>
      <c r="I83" s="200" t="s">
        <v>390</v>
      </c>
      <c r="J83" s="200" t="s">
        <v>390</v>
      </c>
      <c r="K83" s="200" t="s">
        <v>390</v>
      </c>
      <c r="L83" s="200" t="s">
        <v>390</v>
      </c>
      <c r="M83" s="200" t="s">
        <v>390</v>
      </c>
      <c r="N83" s="200" t="s">
        <v>390</v>
      </c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  <c r="AA83" s="202"/>
      <c r="AB83" s="202"/>
      <c r="AC83" s="202"/>
      <c r="AD83" s="202"/>
      <c r="AE83" s="202"/>
      <c r="AF83" s="202"/>
      <c r="AG83" s="202"/>
      <c r="AH83" s="202"/>
    </row>
    <row r="84" spans="1:34" x14ac:dyDescent="0.3">
      <c r="A84" s="204" t="s">
        <v>12</v>
      </c>
      <c r="B84" s="208" t="s">
        <v>390</v>
      </c>
      <c r="C84" s="208" t="s">
        <v>390</v>
      </c>
      <c r="D84" s="208" t="s">
        <v>390</v>
      </c>
      <c r="E84" s="208" t="s">
        <v>390</v>
      </c>
      <c r="F84" s="208" t="s">
        <v>390</v>
      </c>
      <c r="G84" s="208" t="s">
        <v>390</v>
      </c>
      <c r="H84" s="202"/>
      <c r="I84" s="208" t="s">
        <v>390</v>
      </c>
      <c r="J84" s="208" t="s">
        <v>390</v>
      </c>
      <c r="K84" s="208" t="s">
        <v>390</v>
      </c>
      <c r="L84" s="208" t="s">
        <v>390</v>
      </c>
      <c r="M84" s="208" t="s">
        <v>390</v>
      </c>
      <c r="N84" s="200" t="s">
        <v>390</v>
      </c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  <c r="AC84" s="202"/>
      <c r="AD84" s="202"/>
      <c r="AE84" s="202"/>
      <c r="AF84" s="202"/>
      <c r="AG84" s="202"/>
      <c r="AH84" s="202"/>
    </row>
    <row r="85" spans="1:34" x14ac:dyDescent="0.3">
      <c r="A85" s="204" t="s">
        <v>13</v>
      </c>
      <c r="B85" s="208" t="s">
        <v>390</v>
      </c>
      <c r="C85" s="208" t="s">
        <v>390</v>
      </c>
      <c r="D85" s="208" t="s">
        <v>390</v>
      </c>
      <c r="E85" s="208" t="s">
        <v>390</v>
      </c>
      <c r="F85" s="208" t="s">
        <v>390</v>
      </c>
      <c r="G85" s="208" t="s">
        <v>390</v>
      </c>
      <c r="H85" s="202"/>
      <c r="I85" s="208" t="s">
        <v>390</v>
      </c>
      <c r="J85" s="208" t="s">
        <v>390</v>
      </c>
      <c r="K85" s="208" t="s">
        <v>390</v>
      </c>
      <c r="L85" s="208" t="s">
        <v>390</v>
      </c>
      <c r="M85" s="208" t="s">
        <v>390</v>
      </c>
      <c r="N85" s="200" t="s">
        <v>390</v>
      </c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  <c r="AA85" s="202"/>
      <c r="AB85" s="202"/>
      <c r="AC85" s="202"/>
      <c r="AD85" s="202"/>
      <c r="AE85" s="202"/>
      <c r="AF85" s="202"/>
      <c r="AG85" s="202"/>
      <c r="AH85" s="202"/>
    </row>
    <row r="86" spans="1:34" x14ac:dyDescent="0.3">
      <c r="A86" s="202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</row>
    <row r="87" spans="1:34" x14ac:dyDescent="0.3">
      <c r="A87" s="200" t="s">
        <v>29</v>
      </c>
      <c r="B87" s="201">
        <v>94.44</v>
      </c>
      <c r="C87" s="201">
        <v>45.45</v>
      </c>
      <c r="D87" s="201">
        <v>28.8</v>
      </c>
      <c r="E87" s="201">
        <v>67.69</v>
      </c>
      <c r="F87" s="201">
        <v>46.59</v>
      </c>
      <c r="G87" s="201">
        <v>57.9</v>
      </c>
      <c r="H87" s="201">
        <v>92.15</v>
      </c>
      <c r="I87" s="201">
        <v>386.5</v>
      </c>
      <c r="J87" s="200" t="s">
        <v>390</v>
      </c>
      <c r="K87" s="200" t="s">
        <v>390</v>
      </c>
      <c r="L87" s="200" t="s">
        <v>390</v>
      </c>
      <c r="M87" s="200" t="s">
        <v>390</v>
      </c>
      <c r="N87" s="201">
        <v>819.52</v>
      </c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  <c r="AB87" s="202"/>
      <c r="AC87" s="202"/>
      <c r="AD87" s="202"/>
      <c r="AE87" s="202"/>
      <c r="AF87" s="202"/>
      <c r="AG87" s="202"/>
      <c r="AH87" s="202"/>
    </row>
    <row r="88" spans="1:34" x14ac:dyDescent="0.3">
      <c r="A88" s="204" t="s">
        <v>7</v>
      </c>
      <c r="B88" s="205">
        <v>0</v>
      </c>
      <c r="C88" s="205">
        <v>0</v>
      </c>
      <c r="D88" s="205">
        <v>0</v>
      </c>
      <c r="E88" s="205">
        <v>0</v>
      </c>
      <c r="F88" s="205">
        <v>0</v>
      </c>
      <c r="G88" s="205">
        <v>0</v>
      </c>
      <c r="H88" s="202"/>
      <c r="I88" s="205">
        <v>0</v>
      </c>
      <c r="J88" s="200" t="e">
        <v>#DIV/0!</v>
      </c>
      <c r="K88" s="200" t="e">
        <v>#DIV/0!</v>
      </c>
      <c r="L88" s="200" t="e">
        <v>#DIV/0!</v>
      </c>
      <c r="M88" s="200" t="e">
        <v>#DIV/0!</v>
      </c>
      <c r="N88" s="205">
        <v>0</v>
      </c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  <c r="AB88" s="202"/>
      <c r="AC88" s="202"/>
      <c r="AD88" s="202"/>
      <c r="AE88" s="202"/>
      <c r="AF88" s="202"/>
      <c r="AG88" s="202"/>
      <c r="AH88" s="202"/>
    </row>
    <row r="89" spans="1:34" x14ac:dyDescent="0.3">
      <c r="A89" s="206" t="s">
        <v>532</v>
      </c>
      <c r="B89" s="201">
        <v>94.44</v>
      </c>
      <c r="C89" s="201">
        <v>45.45</v>
      </c>
      <c r="D89" s="201">
        <v>28.8</v>
      </c>
      <c r="E89" s="200" t="s">
        <v>390</v>
      </c>
      <c r="F89" s="200" t="s">
        <v>390</v>
      </c>
      <c r="G89" s="200" t="s">
        <v>390</v>
      </c>
      <c r="H89" s="202"/>
      <c r="I89" s="200" t="s">
        <v>390</v>
      </c>
      <c r="J89" s="200" t="s">
        <v>390</v>
      </c>
      <c r="K89" s="200" t="s">
        <v>390</v>
      </c>
      <c r="L89" s="200" t="s">
        <v>390</v>
      </c>
      <c r="M89" s="200" t="s">
        <v>390</v>
      </c>
      <c r="N89" s="201">
        <v>168.69</v>
      </c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202"/>
      <c r="AB89" s="202"/>
      <c r="AC89" s="202"/>
      <c r="AD89" s="202"/>
      <c r="AE89" s="202"/>
      <c r="AF89" s="202"/>
      <c r="AG89" s="202"/>
      <c r="AH89" s="202"/>
    </row>
    <row r="90" spans="1:34" x14ac:dyDescent="0.3">
      <c r="A90" s="204" t="s">
        <v>9</v>
      </c>
      <c r="B90" s="207">
        <v>94.44</v>
      </c>
      <c r="C90" s="207">
        <v>45.45</v>
      </c>
      <c r="D90" s="207">
        <v>28.8</v>
      </c>
      <c r="E90" s="208" t="s">
        <v>390</v>
      </c>
      <c r="F90" s="208" t="s">
        <v>390</v>
      </c>
      <c r="G90" s="208" t="s">
        <v>390</v>
      </c>
      <c r="H90" s="202"/>
      <c r="I90" s="208" t="s">
        <v>390</v>
      </c>
      <c r="J90" s="208" t="s">
        <v>390</v>
      </c>
      <c r="K90" s="208" t="s">
        <v>390</v>
      </c>
      <c r="L90" s="208" t="s">
        <v>390</v>
      </c>
      <c r="M90" s="208" t="s">
        <v>390</v>
      </c>
      <c r="N90" s="201">
        <v>168.69</v>
      </c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  <c r="AB90" s="202"/>
      <c r="AC90" s="202"/>
      <c r="AD90" s="202"/>
      <c r="AE90" s="202"/>
      <c r="AF90" s="202"/>
      <c r="AG90" s="202"/>
      <c r="AH90" s="202"/>
    </row>
    <row r="91" spans="1:34" x14ac:dyDescent="0.3">
      <c r="A91" s="204" t="s">
        <v>67</v>
      </c>
      <c r="B91" s="208" t="s">
        <v>390</v>
      </c>
      <c r="C91" s="208" t="s">
        <v>390</v>
      </c>
      <c r="D91" s="208" t="s">
        <v>390</v>
      </c>
      <c r="E91" s="208" t="s">
        <v>390</v>
      </c>
      <c r="F91" s="208" t="s">
        <v>390</v>
      </c>
      <c r="G91" s="208" t="s">
        <v>390</v>
      </c>
      <c r="H91" s="202"/>
      <c r="I91" s="208" t="s">
        <v>390</v>
      </c>
      <c r="J91" s="208" t="s">
        <v>390</v>
      </c>
      <c r="K91" s="208" t="s">
        <v>390</v>
      </c>
      <c r="L91" s="208" t="s">
        <v>390</v>
      </c>
      <c r="M91" s="208" t="s">
        <v>390</v>
      </c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  <c r="AA91" s="202"/>
      <c r="AB91" s="202"/>
      <c r="AC91" s="202"/>
      <c r="AD91" s="202"/>
      <c r="AE91" s="202"/>
      <c r="AF91" s="202"/>
      <c r="AG91" s="202"/>
      <c r="AH91" s="202"/>
    </row>
    <row r="92" spans="1:34" x14ac:dyDescent="0.3">
      <c r="A92" s="204" t="s">
        <v>69</v>
      </c>
      <c r="B92" s="208" t="s">
        <v>390</v>
      </c>
      <c r="C92" s="208" t="s">
        <v>390</v>
      </c>
      <c r="D92" s="208" t="s">
        <v>390</v>
      </c>
      <c r="E92" s="208" t="s">
        <v>390</v>
      </c>
      <c r="F92" s="208" t="s">
        <v>390</v>
      </c>
      <c r="G92" s="208" t="s">
        <v>390</v>
      </c>
      <c r="H92" s="202"/>
      <c r="I92" s="208" t="s">
        <v>390</v>
      </c>
      <c r="J92" s="208" t="s">
        <v>390</v>
      </c>
      <c r="K92" s="208" t="s">
        <v>390</v>
      </c>
      <c r="L92" s="208" t="s">
        <v>390</v>
      </c>
      <c r="M92" s="208" t="s">
        <v>390</v>
      </c>
      <c r="N92" s="200" t="s">
        <v>390</v>
      </c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  <c r="AC92" s="202"/>
      <c r="AD92" s="202"/>
      <c r="AE92" s="202"/>
      <c r="AF92" s="202"/>
      <c r="AG92" s="202"/>
      <c r="AH92" s="202"/>
    </row>
    <row r="93" spans="1:34" x14ac:dyDescent="0.3">
      <c r="A93" s="204" t="s">
        <v>71</v>
      </c>
      <c r="B93" s="208" t="s">
        <v>390</v>
      </c>
      <c r="C93" s="208" t="s">
        <v>390</v>
      </c>
      <c r="D93" s="208" t="s">
        <v>390</v>
      </c>
      <c r="E93" s="208" t="s">
        <v>390</v>
      </c>
      <c r="F93" s="208" t="s">
        <v>390</v>
      </c>
      <c r="G93" s="208" t="s">
        <v>390</v>
      </c>
      <c r="H93" s="202"/>
      <c r="I93" s="208" t="s">
        <v>390</v>
      </c>
      <c r="J93" s="208" t="s">
        <v>390</v>
      </c>
      <c r="K93" s="208" t="s">
        <v>390</v>
      </c>
      <c r="L93" s="208" t="s">
        <v>390</v>
      </c>
      <c r="M93" s="208" t="s">
        <v>390</v>
      </c>
      <c r="N93" s="200" t="s">
        <v>390</v>
      </c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  <c r="AA93" s="202"/>
      <c r="AB93" s="202"/>
      <c r="AC93" s="202"/>
      <c r="AD93" s="202"/>
      <c r="AE93" s="202"/>
      <c r="AF93" s="202"/>
      <c r="AG93" s="202"/>
      <c r="AH93" s="202"/>
    </row>
    <row r="94" spans="1:34" x14ac:dyDescent="0.3">
      <c r="A94" s="204" t="s">
        <v>73</v>
      </c>
      <c r="B94" s="208" t="s">
        <v>390</v>
      </c>
      <c r="C94" s="208" t="s">
        <v>390</v>
      </c>
      <c r="D94" s="208" t="s">
        <v>390</v>
      </c>
      <c r="E94" s="208" t="s">
        <v>390</v>
      </c>
      <c r="F94" s="208" t="s">
        <v>390</v>
      </c>
      <c r="G94" s="208" t="s">
        <v>390</v>
      </c>
      <c r="H94" s="202"/>
      <c r="I94" s="208" t="s">
        <v>390</v>
      </c>
      <c r="J94" s="208" t="s">
        <v>390</v>
      </c>
      <c r="K94" s="208" t="s">
        <v>390</v>
      </c>
      <c r="L94" s="208" t="s">
        <v>390</v>
      </c>
      <c r="M94" s="208" t="s">
        <v>390</v>
      </c>
      <c r="N94" s="200" t="s">
        <v>390</v>
      </c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  <c r="AB94" s="202"/>
      <c r="AC94" s="202"/>
      <c r="AD94" s="202"/>
      <c r="AE94" s="202"/>
      <c r="AF94" s="202"/>
      <c r="AG94" s="202"/>
      <c r="AH94" s="202"/>
    </row>
    <row r="95" spans="1:34" x14ac:dyDescent="0.3">
      <c r="A95" s="206" t="s">
        <v>535</v>
      </c>
      <c r="B95" s="208" t="s">
        <v>390</v>
      </c>
      <c r="C95" s="208" t="s">
        <v>390</v>
      </c>
      <c r="D95" s="208" t="s">
        <v>390</v>
      </c>
      <c r="E95" s="208" t="s">
        <v>390</v>
      </c>
      <c r="F95" s="208" t="s">
        <v>390</v>
      </c>
      <c r="G95" s="208" t="s">
        <v>390</v>
      </c>
      <c r="H95" s="202"/>
      <c r="I95" s="208" t="s">
        <v>390</v>
      </c>
      <c r="J95" s="208" t="s">
        <v>390</v>
      </c>
      <c r="K95" s="208" t="s">
        <v>390</v>
      </c>
      <c r="L95" s="208" t="s">
        <v>390</v>
      </c>
      <c r="M95" s="208" t="s">
        <v>390</v>
      </c>
      <c r="N95" s="200" t="s">
        <v>390</v>
      </c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  <c r="AA95" s="202"/>
      <c r="AB95" s="202"/>
      <c r="AC95" s="202"/>
      <c r="AD95" s="202"/>
      <c r="AE95" s="202"/>
      <c r="AF95" s="202"/>
      <c r="AG95" s="202"/>
      <c r="AH95" s="202"/>
    </row>
    <row r="96" spans="1:34" x14ac:dyDescent="0.3">
      <c r="A96" s="204" t="s">
        <v>12</v>
      </c>
      <c r="B96" s="208" t="s">
        <v>390</v>
      </c>
      <c r="C96" s="208" t="s">
        <v>390</v>
      </c>
      <c r="D96" s="208" t="s">
        <v>390</v>
      </c>
      <c r="E96" s="208" t="s">
        <v>390</v>
      </c>
      <c r="F96" s="208" t="s">
        <v>390</v>
      </c>
      <c r="G96" s="208" t="s">
        <v>390</v>
      </c>
      <c r="H96" s="202"/>
      <c r="I96" s="208" t="s">
        <v>390</v>
      </c>
      <c r="J96" s="208" t="s">
        <v>390</v>
      </c>
      <c r="K96" s="208" t="s">
        <v>390</v>
      </c>
      <c r="L96" s="208" t="s">
        <v>390</v>
      </c>
      <c r="M96" s="208" t="s">
        <v>390</v>
      </c>
      <c r="N96" s="200" t="s">
        <v>390</v>
      </c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2"/>
      <c r="AC96" s="202"/>
      <c r="AD96" s="202"/>
      <c r="AE96" s="202"/>
      <c r="AF96" s="202"/>
      <c r="AG96" s="202"/>
      <c r="AH96" s="202"/>
    </row>
    <row r="97" spans="1:34" x14ac:dyDescent="0.3">
      <c r="A97" s="202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  <c r="AB97" s="202"/>
      <c r="AC97" s="202"/>
      <c r="AD97" s="202"/>
      <c r="AE97" s="202"/>
      <c r="AF97" s="202"/>
      <c r="AG97" s="202"/>
      <c r="AH97" s="202"/>
    </row>
    <row r="98" spans="1:34" x14ac:dyDescent="0.3">
      <c r="A98" s="200" t="s">
        <v>23</v>
      </c>
      <c r="B98" s="201">
        <v>504.69</v>
      </c>
      <c r="C98" s="201">
        <v>260.64999999999998</v>
      </c>
      <c r="D98" s="201">
        <v>867.6</v>
      </c>
      <c r="E98" s="201">
        <v>291.64</v>
      </c>
      <c r="F98" s="201">
        <v>511.26</v>
      </c>
      <c r="G98" s="201">
        <v>383.1</v>
      </c>
      <c r="H98" s="201">
        <v>1508.86</v>
      </c>
      <c r="I98" s="201">
        <v>4924.93</v>
      </c>
      <c r="J98" s="200" t="s">
        <v>390</v>
      </c>
      <c r="K98" s="200" t="s">
        <v>390</v>
      </c>
      <c r="L98" s="200" t="s">
        <v>390</v>
      </c>
      <c r="M98" s="200" t="s">
        <v>390</v>
      </c>
      <c r="N98" s="201">
        <v>9252.73</v>
      </c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  <c r="AB98" s="202"/>
      <c r="AC98" s="202"/>
      <c r="AD98" s="202"/>
      <c r="AE98" s="202"/>
      <c r="AF98" s="202"/>
      <c r="AG98" s="202"/>
      <c r="AH98" s="202"/>
    </row>
    <row r="99" spans="1:34" x14ac:dyDescent="0.3">
      <c r="A99" s="204" t="s">
        <v>7</v>
      </c>
      <c r="B99" s="205">
        <v>0</v>
      </c>
      <c r="C99" s="205">
        <v>0</v>
      </c>
      <c r="D99" s="205">
        <v>0.01</v>
      </c>
      <c r="E99" s="205">
        <v>0</v>
      </c>
      <c r="F99" s="205">
        <v>0</v>
      </c>
      <c r="G99" s="205">
        <v>0</v>
      </c>
      <c r="H99" s="202"/>
      <c r="I99" s="205">
        <v>0.04</v>
      </c>
      <c r="J99" s="200" t="e">
        <v>#DIV/0!</v>
      </c>
      <c r="K99" s="200" t="e">
        <v>#DIV/0!</v>
      </c>
      <c r="L99" s="200" t="e">
        <v>#DIV/0!</v>
      </c>
      <c r="M99" s="200" t="e">
        <v>#DIV/0!</v>
      </c>
      <c r="N99" s="205">
        <v>0.05</v>
      </c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  <c r="AB99" s="202"/>
      <c r="AC99" s="202"/>
      <c r="AD99" s="202"/>
      <c r="AE99" s="202"/>
      <c r="AF99" s="202"/>
      <c r="AG99" s="202"/>
      <c r="AH99" s="202"/>
    </row>
    <row r="100" spans="1:34" x14ac:dyDescent="0.3">
      <c r="A100" s="206" t="s">
        <v>532</v>
      </c>
      <c r="B100" s="201">
        <v>504.69</v>
      </c>
      <c r="C100" s="201">
        <v>260.64999999999998</v>
      </c>
      <c r="D100" s="201">
        <v>867.6</v>
      </c>
      <c r="E100" s="200" t="s">
        <v>390</v>
      </c>
      <c r="F100" s="200" t="s">
        <v>390</v>
      </c>
      <c r="G100" s="200" t="s">
        <v>390</v>
      </c>
      <c r="H100" s="200" t="s">
        <v>390</v>
      </c>
      <c r="I100" s="200" t="s">
        <v>390</v>
      </c>
      <c r="J100" s="200" t="s">
        <v>390</v>
      </c>
      <c r="K100" s="200" t="s">
        <v>390</v>
      </c>
      <c r="L100" s="200" t="s">
        <v>390</v>
      </c>
      <c r="M100" s="200" t="s">
        <v>390</v>
      </c>
      <c r="N100" s="201">
        <v>1632.94</v>
      </c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  <c r="AB100" s="202"/>
      <c r="AC100" s="202"/>
      <c r="AD100" s="202"/>
      <c r="AE100" s="202"/>
      <c r="AF100" s="202"/>
      <c r="AG100" s="202"/>
      <c r="AH100" s="202"/>
    </row>
    <row r="101" spans="1:34" x14ac:dyDescent="0.3">
      <c r="A101" s="204" t="s">
        <v>9</v>
      </c>
      <c r="B101" s="207">
        <v>139.97999999999999</v>
      </c>
      <c r="C101" s="208" t="s">
        <v>390</v>
      </c>
      <c r="D101" s="207">
        <v>731.3</v>
      </c>
      <c r="E101" s="208" t="s">
        <v>390</v>
      </c>
      <c r="F101" s="208" t="s">
        <v>390</v>
      </c>
      <c r="G101" s="208" t="s">
        <v>390</v>
      </c>
      <c r="H101" s="208" t="s">
        <v>390</v>
      </c>
      <c r="I101" s="208" t="s">
        <v>390</v>
      </c>
      <c r="J101" s="208" t="s">
        <v>390</v>
      </c>
      <c r="K101" s="208" t="s">
        <v>390</v>
      </c>
      <c r="L101" s="208" t="s">
        <v>390</v>
      </c>
      <c r="M101" s="208" t="s">
        <v>390</v>
      </c>
      <c r="N101" s="201">
        <v>871.28</v>
      </c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  <c r="AB101" s="202"/>
      <c r="AC101" s="202"/>
      <c r="AD101" s="202"/>
      <c r="AE101" s="202"/>
      <c r="AF101" s="202"/>
      <c r="AG101" s="202"/>
      <c r="AH101" s="202"/>
    </row>
    <row r="102" spans="1:34" x14ac:dyDescent="0.3">
      <c r="A102" s="204" t="s">
        <v>67</v>
      </c>
      <c r="B102" s="207">
        <v>364.71</v>
      </c>
      <c r="C102" s="207">
        <v>260.64999999999998</v>
      </c>
      <c r="D102" s="207">
        <v>136.30000000000001</v>
      </c>
      <c r="E102" s="208" t="s">
        <v>390</v>
      </c>
      <c r="F102" s="208" t="s">
        <v>390</v>
      </c>
      <c r="G102" s="208" t="s">
        <v>390</v>
      </c>
      <c r="H102" s="208" t="s">
        <v>390</v>
      </c>
      <c r="I102" s="208" t="s">
        <v>390</v>
      </c>
      <c r="J102" s="208" t="s">
        <v>390</v>
      </c>
      <c r="K102" s="208" t="s">
        <v>390</v>
      </c>
      <c r="L102" s="208" t="s">
        <v>390</v>
      </c>
      <c r="M102" s="208" t="s">
        <v>390</v>
      </c>
      <c r="N102" s="201">
        <v>761.66</v>
      </c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  <c r="AB102" s="202"/>
      <c r="AC102" s="202"/>
      <c r="AD102" s="202"/>
      <c r="AE102" s="202"/>
      <c r="AF102" s="202"/>
      <c r="AG102" s="202"/>
      <c r="AH102" s="202"/>
    </row>
    <row r="103" spans="1:34" x14ac:dyDescent="0.3">
      <c r="A103" s="204" t="s">
        <v>69</v>
      </c>
      <c r="B103" s="208" t="s">
        <v>390</v>
      </c>
      <c r="C103" s="208" t="s">
        <v>390</v>
      </c>
      <c r="D103" s="208" t="s">
        <v>390</v>
      </c>
      <c r="E103" s="208" t="s">
        <v>390</v>
      </c>
      <c r="F103" s="208" t="s">
        <v>390</v>
      </c>
      <c r="G103" s="208" t="s">
        <v>390</v>
      </c>
      <c r="H103" s="208" t="s">
        <v>390</v>
      </c>
      <c r="I103" s="208" t="s">
        <v>390</v>
      </c>
      <c r="J103" s="208" t="s">
        <v>390</v>
      </c>
      <c r="K103" s="208" t="s">
        <v>390</v>
      </c>
      <c r="L103" s="208" t="s">
        <v>390</v>
      </c>
      <c r="M103" s="208" t="s">
        <v>390</v>
      </c>
      <c r="N103" s="200" t="s">
        <v>390</v>
      </c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  <c r="AA103" s="202"/>
      <c r="AB103" s="202"/>
      <c r="AC103" s="202"/>
      <c r="AD103" s="202"/>
      <c r="AE103" s="202"/>
      <c r="AF103" s="202"/>
      <c r="AG103" s="202"/>
      <c r="AH103" s="202"/>
    </row>
    <row r="104" spans="1:34" x14ac:dyDescent="0.3">
      <c r="A104" s="204" t="s">
        <v>71</v>
      </c>
      <c r="B104" s="208" t="s">
        <v>390</v>
      </c>
      <c r="C104" s="208" t="s">
        <v>390</v>
      </c>
      <c r="D104" s="208" t="s">
        <v>390</v>
      </c>
      <c r="E104" s="208" t="s">
        <v>390</v>
      </c>
      <c r="F104" s="208" t="s">
        <v>390</v>
      </c>
      <c r="G104" s="208" t="s">
        <v>390</v>
      </c>
      <c r="H104" s="208" t="s">
        <v>390</v>
      </c>
      <c r="I104" s="208" t="s">
        <v>390</v>
      </c>
      <c r="J104" s="208" t="s">
        <v>390</v>
      </c>
      <c r="K104" s="208" t="s">
        <v>390</v>
      </c>
      <c r="L104" s="208" t="s">
        <v>390</v>
      </c>
      <c r="M104" s="208" t="s">
        <v>390</v>
      </c>
      <c r="N104" s="200" t="s">
        <v>390</v>
      </c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  <c r="AB104" s="202"/>
      <c r="AC104" s="202"/>
      <c r="AD104" s="202"/>
      <c r="AE104" s="202"/>
      <c r="AF104" s="202"/>
      <c r="AG104" s="202"/>
      <c r="AH104" s="202"/>
    </row>
    <row r="105" spans="1:34" x14ac:dyDescent="0.3">
      <c r="A105" s="204" t="s">
        <v>73</v>
      </c>
      <c r="B105" s="208" t="s">
        <v>390</v>
      </c>
      <c r="C105" s="208" t="s">
        <v>390</v>
      </c>
      <c r="D105" s="208" t="s">
        <v>390</v>
      </c>
      <c r="E105" s="208" t="s">
        <v>390</v>
      </c>
      <c r="F105" s="208" t="s">
        <v>390</v>
      </c>
      <c r="G105" s="208" t="s">
        <v>390</v>
      </c>
      <c r="H105" s="208" t="s">
        <v>390</v>
      </c>
      <c r="I105" s="208" t="s">
        <v>390</v>
      </c>
      <c r="J105" s="208" t="s">
        <v>390</v>
      </c>
      <c r="K105" s="208" t="s">
        <v>390</v>
      </c>
      <c r="L105" s="208" t="s">
        <v>390</v>
      </c>
      <c r="M105" s="208" t="s">
        <v>390</v>
      </c>
      <c r="N105" s="200" t="s">
        <v>390</v>
      </c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  <c r="AA105" s="202"/>
      <c r="AB105" s="202"/>
      <c r="AC105" s="202"/>
      <c r="AD105" s="202"/>
      <c r="AE105" s="202"/>
      <c r="AF105" s="202"/>
      <c r="AG105" s="202"/>
      <c r="AH105" s="202"/>
    </row>
    <row r="106" spans="1:34" x14ac:dyDescent="0.3">
      <c r="A106" s="206" t="s">
        <v>535</v>
      </c>
      <c r="B106" s="208" t="s">
        <v>390</v>
      </c>
      <c r="C106" s="208" t="s">
        <v>390</v>
      </c>
      <c r="D106" s="208" t="s">
        <v>390</v>
      </c>
      <c r="E106" s="208" t="s">
        <v>390</v>
      </c>
      <c r="F106" s="208" t="s">
        <v>390</v>
      </c>
      <c r="G106" s="208" t="s">
        <v>390</v>
      </c>
      <c r="H106" s="208" t="s">
        <v>390</v>
      </c>
      <c r="I106" s="208" t="s">
        <v>390</v>
      </c>
      <c r="J106" s="208" t="s">
        <v>390</v>
      </c>
      <c r="K106" s="208" t="s">
        <v>390</v>
      </c>
      <c r="L106" s="208" t="s">
        <v>390</v>
      </c>
      <c r="M106" s="208" t="s">
        <v>390</v>
      </c>
      <c r="N106" s="200" t="s">
        <v>390</v>
      </c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  <c r="AB106" s="202"/>
      <c r="AC106" s="202"/>
      <c r="AD106" s="202"/>
      <c r="AE106" s="202"/>
      <c r="AF106" s="202"/>
      <c r="AG106" s="202"/>
      <c r="AH106" s="202"/>
    </row>
    <row r="107" spans="1:34" x14ac:dyDescent="0.3">
      <c r="A107" s="204" t="s">
        <v>12</v>
      </c>
      <c r="B107" s="208" t="s">
        <v>390</v>
      </c>
      <c r="C107" s="208" t="s">
        <v>390</v>
      </c>
      <c r="D107" s="208" t="s">
        <v>390</v>
      </c>
      <c r="E107" s="208" t="s">
        <v>390</v>
      </c>
      <c r="F107" s="208" t="s">
        <v>390</v>
      </c>
      <c r="G107" s="208" t="s">
        <v>390</v>
      </c>
      <c r="H107" s="208" t="s">
        <v>390</v>
      </c>
      <c r="I107" s="208" t="s">
        <v>390</v>
      </c>
      <c r="J107" s="208" t="s">
        <v>390</v>
      </c>
      <c r="K107" s="208" t="s">
        <v>390</v>
      </c>
      <c r="L107" s="208" t="s">
        <v>390</v>
      </c>
      <c r="M107" s="208" t="s">
        <v>390</v>
      </c>
      <c r="N107" s="200" t="s">
        <v>390</v>
      </c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  <c r="AA107" s="202"/>
      <c r="AB107" s="202"/>
      <c r="AC107" s="202"/>
      <c r="AD107" s="202"/>
      <c r="AE107" s="202"/>
      <c r="AF107" s="202"/>
      <c r="AG107" s="202"/>
      <c r="AH107" s="202"/>
    </row>
    <row r="108" spans="1:34" x14ac:dyDescent="0.3">
      <c r="A108" s="202"/>
      <c r="B108" s="202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  <c r="AB108" s="202"/>
      <c r="AC108" s="202"/>
      <c r="AD108" s="202"/>
      <c r="AE108" s="202"/>
      <c r="AF108" s="202"/>
      <c r="AG108" s="202"/>
      <c r="AH108" s="202"/>
    </row>
    <row r="109" spans="1:34" x14ac:dyDescent="0.3">
      <c r="A109" s="200" t="s">
        <v>31</v>
      </c>
      <c r="B109" s="201">
        <v>74.23</v>
      </c>
      <c r="C109" s="201">
        <v>539.87</v>
      </c>
      <c r="D109" s="201">
        <v>589.1</v>
      </c>
      <c r="E109" s="201">
        <v>236.24</v>
      </c>
      <c r="F109" s="201">
        <v>1462.4</v>
      </c>
      <c r="G109" s="201">
        <v>54.2</v>
      </c>
      <c r="H109" s="201">
        <v>105.9</v>
      </c>
      <c r="I109" s="201">
        <v>93.92</v>
      </c>
      <c r="J109" s="200" t="s">
        <v>390</v>
      </c>
      <c r="K109" s="200" t="s">
        <v>390</v>
      </c>
      <c r="L109" s="200" t="s">
        <v>390</v>
      </c>
      <c r="M109" s="200" t="s">
        <v>390</v>
      </c>
      <c r="N109" s="201">
        <v>3155.86</v>
      </c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  <c r="AA109" s="202"/>
      <c r="AB109" s="202"/>
      <c r="AC109" s="202"/>
      <c r="AD109" s="202"/>
      <c r="AE109" s="202"/>
      <c r="AF109" s="202"/>
      <c r="AG109" s="202"/>
      <c r="AH109" s="202"/>
    </row>
    <row r="110" spans="1:34" x14ac:dyDescent="0.3">
      <c r="A110" s="204" t="s">
        <v>7</v>
      </c>
      <c r="B110" s="205">
        <v>0</v>
      </c>
      <c r="C110" s="205">
        <v>0</v>
      </c>
      <c r="D110" s="205">
        <v>0</v>
      </c>
      <c r="E110" s="205">
        <v>0</v>
      </c>
      <c r="F110" s="205">
        <v>0.01</v>
      </c>
      <c r="G110" s="205">
        <v>0</v>
      </c>
      <c r="H110" s="205">
        <v>0</v>
      </c>
      <c r="I110" s="205">
        <v>0</v>
      </c>
      <c r="J110" s="200" t="e">
        <v>#DIV/0!</v>
      </c>
      <c r="K110" s="200" t="e">
        <v>#DIV/0!</v>
      </c>
      <c r="L110" s="200" t="e">
        <v>#DIV/0!</v>
      </c>
      <c r="M110" s="200" t="e">
        <v>#DIV/0!</v>
      </c>
      <c r="N110" s="205">
        <v>0.02</v>
      </c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  <c r="AA110" s="202"/>
      <c r="AB110" s="202"/>
      <c r="AC110" s="202"/>
      <c r="AD110" s="202"/>
      <c r="AE110" s="202"/>
      <c r="AF110" s="202"/>
      <c r="AG110" s="202"/>
      <c r="AH110" s="202"/>
    </row>
    <row r="111" spans="1:34" x14ac:dyDescent="0.3">
      <c r="A111" s="206" t="s">
        <v>532</v>
      </c>
      <c r="B111" s="201">
        <v>74.23</v>
      </c>
      <c r="C111" s="201">
        <v>539.87</v>
      </c>
      <c r="D111" s="201">
        <v>589.1</v>
      </c>
      <c r="E111" s="200" t="s">
        <v>390</v>
      </c>
      <c r="F111" s="200" t="s">
        <v>390</v>
      </c>
      <c r="G111" s="200" t="s">
        <v>390</v>
      </c>
      <c r="H111" s="200" t="s">
        <v>390</v>
      </c>
      <c r="I111" s="200" t="s">
        <v>390</v>
      </c>
      <c r="J111" s="200" t="s">
        <v>390</v>
      </c>
      <c r="K111" s="200" t="s">
        <v>390</v>
      </c>
      <c r="L111" s="200" t="s">
        <v>390</v>
      </c>
      <c r="M111" s="200" t="s">
        <v>390</v>
      </c>
      <c r="N111" s="201">
        <v>1203.2</v>
      </c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  <c r="AA111" s="202"/>
      <c r="AB111" s="202"/>
      <c r="AC111" s="202"/>
      <c r="AD111" s="202"/>
      <c r="AE111" s="202"/>
      <c r="AF111" s="202"/>
      <c r="AG111" s="202"/>
      <c r="AH111" s="202"/>
    </row>
    <row r="112" spans="1:34" x14ac:dyDescent="0.3">
      <c r="A112" s="204" t="s">
        <v>9</v>
      </c>
      <c r="B112" s="207">
        <v>74.23</v>
      </c>
      <c r="C112" s="207">
        <v>446.28</v>
      </c>
      <c r="D112" s="207">
        <v>589.1</v>
      </c>
      <c r="E112" s="208" t="s">
        <v>390</v>
      </c>
      <c r="F112" s="208" t="s">
        <v>390</v>
      </c>
      <c r="G112" s="208" t="s">
        <v>390</v>
      </c>
      <c r="H112" s="208" t="s">
        <v>390</v>
      </c>
      <c r="I112" s="208" t="s">
        <v>390</v>
      </c>
      <c r="J112" s="208" t="s">
        <v>390</v>
      </c>
      <c r="K112" s="208" t="s">
        <v>390</v>
      </c>
      <c r="L112" s="208" t="s">
        <v>390</v>
      </c>
      <c r="M112" s="208" t="s">
        <v>390</v>
      </c>
      <c r="N112" s="207">
        <v>1109.6099999999999</v>
      </c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  <c r="AB112" s="202"/>
      <c r="AC112" s="202"/>
      <c r="AD112" s="202"/>
      <c r="AE112" s="202"/>
      <c r="AF112" s="202"/>
      <c r="AG112" s="202"/>
      <c r="AH112" s="202"/>
    </row>
    <row r="113" spans="1:34" x14ac:dyDescent="0.3">
      <c r="A113" s="204" t="s">
        <v>67</v>
      </c>
      <c r="B113" s="208" t="s">
        <v>390</v>
      </c>
      <c r="C113" s="207">
        <v>93.59</v>
      </c>
      <c r="D113" s="208" t="s">
        <v>390</v>
      </c>
      <c r="E113" s="208" t="s">
        <v>390</v>
      </c>
      <c r="F113" s="208" t="s">
        <v>390</v>
      </c>
      <c r="G113" s="208" t="s">
        <v>390</v>
      </c>
      <c r="H113" s="208" t="s">
        <v>390</v>
      </c>
      <c r="I113" s="208" t="s">
        <v>390</v>
      </c>
      <c r="J113" s="208" t="s">
        <v>390</v>
      </c>
      <c r="K113" s="208" t="s">
        <v>390</v>
      </c>
      <c r="L113" s="208" t="s">
        <v>390</v>
      </c>
      <c r="M113" s="208" t="s">
        <v>390</v>
      </c>
      <c r="N113" s="207">
        <v>93.59</v>
      </c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  <c r="AA113" s="202"/>
      <c r="AB113" s="202"/>
      <c r="AC113" s="202"/>
      <c r="AD113" s="202"/>
      <c r="AE113" s="202"/>
      <c r="AF113" s="202"/>
      <c r="AG113" s="202"/>
      <c r="AH113" s="202"/>
    </row>
    <row r="114" spans="1:34" x14ac:dyDescent="0.3">
      <c r="A114" s="204" t="s">
        <v>69</v>
      </c>
      <c r="B114" s="208" t="s">
        <v>390</v>
      </c>
      <c r="C114" s="208" t="s">
        <v>390</v>
      </c>
      <c r="D114" s="208" t="s">
        <v>390</v>
      </c>
      <c r="E114" s="208" t="s">
        <v>390</v>
      </c>
      <c r="F114" s="208" t="s">
        <v>390</v>
      </c>
      <c r="G114" s="208" t="s">
        <v>390</v>
      </c>
      <c r="H114" s="208" t="s">
        <v>390</v>
      </c>
      <c r="I114" s="208" t="s">
        <v>390</v>
      </c>
      <c r="J114" s="208" t="s">
        <v>390</v>
      </c>
      <c r="K114" s="208" t="s">
        <v>390</v>
      </c>
      <c r="L114" s="208" t="s">
        <v>390</v>
      </c>
      <c r="M114" s="208" t="s">
        <v>390</v>
      </c>
      <c r="N114" s="208" t="s">
        <v>390</v>
      </c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  <c r="AA114" s="202"/>
      <c r="AB114" s="202"/>
      <c r="AC114" s="202"/>
      <c r="AD114" s="202"/>
      <c r="AE114" s="202"/>
      <c r="AF114" s="202"/>
      <c r="AG114" s="202"/>
      <c r="AH114" s="202"/>
    </row>
    <row r="115" spans="1:34" x14ac:dyDescent="0.3">
      <c r="A115" s="204" t="s">
        <v>71</v>
      </c>
      <c r="B115" s="208" t="s">
        <v>390</v>
      </c>
      <c r="C115" s="208" t="s">
        <v>390</v>
      </c>
      <c r="D115" s="208" t="s">
        <v>390</v>
      </c>
      <c r="E115" s="208" t="s">
        <v>390</v>
      </c>
      <c r="F115" s="208" t="s">
        <v>390</v>
      </c>
      <c r="G115" s="208" t="s">
        <v>390</v>
      </c>
      <c r="H115" s="208" t="s">
        <v>390</v>
      </c>
      <c r="I115" s="208" t="s">
        <v>390</v>
      </c>
      <c r="J115" s="208" t="s">
        <v>390</v>
      </c>
      <c r="K115" s="208" t="s">
        <v>390</v>
      </c>
      <c r="L115" s="208" t="s">
        <v>390</v>
      </c>
      <c r="M115" s="208" t="s">
        <v>390</v>
      </c>
      <c r="N115" s="208" t="s">
        <v>390</v>
      </c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  <c r="AA115" s="202"/>
      <c r="AB115" s="202"/>
      <c r="AC115" s="202"/>
      <c r="AD115" s="202"/>
      <c r="AE115" s="202"/>
      <c r="AF115" s="202"/>
      <c r="AG115" s="202"/>
      <c r="AH115" s="202"/>
    </row>
    <row r="116" spans="1:34" x14ac:dyDescent="0.3">
      <c r="A116" s="204" t="s">
        <v>73</v>
      </c>
      <c r="B116" s="208" t="s">
        <v>390</v>
      </c>
      <c r="C116" s="208" t="s">
        <v>390</v>
      </c>
      <c r="D116" s="208" t="s">
        <v>390</v>
      </c>
      <c r="E116" s="208" t="s">
        <v>390</v>
      </c>
      <c r="F116" s="208" t="s">
        <v>390</v>
      </c>
      <c r="G116" s="208" t="s">
        <v>390</v>
      </c>
      <c r="H116" s="208" t="s">
        <v>390</v>
      </c>
      <c r="I116" s="208" t="s">
        <v>390</v>
      </c>
      <c r="J116" s="208" t="s">
        <v>390</v>
      </c>
      <c r="K116" s="208" t="s">
        <v>390</v>
      </c>
      <c r="L116" s="208" t="s">
        <v>390</v>
      </c>
      <c r="M116" s="208" t="s">
        <v>390</v>
      </c>
      <c r="N116" s="208" t="s">
        <v>390</v>
      </c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  <c r="AB116" s="202"/>
      <c r="AC116" s="202"/>
      <c r="AD116" s="202"/>
      <c r="AE116" s="202"/>
      <c r="AF116" s="202"/>
      <c r="AG116" s="202"/>
      <c r="AH116" s="202"/>
    </row>
    <row r="117" spans="1:34" x14ac:dyDescent="0.3">
      <c r="A117" s="204" t="s">
        <v>534</v>
      </c>
      <c r="B117" s="208" t="s">
        <v>390</v>
      </c>
      <c r="C117" s="208" t="s">
        <v>390</v>
      </c>
      <c r="D117" s="208" t="s">
        <v>390</v>
      </c>
      <c r="E117" s="208" t="s">
        <v>390</v>
      </c>
      <c r="F117" s="208" t="s">
        <v>390</v>
      </c>
      <c r="G117" s="208" t="s">
        <v>390</v>
      </c>
      <c r="H117" s="208" t="s">
        <v>390</v>
      </c>
      <c r="I117" s="208" t="s">
        <v>390</v>
      </c>
      <c r="J117" s="208" t="s">
        <v>390</v>
      </c>
      <c r="K117" s="208" t="s">
        <v>390</v>
      </c>
      <c r="L117" s="208" t="s">
        <v>390</v>
      </c>
      <c r="M117" s="208" t="s">
        <v>390</v>
      </c>
      <c r="N117" s="200" t="s">
        <v>390</v>
      </c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  <c r="AA117" s="202"/>
      <c r="AB117" s="202"/>
      <c r="AC117" s="202"/>
      <c r="AD117" s="202"/>
      <c r="AE117" s="202"/>
      <c r="AF117" s="202"/>
      <c r="AG117" s="202"/>
      <c r="AH117" s="202"/>
    </row>
    <row r="118" spans="1:34" x14ac:dyDescent="0.3">
      <c r="A118" s="206" t="s">
        <v>535</v>
      </c>
      <c r="B118" s="200" t="s">
        <v>390</v>
      </c>
      <c r="C118" s="200" t="s">
        <v>390</v>
      </c>
      <c r="D118" s="200" t="s">
        <v>390</v>
      </c>
      <c r="E118" s="200" t="s">
        <v>390</v>
      </c>
      <c r="F118" s="200" t="s">
        <v>390</v>
      </c>
      <c r="G118" s="200" t="s">
        <v>390</v>
      </c>
      <c r="H118" s="200" t="s">
        <v>390</v>
      </c>
      <c r="I118" s="200" t="s">
        <v>390</v>
      </c>
      <c r="J118" s="200" t="s">
        <v>390</v>
      </c>
      <c r="K118" s="200" t="s">
        <v>390</v>
      </c>
      <c r="L118" s="200" t="s">
        <v>390</v>
      </c>
      <c r="M118" s="200" t="s">
        <v>390</v>
      </c>
      <c r="N118" s="200" t="s">
        <v>390</v>
      </c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  <c r="AH118" s="202"/>
    </row>
    <row r="119" spans="1:34" x14ac:dyDescent="0.3">
      <c r="A119" s="204" t="s">
        <v>12</v>
      </c>
      <c r="B119" s="208" t="s">
        <v>390</v>
      </c>
      <c r="C119" s="208" t="s">
        <v>390</v>
      </c>
      <c r="D119" s="208" t="s">
        <v>390</v>
      </c>
      <c r="E119" s="208" t="s">
        <v>390</v>
      </c>
      <c r="F119" s="208" t="s">
        <v>390</v>
      </c>
      <c r="G119" s="208" t="s">
        <v>390</v>
      </c>
      <c r="H119" s="208" t="s">
        <v>390</v>
      </c>
      <c r="I119" s="208" t="s">
        <v>390</v>
      </c>
      <c r="J119" s="208" t="s">
        <v>390</v>
      </c>
      <c r="K119" s="208" t="s">
        <v>390</v>
      </c>
      <c r="L119" s="208" t="s">
        <v>390</v>
      </c>
      <c r="M119" s="208" t="s">
        <v>390</v>
      </c>
      <c r="N119" s="200" t="s">
        <v>390</v>
      </c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  <c r="AA119" s="202"/>
      <c r="AB119" s="202"/>
      <c r="AC119" s="202"/>
      <c r="AD119" s="202"/>
      <c r="AE119" s="202"/>
      <c r="AF119" s="202"/>
      <c r="AG119" s="202"/>
      <c r="AH119" s="202"/>
    </row>
    <row r="120" spans="1:34" x14ac:dyDescent="0.3">
      <c r="A120" s="202"/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  <c r="AA120" s="202"/>
      <c r="AB120" s="202"/>
      <c r="AC120" s="202"/>
      <c r="AD120" s="202"/>
      <c r="AE120" s="202"/>
      <c r="AF120" s="202"/>
      <c r="AG120" s="202"/>
      <c r="AH120" s="20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5876D-25C9-4E89-ABDF-C4ECD0AB5E42}">
  <sheetPr>
    <tabColor rgb="FF92D050"/>
  </sheetPr>
  <dimension ref="A4:J14"/>
  <sheetViews>
    <sheetView workbookViewId="0">
      <selection activeCell="L1" sqref="A1:L1048576"/>
    </sheetView>
  </sheetViews>
  <sheetFormatPr baseColWidth="10" defaultColWidth="10.6640625" defaultRowHeight="14.4" x14ac:dyDescent="0.3"/>
  <cols>
    <col min="1" max="1" width="13.6640625" customWidth="1"/>
    <col min="3" max="3" width="16.6640625" customWidth="1"/>
    <col min="4" max="4" width="9.33203125" bestFit="1" customWidth="1"/>
    <col min="5" max="7" width="23.109375" customWidth="1"/>
    <col min="8" max="10" width="16.6640625" customWidth="1"/>
  </cols>
  <sheetData>
    <row r="4" spans="1:10" x14ac:dyDescent="0.3">
      <c r="A4" s="372" t="s">
        <v>5</v>
      </c>
      <c r="B4" s="372"/>
      <c r="C4" s="30"/>
      <c r="D4" s="30"/>
      <c r="E4" s="30"/>
      <c r="F4" s="30"/>
      <c r="G4" s="30"/>
      <c r="H4" s="30"/>
      <c r="I4" s="30"/>
      <c r="J4" s="30"/>
    </row>
    <row r="5" spans="1:10" x14ac:dyDescent="0.3">
      <c r="A5" s="3" t="e" vm="1">
        <v>#VALUE!</v>
      </c>
      <c r="B5" s="8" t="s">
        <v>6</v>
      </c>
      <c r="C5" s="30">
        <f>+'P&amp;G-SL'!I6-data_pyg_old!B3</f>
        <v>-45891.360000000001</v>
      </c>
      <c r="D5" s="30">
        <f>+'P&amp;G-SL'!J6-data_pyg_old!C3</f>
        <v>-1443.8800000000047</v>
      </c>
      <c r="E5" s="30">
        <f>+'P&amp;G-SL'!K6-data_pyg_old!D3</f>
        <v>-30600.439999999995</v>
      </c>
      <c r="F5" s="30">
        <f>+'P&amp;G-SL'!L6-data_pyg_old!E3</f>
        <v>-60258.69</v>
      </c>
      <c r="G5" s="30">
        <f>+'P&amp;G-SL'!M6-data_pyg_old!F3</f>
        <v>-72717.13</v>
      </c>
      <c r="H5" s="30">
        <f>+'P&amp;G-SL'!N6-data_pyg_old!G3</f>
        <v>-66400.2</v>
      </c>
      <c r="I5" s="30">
        <f>+'P&amp;G-SL'!O6-data_pyg_old!H3</f>
        <v>-78448.45</v>
      </c>
      <c r="J5" s="30">
        <f>+'P&amp;G-SL'!P6-data_pyg_old!I3</f>
        <v>-56561.37</v>
      </c>
    </row>
    <row r="6" spans="1:10" x14ac:dyDescent="0.3">
      <c r="A6" s="3" t="e" vm="2">
        <v>#VALUE!</v>
      </c>
      <c r="B6" s="8" t="s">
        <v>17</v>
      </c>
      <c r="C6" s="30">
        <f>+'P&amp;G-SL'!I7-data_pyg_old!B22</f>
        <v>-6231.5099999999984</v>
      </c>
      <c r="D6" s="30">
        <f>+'P&amp;G-SL'!J7-data_pyg_old!C22</f>
        <v>-4927.82</v>
      </c>
      <c r="E6" s="30">
        <f>+'P&amp;G-SL'!K7-data_pyg_old!D22</f>
        <v>-9970.3799999999992</v>
      </c>
      <c r="F6" s="30">
        <f>+'P&amp;G-SL'!L7-data_pyg_old!E22</f>
        <v>-24271.09</v>
      </c>
      <c r="G6" s="30">
        <f>+'P&amp;G-SL'!M7-data_pyg_old!F22</f>
        <v>-22639.29</v>
      </c>
      <c r="H6" s="30">
        <f>+'P&amp;G-SL'!N7-data_pyg_old!G22</f>
        <v>-23154.400000000001</v>
      </c>
      <c r="I6" s="30">
        <f>+'P&amp;G-SL'!O7-data_pyg_old!H22</f>
        <v>-17733.419999999998</v>
      </c>
      <c r="J6" s="30">
        <f>+'P&amp;G-SL'!P7-data_pyg_old!I22</f>
        <v>-17029.18</v>
      </c>
    </row>
    <row r="7" spans="1:10" x14ac:dyDescent="0.3">
      <c r="A7" s="3" t="e" vm="3">
        <v>#VALUE!</v>
      </c>
      <c r="B7" s="8" t="s">
        <v>19</v>
      </c>
      <c r="C7" s="34">
        <f>+'P&amp;G-SL'!I8-data_pyg_old!B37</f>
        <v>-9686.5999999999949</v>
      </c>
      <c r="D7" s="34">
        <f>+'P&amp;G-SL'!J8-data_pyg_old!C37</f>
        <v>13941.189999999999</v>
      </c>
      <c r="E7" s="34">
        <f>+'P&amp;G-SL'!K8-data_pyg_old!D37</f>
        <v>5773.23</v>
      </c>
      <c r="F7" s="34">
        <f>+'P&amp;G-SL'!L8-data_pyg_old!E37</f>
        <v>-8456.84</v>
      </c>
      <c r="G7" s="34">
        <f>+'P&amp;G-SL'!M8-data_pyg_old!F37</f>
        <v>-32386.23</v>
      </c>
      <c r="H7" s="34">
        <f>+'P&amp;G-SL'!N8-data_pyg_old!G37</f>
        <v>-6207.97</v>
      </c>
      <c r="I7" s="34">
        <f>+'P&amp;G-SL'!O8-data_pyg_old!H37</f>
        <v>-14615.31</v>
      </c>
      <c r="J7" s="34">
        <f>+'P&amp;G-SL'!P8-data_pyg_old!I37</f>
        <v>-18120.88</v>
      </c>
    </row>
    <row r="8" spans="1:10" x14ac:dyDescent="0.3">
      <c r="A8" s="3" t="e" vm="4">
        <v>#VALUE!</v>
      </c>
      <c r="B8" s="8" t="s">
        <v>21</v>
      </c>
      <c r="C8" s="30">
        <f>+'P&amp;G-SL'!I9-data_pyg_old!B52</f>
        <v>14287.44</v>
      </c>
      <c r="D8" s="30">
        <f>+'P&amp;G-SL'!J9-data_pyg_old!C52</f>
        <v>15637.96</v>
      </c>
      <c r="E8" s="30">
        <f>+'P&amp;G-SL'!K9-data_pyg_old!D52</f>
        <v>4608.13</v>
      </c>
      <c r="F8" s="30">
        <f>+'P&amp;G-SL'!L9-data_pyg_old!E52</f>
        <v>-2936.99</v>
      </c>
      <c r="G8" s="30">
        <f>+'P&amp;G-SL'!M9-data_pyg_old!F52</f>
        <v>-2074.75</v>
      </c>
      <c r="H8" s="30">
        <f>+'P&amp;G-SL'!N9-data_pyg_old!G52</f>
        <v>-2056.1999999999998</v>
      </c>
      <c r="I8" s="30">
        <f>+'P&amp;G-SL'!O9-data_pyg_old!H52</f>
        <v>-9924.85</v>
      </c>
      <c r="J8" s="30">
        <f>+'P&amp;G-SL'!P9-data_pyg_old!I52</f>
        <v>-13695.03</v>
      </c>
    </row>
    <row r="9" spans="1:10" x14ac:dyDescent="0.3">
      <c r="A9" s="3" t="e" vm="5">
        <v>#VALUE!</v>
      </c>
      <c r="B9" s="8" t="s">
        <v>23</v>
      </c>
      <c r="C9" s="30">
        <f>+'P&amp;G-SL'!I10-data_pyg_old!B98</f>
        <v>4977.55</v>
      </c>
      <c r="D9" s="30">
        <f>+'P&amp;G-SL'!J10-data_pyg_old!C98</f>
        <v>5817.29</v>
      </c>
      <c r="E9" s="30">
        <f>+'P&amp;G-SL'!K10-data_pyg_old!D98</f>
        <v>2709.79</v>
      </c>
      <c r="F9" s="30">
        <f>+'P&amp;G-SL'!L10-data_pyg_old!E98</f>
        <v>-291.64</v>
      </c>
      <c r="G9" s="30">
        <f>+'P&amp;G-SL'!M10-data_pyg_old!F98</f>
        <v>-511.26</v>
      </c>
      <c r="H9" s="30">
        <f>+'P&amp;G-SL'!N10-data_pyg_old!G98</f>
        <v>-383.1</v>
      </c>
      <c r="I9" s="30">
        <f>+'P&amp;G-SL'!O10-data_pyg_old!H98</f>
        <v>-1508.86</v>
      </c>
      <c r="J9" s="30">
        <f>+'P&amp;G-SL'!P10-data_pyg_old!I98</f>
        <v>-4924.93</v>
      </c>
    </row>
    <row r="10" spans="1:10" ht="27.6" x14ac:dyDescent="0.3">
      <c r="A10" s="3" t="e" vm="6">
        <v>#VALUE!</v>
      </c>
      <c r="B10" s="8" t="s">
        <v>25</v>
      </c>
      <c r="C10" s="30">
        <f>+'P&amp;G-SL'!I12-data_pyg_old!B64</f>
        <v>-259.07</v>
      </c>
      <c r="D10" s="30">
        <f>+'P&amp;G-SL'!J12-data_pyg_old!C64</f>
        <v>-78.210000000000008</v>
      </c>
      <c r="E10" s="30">
        <f>+'P&amp;G-SL'!K12-data_pyg_old!D64</f>
        <v>8.5200000000000031</v>
      </c>
      <c r="F10" s="30">
        <f>+'P&amp;G-SL'!L12-data_pyg_old!E64</f>
        <v>-14.83</v>
      </c>
      <c r="G10" s="30">
        <f>+'P&amp;G-SL'!M12-data_pyg_old!F64</f>
        <v>-49.5</v>
      </c>
      <c r="H10" s="30">
        <f>+'P&amp;G-SL'!N12-data_pyg_old!G64</f>
        <v>-57.9</v>
      </c>
      <c r="I10" s="30">
        <f>+'P&amp;G-SL'!O12-data_pyg_old!H64</f>
        <v>-150.99</v>
      </c>
      <c r="J10" s="30">
        <f>+'P&amp;G-SL'!P12-data_pyg_old!I64</f>
        <v>-416.82</v>
      </c>
    </row>
    <row r="11" spans="1:10" x14ac:dyDescent="0.3">
      <c r="A11" s="3" t="e" vm="7">
        <v>#VALUE!</v>
      </c>
      <c r="B11" s="8" t="s">
        <v>27</v>
      </c>
      <c r="C11" s="30">
        <f>+'P&amp;G-SL'!I11-data_pyg_old!B75</f>
        <v>187.09999999999997</v>
      </c>
      <c r="D11" s="30">
        <f>+'P&amp;G-SL'!J11-data_pyg_old!C75</f>
        <v>948.39</v>
      </c>
      <c r="E11" s="30">
        <f>+'P&amp;G-SL'!K11-data_pyg_old!D75</f>
        <v>-50.34</v>
      </c>
      <c r="F11" s="30">
        <f>+'P&amp;G-SL'!L11-data_pyg_old!E75</f>
        <v>-232.18</v>
      </c>
      <c r="G11" s="30">
        <f>+'P&amp;G-SL'!M11-data_pyg_old!F75</f>
        <v>-533.77</v>
      </c>
      <c r="H11" s="30">
        <f>+'P&amp;G-SL'!N11-data_pyg_old!G75</f>
        <v>-54.2</v>
      </c>
      <c r="I11" s="30">
        <f>+'P&amp;G-SL'!O11-data_pyg_old!H75</f>
        <v>-54.2</v>
      </c>
      <c r="J11" s="30">
        <f>+'P&amp;G-SL'!P11-data_pyg_old!I75</f>
        <v>-461.61</v>
      </c>
    </row>
    <row r="12" spans="1:10" x14ac:dyDescent="0.3">
      <c r="A12" s="3" t="e" vm="8">
        <v>#VALUE!</v>
      </c>
      <c r="B12" s="8" t="s">
        <v>29</v>
      </c>
      <c r="C12" s="30">
        <f>+'P&amp;G-SL'!I13-data_pyg_old!B87</f>
        <v>634.86999999999989</v>
      </c>
      <c r="D12" s="30">
        <f>+'P&amp;G-SL'!J13-data_pyg_old!C87</f>
        <v>1236.05</v>
      </c>
      <c r="E12" s="30">
        <f>+'P&amp;G-SL'!K13-data_pyg_old!D87</f>
        <v>-28.8</v>
      </c>
      <c r="F12" s="30">
        <f>+'P&amp;G-SL'!L13-data_pyg_old!E87</f>
        <v>-67.69</v>
      </c>
      <c r="G12" s="30">
        <f>+'P&amp;G-SL'!M13-data_pyg_old!F87</f>
        <v>-46.59</v>
      </c>
      <c r="H12" s="30">
        <f>+'P&amp;G-SL'!N13-data_pyg_old!G87</f>
        <v>-57.9</v>
      </c>
      <c r="I12" s="30">
        <f>+'P&amp;G-SL'!O13-data_pyg_old!H87</f>
        <v>-92.15</v>
      </c>
      <c r="J12" s="30">
        <f>+'P&amp;G-SL'!P13-data_pyg_old!I87</f>
        <v>-386.5</v>
      </c>
    </row>
    <row r="13" spans="1:10" ht="27.6" x14ac:dyDescent="0.3">
      <c r="A13" s="3" t="e" vm="9">
        <v>#VALUE!</v>
      </c>
      <c r="B13" s="8" t="s">
        <v>31</v>
      </c>
      <c r="C13" s="30">
        <f>+'P&amp;G-SL'!I14-data_pyg_old!B109</f>
        <v>616.96</v>
      </c>
      <c r="D13" s="30">
        <f>+'P&amp;G-SL'!J14-data_pyg_old!C109</f>
        <v>-275.39</v>
      </c>
      <c r="E13" s="30">
        <f>+'P&amp;G-SL'!K14-data_pyg_old!D109</f>
        <v>-361.88</v>
      </c>
      <c r="F13" s="30">
        <f>+'P&amp;G-SL'!L14-data_pyg_old!E109</f>
        <v>-236.24</v>
      </c>
      <c r="G13" s="30">
        <f>+'P&amp;G-SL'!M14-data_pyg_old!F109</f>
        <v>-1462.4</v>
      </c>
      <c r="H13" s="30">
        <f>+'P&amp;G-SL'!N14-data_pyg_old!G109</f>
        <v>-54.2</v>
      </c>
      <c r="I13" s="30">
        <f>+'P&amp;G-SL'!O14-data_pyg_old!H109</f>
        <v>-105.9</v>
      </c>
      <c r="J13" s="30">
        <f>+'P&amp;G-SL'!P14-data_pyg_old!I109</f>
        <v>-93.92</v>
      </c>
    </row>
    <row r="14" spans="1:10" ht="15" customHeight="1" x14ac:dyDescent="0.3">
      <c r="A14" s="104" t="e" vm="10">
        <v>#VALUE!</v>
      </c>
      <c r="B14" s="219" t="s">
        <v>180</v>
      </c>
      <c r="C14" s="30">
        <f>+'P&amp;G-Ltd'!H5-data_pyg_old!Q3</f>
        <v>-12558.349999999999</v>
      </c>
      <c r="D14" s="30">
        <f>+'P&amp;G-Ltd'!I5-data_pyg_old!R3</f>
        <v>-12205.5</v>
      </c>
      <c r="E14" s="30">
        <f>+'P&amp;G-Ltd'!J5-data_pyg_old!S3</f>
        <v>-18542.89</v>
      </c>
      <c r="F14" s="30">
        <f>+'P&amp;G-Ltd'!K5-data_pyg_old!T3</f>
        <v>-25510.99</v>
      </c>
      <c r="G14" s="30">
        <f>+'P&amp;G-Ltd'!L5-data_pyg_old!U3</f>
        <v>-25273.31</v>
      </c>
      <c r="H14" s="30">
        <f>+'P&amp;G-Ltd'!M5-data_pyg_old!V3</f>
        <v>-27123.55</v>
      </c>
      <c r="I14" s="30">
        <f>+'P&amp;G-Ltd'!N5-data_pyg_old!W3</f>
        <v>-26037.43</v>
      </c>
      <c r="J14" s="30">
        <f>+'P&amp;G-Ltd'!O5-data_pyg_old!X3</f>
        <v>-22881.03</v>
      </c>
    </row>
  </sheetData>
  <mergeCells count="1">
    <mergeCell ref="A4:B4"/>
  </mergeCells>
  <conditionalFormatting sqref="C4:J14">
    <cfRule type="cellIs" dxfId="11" priority="3" operator="equal">
      <formula>0</formula>
    </cfRule>
  </conditionalFormatting>
  <conditionalFormatting sqref="C5:J1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{B71CA043-8912-4249-9DDE-8704B1210861}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1CA043-8912-4249-9DDE-8704B1210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C5:J14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6333-31FC-4B64-9691-B3CC159521A9}">
  <sheetPr>
    <tabColor theme="1"/>
  </sheetPr>
  <dimension ref="A1:L309"/>
  <sheetViews>
    <sheetView workbookViewId="0">
      <selection activeCell="L1" sqref="A1:L1048576"/>
    </sheetView>
  </sheetViews>
  <sheetFormatPr baseColWidth="10" defaultColWidth="10.6640625" defaultRowHeight="14.4" x14ac:dyDescent="0.3"/>
  <sheetData>
    <row r="1" spans="1:12" x14ac:dyDescent="0.3">
      <c r="A1" s="95" t="s">
        <v>536</v>
      </c>
      <c r="B1" s="95" t="s">
        <v>537</v>
      </c>
      <c r="C1" s="95" t="s">
        <v>538</v>
      </c>
      <c r="D1" s="95" t="s">
        <v>539</v>
      </c>
      <c r="E1" s="95" t="s">
        <v>540</v>
      </c>
      <c r="F1" s="95" t="s">
        <v>541</v>
      </c>
      <c r="G1" s="95" t="s">
        <v>542</v>
      </c>
      <c r="H1" s="95" t="s">
        <v>543</v>
      </c>
      <c r="I1" s="95" t="s">
        <v>544</v>
      </c>
      <c r="J1" s="95" t="s">
        <v>545</v>
      </c>
      <c r="K1" s="95" t="s">
        <v>546</v>
      </c>
      <c r="L1" s="95" t="s">
        <v>176</v>
      </c>
    </row>
    <row r="2" spans="1:12" x14ac:dyDescent="0.3">
      <c r="A2" s="95" t="s">
        <v>547</v>
      </c>
      <c r="B2" s="95" t="s">
        <v>548</v>
      </c>
      <c r="C2" s="95">
        <v>632.52</v>
      </c>
      <c r="D2" s="95">
        <v>1</v>
      </c>
      <c r="E2" s="95">
        <v>585.59</v>
      </c>
      <c r="F2" s="95">
        <v>-58.49</v>
      </c>
      <c r="G2" s="95">
        <v>0</v>
      </c>
      <c r="H2" s="95">
        <v>527.1</v>
      </c>
      <c r="I2" s="95">
        <v>0</v>
      </c>
      <c r="J2" s="95">
        <v>0</v>
      </c>
      <c r="K2" s="95">
        <v>0</v>
      </c>
      <c r="L2" s="95">
        <v>105.42</v>
      </c>
    </row>
    <row r="3" spans="1:12" x14ac:dyDescent="0.3">
      <c r="A3" s="95" t="s">
        <v>547</v>
      </c>
      <c r="B3" s="95" t="s">
        <v>549</v>
      </c>
      <c r="C3" s="95">
        <v>618.48</v>
      </c>
      <c r="D3" s="95">
        <v>1</v>
      </c>
      <c r="E3" s="95">
        <v>572.62</v>
      </c>
      <c r="F3" s="95">
        <v>-57.22</v>
      </c>
      <c r="G3" s="95">
        <v>0</v>
      </c>
      <c r="H3" s="95">
        <v>515.4</v>
      </c>
      <c r="I3" s="95">
        <v>0</v>
      </c>
      <c r="J3" s="95">
        <v>0</v>
      </c>
      <c r="K3" s="95">
        <v>0</v>
      </c>
      <c r="L3" s="95">
        <v>103.08</v>
      </c>
    </row>
    <row r="4" spans="1:12" x14ac:dyDescent="0.3">
      <c r="A4" s="95" t="s">
        <v>547</v>
      </c>
      <c r="B4" s="95" t="s">
        <v>550</v>
      </c>
      <c r="C4" s="95">
        <v>314.39999999999998</v>
      </c>
      <c r="D4" s="95">
        <v>1</v>
      </c>
      <c r="E4" s="95">
        <v>262</v>
      </c>
      <c r="F4" s="95">
        <v>0</v>
      </c>
      <c r="G4" s="95">
        <v>0</v>
      </c>
      <c r="H4" s="95">
        <v>262</v>
      </c>
      <c r="I4" s="95">
        <v>0</v>
      </c>
      <c r="J4" s="95">
        <v>0</v>
      </c>
      <c r="K4" s="95">
        <v>0</v>
      </c>
      <c r="L4" s="95">
        <v>52.4</v>
      </c>
    </row>
    <row r="5" spans="1:12" x14ac:dyDescent="0.3">
      <c r="A5" s="95" t="s">
        <v>547</v>
      </c>
      <c r="B5" s="95" t="s">
        <v>551</v>
      </c>
      <c r="C5" s="95">
        <v>305.45999999999998</v>
      </c>
      <c r="D5" s="95">
        <v>1</v>
      </c>
      <c r="E5" s="95">
        <v>282.79000000000002</v>
      </c>
      <c r="F5" s="95">
        <v>-28.24</v>
      </c>
      <c r="G5" s="95">
        <v>0</v>
      </c>
      <c r="H5" s="95">
        <v>254.55</v>
      </c>
      <c r="I5" s="95">
        <v>0</v>
      </c>
      <c r="J5" s="95">
        <v>0</v>
      </c>
      <c r="K5" s="95">
        <v>0</v>
      </c>
      <c r="L5" s="95">
        <v>50.91</v>
      </c>
    </row>
    <row r="6" spans="1:12" x14ac:dyDescent="0.3">
      <c r="A6" s="95" t="s">
        <v>547</v>
      </c>
      <c r="B6" s="95" t="s">
        <v>552</v>
      </c>
      <c r="C6" s="95">
        <v>275.55</v>
      </c>
      <c r="D6" s="95">
        <v>1</v>
      </c>
      <c r="E6" s="95">
        <v>229.62</v>
      </c>
      <c r="F6" s="95">
        <v>0</v>
      </c>
      <c r="G6" s="95">
        <v>0</v>
      </c>
      <c r="H6" s="95">
        <v>229.62</v>
      </c>
      <c r="I6" s="95">
        <v>0</v>
      </c>
      <c r="J6" s="95">
        <v>0</v>
      </c>
      <c r="K6" s="95">
        <v>0</v>
      </c>
      <c r="L6" s="95">
        <v>45.93</v>
      </c>
    </row>
    <row r="7" spans="1:12" x14ac:dyDescent="0.3">
      <c r="A7" s="95" t="s">
        <v>547</v>
      </c>
      <c r="B7" s="95" t="s">
        <v>553</v>
      </c>
      <c r="C7" s="95">
        <v>272.5</v>
      </c>
      <c r="D7" s="95">
        <v>1</v>
      </c>
      <c r="E7" s="95">
        <v>227.08</v>
      </c>
      <c r="F7" s="95">
        <v>0</v>
      </c>
      <c r="G7" s="95">
        <v>0</v>
      </c>
      <c r="H7" s="95">
        <v>227.08</v>
      </c>
      <c r="I7" s="95">
        <v>0</v>
      </c>
      <c r="J7" s="95">
        <v>0</v>
      </c>
      <c r="K7" s="95">
        <v>0</v>
      </c>
      <c r="L7" s="95">
        <v>45.42</v>
      </c>
    </row>
    <row r="8" spans="1:12" x14ac:dyDescent="0.3">
      <c r="A8" s="95" t="s">
        <v>547</v>
      </c>
      <c r="B8" s="95" t="s">
        <v>554</v>
      </c>
      <c r="C8" s="95">
        <v>265.5</v>
      </c>
      <c r="D8" s="95">
        <v>1</v>
      </c>
      <c r="E8" s="95">
        <v>221.25</v>
      </c>
      <c r="F8" s="95">
        <v>0</v>
      </c>
      <c r="G8" s="95">
        <v>0</v>
      </c>
      <c r="H8" s="95">
        <v>221.25</v>
      </c>
      <c r="I8" s="95">
        <v>0</v>
      </c>
      <c r="J8" s="95">
        <v>0</v>
      </c>
      <c r="K8" s="95">
        <v>0</v>
      </c>
      <c r="L8" s="95">
        <v>44.25</v>
      </c>
    </row>
    <row r="9" spans="1:12" x14ac:dyDescent="0.3">
      <c r="A9" s="95" t="s">
        <v>547</v>
      </c>
      <c r="B9" s="95" t="s">
        <v>555</v>
      </c>
      <c r="C9" s="95">
        <v>242.6</v>
      </c>
      <c r="D9" s="95">
        <v>1</v>
      </c>
      <c r="E9" s="95">
        <v>202.17</v>
      </c>
      <c r="F9" s="95">
        <v>0</v>
      </c>
      <c r="G9" s="95">
        <v>0</v>
      </c>
      <c r="H9" s="95">
        <v>202.17</v>
      </c>
      <c r="I9" s="95">
        <v>0</v>
      </c>
      <c r="J9" s="95">
        <v>0</v>
      </c>
      <c r="K9" s="95">
        <v>0</v>
      </c>
      <c r="L9" s="95">
        <v>40.43</v>
      </c>
    </row>
    <row r="10" spans="1:12" x14ac:dyDescent="0.3">
      <c r="A10" s="95" t="s">
        <v>547</v>
      </c>
      <c r="B10" s="95" t="s">
        <v>556</v>
      </c>
      <c r="C10" s="95">
        <v>233.64</v>
      </c>
      <c r="D10" s="95">
        <v>1</v>
      </c>
      <c r="E10" s="95">
        <v>216.3</v>
      </c>
      <c r="F10" s="95">
        <v>-21.6</v>
      </c>
      <c r="G10" s="95">
        <v>0</v>
      </c>
      <c r="H10" s="95">
        <v>194.7</v>
      </c>
      <c r="I10" s="95">
        <v>0</v>
      </c>
      <c r="J10" s="95">
        <v>0</v>
      </c>
      <c r="K10" s="95">
        <v>0</v>
      </c>
      <c r="L10" s="95">
        <v>38.94</v>
      </c>
    </row>
    <row r="11" spans="1:12" x14ac:dyDescent="0.3">
      <c r="A11" s="95" t="s">
        <v>547</v>
      </c>
      <c r="B11" s="95" t="s">
        <v>557</v>
      </c>
      <c r="C11" s="95">
        <v>230.5</v>
      </c>
      <c r="D11" s="95">
        <v>1</v>
      </c>
      <c r="E11" s="95">
        <v>192.08</v>
      </c>
      <c r="F11" s="95">
        <v>0</v>
      </c>
      <c r="G11" s="95">
        <v>0</v>
      </c>
      <c r="H11" s="95">
        <v>192.08</v>
      </c>
      <c r="I11" s="95">
        <v>0</v>
      </c>
      <c r="J11" s="95">
        <v>0</v>
      </c>
      <c r="K11" s="95">
        <v>0</v>
      </c>
      <c r="L11" s="95">
        <v>38.42</v>
      </c>
    </row>
    <row r="12" spans="1:12" x14ac:dyDescent="0.3">
      <c r="A12" s="95" t="s">
        <v>547</v>
      </c>
      <c r="B12" s="95" t="s">
        <v>558</v>
      </c>
      <c r="C12" s="95">
        <v>223.5</v>
      </c>
      <c r="D12" s="95">
        <v>1</v>
      </c>
      <c r="E12" s="95">
        <v>186.25</v>
      </c>
      <c r="F12" s="95">
        <v>0</v>
      </c>
      <c r="G12" s="95">
        <v>0</v>
      </c>
      <c r="H12" s="95">
        <v>186.25</v>
      </c>
      <c r="I12" s="95">
        <v>0</v>
      </c>
      <c r="J12" s="95">
        <v>0</v>
      </c>
      <c r="K12" s="95">
        <v>0</v>
      </c>
      <c r="L12" s="95">
        <v>37.25</v>
      </c>
    </row>
    <row r="13" spans="1:12" x14ac:dyDescent="0.3">
      <c r="A13" s="95" t="s">
        <v>547</v>
      </c>
      <c r="B13" s="95" t="s">
        <v>559</v>
      </c>
      <c r="C13" s="95">
        <v>206.1</v>
      </c>
      <c r="D13" s="95">
        <v>1</v>
      </c>
      <c r="E13" s="95">
        <v>171.75</v>
      </c>
      <c r="F13" s="95">
        <v>0</v>
      </c>
      <c r="G13" s="95">
        <v>0</v>
      </c>
      <c r="H13" s="95">
        <v>171.75</v>
      </c>
      <c r="I13" s="95">
        <v>0</v>
      </c>
      <c r="J13" s="95">
        <v>0</v>
      </c>
      <c r="K13" s="95">
        <v>0</v>
      </c>
      <c r="L13" s="95">
        <v>34.35</v>
      </c>
    </row>
    <row r="14" spans="1:12" x14ac:dyDescent="0.3">
      <c r="A14" s="95" t="s">
        <v>547</v>
      </c>
      <c r="B14" s="95" t="s">
        <v>560</v>
      </c>
      <c r="C14" s="95">
        <v>195.84</v>
      </c>
      <c r="D14" s="95">
        <v>1</v>
      </c>
      <c r="E14" s="95">
        <v>181.31</v>
      </c>
      <c r="F14" s="95">
        <v>-18.11</v>
      </c>
      <c r="G14" s="95">
        <v>0</v>
      </c>
      <c r="H14" s="95">
        <v>163.19999999999999</v>
      </c>
      <c r="I14" s="95">
        <v>0</v>
      </c>
      <c r="J14" s="95">
        <v>0</v>
      </c>
      <c r="K14" s="95">
        <v>0</v>
      </c>
      <c r="L14" s="95">
        <v>32.64</v>
      </c>
    </row>
    <row r="15" spans="1:12" x14ac:dyDescent="0.3">
      <c r="A15" s="95" t="s">
        <v>547</v>
      </c>
      <c r="B15" s="95" t="s">
        <v>561</v>
      </c>
      <c r="C15" s="95">
        <v>194.7</v>
      </c>
      <c r="D15" s="95">
        <v>1</v>
      </c>
      <c r="E15" s="95">
        <v>162.25</v>
      </c>
      <c r="F15" s="95">
        <v>0</v>
      </c>
      <c r="G15" s="95">
        <v>0</v>
      </c>
      <c r="H15" s="95">
        <v>162.25</v>
      </c>
      <c r="I15" s="95">
        <v>0</v>
      </c>
      <c r="J15" s="95">
        <v>0</v>
      </c>
      <c r="K15" s="95">
        <v>0</v>
      </c>
      <c r="L15" s="95">
        <v>32.450000000000003</v>
      </c>
    </row>
    <row r="16" spans="1:12" x14ac:dyDescent="0.3">
      <c r="A16" s="95" t="s">
        <v>547</v>
      </c>
      <c r="B16" s="95" t="s">
        <v>562</v>
      </c>
      <c r="C16" s="95">
        <v>188.64</v>
      </c>
      <c r="D16" s="95">
        <v>1</v>
      </c>
      <c r="E16" s="95">
        <v>174.64</v>
      </c>
      <c r="F16" s="95">
        <v>-17.440000000000001</v>
      </c>
      <c r="G16" s="95">
        <v>0</v>
      </c>
      <c r="H16" s="95">
        <v>157.19999999999999</v>
      </c>
      <c r="I16" s="95">
        <v>0</v>
      </c>
      <c r="J16" s="95">
        <v>0</v>
      </c>
      <c r="K16" s="95">
        <v>0</v>
      </c>
      <c r="L16" s="95">
        <v>31.44</v>
      </c>
    </row>
    <row r="17" spans="1:12" x14ac:dyDescent="0.3">
      <c r="A17" s="95" t="s">
        <v>547</v>
      </c>
      <c r="B17" s="95" t="s">
        <v>563</v>
      </c>
      <c r="C17" s="95">
        <v>167.7</v>
      </c>
      <c r="D17" s="95">
        <v>1</v>
      </c>
      <c r="E17" s="95">
        <v>139.75</v>
      </c>
      <c r="F17" s="95">
        <v>0</v>
      </c>
      <c r="G17" s="95">
        <v>0</v>
      </c>
      <c r="H17" s="95">
        <v>139.75</v>
      </c>
      <c r="I17" s="95">
        <v>0</v>
      </c>
      <c r="J17" s="95">
        <v>0</v>
      </c>
      <c r="K17" s="95">
        <v>0</v>
      </c>
      <c r="L17" s="95">
        <v>27.95</v>
      </c>
    </row>
    <row r="18" spans="1:12" x14ac:dyDescent="0.3">
      <c r="A18" s="95" t="s">
        <v>547</v>
      </c>
      <c r="B18" s="95" t="s">
        <v>564</v>
      </c>
      <c r="C18" s="95">
        <v>166.6</v>
      </c>
      <c r="D18" s="95">
        <v>1</v>
      </c>
      <c r="E18" s="95">
        <v>138.83000000000001</v>
      </c>
      <c r="F18" s="95">
        <v>0</v>
      </c>
      <c r="G18" s="95">
        <v>0</v>
      </c>
      <c r="H18" s="95">
        <v>138.83000000000001</v>
      </c>
      <c r="I18" s="95">
        <v>0</v>
      </c>
      <c r="J18" s="95">
        <v>0</v>
      </c>
      <c r="K18" s="95">
        <v>0</v>
      </c>
      <c r="L18" s="95">
        <v>27.77</v>
      </c>
    </row>
    <row r="19" spans="1:12" x14ac:dyDescent="0.3">
      <c r="A19" s="95" t="s">
        <v>547</v>
      </c>
      <c r="B19" s="95" t="s">
        <v>565</v>
      </c>
      <c r="C19" s="95">
        <v>158.04</v>
      </c>
      <c r="D19" s="95">
        <v>1</v>
      </c>
      <c r="E19" s="95">
        <v>146.31</v>
      </c>
      <c r="F19" s="95">
        <v>-14.61</v>
      </c>
      <c r="G19" s="95">
        <v>0</v>
      </c>
      <c r="H19" s="95">
        <v>131.69999999999999</v>
      </c>
      <c r="I19" s="95">
        <v>0</v>
      </c>
      <c r="J19" s="95">
        <v>0</v>
      </c>
      <c r="K19" s="95">
        <v>0</v>
      </c>
      <c r="L19" s="95">
        <v>26.34</v>
      </c>
    </row>
    <row r="20" spans="1:12" x14ac:dyDescent="0.3">
      <c r="A20" s="95" t="s">
        <v>547</v>
      </c>
      <c r="B20" s="95" t="s">
        <v>566</v>
      </c>
      <c r="C20" s="95">
        <v>154.26</v>
      </c>
      <c r="D20" s="95">
        <v>1</v>
      </c>
      <c r="E20" s="95">
        <v>142.79</v>
      </c>
      <c r="F20" s="95">
        <v>-14.24</v>
      </c>
      <c r="G20" s="95">
        <v>0</v>
      </c>
      <c r="H20" s="95">
        <v>128.55000000000001</v>
      </c>
      <c r="I20" s="95">
        <v>0</v>
      </c>
      <c r="J20" s="95">
        <v>0</v>
      </c>
      <c r="K20" s="95">
        <v>0</v>
      </c>
      <c r="L20" s="95">
        <v>25.71</v>
      </c>
    </row>
    <row r="21" spans="1:12" x14ac:dyDescent="0.3">
      <c r="A21" s="95" t="s">
        <v>547</v>
      </c>
      <c r="B21" s="95" t="s">
        <v>567</v>
      </c>
      <c r="C21" s="95">
        <v>152.72999999999999</v>
      </c>
      <c r="D21" s="95">
        <v>1</v>
      </c>
      <c r="E21" s="95">
        <v>141.38999999999999</v>
      </c>
      <c r="F21" s="95">
        <v>-14.12</v>
      </c>
      <c r="G21" s="95">
        <v>0</v>
      </c>
      <c r="H21" s="95">
        <v>127.27</v>
      </c>
      <c r="I21" s="95">
        <v>0</v>
      </c>
      <c r="J21" s="95">
        <v>0</v>
      </c>
      <c r="K21" s="95">
        <v>0</v>
      </c>
      <c r="L21" s="95">
        <v>25.46</v>
      </c>
    </row>
    <row r="22" spans="1:12" x14ac:dyDescent="0.3">
      <c r="A22" s="95" t="s">
        <v>547</v>
      </c>
      <c r="B22" s="95" t="s">
        <v>568</v>
      </c>
      <c r="C22" s="95">
        <v>150.93</v>
      </c>
      <c r="D22" s="95">
        <v>1</v>
      </c>
      <c r="E22" s="95">
        <v>139.72</v>
      </c>
      <c r="F22" s="95">
        <v>-13.95</v>
      </c>
      <c r="G22" s="95">
        <v>0</v>
      </c>
      <c r="H22" s="95">
        <v>125.77</v>
      </c>
      <c r="I22" s="95">
        <v>0</v>
      </c>
      <c r="J22" s="95">
        <v>0</v>
      </c>
      <c r="K22" s="95">
        <v>0</v>
      </c>
      <c r="L22" s="95">
        <v>25.16</v>
      </c>
    </row>
    <row r="23" spans="1:12" x14ac:dyDescent="0.3">
      <c r="A23" s="95" t="s">
        <v>547</v>
      </c>
      <c r="B23" s="95" t="s">
        <v>569</v>
      </c>
      <c r="C23" s="95">
        <v>144.69999999999999</v>
      </c>
      <c r="D23" s="95">
        <v>1</v>
      </c>
      <c r="E23" s="95">
        <v>120.58</v>
      </c>
      <c r="F23" s="95">
        <v>0</v>
      </c>
      <c r="G23" s="95">
        <v>0</v>
      </c>
      <c r="H23" s="95">
        <v>120.58</v>
      </c>
      <c r="I23" s="95">
        <v>0</v>
      </c>
      <c r="J23" s="95">
        <v>0</v>
      </c>
      <c r="K23" s="95">
        <v>0</v>
      </c>
      <c r="L23" s="95">
        <v>24.12</v>
      </c>
    </row>
    <row r="24" spans="1:12" x14ac:dyDescent="0.3">
      <c r="A24" s="95" t="s">
        <v>547</v>
      </c>
      <c r="B24" s="95" t="s">
        <v>570</v>
      </c>
      <c r="C24" s="95">
        <v>139.6</v>
      </c>
      <c r="D24" s="95">
        <v>1</v>
      </c>
      <c r="E24" s="95">
        <v>116.33</v>
      </c>
      <c r="F24" s="95">
        <v>0</v>
      </c>
      <c r="G24" s="95">
        <v>0</v>
      </c>
      <c r="H24" s="95">
        <v>116.33</v>
      </c>
      <c r="I24" s="95">
        <v>0</v>
      </c>
      <c r="J24" s="95">
        <v>0</v>
      </c>
      <c r="K24" s="95">
        <v>0</v>
      </c>
      <c r="L24" s="95">
        <v>23.27</v>
      </c>
    </row>
    <row r="25" spans="1:12" x14ac:dyDescent="0.3">
      <c r="A25" s="95" t="s">
        <v>547</v>
      </c>
      <c r="B25" s="95" t="s">
        <v>571</v>
      </c>
      <c r="C25" s="95">
        <v>134.77000000000001</v>
      </c>
      <c r="D25" s="95">
        <v>1</v>
      </c>
      <c r="E25" s="95">
        <v>124.78</v>
      </c>
      <c r="F25" s="95">
        <v>-12.47</v>
      </c>
      <c r="G25" s="95">
        <v>0</v>
      </c>
      <c r="H25" s="95">
        <v>112.31</v>
      </c>
      <c r="I25" s="95">
        <v>0</v>
      </c>
      <c r="J25" s="95">
        <v>0</v>
      </c>
      <c r="K25" s="95">
        <v>0</v>
      </c>
      <c r="L25" s="95">
        <v>22.46</v>
      </c>
    </row>
    <row r="26" spans="1:12" x14ac:dyDescent="0.3">
      <c r="A26" s="95" t="s">
        <v>547</v>
      </c>
      <c r="B26" s="95" t="s">
        <v>572</v>
      </c>
      <c r="C26" s="95">
        <v>130.22999999999999</v>
      </c>
      <c r="D26" s="95">
        <v>1</v>
      </c>
      <c r="E26" s="95">
        <v>120.56</v>
      </c>
      <c r="F26" s="95">
        <v>-12.04</v>
      </c>
      <c r="G26" s="95">
        <v>0</v>
      </c>
      <c r="H26" s="95">
        <v>108.52</v>
      </c>
      <c r="I26" s="95">
        <v>0</v>
      </c>
      <c r="J26" s="95">
        <v>0</v>
      </c>
      <c r="K26" s="95">
        <v>0</v>
      </c>
      <c r="L26" s="95">
        <v>21.71</v>
      </c>
    </row>
    <row r="27" spans="1:12" x14ac:dyDescent="0.3">
      <c r="A27" s="95" t="s">
        <v>547</v>
      </c>
      <c r="B27" s="95" t="s">
        <v>573</v>
      </c>
      <c r="C27" s="95">
        <v>129.80000000000001</v>
      </c>
      <c r="D27" s="95">
        <v>1</v>
      </c>
      <c r="E27" s="95">
        <v>108.17</v>
      </c>
      <c r="F27" s="95">
        <v>0</v>
      </c>
      <c r="G27" s="95">
        <v>0</v>
      </c>
      <c r="H27" s="95">
        <v>108.17</v>
      </c>
      <c r="I27" s="95">
        <v>0</v>
      </c>
      <c r="J27" s="95">
        <v>0</v>
      </c>
      <c r="K27" s="95">
        <v>0</v>
      </c>
      <c r="L27" s="95">
        <v>21.63</v>
      </c>
    </row>
    <row r="28" spans="1:12" x14ac:dyDescent="0.3">
      <c r="A28" s="95" t="s">
        <v>547</v>
      </c>
      <c r="B28" s="95" t="s">
        <v>574</v>
      </c>
      <c r="C28" s="95">
        <v>119.7</v>
      </c>
      <c r="D28" s="95">
        <v>1</v>
      </c>
      <c r="E28" s="95">
        <v>99.75</v>
      </c>
      <c r="F28" s="95">
        <v>0</v>
      </c>
      <c r="G28" s="95">
        <v>0</v>
      </c>
      <c r="H28" s="95">
        <v>99.75</v>
      </c>
      <c r="I28" s="95">
        <v>0</v>
      </c>
      <c r="J28" s="95">
        <v>0</v>
      </c>
      <c r="K28" s="95">
        <v>0</v>
      </c>
      <c r="L28" s="95">
        <v>19.95</v>
      </c>
    </row>
    <row r="29" spans="1:12" x14ac:dyDescent="0.3">
      <c r="A29" s="95" t="s">
        <v>547</v>
      </c>
      <c r="B29" s="95" t="s">
        <v>575</v>
      </c>
      <c r="C29" s="95">
        <v>116.82</v>
      </c>
      <c r="D29" s="95">
        <v>1</v>
      </c>
      <c r="E29" s="95">
        <v>108.15</v>
      </c>
      <c r="F29" s="95">
        <v>-10.8</v>
      </c>
      <c r="G29" s="95">
        <v>0</v>
      </c>
      <c r="H29" s="95">
        <v>97.35</v>
      </c>
      <c r="I29" s="95">
        <v>0</v>
      </c>
      <c r="J29" s="95">
        <v>0</v>
      </c>
      <c r="K29" s="95">
        <v>0</v>
      </c>
      <c r="L29" s="95">
        <v>19.47</v>
      </c>
    </row>
    <row r="30" spans="1:12" x14ac:dyDescent="0.3">
      <c r="A30" s="95" t="s">
        <v>547</v>
      </c>
      <c r="B30" s="95" t="s">
        <v>576</v>
      </c>
      <c r="C30" s="95">
        <v>114.5</v>
      </c>
      <c r="D30" s="95">
        <v>1</v>
      </c>
      <c r="E30" s="95">
        <v>95.42</v>
      </c>
      <c r="F30" s="95">
        <v>0</v>
      </c>
      <c r="G30" s="95">
        <v>0</v>
      </c>
      <c r="H30" s="95">
        <v>95.42</v>
      </c>
      <c r="I30" s="95">
        <v>0</v>
      </c>
      <c r="J30" s="95">
        <v>0</v>
      </c>
      <c r="K30" s="95">
        <v>0</v>
      </c>
      <c r="L30" s="95">
        <v>19.079999999999998</v>
      </c>
    </row>
    <row r="31" spans="1:12" x14ac:dyDescent="0.3">
      <c r="A31" s="95" t="s">
        <v>547</v>
      </c>
      <c r="B31" s="95" t="s">
        <v>577</v>
      </c>
      <c r="C31" s="95">
        <v>113.94</v>
      </c>
      <c r="D31" s="95">
        <v>1</v>
      </c>
      <c r="E31" s="95">
        <v>105.48</v>
      </c>
      <c r="F31" s="95">
        <v>-10.53</v>
      </c>
      <c r="G31" s="95">
        <v>0</v>
      </c>
      <c r="H31" s="95">
        <v>94.95</v>
      </c>
      <c r="I31" s="95">
        <v>0</v>
      </c>
      <c r="J31" s="95">
        <v>0</v>
      </c>
      <c r="K31" s="95">
        <v>0</v>
      </c>
      <c r="L31" s="95">
        <v>18.989999999999998</v>
      </c>
    </row>
    <row r="32" spans="1:12" x14ac:dyDescent="0.3">
      <c r="A32" s="95" t="s">
        <v>547</v>
      </c>
      <c r="B32" s="95" t="s">
        <v>578</v>
      </c>
      <c r="C32" s="95">
        <v>113.13</v>
      </c>
      <c r="D32" s="95">
        <v>1</v>
      </c>
      <c r="E32" s="95">
        <v>104.74</v>
      </c>
      <c r="F32" s="95">
        <v>-10.47</v>
      </c>
      <c r="G32" s="95">
        <v>0</v>
      </c>
      <c r="H32" s="95">
        <v>94.27</v>
      </c>
      <c r="I32" s="95">
        <v>0</v>
      </c>
      <c r="J32" s="95">
        <v>0</v>
      </c>
      <c r="K32" s="95">
        <v>0</v>
      </c>
      <c r="L32" s="95">
        <v>18.86</v>
      </c>
    </row>
    <row r="33" spans="1:12" x14ac:dyDescent="0.3">
      <c r="A33" s="95" t="s">
        <v>547</v>
      </c>
      <c r="B33" s="95" t="s">
        <v>579</v>
      </c>
      <c r="C33" s="95">
        <v>111.8</v>
      </c>
      <c r="D33" s="95">
        <v>1</v>
      </c>
      <c r="E33" s="95">
        <v>93.17</v>
      </c>
      <c r="F33" s="95">
        <v>0</v>
      </c>
      <c r="G33" s="95">
        <v>0</v>
      </c>
      <c r="H33" s="95">
        <v>93.17</v>
      </c>
      <c r="I33" s="95">
        <v>0</v>
      </c>
      <c r="J33" s="95">
        <v>0</v>
      </c>
      <c r="K33" s="95">
        <v>0</v>
      </c>
      <c r="L33" s="95">
        <v>18.63</v>
      </c>
    </row>
    <row r="34" spans="1:12" x14ac:dyDescent="0.3">
      <c r="A34" s="95" t="s">
        <v>580</v>
      </c>
      <c r="B34" s="95" t="s">
        <v>581</v>
      </c>
      <c r="C34" s="95">
        <v>111.56</v>
      </c>
      <c r="D34" s="95">
        <v>1</v>
      </c>
      <c r="E34" s="95">
        <v>114.74</v>
      </c>
      <c r="F34" s="95">
        <v>-21.77</v>
      </c>
      <c r="G34" s="95">
        <v>0</v>
      </c>
      <c r="H34" s="95">
        <v>92.97</v>
      </c>
      <c r="I34" s="95">
        <v>0</v>
      </c>
      <c r="J34" s="95">
        <v>0</v>
      </c>
      <c r="K34" s="95">
        <v>0</v>
      </c>
      <c r="L34" s="95">
        <v>18.59</v>
      </c>
    </row>
    <row r="35" spans="1:12" x14ac:dyDescent="0.3">
      <c r="A35" s="95" t="s">
        <v>547</v>
      </c>
      <c r="B35" s="95" t="s">
        <v>582</v>
      </c>
      <c r="C35" s="95">
        <v>108.6</v>
      </c>
      <c r="D35" s="95">
        <v>1</v>
      </c>
      <c r="E35" s="95">
        <v>90.5</v>
      </c>
      <c r="F35" s="95">
        <v>0</v>
      </c>
      <c r="G35" s="95">
        <v>0</v>
      </c>
      <c r="H35" s="95">
        <v>90.5</v>
      </c>
      <c r="I35" s="95">
        <v>0</v>
      </c>
      <c r="J35" s="95">
        <v>0</v>
      </c>
      <c r="K35" s="95">
        <v>0</v>
      </c>
      <c r="L35" s="95">
        <v>18.100000000000001</v>
      </c>
    </row>
    <row r="36" spans="1:12" x14ac:dyDescent="0.3">
      <c r="A36" s="95" t="s">
        <v>547</v>
      </c>
      <c r="B36" s="95" t="s">
        <v>583</v>
      </c>
      <c r="C36" s="95">
        <v>107.86</v>
      </c>
      <c r="D36" s="95">
        <v>1</v>
      </c>
      <c r="E36" s="95">
        <v>99.86</v>
      </c>
      <c r="F36" s="95">
        <v>-9.98</v>
      </c>
      <c r="G36" s="95">
        <v>0</v>
      </c>
      <c r="H36" s="95">
        <v>89.88</v>
      </c>
      <c r="I36" s="95">
        <v>0</v>
      </c>
      <c r="J36" s="95">
        <v>0</v>
      </c>
      <c r="K36" s="95">
        <v>0</v>
      </c>
      <c r="L36" s="95">
        <v>17.98</v>
      </c>
    </row>
    <row r="37" spans="1:12" x14ac:dyDescent="0.3">
      <c r="A37" s="95" t="s">
        <v>547</v>
      </c>
      <c r="B37" s="95" t="s">
        <v>584</v>
      </c>
      <c r="C37" s="95">
        <v>107.73</v>
      </c>
      <c r="D37" s="95">
        <v>1</v>
      </c>
      <c r="E37" s="95">
        <v>99.73</v>
      </c>
      <c r="F37" s="95">
        <v>-9.9600000000000009</v>
      </c>
      <c r="G37" s="95">
        <v>0</v>
      </c>
      <c r="H37" s="95">
        <v>89.77</v>
      </c>
      <c r="I37" s="95">
        <v>0</v>
      </c>
      <c r="J37" s="95">
        <v>0</v>
      </c>
      <c r="K37" s="95">
        <v>0</v>
      </c>
      <c r="L37" s="95">
        <v>17.96</v>
      </c>
    </row>
    <row r="38" spans="1:12" x14ac:dyDescent="0.3">
      <c r="A38" s="95" t="s">
        <v>547</v>
      </c>
      <c r="B38" s="95" t="s">
        <v>585</v>
      </c>
      <c r="C38" s="95">
        <v>104.8</v>
      </c>
      <c r="D38" s="95">
        <v>1</v>
      </c>
      <c r="E38" s="95">
        <v>87.33</v>
      </c>
      <c r="F38" s="95">
        <v>0</v>
      </c>
      <c r="G38" s="95">
        <v>0</v>
      </c>
      <c r="H38" s="95">
        <v>87.33</v>
      </c>
      <c r="I38" s="95">
        <v>0</v>
      </c>
      <c r="J38" s="95">
        <v>0</v>
      </c>
      <c r="K38" s="95">
        <v>0</v>
      </c>
      <c r="L38" s="95">
        <v>17.47</v>
      </c>
    </row>
    <row r="39" spans="1:12" x14ac:dyDescent="0.3">
      <c r="A39" s="95" t="s">
        <v>547</v>
      </c>
      <c r="B39" s="95" t="s">
        <v>586</v>
      </c>
      <c r="C39" s="95">
        <v>104.17</v>
      </c>
      <c r="D39" s="95">
        <v>1</v>
      </c>
      <c r="E39" s="95">
        <v>96.44</v>
      </c>
      <c r="F39" s="95">
        <v>-9.6300000000000008</v>
      </c>
      <c r="G39" s="95">
        <v>0</v>
      </c>
      <c r="H39" s="95">
        <v>86.81</v>
      </c>
      <c r="I39" s="95">
        <v>0</v>
      </c>
      <c r="J39" s="95">
        <v>0</v>
      </c>
      <c r="K39" s="95">
        <v>0</v>
      </c>
      <c r="L39" s="95">
        <v>17.36</v>
      </c>
    </row>
    <row r="40" spans="1:12" x14ac:dyDescent="0.3">
      <c r="A40" s="95" t="s">
        <v>547</v>
      </c>
      <c r="B40" s="95" t="s">
        <v>587</v>
      </c>
      <c r="C40" s="95">
        <v>100.57</v>
      </c>
      <c r="D40" s="95">
        <v>1</v>
      </c>
      <c r="E40" s="95">
        <v>93.11</v>
      </c>
      <c r="F40" s="95">
        <v>-9.3000000000000007</v>
      </c>
      <c r="G40" s="95">
        <v>0</v>
      </c>
      <c r="H40" s="95">
        <v>83.81</v>
      </c>
      <c r="I40" s="95">
        <v>0</v>
      </c>
      <c r="J40" s="95">
        <v>0</v>
      </c>
      <c r="K40" s="95">
        <v>0</v>
      </c>
      <c r="L40" s="95">
        <v>16.760000000000002</v>
      </c>
    </row>
    <row r="41" spans="1:12" x14ac:dyDescent="0.3">
      <c r="A41" s="95" t="s">
        <v>547</v>
      </c>
      <c r="B41" s="95" t="s">
        <v>588</v>
      </c>
      <c r="C41" s="95">
        <v>99.95</v>
      </c>
      <c r="D41" s="95">
        <v>1</v>
      </c>
      <c r="E41" s="95">
        <v>83.29</v>
      </c>
      <c r="F41" s="95">
        <v>0</v>
      </c>
      <c r="G41" s="95">
        <v>0</v>
      </c>
      <c r="H41" s="95">
        <v>83.29</v>
      </c>
      <c r="I41" s="95">
        <v>0</v>
      </c>
      <c r="J41" s="95">
        <v>0</v>
      </c>
      <c r="K41" s="95">
        <v>0</v>
      </c>
      <c r="L41" s="95">
        <v>16.66</v>
      </c>
    </row>
    <row r="42" spans="1:12" x14ac:dyDescent="0.3">
      <c r="A42" s="95" t="s">
        <v>547</v>
      </c>
      <c r="B42" s="95" t="s">
        <v>589</v>
      </c>
      <c r="C42" s="95">
        <v>99.63</v>
      </c>
      <c r="D42" s="95">
        <v>1</v>
      </c>
      <c r="E42" s="95">
        <v>92.22</v>
      </c>
      <c r="F42" s="95">
        <v>-9.1999999999999993</v>
      </c>
      <c r="G42" s="95">
        <v>0</v>
      </c>
      <c r="H42" s="95">
        <v>83.02</v>
      </c>
      <c r="I42" s="95">
        <v>0</v>
      </c>
      <c r="J42" s="95">
        <v>0</v>
      </c>
      <c r="K42" s="95">
        <v>0</v>
      </c>
      <c r="L42" s="95">
        <v>16.61</v>
      </c>
    </row>
    <row r="43" spans="1:12" x14ac:dyDescent="0.3">
      <c r="A43" s="95" t="s">
        <v>547</v>
      </c>
      <c r="B43" s="95" t="s">
        <v>590</v>
      </c>
      <c r="C43" s="95">
        <v>97.9</v>
      </c>
      <c r="D43" s="95">
        <v>1</v>
      </c>
      <c r="E43" s="95">
        <v>81.58</v>
      </c>
      <c r="F43" s="95">
        <v>0</v>
      </c>
      <c r="G43" s="95">
        <v>0</v>
      </c>
      <c r="H43" s="95">
        <v>81.58</v>
      </c>
      <c r="I43" s="95">
        <v>0</v>
      </c>
      <c r="J43" s="95">
        <v>0</v>
      </c>
      <c r="K43" s="95">
        <v>0</v>
      </c>
      <c r="L43" s="95">
        <v>16.32</v>
      </c>
    </row>
    <row r="44" spans="1:12" x14ac:dyDescent="0.3">
      <c r="A44" s="95" t="s">
        <v>547</v>
      </c>
      <c r="B44" s="95" t="s">
        <v>591</v>
      </c>
      <c r="C44" s="95">
        <v>97.9</v>
      </c>
      <c r="D44" s="95">
        <v>1</v>
      </c>
      <c r="E44" s="95">
        <v>81.58</v>
      </c>
      <c r="F44" s="95">
        <v>0</v>
      </c>
      <c r="G44" s="95">
        <v>0</v>
      </c>
      <c r="H44" s="95">
        <v>81.58</v>
      </c>
      <c r="I44" s="95">
        <v>0</v>
      </c>
      <c r="J44" s="95">
        <v>0</v>
      </c>
      <c r="K44" s="95">
        <v>0</v>
      </c>
      <c r="L44" s="95">
        <v>16.32</v>
      </c>
    </row>
    <row r="45" spans="1:12" x14ac:dyDescent="0.3">
      <c r="A45" s="95" t="s">
        <v>547</v>
      </c>
      <c r="B45" s="95" t="s">
        <v>592</v>
      </c>
      <c r="C45" s="95">
        <v>97.9</v>
      </c>
      <c r="D45" s="95">
        <v>1</v>
      </c>
      <c r="E45" s="95">
        <v>81.58</v>
      </c>
      <c r="F45" s="95">
        <v>0</v>
      </c>
      <c r="G45" s="95">
        <v>0</v>
      </c>
      <c r="H45" s="95">
        <v>81.58</v>
      </c>
      <c r="I45" s="95">
        <v>0</v>
      </c>
      <c r="J45" s="95">
        <v>0</v>
      </c>
      <c r="K45" s="95">
        <v>0</v>
      </c>
      <c r="L45" s="95">
        <v>16.32</v>
      </c>
    </row>
    <row r="46" spans="1:12" x14ac:dyDescent="0.3">
      <c r="A46" s="95" t="s">
        <v>547</v>
      </c>
      <c r="B46" s="95" t="s">
        <v>593</v>
      </c>
      <c r="C46" s="95">
        <v>97.9</v>
      </c>
      <c r="D46" s="95">
        <v>1</v>
      </c>
      <c r="E46" s="95">
        <v>81.58</v>
      </c>
      <c r="F46" s="95">
        <v>0</v>
      </c>
      <c r="G46" s="95">
        <v>0</v>
      </c>
      <c r="H46" s="95">
        <v>81.58</v>
      </c>
      <c r="I46" s="95">
        <v>0</v>
      </c>
      <c r="J46" s="95">
        <v>0</v>
      </c>
      <c r="K46" s="95">
        <v>0</v>
      </c>
      <c r="L46" s="95">
        <v>16.32</v>
      </c>
    </row>
    <row r="47" spans="1:12" x14ac:dyDescent="0.3">
      <c r="A47" s="95" t="s">
        <v>547</v>
      </c>
      <c r="B47" s="95" t="s">
        <v>594</v>
      </c>
      <c r="C47" s="95">
        <v>97.9</v>
      </c>
      <c r="D47" s="95">
        <v>1</v>
      </c>
      <c r="E47" s="95">
        <v>81.58</v>
      </c>
      <c r="F47" s="95">
        <v>0</v>
      </c>
      <c r="G47" s="95">
        <v>0</v>
      </c>
      <c r="H47" s="95">
        <v>81.58</v>
      </c>
      <c r="I47" s="95">
        <v>0</v>
      </c>
      <c r="J47" s="95">
        <v>0</v>
      </c>
      <c r="K47" s="95">
        <v>0</v>
      </c>
      <c r="L47" s="95">
        <v>16.32</v>
      </c>
    </row>
    <row r="48" spans="1:12" x14ac:dyDescent="0.3">
      <c r="A48" s="95" t="s">
        <v>547</v>
      </c>
      <c r="B48" s="95" t="s">
        <v>595</v>
      </c>
      <c r="C48" s="95">
        <v>97.9</v>
      </c>
      <c r="D48" s="95">
        <v>1</v>
      </c>
      <c r="E48" s="95">
        <v>81.58</v>
      </c>
      <c r="F48" s="95">
        <v>0</v>
      </c>
      <c r="G48" s="95">
        <v>0</v>
      </c>
      <c r="H48" s="95">
        <v>81.58</v>
      </c>
      <c r="I48" s="95">
        <v>0</v>
      </c>
      <c r="J48" s="95">
        <v>0</v>
      </c>
      <c r="K48" s="95">
        <v>0</v>
      </c>
      <c r="L48" s="95">
        <v>16.32</v>
      </c>
    </row>
    <row r="49" spans="1:12" x14ac:dyDescent="0.3">
      <c r="A49" s="95" t="s">
        <v>547</v>
      </c>
      <c r="B49" s="95" t="s">
        <v>596</v>
      </c>
      <c r="C49" s="95">
        <v>95.8</v>
      </c>
      <c r="D49" s="95">
        <v>1</v>
      </c>
      <c r="E49" s="95">
        <v>79.83</v>
      </c>
      <c r="F49" s="95">
        <v>0</v>
      </c>
      <c r="G49" s="95">
        <v>0</v>
      </c>
      <c r="H49" s="95">
        <v>79.83</v>
      </c>
      <c r="I49" s="95">
        <v>0</v>
      </c>
      <c r="J49" s="95">
        <v>0</v>
      </c>
      <c r="K49" s="95">
        <v>0</v>
      </c>
      <c r="L49" s="95">
        <v>15.97</v>
      </c>
    </row>
    <row r="50" spans="1:12" x14ac:dyDescent="0.3">
      <c r="A50" s="95" t="s">
        <v>547</v>
      </c>
      <c r="B50" s="95" t="s">
        <v>597</v>
      </c>
      <c r="C50" s="95">
        <v>93.9</v>
      </c>
      <c r="D50" s="95">
        <v>1</v>
      </c>
      <c r="E50" s="95">
        <v>78.25</v>
      </c>
      <c r="F50" s="95">
        <v>0</v>
      </c>
      <c r="G50" s="95">
        <v>0</v>
      </c>
      <c r="H50" s="95">
        <v>78.25</v>
      </c>
      <c r="I50" s="95">
        <v>0</v>
      </c>
      <c r="J50" s="95">
        <v>0</v>
      </c>
      <c r="K50" s="95">
        <v>0</v>
      </c>
      <c r="L50" s="95">
        <v>15.65</v>
      </c>
    </row>
    <row r="51" spans="1:12" x14ac:dyDescent="0.3">
      <c r="A51" s="95" t="s">
        <v>547</v>
      </c>
      <c r="B51" s="95" t="s">
        <v>598</v>
      </c>
      <c r="C51" s="95">
        <v>89.85</v>
      </c>
      <c r="D51" s="95">
        <v>1</v>
      </c>
      <c r="E51" s="95">
        <v>74.87</v>
      </c>
      <c r="F51" s="95">
        <v>0</v>
      </c>
      <c r="G51" s="95">
        <v>0</v>
      </c>
      <c r="H51" s="95">
        <v>74.87</v>
      </c>
      <c r="I51" s="95">
        <v>0</v>
      </c>
      <c r="J51" s="95">
        <v>0</v>
      </c>
      <c r="K51" s="95">
        <v>0</v>
      </c>
      <c r="L51" s="95">
        <v>14.98</v>
      </c>
    </row>
    <row r="52" spans="1:12" x14ac:dyDescent="0.3">
      <c r="A52" s="95" t="s">
        <v>547</v>
      </c>
      <c r="B52" s="95" t="s">
        <v>599</v>
      </c>
      <c r="C52" s="95">
        <v>89.85</v>
      </c>
      <c r="D52" s="95">
        <v>1</v>
      </c>
      <c r="E52" s="95">
        <v>74.87</v>
      </c>
      <c r="F52" s="95">
        <v>0</v>
      </c>
      <c r="G52" s="95">
        <v>0</v>
      </c>
      <c r="H52" s="95">
        <v>74.87</v>
      </c>
      <c r="I52" s="95">
        <v>0</v>
      </c>
      <c r="J52" s="95">
        <v>0</v>
      </c>
      <c r="K52" s="95">
        <v>0</v>
      </c>
      <c r="L52" s="95">
        <v>14.98</v>
      </c>
    </row>
    <row r="53" spans="1:12" x14ac:dyDescent="0.3">
      <c r="A53" s="95" t="s">
        <v>547</v>
      </c>
      <c r="B53" s="95" t="s">
        <v>600</v>
      </c>
      <c r="C53" s="95">
        <v>89.85</v>
      </c>
      <c r="D53" s="95">
        <v>1</v>
      </c>
      <c r="E53" s="95">
        <v>74.87</v>
      </c>
      <c r="F53" s="95">
        <v>0</v>
      </c>
      <c r="G53" s="95">
        <v>0</v>
      </c>
      <c r="H53" s="95">
        <v>74.87</v>
      </c>
      <c r="I53" s="95">
        <v>0</v>
      </c>
      <c r="J53" s="95">
        <v>0</v>
      </c>
      <c r="K53" s="95">
        <v>0</v>
      </c>
      <c r="L53" s="95">
        <v>14.98</v>
      </c>
    </row>
    <row r="54" spans="1:12" x14ac:dyDescent="0.3">
      <c r="A54" s="95" t="s">
        <v>547</v>
      </c>
      <c r="B54" s="95" t="s">
        <v>601</v>
      </c>
      <c r="C54" s="95">
        <v>89.82</v>
      </c>
      <c r="D54" s="95">
        <v>1</v>
      </c>
      <c r="E54" s="95">
        <v>83.15</v>
      </c>
      <c r="F54" s="95">
        <v>-8.3000000000000007</v>
      </c>
      <c r="G54" s="95">
        <v>0</v>
      </c>
      <c r="H54" s="95">
        <v>74.849999999999994</v>
      </c>
      <c r="I54" s="95">
        <v>0</v>
      </c>
      <c r="J54" s="95">
        <v>0</v>
      </c>
      <c r="K54" s="95">
        <v>0</v>
      </c>
      <c r="L54" s="95">
        <v>14.97</v>
      </c>
    </row>
    <row r="55" spans="1:12" x14ac:dyDescent="0.3">
      <c r="A55" s="95" t="s">
        <v>547</v>
      </c>
      <c r="B55" s="95" t="s">
        <v>602</v>
      </c>
      <c r="C55" s="95">
        <v>89.7</v>
      </c>
      <c r="D55" s="95">
        <v>1</v>
      </c>
      <c r="E55" s="95">
        <v>74.75</v>
      </c>
      <c r="F55" s="95">
        <v>0</v>
      </c>
      <c r="G55" s="95">
        <v>0</v>
      </c>
      <c r="H55" s="95">
        <v>74.75</v>
      </c>
      <c r="I55" s="95">
        <v>0</v>
      </c>
      <c r="J55" s="95">
        <v>0</v>
      </c>
      <c r="K55" s="95">
        <v>0</v>
      </c>
      <c r="L55" s="95">
        <v>14.95</v>
      </c>
    </row>
    <row r="56" spans="1:12" x14ac:dyDescent="0.3">
      <c r="A56" s="95" t="s">
        <v>547</v>
      </c>
      <c r="B56" s="95" t="s">
        <v>603</v>
      </c>
      <c r="C56" s="95">
        <v>87.03</v>
      </c>
      <c r="D56" s="95">
        <v>1</v>
      </c>
      <c r="E56" s="95">
        <v>80.55</v>
      </c>
      <c r="F56" s="95">
        <v>-8.0299999999999994</v>
      </c>
      <c r="G56" s="95">
        <v>0</v>
      </c>
      <c r="H56" s="95">
        <v>72.52</v>
      </c>
      <c r="I56" s="95">
        <v>0</v>
      </c>
      <c r="J56" s="95">
        <v>0</v>
      </c>
      <c r="K56" s="95">
        <v>0</v>
      </c>
      <c r="L56" s="95">
        <v>14.51</v>
      </c>
    </row>
    <row r="57" spans="1:12" x14ac:dyDescent="0.3">
      <c r="A57" s="95" t="s">
        <v>547</v>
      </c>
      <c r="B57" s="95" t="s">
        <v>604</v>
      </c>
      <c r="C57" s="95">
        <v>86.85</v>
      </c>
      <c r="D57" s="95">
        <v>1</v>
      </c>
      <c r="E57" s="95">
        <v>72.37</v>
      </c>
      <c r="F57" s="95">
        <v>0</v>
      </c>
      <c r="G57" s="95">
        <v>0</v>
      </c>
      <c r="H57" s="95">
        <v>72.37</v>
      </c>
      <c r="I57" s="95">
        <v>0</v>
      </c>
      <c r="J57" s="95">
        <v>0</v>
      </c>
      <c r="K57" s="95">
        <v>0</v>
      </c>
      <c r="L57" s="95">
        <v>14.48</v>
      </c>
    </row>
    <row r="58" spans="1:12" x14ac:dyDescent="0.3">
      <c r="A58" s="95" t="s">
        <v>547</v>
      </c>
      <c r="B58" s="95" t="s">
        <v>605</v>
      </c>
      <c r="C58" s="95">
        <v>81.900000000000006</v>
      </c>
      <c r="D58" s="95">
        <v>1</v>
      </c>
      <c r="E58" s="95">
        <v>68.25</v>
      </c>
      <c r="F58" s="95">
        <v>0</v>
      </c>
      <c r="G58" s="95">
        <v>0</v>
      </c>
      <c r="H58" s="95">
        <v>68.25</v>
      </c>
      <c r="I58" s="95">
        <v>0</v>
      </c>
      <c r="J58" s="95">
        <v>0</v>
      </c>
      <c r="K58" s="95">
        <v>0</v>
      </c>
      <c r="L58" s="95">
        <v>13.65</v>
      </c>
    </row>
    <row r="59" spans="1:12" x14ac:dyDescent="0.3">
      <c r="A59" s="95" t="s">
        <v>547</v>
      </c>
      <c r="B59" s="95" t="s">
        <v>606</v>
      </c>
      <c r="C59" s="95">
        <v>81.900000000000006</v>
      </c>
      <c r="D59" s="95">
        <v>1</v>
      </c>
      <c r="E59" s="95">
        <v>68.25</v>
      </c>
      <c r="F59" s="95">
        <v>0</v>
      </c>
      <c r="G59" s="95">
        <v>0</v>
      </c>
      <c r="H59" s="95">
        <v>68.25</v>
      </c>
      <c r="I59" s="95">
        <v>0</v>
      </c>
      <c r="J59" s="95">
        <v>0</v>
      </c>
      <c r="K59" s="95">
        <v>0</v>
      </c>
      <c r="L59" s="95">
        <v>13.65</v>
      </c>
    </row>
    <row r="60" spans="1:12" x14ac:dyDescent="0.3">
      <c r="A60" s="95" t="s">
        <v>547</v>
      </c>
      <c r="B60" s="95" t="s">
        <v>607</v>
      </c>
      <c r="C60" s="95">
        <v>81.900000000000006</v>
      </c>
      <c r="D60" s="95">
        <v>1</v>
      </c>
      <c r="E60" s="95">
        <v>68.25</v>
      </c>
      <c r="F60" s="95">
        <v>0</v>
      </c>
      <c r="G60" s="95">
        <v>0</v>
      </c>
      <c r="H60" s="95">
        <v>68.25</v>
      </c>
      <c r="I60" s="95">
        <v>0</v>
      </c>
      <c r="J60" s="95">
        <v>0</v>
      </c>
      <c r="K60" s="95">
        <v>0</v>
      </c>
      <c r="L60" s="95">
        <v>13.65</v>
      </c>
    </row>
    <row r="61" spans="1:12" x14ac:dyDescent="0.3">
      <c r="A61" s="95" t="s">
        <v>547</v>
      </c>
      <c r="B61" s="95" t="s">
        <v>608</v>
      </c>
      <c r="C61" s="95">
        <v>81.900000000000006</v>
      </c>
      <c r="D61" s="95">
        <v>1</v>
      </c>
      <c r="E61" s="95">
        <v>68.25</v>
      </c>
      <c r="F61" s="95">
        <v>0</v>
      </c>
      <c r="G61" s="95">
        <v>0</v>
      </c>
      <c r="H61" s="95">
        <v>68.25</v>
      </c>
      <c r="I61" s="95">
        <v>0</v>
      </c>
      <c r="J61" s="95">
        <v>0</v>
      </c>
      <c r="K61" s="95">
        <v>0</v>
      </c>
      <c r="L61" s="95">
        <v>13.65</v>
      </c>
    </row>
    <row r="62" spans="1:12" x14ac:dyDescent="0.3">
      <c r="A62" s="95" t="s">
        <v>547</v>
      </c>
      <c r="B62" s="95" t="s">
        <v>609</v>
      </c>
      <c r="C62" s="95">
        <v>81.900000000000006</v>
      </c>
      <c r="D62" s="95">
        <v>1</v>
      </c>
      <c r="E62" s="95">
        <v>68.25</v>
      </c>
      <c r="F62" s="95">
        <v>0</v>
      </c>
      <c r="G62" s="95">
        <v>0</v>
      </c>
      <c r="H62" s="95">
        <v>68.25</v>
      </c>
      <c r="I62" s="95">
        <v>0</v>
      </c>
      <c r="J62" s="95">
        <v>0</v>
      </c>
      <c r="K62" s="95">
        <v>0</v>
      </c>
      <c r="L62" s="95">
        <v>13.65</v>
      </c>
    </row>
    <row r="63" spans="1:12" x14ac:dyDescent="0.3">
      <c r="A63" s="95" t="s">
        <v>547</v>
      </c>
      <c r="B63" s="95" t="s">
        <v>610</v>
      </c>
      <c r="C63" s="95">
        <v>81.900000000000006</v>
      </c>
      <c r="D63" s="95">
        <v>1</v>
      </c>
      <c r="E63" s="95">
        <v>68.25</v>
      </c>
      <c r="F63" s="95">
        <v>0</v>
      </c>
      <c r="G63" s="95">
        <v>0</v>
      </c>
      <c r="H63" s="95">
        <v>68.25</v>
      </c>
      <c r="I63" s="95">
        <v>0</v>
      </c>
      <c r="J63" s="95">
        <v>0</v>
      </c>
      <c r="K63" s="95">
        <v>0</v>
      </c>
      <c r="L63" s="95">
        <v>13.65</v>
      </c>
    </row>
    <row r="64" spans="1:12" x14ac:dyDescent="0.3">
      <c r="A64" s="95" t="s">
        <v>547</v>
      </c>
      <c r="B64" s="95" t="s">
        <v>611</v>
      </c>
      <c r="C64" s="95">
        <v>81.900000000000006</v>
      </c>
      <c r="D64" s="95">
        <v>1</v>
      </c>
      <c r="E64" s="95">
        <v>68.25</v>
      </c>
      <c r="F64" s="95">
        <v>0</v>
      </c>
      <c r="G64" s="95">
        <v>0</v>
      </c>
      <c r="H64" s="95">
        <v>68.25</v>
      </c>
      <c r="I64" s="95">
        <v>0</v>
      </c>
      <c r="J64" s="95">
        <v>0</v>
      </c>
      <c r="K64" s="95">
        <v>0</v>
      </c>
      <c r="L64" s="95">
        <v>13.65</v>
      </c>
    </row>
    <row r="65" spans="1:12" x14ac:dyDescent="0.3">
      <c r="A65" s="95" t="s">
        <v>547</v>
      </c>
      <c r="B65" s="95" t="s">
        <v>612</v>
      </c>
      <c r="C65" s="95">
        <v>81.67</v>
      </c>
      <c r="D65" s="95">
        <v>1</v>
      </c>
      <c r="E65" s="95">
        <v>75.61</v>
      </c>
      <c r="F65" s="95">
        <v>-7.55</v>
      </c>
      <c r="G65" s="95">
        <v>0</v>
      </c>
      <c r="H65" s="95">
        <v>68.06</v>
      </c>
      <c r="I65" s="95">
        <v>0</v>
      </c>
      <c r="J65" s="95">
        <v>0</v>
      </c>
      <c r="K65" s="95">
        <v>0</v>
      </c>
      <c r="L65" s="95">
        <v>13.61</v>
      </c>
    </row>
    <row r="66" spans="1:12" x14ac:dyDescent="0.3">
      <c r="A66" s="95" t="s">
        <v>547</v>
      </c>
      <c r="B66" s="95" t="s">
        <v>613</v>
      </c>
      <c r="C66" s="95">
        <v>80.77</v>
      </c>
      <c r="D66" s="95">
        <v>1</v>
      </c>
      <c r="E66" s="95">
        <v>74.78</v>
      </c>
      <c r="F66" s="95">
        <v>-7.47</v>
      </c>
      <c r="G66" s="95">
        <v>0</v>
      </c>
      <c r="H66" s="95">
        <v>67.31</v>
      </c>
      <c r="I66" s="95">
        <v>0</v>
      </c>
      <c r="J66" s="95">
        <v>0</v>
      </c>
      <c r="K66" s="95">
        <v>0</v>
      </c>
      <c r="L66" s="95">
        <v>13.46</v>
      </c>
    </row>
    <row r="67" spans="1:12" x14ac:dyDescent="0.3">
      <c r="A67" s="95" t="s">
        <v>547</v>
      </c>
      <c r="B67" s="95" t="s">
        <v>614</v>
      </c>
      <c r="C67" s="95">
        <v>80.55</v>
      </c>
      <c r="D67" s="95">
        <v>1</v>
      </c>
      <c r="E67" s="95">
        <v>67.12</v>
      </c>
      <c r="F67" s="95">
        <v>0</v>
      </c>
      <c r="G67" s="95">
        <v>0</v>
      </c>
      <c r="H67" s="95">
        <v>67.12</v>
      </c>
      <c r="I67" s="95">
        <v>0</v>
      </c>
      <c r="J67" s="95">
        <v>0</v>
      </c>
      <c r="K67" s="95">
        <v>0</v>
      </c>
      <c r="L67" s="95">
        <v>13.43</v>
      </c>
    </row>
    <row r="68" spans="1:12" x14ac:dyDescent="0.3">
      <c r="A68" s="95" t="s">
        <v>547</v>
      </c>
      <c r="B68" s="95" t="s">
        <v>615</v>
      </c>
      <c r="C68" s="95">
        <v>79.8</v>
      </c>
      <c r="D68" s="95">
        <v>1</v>
      </c>
      <c r="E68" s="95">
        <v>66.5</v>
      </c>
      <c r="F68" s="95">
        <v>0</v>
      </c>
      <c r="G68" s="95">
        <v>0</v>
      </c>
      <c r="H68" s="95">
        <v>66.5</v>
      </c>
      <c r="I68" s="95">
        <v>0</v>
      </c>
      <c r="J68" s="95">
        <v>0</v>
      </c>
      <c r="K68" s="95">
        <v>0</v>
      </c>
      <c r="L68" s="95">
        <v>13.3</v>
      </c>
    </row>
    <row r="69" spans="1:12" x14ac:dyDescent="0.3">
      <c r="A69" s="95" t="s">
        <v>547</v>
      </c>
      <c r="B69" s="95" t="s">
        <v>616</v>
      </c>
      <c r="C69" s="95">
        <v>79.8</v>
      </c>
      <c r="D69" s="95">
        <v>1</v>
      </c>
      <c r="E69" s="95">
        <v>66.5</v>
      </c>
      <c r="F69" s="95">
        <v>0</v>
      </c>
      <c r="G69" s="95">
        <v>0</v>
      </c>
      <c r="H69" s="95">
        <v>66.5</v>
      </c>
      <c r="I69" s="95">
        <v>0</v>
      </c>
      <c r="J69" s="95">
        <v>0</v>
      </c>
      <c r="K69" s="95">
        <v>0</v>
      </c>
      <c r="L69" s="95">
        <v>13.3</v>
      </c>
    </row>
    <row r="70" spans="1:12" x14ac:dyDescent="0.3">
      <c r="A70" s="95" t="s">
        <v>547</v>
      </c>
      <c r="B70" s="95" t="s">
        <v>617</v>
      </c>
      <c r="C70" s="95">
        <v>79.8</v>
      </c>
      <c r="D70" s="95">
        <v>1</v>
      </c>
      <c r="E70" s="95">
        <v>66.5</v>
      </c>
      <c r="F70" s="95">
        <v>0</v>
      </c>
      <c r="G70" s="95">
        <v>0</v>
      </c>
      <c r="H70" s="95">
        <v>66.5</v>
      </c>
      <c r="I70" s="95">
        <v>0</v>
      </c>
      <c r="J70" s="95">
        <v>0</v>
      </c>
      <c r="K70" s="95">
        <v>0</v>
      </c>
      <c r="L70" s="95">
        <v>13.3</v>
      </c>
    </row>
    <row r="71" spans="1:12" x14ac:dyDescent="0.3">
      <c r="A71" s="95" t="s">
        <v>547</v>
      </c>
      <c r="B71" s="95" t="s">
        <v>618</v>
      </c>
      <c r="C71" s="95">
        <v>74.849999999999994</v>
      </c>
      <c r="D71" s="95">
        <v>1</v>
      </c>
      <c r="E71" s="95">
        <v>62.37</v>
      </c>
      <c r="F71" s="95">
        <v>0</v>
      </c>
      <c r="G71" s="95">
        <v>0</v>
      </c>
      <c r="H71" s="95">
        <v>62.37</v>
      </c>
      <c r="I71" s="95">
        <v>0</v>
      </c>
      <c r="J71" s="95">
        <v>0</v>
      </c>
      <c r="K71" s="95">
        <v>0</v>
      </c>
      <c r="L71" s="95">
        <v>12.48</v>
      </c>
    </row>
    <row r="72" spans="1:12" x14ac:dyDescent="0.3">
      <c r="A72" s="95" t="s">
        <v>547</v>
      </c>
      <c r="B72" s="95" t="s">
        <v>619</v>
      </c>
      <c r="C72" s="95">
        <v>72.900000000000006</v>
      </c>
      <c r="D72" s="95">
        <v>1</v>
      </c>
      <c r="E72" s="95">
        <v>60.75</v>
      </c>
      <c r="F72" s="95">
        <v>0</v>
      </c>
      <c r="G72" s="95">
        <v>0</v>
      </c>
      <c r="H72" s="95">
        <v>60.75</v>
      </c>
      <c r="I72" s="95">
        <v>0</v>
      </c>
      <c r="J72" s="95">
        <v>0</v>
      </c>
      <c r="K72" s="95">
        <v>0</v>
      </c>
      <c r="L72" s="95">
        <v>12.15</v>
      </c>
    </row>
    <row r="73" spans="1:12" x14ac:dyDescent="0.3">
      <c r="A73" s="95" t="s">
        <v>547</v>
      </c>
      <c r="B73" s="95" t="s">
        <v>620</v>
      </c>
      <c r="C73" s="95">
        <v>72.8</v>
      </c>
      <c r="D73" s="95">
        <v>1</v>
      </c>
      <c r="E73" s="95">
        <v>60.67</v>
      </c>
      <c r="F73" s="95">
        <v>0</v>
      </c>
      <c r="G73" s="95">
        <v>0</v>
      </c>
      <c r="H73" s="95">
        <v>60.67</v>
      </c>
      <c r="I73" s="95">
        <v>0</v>
      </c>
      <c r="J73" s="95">
        <v>0</v>
      </c>
      <c r="K73" s="95">
        <v>0</v>
      </c>
      <c r="L73" s="95">
        <v>12.13</v>
      </c>
    </row>
    <row r="74" spans="1:12" x14ac:dyDescent="0.3">
      <c r="A74" s="95" t="s">
        <v>547</v>
      </c>
      <c r="B74" s="95" t="s">
        <v>621</v>
      </c>
      <c r="C74" s="95">
        <v>71.849999999999994</v>
      </c>
      <c r="D74" s="95">
        <v>1</v>
      </c>
      <c r="E74" s="95">
        <v>59.87</v>
      </c>
      <c r="F74" s="95">
        <v>0</v>
      </c>
      <c r="G74" s="95">
        <v>0</v>
      </c>
      <c r="H74" s="95">
        <v>59.87</v>
      </c>
      <c r="I74" s="95">
        <v>0</v>
      </c>
      <c r="J74" s="95">
        <v>0</v>
      </c>
      <c r="K74" s="95">
        <v>0</v>
      </c>
      <c r="L74" s="95">
        <v>11.98</v>
      </c>
    </row>
    <row r="75" spans="1:12" x14ac:dyDescent="0.3">
      <c r="A75" s="95" t="s">
        <v>547</v>
      </c>
      <c r="B75" s="95" t="s">
        <v>622</v>
      </c>
      <c r="C75" s="95">
        <v>71.849999999999994</v>
      </c>
      <c r="D75" s="95">
        <v>1</v>
      </c>
      <c r="E75" s="95">
        <v>59.87</v>
      </c>
      <c r="F75" s="95">
        <v>0</v>
      </c>
      <c r="G75" s="95">
        <v>0</v>
      </c>
      <c r="H75" s="95">
        <v>59.87</v>
      </c>
      <c r="I75" s="95">
        <v>0</v>
      </c>
      <c r="J75" s="95">
        <v>0</v>
      </c>
      <c r="K75" s="95">
        <v>0</v>
      </c>
      <c r="L75" s="95">
        <v>11.98</v>
      </c>
    </row>
    <row r="76" spans="1:12" x14ac:dyDescent="0.3">
      <c r="A76" s="95" t="s">
        <v>547</v>
      </c>
      <c r="B76" s="95" t="s">
        <v>623</v>
      </c>
      <c r="C76" s="95">
        <v>71.849999999999994</v>
      </c>
      <c r="D76" s="95">
        <v>1</v>
      </c>
      <c r="E76" s="95">
        <v>59.87</v>
      </c>
      <c r="F76" s="95">
        <v>0</v>
      </c>
      <c r="G76" s="95">
        <v>0</v>
      </c>
      <c r="H76" s="95">
        <v>59.87</v>
      </c>
      <c r="I76" s="95">
        <v>0</v>
      </c>
      <c r="J76" s="95">
        <v>0</v>
      </c>
      <c r="K76" s="95">
        <v>0</v>
      </c>
      <c r="L76" s="95">
        <v>11.98</v>
      </c>
    </row>
    <row r="77" spans="1:12" x14ac:dyDescent="0.3">
      <c r="A77" s="95" t="s">
        <v>547</v>
      </c>
      <c r="B77" s="95" t="s">
        <v>624</v>
      </c>
      <c r="C77" s="95">
        <v>71.819999999999993</v>
      </c>
      <c r="D77" s="95">
        <v>1</v>
      </c>
      <c r="E77" s="95">
        <v>66.489999999999995</v>
      </c>
      <c r="F77" s="95">
        <v>-6.64</v>
      </c>
      <c r="G77" s="95">
        <v>0</v>
      </c>
      <c r="H77" s="95">
        <v>59.85</v>
      </c>
      <c r="I77" s="95">
        <v>0</v>
      </c>
      <c r="J77" s="95">
        <v>0</v>
      </c>
      <c r="K77" s="95">
        <v>0</v>
      </c>
      <c r="L77" s="95">
        <v>11.97</v>
      </c>
    </row>
    <row r="78" spans="1:12" x14ac:dyDescent="0.3">
      <c r="A78" s="95" t="s">
        <v>547</v>
      </c>
      <c r="B78" s="95" t="s">
        <v>625</v>
      </c>
      <c r="C78" s="95">
        <v>69.95</v>
      </c>
      <c r="D78" s="95">
        <v>1</v>
      </c>
      <c r="E78" s="95">
        <v>58.29</v>
      </c>
      <c r="F78" s="95">
        <v>0</v>
      </c>
      <c r="G78" s="95">
        <v>0</v>
      </c>
      <c r="H78" s="95">
        <v>58.29</v>
      </c>
      <c r="I78" s="95">
        <v>0</v>
      </c>
      <c r="J78" s="95">
        <v>0</v>
      </c>
      <c r="K78" s="95">
        <v>0</v>
      </c>
      <c r="L78" s="95">
        <v>11.66</v>
      </c>
    </row>
    <row r="79" spans="1:12" x14ac:dyDescent="0.3">
      <c r="A79" s="95" t="s">
        <v>547</v>
      </c>
      <c r="B79" s="95" t="s">
        <v>626</v>
      </c>
      <c r="C79" s="95">
        <v>69.930000000000007</v>
      </c>
      <c r="D79" s="95">
        <v>1</v>
      </c>
      <c r="E79" s="95">
        <v>64.72</v>
      </c>
      <c r="F79" s="95">
        <v>-6.45</v>
      </c>
      <c r="G79" s="95">
        <v>0</v>
      </c>
      <c r="H79" s="95">
        <v>58.27</v>
      </c>
      <c r="I79" s="95">
        <v>0</v>
      </c>
      <c r="J79" s="95">
        <v>0</v>
      </c>
      <c r="K79" s="95">
        <v>0</v>
      </c>
      <c r="L79" s="95">
        <v>11.66</v>
      </c>
    </row>
    <row r="80" spans="1:12" x14ac:dyDescent="0.3">
      <c r="A80" s="95" t="s">
        <v>547</v>
      </c>
      <c r="B80" s="95" t="s">
        <v>627</v>
      </c>
      <c r="C80" s="95">
        <v>68.7</v>
      </c>
      <c r="D80" s="95">
        <v>1</v>
      </c>
      <c r="E80" s="95">
        <v>57.25</v>
      </c>
      <c r="F80" s="95">
        <v>0</v>
      </c>
      <c r="G80" s="95">
        <v>0</v>
      </c>
      <c r="H80" s="95">
        <v>57.25</v>
      </c>
      <c r="I80" s="95">
        <v>0</v>
      </c>
      <c r="J80" s="95">
        <v>0</v>
      </c>
      <c r="K80" s="95">
        <v>0</v>
      </c>
      <c r="L80" s="95">
        <v>11.45</v>
      </c>
    </row>
    <row r="81" spans="1:12" x14ac:dyDescent="0.3">
      <c r="A81" s="95" t="s">
        <v>547</v>
      </c>
      <c r="B81" s="95" t="s">
        <v>628</v>
      </c>
      <c r="C81" s="95">
        <v>67.36</v>
      </c>
      <c r="D81" s="95">
        <v>1</v>
      </c>
      <c r="E81" s="95">
        <v>62.36</v>
      </c>
      <c r="F81" s="95">
        <v>-6.23</v>
      </c>
      <c r="G81" s="95">
        <v>0</v>
      </c>
      <c r="H81" s="95">
        <v>56.13</v>
      </c>
      <c r="I81" s="95">
        <v>0</v>
      </c>
      <c r="J81" s="95">
        <v>0</v>
      </c>
      <c r="K81" s="95">
        <v>0</v>
      </c>
      <c r="L81" s="95">
        <v>11.23</v>
      </c>
    </row>
    <row r="82" spans="1:12" x14ac:dyDescent="0.3">
      <c r="A82" s="95" t="s">
        <v>547</v>
      </c>
      <c r="B82" s="95" t="s">
        <v>629</v>
      </c>
      <c r="C82" s="95">
        <v>66.849999999999994</v>
      </c>
      <c r="D82" s="95">
        <v>1</v>
      </c>
      <c r="E82" s="95">
        <v>55.71</v>
      </c>
      <c r="F82" s="95">
        <v>0</v>
      </c>
      <c r="G82" s="95">
        <v>0</v>
      </c>
      <c r="H82" s="95">
        <v>55.71</v>
      </c>
      <c r="I82" s="95">
        <v>0</v>
      </c>
      <c r="J82" s="95">
        <v>0</v>
      </c>
      <c r="K82" s="95">
        <v>0</v>
      </c>
      <c r="L82" s="95">
        <v>11.14</v>
      </c>
    </row>
    <row r="83" spans="1:12" x14ac:dyDescent="0.3">
      <c r="A83" s="95" t="s">
        <v>547</v>
      </c>
      <c r="B83" s="95" t="s">
        <v>630</v>
      </c>
      <c r="C83" s="95">
        <v>66.42</v>
      </c>
      <c r="D83" s="95">
        <v>1</v>
      </c>
      <c r="E83" s="95">
        <v>61.48</v>
      </c>
      <c r="F83" s="95">
        <v>-6.13</v>
      </c>
      <c r="G83" s="95">
        <v>0</v>
      </c>
      <c r="H83" s="95">
        <v>55.35</v>
      </c>
      <c r="I83" s="95">
        <v>0</v>
      </c>
      <c r="J83" s="95">
        <v>0</v>
      </c>
      <c r="K83" s="95">
        <v>0</v>
      </c>
      <c r="L83" s="95">
        <v>11.07</v>
      </c>
    </row>
    <row r="84" spans="1:12" x14ac:dyDescent="0.3">
      <c r="A84" s="95" t="s">
        <v>547</v>
      </c>
      <c r="B84" s="95" t="s">
        <v>631</v>
      </c>
      <c r="C84" s="95">
        <v>64.900000000000006</v>
      </c>
      <c r="D84" s="95">
        <v>1</v>
      </c>
      <c r="E84" s="95">
        <v>54.08</v>
      </c>
      <c r="F84" s="95">
        <v>0</v>
      </c>
      <c r="G84" s="95">
        <v>0</v>
      </c>
      <c r="H84" s="95">
        <v>54.08</v>
      </c>
      <c r="I84" s="95">
        <v>0</v>
      </c>
      <c r="J84" s="95">
        <v>0</v>
      </c>
      <c r="K84" s="95">
        <v>0</v>
      </c>
      <c r="L84" s="95">
        <v>10.82</v>
      </c>
    </row>
    <row r="85" spans="1:12" x14ac:dyDescent="0.3">
      <c r="A85" s="95" t="s">
        <v>547</v>
      </c>
      <c r="B85" s="95" t="s">
        <v>632</v>
      </c>
      <c r="C85" s="95">
        <v>64.900000000000006</v>
      </c>
      <c r="D85" s="95">
        <v>1</v>
      </c>
      <c r="E85" s="95">
        <v>54.08</v>
      </c>
      <c r="F85" s="95">
        <v>0</v>
      </c>
      <c r="G85" s="95">
        <v>0</v>
      </c>
      <c r="H85" s="95">
        <v>54.08</v>
      </c>
      <c r="I85" s="95">
        <v>0</v>
      </c>
      <c r="J85" s="95">
        <v>0</v>
      </c>
      <c r="K85" s="95">
        <v>0</v>
      </c>
      <c r="L85" s="95">
        <v>10.82</v>
      </c>
    </row>
    <row r="86" spans="1:12" x14ac:dyDescent="0.3">
      <c r="A86" s="95" t="s">
        <v>547</v>
      </c>
      <c r="B86" s="95" t="s">
        <v>633</v>
      </c>
      <c r="C86" s="95">
        <v>64.900000000000006</v>
      </c>
      <c r="D86" s="95">
        <v>1</v>
      </c>
      <c r="E86" s="95">
        <v>54.08</v>
      </c>
      <c r="F86" s="95">
        <v>0</v>
      </c>
      <c r="G86" s="95">
        <v>0</v>
      </c>
      <c r="H86" s="95">
        <v>54.08</v>
      </c>
      <c r="I86" s="95">
        <v>0</v>
      </c>
      <c r="J86" s="95">
        <v>0</v>
      </c>
      <c r="K86" s="95">
        <v>0</v>
      </c>
      <c r="L86" s="95">
        <v>10.82</v>
      </c>
    </row>
    <row r="87" spans="1:12" x14ac:dyDescent="0.3">
      <c r="A87" s="95" t="s">
        <v>547</v>
      </c>
      <c r="B87" s="95" t="s">
        <v>634</v>
      </c>
      <c r="C87" s="95">
        <v>64.900000000000006</v>
      </c>
      <c r="D87" s="95">
        <v>1</v>
      </c>
      <c r="E87" s="95">
        <v>54.08</v>
      </c>
      <c r="F87" s="95">
        <v>0</v>
      </c>
      <c r="G87" s="95">
        <v>0</v>
      </c>
      <c r="H87" s="95">
        <v>54.08</v>
      </c>
      <c r="I87" s="95">
        <v>0</v>
      </c>
      <c r="J87" s="95">
        <v>0</v>
      </c>
      <c r="K87" s="95">
        <v>0</v>
      </c>
      <c r="L87" s="95">
        <v>10.82</v>
      </c>
    </row>
    <row r="88" spans="1:12" x14ac:dyDescent="0.3">
      <c r="A88" s="95" t="s">
        <v>547</v>
      </c>
      <c r="B88" s="95" t="s">
        <v>635</v>
      </c>
      <c r="C88" s="95">
        <v>64.900000000000006</v>
      </c>
      <c r="D88" s="95">
        <v>1</v>
      </c>
      <c r="E88" s="95">
        <v>54.08</v>
      </c>
      <c r="F88" s="95">
        <v>0</v>
      </c>
      <c r="G88" s="95">
        <v>0</v>
      </c>
      <c r="H88" s="95">
        <v>54.08</v>
      </c>
      <c r="I88" s="95">
        <v>0</v>
      </c>
      <c r="J88" s="95">
        <v>0</v>
      </c>
      <c r="K88" s="95">
        <v>0</v>
      </c>
      <c r="L88" s="95">
        <v>10.82</v>
      </c>
    </row>
    <row r="89" spans="1:12" x14ac:dyDescent="0.3">
      <c r="A89" s="95" t="s">
        <v>547</v>
      </c>
      <c r="B89" s="95" t="s">
        <v>636</v>
      </c>
      <c r="C89" s="95">
        <v>64.900000000000006</v>
      </c>
      <c r="D89" s="95">
        <v>1</v>
      </c>
      <c r="E89" s="95">
        <v>54.08</v>
      </c>
      <c r="F89" s="95">
        <v>0</v>
      </c>
      <c r="G89" s="95">
        <v>0</v>
      </c>
      <c r="H89" s="95">
        <v>54.08</v>
      </c>
      <c r="I89" s="95">
        <v>0</v>
      </c>
      <c r="J89" s="95">
        <v>0</v>
      </c>
      <c r="K89" s="95">
        <v>0</v>
      </c>
      <c r="L89" s="95">
        <v>10.82</v>
      </c>
    </row>
    <row r="90" spans="1:12" x14ac:dyDescent="0.3">
      <c r="A90" s="95" t="s">
        <v>547</v>
      </c>
      <c r="B90" s="95" t="s">
        <v>637</v>
      </c>
      <c r="C90" s="95">
        <v>64.900000000000006</v>
      </c>
      <c r="D90" s="95">
        <v>1</v>
      </c>
      <c r="E90" s="95">
        <v>54.08</v>
      </c>
      <c r="F90" s="95">
        <v>0</v>
      </c>
      <c r="G90" s="95">
        <v>0</v>
      </c>
      <c r="H90" s="95">
        <v>54.08</v>
      </c>
      <c r="I90" s="95">
        <v>0</v>
      </c>
      <c r="J90" s="95">
        <v>0</v>
      </c>
      <c r="K90" s="95">
        <v>0</v>
      </c>
      <c r="L90" s="95">
        <v>10.82</v>
      </c>
    </row>
    <row r="91" spans="1:12" x14ac:dyDescent="0.3">
      <c r="A91" s="95" t="s">
        <v>547</v>
      </c>
      <c r="B91" s="95" t="s">
        <v>638</v>
      </c>
      <c r="C91" s="95">
        <v>64.900000000000006</v>
      </c>
      <c r="D91" s="95">
        <v>1</v>
      </c>
      <c r="E91" s="95">
        <v>54.08</v>
      </c>
      <c r="F91" s="95">
        <v>0</v>
      </c>
      <c r="G91" s="95">
        <v>0</v>
      </c>
      <c r="H91" s="95">
        <v>54.08</v>
      </c>
      <c r="I91" s="95">
        <v>0</v>
      </c>
      <c r="J91" s="95">
        <v>0</v>
      </c>
      <c r="K91" s="95">
        <v>0</v>
      </c>
      <c r="L91" s="95">
        <v>10.82</v>
      </c>
    </row>
    <row r="92" spans="1:12" x14ac:dyDescent="0.3">
      <c r="A92" s="95" t="s">
        <v>547</v>
      </c>
      <c r="B92" s="95" t="s">
        <v>639</v>
      </c>
      <c r="C92" s="95">
        <v>64.900000000000006</v>
      </c>
      <c r="D92" s="95">
        <v>1</v>
      </c>
      <c r="E92" s="95">
        <v>54.08</v>
      </c>
      <c r="F92" s="95">
        <v>0</v>
      </c>
      <c r="G92" s="95">
        <v>0</v>
      </c>
      <c r="H92" s="95">
        <v>54.08</v>
      </c>
      <c r="I92" s="95">
        <v>0</v>
      </c>
      <c r="J92" s="95">
        <v>0</v>
      </c>
      <c r="K92" s="95">
        <v>0</v>
      </c>
      <c r="L92" s="95">
        <v>10.82</v>
      </c>
    </row>
    <row r="93" spans="1:12" x14ac:dyDescent="0.3">
      <c r="A93" s="95" t="s">
        <v>547</v>
      </c>
      <c r="B93" s="95" t="s">
        <v>640</v>
      </c>
      <c r="C93" s="95">
        <v>64.900000000000006</v>
      </c>
      <c r="D93" s="95">
        <v>1</v>
      </c>
      <c r="E93" s="95">
        <v>54.08</v>
      </c>
      <c r="F93" s="95">
        <v>0</v>
      </c>
      <c r="G93" s="95">
        <v>0</v>
      </c>
      <c r="H93" s="95">
        <v>54.08</v>
      </c>
      <c r="I93" s="95">
        <v>0</v>
      </c>
      <c r="J93" s="95">
        <v>0</v>
      </c>
      <c r="K93" s="95">
        <v>0</v>
      </c>
      <c r="L93" s="95">
        <v>10.82</v>
      </c>
    </row>
    <row r="94" spans="1:12" x14ac:dyDescent="0.3">
      <c r="A94" s="95" t="s">
        <v>547</v>
      </c>
      <c r="B94" s="95" t="s">
        <v>641</v>
      </c>
      <c r="C94" s="95">
        <v>64.62</v>
      </c>
      <c r="D94" s="95">
        <v>1</v>
      </c>
      <c r="E94" s="95">
        <v>59.82</v>
      </c>
      <c r="F94" s="95">
        <v>-5.97</v>
      </c>
      <c r="G94" s="95">
        <v>0</v>
      </c>
      <c r="H94" s="95">
        <v>53.85</v>
      </c>
      <c r="I94" s="95">
        <v>0</v>
      </c>
      <c r="J94" s="95">
        <v>0</v>
      </c>
      <c r="K94" s="95">
        <v>0</v>
      </c>
      <c r="L94" s="95">
        <v>10.77</v>
      </c>
    </row>
    <row r="95" spans="1:12" x14ac:dyDescent="0.3">
      <c r="A95" s="95" t="s">
        <v>547</v>
      </c>
      <c r="B95" s="95" t="s">
        <v>642</v>
      </c>
      <c r="C95" s="95">
        <v>64.53</v>
      </c>
      <c r="D95" s="95">
        <v>1</v>
      </c>
      <c r="E95" s="95">
        <v>59.74</v>
      </c>
      <c r="F95" s="95">
        <v>-5.97</v>
      </c>
      <c r="G95" s="95">
        <v>0</v>
      </c>
      <c r="H95" s="95">
        <v>53.77</v>
      </c>
      <c r="I95" s="95">
        <v>0</v>
      </c>
      <c r="J95" s="95">
        <v>0</v>
      </c>
      <c r="K95" s="95">
        <v>0</v>
      </c>
      <c r="L95" s="95">
        <v>10.76</v>
      </c>
    </row>
    <row r="96" spans="1:12" x14ac:dyDescent="0.3">
      <c r="A96" s="95" t="s">
        <v>547</v>
      </c>
      <c r="B96" s="95" t="s">
        <v>643</v>
      </c>
      <c r="C96" s="95">
        <v>62.85</v>
      </c>
      <c r="D96" s="95">
        <v>1</v>
      </c>
      <c r="E96" s="95">
        <v>52.37</v>
      </c>
      <c r="F96" s="95">
        <v>0</v>
      </c>
      <c r="G96" s="95">
        <v>0</v>
      </c>
      <c r="H96" s="95">
        <v>52.37</v>
      </c>
      <c r="I96" s="95">
        <v>0</v>
      </c>
      <c r="J96" s="95">
        <v>0</v>
      </c>
      <c r="K96" s="95">
        <v>0</v>
      </c>
      <c r="L96" s="95">
        <v>10.48</v>
      </c>
    </row>
    <row r="97" spans="1:12" x14ac:dyDescent="0.3">
      <c r="A97" s="95" t="s">
        <v>547</v>
      </c>
      <c r="B97" s="95" t="s">
        <v>644</v>
      </c>
      <c r="C97" s="95">
        <v>62.85</v>
      </c>
      <c r="D97" s="95">
        <v>1</v>
      </c>
      <c r="E97" s="95">
        <v>52.37</v>
      </c>
      <c r="F97" s="95">
        <v>0</v>
      </c>
      <c r="G97" s="95">
        <v>0</v>
      </c>
      <c r="H97" s="95">
        <v>52.37</v>
      </c>
      <c r="I97" s="95">
        <v>0</v>
      </c>
      <c r="J97" s="95">
        <v>0</v>
      </c>
      <c r="K97" s="95">
        <v>0</v>
      </c>
      <c r="L97" s="95">
        <v>10.48</v>
      </c>
    </row>
    <row r="98" spans="1:12" x14ac:dyDescent="0.3">
      <c r="A98" s="95" t="s">
        <v>547</v>
      </c>
      <c r="B98" s="95" t="s">
        <v>645</v>
      </c>
      <c r="C98" s="95">
        <v>62.85</v>
      </c>
      <c r="D98" s="95">
        <v>1</v>
      </c>
      <c r="E98" s="95">
        <v>52.37</v>
      </c>
      <c r="F98" s="95">
        <v>0</v>
      </c>
      <c r="G98" s="95">
        <v>0</v>
      </c>
      <c r="H98" s="95">
        <v>52.37</v>
      </c>
      <c r="I98" s="95">
        <v>0</v>
      </c>
      <c r="J98" s="95">
        <v>0</v>
      </c>
      <c r="K98" s="95">
        <v>0</v>
      </c>
      <c r="L98" s="95">
        <v>10.48</v>
      </c>
    </row>
    <row r="99" spans="1:12" x14ac:dyDescent="0.3">
      <c r="A99" s="95" t="s">
        <v>547</v>
      </c>
      <c r="B99" s="95" t="s">
        <v>646</v>
      </c>
      <c r="C99" s="95">
        <v>62.85</v>
      </c>
      <c r="D99" s="95">
        <v>1</v>
      </c>
      <c r="E99" s="95">
        <v>52.37</v>
      </c>
      <c r="F99" s="95">
        <v>0</v>
      </c>
      <c r="G99" s="95">
        <v>0</v>
      </c>
      <c r="H99" s="95">
        <v>52.37</v>
      </c>
      <c r="I99" s="95">
        <v>0</v>
      </c>
      <c r="J99" s="95">
        <v>0</v>
      </c>
      <c r="K99" s="95">
        <v>0</v>
      </c>
      <c r="L99" s="95">
        <v>10.48</v>
      </c>
    </row>
    <row r="100" spans="1:12" x14ac:dyDescent="0.3">
      <c r="A100" s="95" t="s">
        <v>547</v>
      </c>
      <c r="B100" s="95" t="s">
        <v>647</v>
      </c>
      <c r="C100" s="95">
        <v>62.8</v>
      </c>
      <c r="D100" s="95">
        <v>1</v>
      </c>
      <c r="E100" s="95">
        <v>52.33</v>
      </c>
      <c r="F100" s="95">
        <v>0</v>
      </c>
      <c r="G100" s="95">
        <v>0</v>
      </c>
      <c r="H100" s="95">
        <v>52.33</v>
      </c>
      <c r="I100" s="95">
        <v>0</v>
      </c>
      <c r="J100" s="95">
        <v>0</v>
      </c>
      <c r="K100" s="95">
        <v>0</v>
      </c>
      <c r="L100" s="95">
        <v>10.47</v>
      </c>
    </row>
    <row r="101" spans="1:12" x14ac:dyDescent="0.3">
      <c r="A101" s="95" t="s">
        <v>547</v>
      </c>
      <c r="B101" s="95" t="s">
        <v>648</v>
      </c>
      <c r="C101" s="95">
        <v>62.8</v>
      </c>
      <c r="D101" s="95">
        <v>1</v>
      </c>
      <c r="E101" s="95">
        <v>52.33</v>
      </c>
      <c r="F101" s="95">
        <v>0</v>
      </c>
      <c r="G101" s="95">
        <v>0</v>
      </c>
      <c r="H101" s="95">
        <v>52.33</v>
      </c>
      <c r="I101" s="95">
        <v>0</v>
      </c>
      <c r="J101" s="95">
        <v>0</v>
      </c>
      <c r="K101" s="95">
        <v>0</v>
      </c>
      <c r="L101" s="95">
        <v>10.47</v>
      </c>
    </row>
    <row r="102" spans="1:12" x14ac:dyDescent="0.3">
      <c r="A102" s="95" t="s">
        <v>547</v>
      </c>
      <c r="B102" s="95" t="s">
        <v>649</v>
      </c>
      <c r="C102" s="95">
        <v>60.85</v>
      </c>
      <c r="D102" s="95">
        <v>1</v>
      </c>
      <c r="E102" s="95">
        <v>46.59</v>
      </c>
      <c r="F102" s="95">
        <v>0</v>
      </c>
      <c r="G102" s="95">
        <v>0</v>
      </c>
      <c r="H102" s="95">
        <v>46.59</v>
      </c>
      <c r="I102" s="95">
        <v>4.12</v>
      </c>
      <c r="J102" s="95">
        <v>0</v>
      </c>
      <c r="K102" s="95">
        <v>0</v>
      </c>
      <c r="L102" s="95">
        <v>10.14</v>
      </c>
    </row>
    <row r="103" spans="1:12" x14ac:dyDescent="0.3">
      <c r="A103" s="95" t="s">
        <v>547</v>
      </c>
      <c r="B103" s="95" t="s">
        <v>650</v>
      </c>
      <c r="C103" s="95">
        <v>60.85</v>
      </c>
      <c r="D103" s="95">
        <v>1</v>
      </c>
      <c r="E103" s="95">
        <v>46.59</v>
      </c>
      <c r="F103" s="95">
        <v>0</v>
      </c>
      <c r="G103" s="95">
        <v>0</v>
      </c>
      <c r="H103" s="95">
        <v>46.59</v>
      </c>
      <c r="I103" s="95">
        <v>4.12</v>
      </c>
      <c r="J103" s="95">
        <v>0</v>
      </c>
      <c r="K103" s="95">
        <v>0</v>
      </c>
      <c r="L103" s="95">
        <v>10.14</v>
      </c>
    </row>
    <row r="104" spans="1:12" x14ac:dyDescent="0.3">
      <c r="A104" s="95" t="s">
        <v>547</v>
      </c>
      <c r="B104" s="95" t="s">
        <v>651</v>
      </c>
      <c r="C104" s="95">
        <v>60.85</v>
      </c>
      <c r="D104" s="95">
        <v>1</v>
      </c>
      <c r="E104" s="95">
        <v>46.59</v>
      </c>
      <c r="F104" s="95">
        <v>0</v>
      </c>
      <c r="G104" s="95">
        <v>0</v>
      </c>
      <c r="H104" s="95">
        <v>46.59</v>
      </c>
      <c r="I104" s="95">
        <v>4.12</v>
      </c>
      <c r="J104" s="95">
        <v>0</v>
      </c>
      <c r="K104" s="95">
        <v>0</v>
      </c>
      <c r="L104" s="95">
        <v>10.14</v>
      </c>
    </row>
    <row r="105" spans="1:12" x14ac:dyDescent="0.3">
      <c r="A105" s="95" t="s">
        <v>547</v>
      </c>
      <c r="B105" s="95" t="s">
        <v>652</v>
      </c>
      <c r="C105" s="95">
        <v>60.85</v>
      </c>
      <c r="D105" s="95">
        <v>1</v>
      </c>
      <c r="E105" s="95">
        <v>46.59</v>
      </c>
      <c r="F105" s="95">
        <v>0</v>
      </c>
      <c r="G105" s="95">
        <v>0</v>
      </c>
      <c r="H105" s="95">
        <v>46.59</v>
      </c>
      <c r="I105" s="95">
        <v>4.12</v>
      </c>
      <c r="J105" s="95">
        <v>0</v>
      </c>
      <c r="K105" s="95">
        <v>0</v>
      </c>
      <c r="L105" s="95">
        <v>10.14</v>
      </c>
    </row>
    <row r="106" spans="1:12" x14ac:dyDescent="0.3">
      <c r="A106" s="95" t="s">
        <v>547</v>
      </c>
      <c r="B106" s="95" t="s">
        <v>653</v>
      </c>
      <c r="C106" s="95">
        <v>60.85</v>
      </c>
      <c r="D106" s="95">
        <v>1</v>
      </c>
      <c r="E106" s="95">
        <v>46.59</v>
      </c>
      <c r="F106" s="95">
        <v>0</v>
      </c>
      <c r="G106" s="95">
        <v>0</v>
      </c>
      <c r="H106" s="95">
        <v>46.59</v>
      </c>
      <c r="I106" s="95">
        <v>4.12</v>
      </c>
      <c r="J106" s="95">
        <v>0</v>
      </c>
      <c r="K106" s="95">
        <v>0</v>
      </c>
      <c r="L106" s="95">
        <v>10.14</v>
      </c>
    </row>
    <row r="107" spans="1:12" x14ac:dyDescent="0.3">
      <c r="A107" s="95" t="s">
        <v>547</v>
      </c>
      <c r="B107" s="95" t="s">
        <v>654</v>
      </c>
      <c r="C107" s="95">
        <v>60.85</v>
      </c>
      <c r="D107" s="95">
        <v>1</v>
      </c>
      <c r="E107" s="95">
        <v>46.59</v>
      </c>
      <c r="F107" s="95">
        <v>0</v>
      </c>
      <c r="G107" s="95">
        <v>0</v>
      </c>
      <c r="H107" s="95">
        <v>46.59</v>
      </c>
      <c r="I107" s="95">
        <v>4.12</v>
      </c>
      <c r="J107" s="95">
        <v>0</v>
      </c>
      <c r="K107" s="95">
        <v>0</v>
      </c>
      <c r="L107" s="95">
        <v>10.14</v>
      </c>
    </row>
    <row r="108" spans="1:12" x14ac:dyDescent="0.3">
      <c r="A108" s="95" t="s">
        <v>547</v>
      </c>
      <c r="B108" s="95" t="s">
        <v>655</v>
      </c>
      <c r="C108" s="95">
        <v>60.85</v>
      </c>
      <c r="D108" s="95">
        <v>1</v>
      </c>
      <c r="E108" s="95">
        <v>46.59</v>
      </c>
      <c r="F108" s="95">
        <v>0</v>
      </c>
      <c r="G108" s="95">
        <v>0</v>
      </c>
      <c r="H108" s="95">
        <v>46.59</v>
      </c>
      <c r="I108" s="95">
        <v>4.12</v>
      </c>
      <c r="J108" s="95">
        <v>0</v>
      </c>
      <c r="K108" s="95">
        <v>0</v>
      </c>
      <c r="L108" s="95">
        <v>10.14</v>
      </c>
    </row>
    <row r="109" spans="1:12" x14ac:dyDescent="0.3">
      <c r="A109" s="95" t="s">
        <v>547</v>
      </c>
      <c r="B109" s="95" t="s">
        <v>656</v>
      </c>
      <c r="C109" s="95">
        <v>60.85</v>
      </c>
      <c r="D109" s="95">
        <v>1</v>
      </c>
      <c r="E109" s="95">
        <v>46.59</v>
      </c>
      <c r="F109" s="95">
        <v>0</v>
      </c>
      <c r="G109" s="95">
        <v>0</v>
      </c>
      <c r="H109" s="95">
        <v>46.59</v>
      </c>
      <c r="I109" s="95">
        <v>4.12</v>
      </c>
      <c r="J109" s="95">
        <v>0</v>
      </c>
      <c r="K109" s="95">
        <v>0</v>
      </c>
      <c r="L109" s="95">
        <v>10.14</v>
      </c>
    </row>
    <row r="110" spans="1:12" x14ac:dyDescent="0.3">
      <c r="A110" s="95" t="s">
        <v>547</v>
      </c>
      <c r="B110" s="95" t="s">
        <v>657</v>
      </c>
      <c r="C110" s="95">
        <v>60.85</v>
      </c>
      <c r="D110" s="95">
        <v>1</v>
      </c>
      <c r="E110" s="95">
        <v>46.59</v>
      </c>
      <c r="F110" s="95">
        <v>0</v>
      </c>
      <c r="G110" s="95">
        <v>0</v>
      </c>
      <c r="H110" s="95">
        <v>46.59</v>
      </c>
      <c r="I110" s="95">
        <v>4.12</v>
      </c>
      <c r="J110" s="95">
        <v>0</v>
      </c>
      <c r="K110" s="95">
        <v>0</v>
      </c>
      <c r="L110" s="95">
        <v>10.14</v>
      </c>
    </row>
    <row r="111" spans="1:12" x14ac:dyDescent="0.3">
      <c r="A111" s="95" t="s">
        <v>547</v>
      </c>
      <c r="B111" s="95" t="s">
        <v>658</v>
      </c>
      <c r="C111" s="95">
        <v>60.85</v>
      </c>
      <c r="D111" s="95">
        <v>1</v>
      </c>
      <c r="E111" s="95">
        <v>46.59</v>
      </c>
      <c r="F111" s="95">
        <v>0</v>
      </c>
      <c r="G111" s="95">
        <v>0</v>
      </c>
      <c r="H111" s="95">
        <v>46.59</v>
      </c>
      <c r="I111" s="95">
        <v>4.12</v>
      </c>
      <c r="J111" s="95">
        <v>0</v>
      </c>
      <c r="K111" s="95">
        <v>0</v>
      </c>
      <c r="L111" s="95">
        <v>10.14</v>
      </c>
    </row>
    <row r="112" spans="1:12" x14ac:dyDescent="0.3">
      <c r="A112" s="95" t="s">
        <v>547</v>
      </c>
      <c r="B112" s="95" t="s">
        <v>659</v>
      </c>
      <c r="C112" s="95">
        <v>60.85</v>
      </c>
      <c r="D112" s="95">
        <v>1</v>
      </c>
      <c r="E112" s="95">
        <v>46.59</v>
      </c>
      <c r="F112" s="95">
        <v>0</v>
      </c>
      <c r="G112" s="95">
        <v>0</v>
      </c>
      <c r="H112" s="95">
        <v>46.59</v>
      </c>
      <c r="I112" s="95">
        <v>4.12</v>
      </c>
      <c r="J112" s="95">
        <v>0</v>
      </c>
      <c r="K112" s="95">
        <v>0</v>
      </c>
      <c r="L112" s="95">
        <v>10.14</v>
      </c>
    </row>
    <row r="113" spans="1:12" x14ac:dyDescent="0.3">
      <c r="A113" s="95" t="s">
        <v>547</v>
      </c>
      <c r="B113" s="95" t="s">
        <v>660</v>
      </c>
      <c r="C113" s="95">
        <v>60.85</v>
      </c>
      <c r="D113" s="95">
        <v>1</v>
      </c>
      <c r="E113" s="95">
        <v>46.59</v>
      </c>
      <c r="F113" s="95">
        <v>0</v>
      </c>
      <c r="G113" s="95">
        <v>0</v>
      </c>
      <c r="H113" s="95">
        <v>46.59</v>
      </c>
      <c r="I113" s="95">
        <v>4.12</v>
      </c>
      <c r="J113" s="95">
        <v>0</v>
      </c>
      <c r="K113" s="95">
        <v>0</v>
      </c>
      <c r="L113" s="95">
        <v>10.14</v>
      </c>
    </row>
    <row r="114" spans="1:12" x14ac:dyDescent="0.3">
      <c r="A114" s="95" t="s">
        <v>547</v>
      </c>
      <c r="B114" s="95" t="s">
        <v>661</v>
      </c>
      <c r="C114" s="95">
        <v>60.85</v>
      </c>
      <c r="D114" s="95">
        <v>1</v>
      </c>
      <c r="E114" s="95">
        <v>46.59</v>
      </c>
      <c r="F114" s="95">
        <v>0</v>
      </c>
      <c r="G114" s="95">
        <v>0</v>
      </c>
      <c r="H114" s="95">
        <v>46.59</v>
      </c>
      <c r="I114" s="95">
        <v>4.12</v>
      </c>
      <c r="J114" s="95">
        <v>0</v>
      </c>
      <c r="K114" s="95">
        <v>0</v>
      </c>
      <c r="L114" s="95">
        <v>10.14</v>
      </c>
    </row>
    <row r="115" spans="1:12" x14ac:dyDescent="0.3">
      <c r="A115" s="95" t="s">
        <v>547</v>
      </c>
      <c r="B115" s="95" t="s">
        <v>662</v>
      </c>
      <c r="C115" s="95">
        <v>59.9</v>
      </c>
      <c r="D115" s="95">
        <v>1</v>
      </c>
      <c r="E115" s="95">
        <v>49.92</v>
      </c>
      <c r="F115" s="95">
        <v>0</v>
      </c>
      <c r="G115" s="95">
        <v>0</v>
      </c>
      <c r="H115" s="95">
        <v>49.92</v>
      </c>
      <c r="I115" s="95">
        <v>0</v>
      </c>
      <c r="J115" s="95">
        <v>0</v>
      </c>
      <c r="K115" s="95">
        <v>0</v>
      </c>
      <c r="L115" s="95">
        <v>9.98</v>
      </c>
    </row>
    <row r="116" spans="1:12" x14ac:dyDescent="0.3">
      <c r="A116" s="95" t="s">
        <v>454</v>
      </c>
      <c r="B116" s="95" t="s">
        <v>663</v>
      </c>
      <c r="C116" s="95">
        <v>59.9</v>
      </c>
      <c r="D116" s="95">
        <v>1</v>
      </c>
      <c r="E116" s="95">
        <v>71.58</v>
      </c>
      <c r="F116" s="95">
        <v>-21.66</v>
      </c>
      <c r="G116" s="95">
        <v>0</v>
      </c>
      <c r="H116" s="95">
        <v>49.92</v>
      </c>
      <c r="I116" s="95">
        <v>0</v>
      </c>
      <c r="J116" s="95">
        <v>0</v>
      </c>
      <c r="K116" s="95">
        <v>0</v>
      </c>
      <c r="L116" s="95">
        <v>9.98</v>
      </c>
    </row>
    <row r="117" spans="1:12" x14ac:dyDescent="0.3">
      <c r="A117" s="95" t="s">
        <v>547</v>
      </c>
      <c r="B117" s="95" t="s">
        <v>664</v>
      </c>
      <c r="C117" s="95">
        <v>59.9</v>
      </c>
      <c r="D117" s="95">
        <v>1</v>
      </c>
      <c r="E117" s="95">
        <v>49.92</v>
      </c>
      <c r="F117" s="95">
        <v>0</v>
      </c>
      <c r="G117" s="95">
        <v>0</v>
      </c>
      <c r="H117" s="95">
        <v>49.92</v>
      </c>
      <c r="I117" s="95">
        <v>0</v>
      </c>
      <c r="J117" s="95">
        <v>0</v>
      </c>
      <c r="K117" s="95">
        <v>0</v>
      </c>
      <c r="L117" s="95">
        <v>9.98</v>
      </c>
    </row>
    <row r="118" spans="1:12" x14ac:dyDescent="0.3">
      <c r="A118" s="95" t="s">
        <v>547</v>
      </c>
      <c r="B118" s="95" t="s">
        <v>665</v>
      </c>
      <c r="C118" s="95">
        <v>59.9</v>
      </c>
      <c r="D118" s="95">
        <v>1</v>
      </c>
      <c r="E118" s="95">
        <v>49.92</v>
      </c>
      <c r="F118" s="95">
        <v>0</v>
      </c>
      <c r="G118" s="95">
        <v>0</v>
      </c>
      <c r="H118" s="95">
        <v>49.92</v>
      </c>
      <c r="I118" s="95">
        <v>0</v>
      </c>
      <c r="J118" s="95">
        <v>0</v>
      </c>
      <c r="K118" s="95">
        <v>0</v>
      </c>
      <c r="L118" s="95">
        <v>9.98</v>
      </c>
    </row>
    <row r="119" spans="1:12" x14ac:dyDescent="0.3">
      <c r="A119" s="95" t="s">
        <v>547</v>
      </c>
      <c r="B119" s="95" t="s">
        <v>666</v>
      </c>
      <c r="C119" s="95">
        <v>59.85</v>
      </c>
      <c r="D119" s="95">
        <v>1</v>
      </c>
      <c r="E119" s="95">
        <v>45.75</v>
      </c>
      <c r="F119" s="95">
        <v>0</v>
      </c>
      <c r="G119" s="95">
        <v>0</v>
      </c>
      <c r="H119" s="95">
        <v>45.75</v>
      </c>
      <c r="I119" s="95">
        <v>4.12</v>
      </c>
      <c r="J119" s="95">
        <v>0</v>
      </c>
      <c r="K119" s="95">
        <v>0</v>
      </c>
      <c r="L119" s="95">
        <v>9.98</v>
      </c>
    </row>
    <row r="120" spans="1:12" x14ac:dyDescent="0.3">
      <c r="A120" s="95" t="s">
        <v>547</v>
      </c>
      <c r="B120" s="95" t="s">
        <v>667</v>
      </c>
      <c r="C120" s="95">
        <v>59.22</v>
      </c>
      <c r="D120" s="95">
        <v>1</v>
      </c>
      <c r="E120" s="95">
        <v>54.82</v>
      </c>
      <c r="F120" s="95">
        <v>-5.47</v>
      </c>
      <c r="G120" s="95">
        <v>0</v>
      </c>
      <c r="H120" s="95">
        <v>49.35</v>
      </c>
      <c r="I120" s="95">
        <v>0</v>
      </c>
      <c r="J120" s="95">
        <v>0</v>
      </c>
      <c r="K120" s="95">
        <v>0</v>
      </c>
      <c r="L120" s="95">
        <v>9.8699999999999992</v>
      </c>
    </row>
    <row r="121" spans="1:12" x14ac:dyDescent="0.3">
      <c r="A121" s="95" t="s">
        <v>547</v>
      </c>
      <c r="B121" s="95" t="s">
        <v>668</v>
      </c>
      <c r="C121" s="95">
        <v>59.17</v>
      </c>
      <c r="D121" s="95">
        <v>1</v>
      </c>
      <c r="E121" s="95">
        <v>54.78</v>
      </c>
      <c r="F121" s="95">
        <v>-5.47</v>
      </c>
      <c r="G121" s="95">
        <v>0</v>
      </c>
      <c r="H121" s="95">
        <v>49.31</v>
      </c>
      <c r="I121" s="95">
        <v>0</v>
      </c>
      <c r="J121" s="95">
        <v>0</v>
      </c>
      <c r="K121" s="95">
        <v>0</v>
      </c>
      <c r="L121" s="95">
        <v>9.86</v>
      </c>
    </row>
    <row r="122" spans="1:12" x14ac:dyDescent="0.3">
      <c r="A122" s="95" t="s">
        <v>547</v>
      </c>
      <c r="B122" s="95" t="s">
        <v>669</v>
      </c>
      <c r="C122" s="95">
        <v>58.86</v>
      </c>
      <c r="D122" s="95">
        <v>1</v>
      </c>
      <c r="E122" s="95">
        <v>49.92</v>
      </c>
      <c r="F122" s="95">
        <v>-4.99</v>
      </c>
      <c r="G122" s="95">
        <v>0</v>
      </c>
      <c r="H122" s="95">
        <v>44.93</v>
      </c>
      <c r="I122" s="95">
        <v>4.12</v>
      </c>
      <c r="J122" s="95">
        <v>0</v>
      </c>
      <c r="K122" s="95">
        <v>0</v>
      </c>
      <c r="L122" s="95">
        <v>9.81</v>
      </c>
    </row>
    <row r="123" spans="1:12" x14ac:dyDescent="0.3">
      <c r="A123" s="95" t="s">
        <v>547</v>
      </c>
      <c r="B123" s="95" t="s">
        <v>670</v>
      </c>
      <c r="C123" s="95">
        <v>58.77</v>
      </c>
      <c r="D123" s="95">
        <v>1</v>
      </c>
      <c r="E123" s="95">
        <v>49.82</v>
      </c>
      <c r="F123" s="95">
        <v>-4.97</v>
      </c>
      <c r="G123" s="95">
        <v>0</v>
      </c>
      <c r="H123" s="95">
        <v>44.85</v>
      </c>
      <c r="I123" s="95">
        <v>4.12</v>
      </c>
      <c r="J123" s="95">
        <v>0</v>
      </c>
      <c r="K123" s="95">
        <v>0</v>
      </c>
      <c r="L123" s="95">
        <v>9.8000000000000007</v>
      </c>
    </row>
    <row r="124" spans="1:12" x14ac:dyDescent="0.3">
      <c r="A124" s="95" t="s">
        <v>547</v>
      </c>
      <c r="B124" s="95" t="s">
        <v>671</v>
      </c>
      <c r="C124" s="95">
        <v>58.65</v>
      </c>
      <c r="D124" s="95">
        <v>1</v>
      </c>
      <c r="E124" s="95">
        <v>44.75</v>
      </c>
      <c r="F124" s="95">
        <v>0</v>
      </c>
      <c r="G124" s="95">
        <v>0</v>
      </c>
      <c r="H124" s="95">
        <v>44.75</v>
      </c>
      <c r="I124" s="95">
        <v>4.12</v>
      </c>
      <c r="J124" s="95">
        <v>0</v>
      </c>
      <c r="K124" s="95">
        <v>0</v>
      </c>
      <c r="L124" s="95">
        <v>9.7799999999999994</v>
      </c>
    </row>
    <row r="125" spans="1:12" x14ac:dyDescent="0.3">
      <c r="A125" s="95" t="s">
        <v>547</v>
      </c>
      <c r="B125" s="95" t="s">
        <v>672</v>
      </c>
      <c r="C125" s="95">
        <v>54.85</v>
      </c>
      <c r="D125" s="95">
        <v>1</v>
      </c>
      <c r="E125" s="95">
        <v>41.59</v>
      </c>
      <c r="F125" s="95">
        <v>0</v>
      </c>
      <c r="G125" s="95">
        <v>0</v>
      </c>
      <c r="H125" s="95">
        <v>41.59</v>
      </c>
      <c r="I125" s="95">
        <v>4.12</v>
      </c>
      <c r="J125" s="95">
        <v>0</v>
      </c>
      <c r="K125" s="95">
        <v>0</v>
      </c>
      <c r="L125" s="95">
        <v>9.14</v>
      </c>
    </row>
    <row r="126" spans="1:12" x14ac:dyDescent="0.3">
      <c r="A126" s="95" t="s">
        <v>547</v>
      </c>
      <c r="B126" s="95" t="s">
        <v>673</v>
      </c>
      <c r="C126" s="95">
        <v>54.85</v>
      </c>
      <c r="D126" s="95">
        <v>1</v>
      </c>
      <c r="E126" s="95">
        <v>41.59</v>
      </c>
      <c r="F126" s="95">
        <v>0</v>
      </c>
      <c r="G126" s="95">
        <v>0</v>
      </c>
      <c r="H126" s="95">
        <v>41.59</v>
      </c>
      <c r="I126" s="95">
        <v>4.12</v>
      </c>
      <c r="J126" s="95">
        <v>0</v>
      </c>
      <c r="K126" s="95">
        <v>0</v>
      </c>
      <c r="L126" s="95">
        <v>9.14</v>
      </c>
    </row>
    <row r="127" spans="1:12" x14ac:dyDescent="0.3">
      <c r="A127" s="95" t="s">
        <v>547</v>
      </c>
      <c r="B127" s="95" t="s">
        <v>674</v>
      </c>
      <c r="C127" s="95">
        <v>54.36</v>
      </c>
      <c r="D127" s="95">
        <v>1</v>
      </c>
      <c r="E127" s="95">
        <v>45.75</v>
      </c>
      <c r="F127" s="95">
        <v>-4.57</v>
      </c>
      <c r="G127" s="95">
        <v>0</v>
      </c>
      <c r="H127" s="95">
        <v>41.18</v>
      </c>
      <c r="I127" s="95">
        <v>4.12</v>
      </c>
      <c r="J127" s="95">
        <v>0</v>
      </c>
      <c r="K127" s="95">
        <v>0</v>
      </c>
      <c r="L127" s="95">
        <v>9.06</v>
      </c>
    </row>
    <row r="128" spans="1:12" x14ac:dyDescent="0.3">
      <c r="A128" s="95" t="s">
        <v>547</v>
      </c>
      <c r="B128" s="95" t="s">
        <v>675</v>
      </c>
      <c r="C128" s="95">
        <v>54.36</v>
      </c>
      <c r="D128" s="95">
        <v>1</v>
      </c>
      <c r="E128" s="95">
        <v>45.75</v>
      </c>
      <c r="F128" s="95">
        <v>-4.57</v>
      </c>
      <c r="G128" s="95">
        <v>0</v>
      </c>
      <c r="H128" s="95">
        <v>41.18</v>
      </c>
      <c r="I128" s="95">
        <v>4.12</v>
      </c>
      <c r="J128" s="95">
        <v>0</v>
      </c>
      <c r="K128" s="95">
        <v>0</v>
      </c>
      <c r="L128" s="95">
        <v>9.06</v>
      </c>
    </row>
    <row r="129" spans="1:12" x14ac:dyDescent="0.3">
      <c r="A129" s="95" t="s">
        <v>547</v>
      </c>
      <c r="B129" s="95" t="s">
        <v>676</v>
      </c>
      <c r="C129" s="95">
        <v>52.92</v>
      </c>
      <c r="D129" s="95">
        <v>1</v>
      </c>
      <c r="E129" s="95">
        <v>44.88</v>
      </c>
      <c r="F129" s="95">
        <v>0</v>
      </c>
      <c r="G129" s="95">
        <v>-5.88</v>
      </c>
      <c r="H129" s="95">
        <v>39</v>
      </c>
      <c r="I129" s="95">
        <v>4.12</v>
      </c>
      <c r="J129" s="95">
        <v>0</v>
      </c>
      <c r="K129" s="95">
        <v>0</v>
      </c>
      <c r="L129" s="95">
        <v>9.8000000000000007</v>
      </c>
    </row>
    <row r="130" spans="1:12" x14ac:dyDescent="0.3">
      <c r="A130" s="95" t="s">
        <v>547</v>
      </c>
      <c r="B130" s="95" t="s">
        <v>677</v>
      </c>
      <c r="C130" s="95">
        <v>51.9</v>
      </c>
      <c r="D130" s="95">
        <v>1</v>
      </c>
      <c r="E130" s="95">
        <v>39.130000000000003</v>
      </c>
      <c r="F130" s="95">
        <v>0</v>
      </c>
      <c r="G130" s="95">
        <v>0</v>
      </c>
      <c r="H130" s="95">
        <v>39.130000000000003</v>
      </c>
      <c r="I130" s="95">
        <v>4.12</v>
      </c>
      <c r="J130" s="95">
        <v>0</v>
      </c>
      <c r="K130" s="95">
        <v>0</v>
      </c>
      <c r="L130" s="95">
        <v>8.65</v>
      </c>
    </row>
    <row r="131" spans="1:12" x14ac:dyDescent="0.3">
      <c r="A131" s="95" t="s">
        <v>547</v>
      </c>
      <c r="B131" s="95" t="s">
        <v>678</v>
      </c>
      <c r="C131" s="95">
        <v>49.86</v>
      </c>
      <c r="D131" s="95">
        <v>1</v>
      </c>
      <c r="E131" s="95">
        <v>41.58</v>
      </c>
      <c r="F131" s="95">
        <v>-4.1500000000000004</v>
      </c>
      <c r="G131" s="95">
        <v>0</v>
      </c>
      <c r="H131" s="95">
        <v>37.43</v>
      </c>
      <c r="I131" s="95">
        <v>4.12</v>
      </c>
      <c r="J131" s="95">
        <v>0</v>
      </c>
      <c r="K131" s="95">
        <v>0</v>
      </c>
      <c r="L131" s="95">
        <v>8.31</v>
      </c>
    </row>
    <row r="132" spans="1:12" x14ac:dyDescent="0.3">
      <c r="A132" s="95" t="s">
        <v>547</v>
      </c>
      <c r="B132" s="95" t="s">
        <v>679</v>
      </c>
      <c r="C132" s="95">
        <v>49.86</v>
      </c>
      <c r="D132" s="95">
        <v>1</v>
      </c>
      <c r="E132" s="95">
        <v>41.58</v>
      </c>
      <c r="F132" s="95">
        <v>-4.1500000000000004</v>
      </c>
      <c r="G132" s="95">
        <v>0</v>
      </c>
      <c r="H132" s="95">
        <v>37.43</v>
      </c>
      <c r="I132" s="95">
        <v>4.12</v>
      </c>
      <c r="J132" s="95">
        <v>0</v>
      </c>
      <c r="K132" s="95">
        <v>0</v>
      </c>
      <c r="L132" s="95">
        <v>8.31</v>
      </c>
    </row>
    <row r="133" spans="1:12" x14ac:dyDescent="0.3">
      <c r="A133" s="95" t="s">
        <v>547</v>
      </c>
      <c r="B133" s="95" t="s">
        <v>680</v>
      </c>
      <c r="C133" s="95">
        <v>49.86</v>
      </c>
      <c r="D133" s="95">
        <v>1</v>
      </c>
      <c r="E133" s="95">
        <v>41.58</v>
      </c>
      <c r="F133" s="95">
        <v>-4.1500000000000004</v>
      </c>
      <c r="G133" s="95">
        <v>0</v>
      </c>
      <c r="H133" s="95">
        <v>37.43</v>
      </c>
      <c r="I133" s="95">
        <v>4.12</v>
      </c>
      <c r="J133" s="95">
        <v>0</v>
      </c>
      <c r="K133" s="95">
        <v>0</v>
      </c>
      <c r="L133" s="95">
        <v>8.31</v>
      </c>
    </row>
    <row r="134" spans="1:12" x14ac:dyDescent="0.3">
      <c r="A134" s="95" t="s">
        <v>547</v>
      </c>
      <c r="B134" s="95" t="s">
        <v>681</v>
      </c>
      <c r="C134" s="95">
        <v>49.8</v>
      </c>
      <c r="D134" s="95">
        <v>1</v>
      </c>
      <c r="E134" s="95">
        <v>37.380000000000003</v>
      </c>
      <c r="F134" s="95">
        <v>0</v>
      </c>
      <c r="G134" s="95">
        <v>0</v>
      </c>
      <c r="H134" s="95">
        <v>37.380000000000003</v>
      </c>
      <c r="I134" s="95">
        <v>4.12</v>
      </c>
      <c r="J134" s="95">
        <v>0</v>
      </c>
      <c r="K134" s="95">
        <v>0</v>
      </c>
      <c r="L134" s="95">
        <v>8.3000000000000007</v>
      </c>
    </row>
    <row r="135" spans="1:12" x14ac:dyDescent="0.3">
      <c r="A135" s="95" t="s">
        <v>547</v>
      </c>
      <c r="B135" s="95" t="s">
        <v>682</v>
      </c>
      <c r="C135" s="95">
        <v>49.8</v>
      </c>
      <c r="D135" s="95">
        <v>1</v>
      </c>
      <c r="E135" s="95">
        <v>37.380000000000003</v>
      </c>
      <c r="F135" s="95">
        <v>0</v>
      </c>
      <c r="G135" s="95">
        <v>0</v>
      </c>
      <c r="H135" s="95">
        <v>37.380000000000003</v>
      </c>
      <c r="I135" s="95">
        <v>4.12</v>
      </c>
      <c r="J135" s="95">
        <v>0</v>
      </c>
      <c r="K135" s="95">
        <v>0</v>
      </c>
      <c r="L135" s="95">
        <v>8.3000000000000007</v>
      </c>
    </row>
    <row r="136" spans="1:12" x14ac:dyDescent="0.3">
      <c r="A136" s="95" t="s">
        <v>547</v>
      </c>
      <c r="B136" s="95" t="s">
        <v>683</v>
      </c>
      <c r="C136" s="95">
        <v>47.97</v>
      </c>
      <c r="D136" s="95">
        <v>1</v>
      </c>
      <c r="E136" s="95">
        <v>39.82</v>
      </c>
      <c r="F136" s="95">
        <v>-3.97</v>
      </c>
      <c r="G136" s="95">
        <v>0</v>
      </c>
      <c r="H136" s="95">
        <v>35.85</v>
      </c>
      <c r="I136" s="95">
        <v>4.12</v>
      </c>
      <c r="J136" s="95">
        <v>0</v>
      </c>
      <c r="K136" s="95">
        <v>0</v>
      </c>
      <c r="L136" s="95">
        <v>8</v>
      </c>
    </row>
    <row r="137" spans="1:12" x14ac:dyDescent="0.3">
      <c r="A137" s="95" t="s">
        <v>547</v>
      </c>
      <c r="B137" s="95" t="s">
        <v>684</v>
      </c>
      <c r="C137" s="95">
        <v>47.9</v>
      </c>
      <c r="D137" s="95">
        <v>1</v>
      </c>
      <c r="E137" s="95">
        <v>35.799999999999997</v>
      </c>
      <c r="F137" s="95">
        <v>0</v>
      </c>
      <c r="G137" s="95">
        <v>0</v>
      </c>
      <c r="H137" s="95">
        <v>35.799999999999997</v>
      </c>
      <c r="I137" s="95">
        <v>4.12</v>
      </c>
      <c r="J137" s="95">
        <v>0</v>
      </c>
      <c r="K137" s="95">
        <v>0</v>
      </c>
      <c r="L137" s="95">
        <v>7.98</v>
      </c>
    </row>
    <row r="138" spans="1:12" x14ac:dyDescent="0.3">
      <c r="A138" s="95" t="s">
        <v>547</v>
      </c>
      <c r="B138" s="95" t="s">
        <v>685</v>
      </c>
      <c r="C138" s="95">
        <v>47.9</v>
      </c>
      <c r="D138" s="95">
        <v>1</v>
      </c>
      <c r="E138" s="95">
        <v>35.799999999999997</v>
      </c>
      <c r="F138" s="95">
        <v>0</v>
      </c>
      <c r="G138" s="95">
        <v>0</v>
      </c>
      <c r="H138" s="95">
        <v>35.799999999999997</v>
      </c>
      <c r="I138" s="95">
        <v>4.12</v>
      </c>
      <c r="J138" s="95">
        <v>0</v>
      </c>
      <c r="K138" s="95">
        <v>0</v>
      </c>
      <c r="L138" s="95">
        <v>7.98</v>
      </c>
    </row>
    <row r="139" spans="1:12" x14ac:dyDescent="0.3">
      <c r="A139" s="95" t="s">
        <v>547</v>
      </c>
      <c r="B139" s="95" t="s">
        <v>686</v>
      </c>
      <c r="C139" s="95">
        <v>47.9</v>
      </c>
      <c r="D139" s="95">
        <v>1</v>
      </c>
      <c r="E139" s="95">
        <v>35.799999999999997</v>
      </c>
      <c r="F139" s="95">
        <v>0</v>
      </c>
      <c r="G139" s="95">
        <v>0</v>
      </c>
      <c r="H139" s="95">
        <v>35.799999999999997</v>
      </c>
      <c r="I139" s="95">
        <v>4.12</v>
      </c>
      <c r="J139" s="95">
        <v>0</v>
      </c>
      <c r="K139" s="95">
        <v>0</v>
      </c>
      <c r="L139" s="95">
        <v>7.98</v>
      </c>
    </row>
    <row r="140" spans="1:12" x14ac:dyDescent="0.3">
      <c r="A140" s="95" t="s">
        <v>547</v>
      </c>
      <c r="B140" s="95" t="s">
        <v>687</v>
      </c>
      <c r="C140" s="95">
        <v>47.9</v>
      </c>
      <c r="D140" s="95">
        <v>1</v>
      </c>
      <c r="E140" s="95">
        <v>35.799999999999997</v>
      </c>
      <c r="F140" s="95">
        <v>0</v>
      </c>
      <c r="G140" s="95">
        <v>0</v>
      </c>
      <c r="H140" s="95">
        <v>35.799999999999997</v>
      </c>
      <c r="I140" s="95">
        <v>4.12</v>
      </c>
      <c r="J140" s="95">
        <v>0</v>
      </c>
      <c r="K140" s="95">
        <v>0</v>
      </c>
      <c r="L140" s="95">
        <v>7.98</v>
      </c>
    </row>
    <row r="141" spans="1:12" x14ac:dyDescent="0.3">
      <c r="A141" s="95" t="s">
        <v>547</v>
      </c>
      <c r="B141" s="95" t="s">
        <v>688</v>
      </c>
      <c r="C141" s="95">
        <v>47.9</v>
      </c>
      <c r="D141" s="95">
        <v>1</v>
      </c>
      <c r="E141" s="95">
        <v>35.799999999999997</v>
      </c>
      <c r="F141" s="95">
        <v>0</v>
      </c>
      <c r="G141" s="95">
        <v>0</v>
      </c>
      <c r="H141" s="95">
        <v>35.799999999999997</v>
      </c>
      <c r="I141" s="95">
        <v>4.12</v>
      </c>
      <c r="J141" s="95">
        <v>0</v>
      </c>
      <c r="K141" s="95">
        <v>0</v>
      </c>
      <c r="L141" s="95">
        <v>7.98</v>
      </c>
    </row>
    <row r="142" spans="1:12" x14ac:dyDescent="0.3">
      <c r="A142" s="95" t="s">
        <v>547</v>
      </c>
      <c r="B142" s="95" t="s">
        <v>689</v>
      </c>
      <c r="C142" s="95">
        <v>47.9</v>
      </c>
      <c r="D142" s="95">
        <v>1</v>
      </c>
      <c r="E142" s="95">
        <v>35.799999999999997</v>
      </c>
      <c r="F142" s="95">
        <v>0</v>
      </c>
      <c r="G142" s="95">
        <v>0</v>
      </c>
      <c r="H142" s="95">
        <v>35.799999999999997</v>
      </c>
      <c r="I142" s="95">
        <v>4.12</v>
      </c>
      <c r="J142" s="95">
        <v>0</v>
      </c>
      <c r="K142" s="95">
        <v>0</v>
      </c>
      <c r="L142" s="95">
        <v>7.98</v>
      </c>
    </row>
    <row r="143" spans="1:12" x14ac:dyDescent="0.3">
      <c r="A143" s="95" t="s">
        <v>547</v>
      </c>
      <c r="B143" s="95" t="s">
        <v>690</v>
      </c>
      <c r="C143" s="95">
        <v>47.9</v>
      </c>
      <c r="D143" s="95">
        <v>1</v>
      </c>
      <c r="E143" s="95">
        <v>35.799999999999997</v>
      </c>
      <c r="F143" s="95">
        <v>0</v>
      </c>
      <c r="G143" s="95">
        <v>0</v>
      </c>
      <c r="H143" s="95">
        <v>35.799999999999997</v>
      </c>
      <c r="I143" s="95">
        <v>4.12</v>
      </c>
      <c r="J143" s="95">
        <v>0</v>
      </c>
      <c r="K143" s="95">
        <v>0</v>
      </c>
      <c r="L143" s="95">
        <v>7.98</v>
      </c>
    </row>
    <row r="144" spans="1:12" x14ac:dyDescent="0.3">
      <c r="A144" s="95" t="s">
        <v>547</v>
      </c>
      <c r="B144" s="95" t="s">
        <v>691</v>
      </c>
      <c r="C144" s="95">
        <v>46.17</v>
      </c>
      <c r="D144" s="95">
        <v>1</v>
      </c>
      <c r="E144" s="95">
        <v>38.15</v>
      </c>
      <c r="F144" s="95">
        <v>-3.8</v>
      </c>
      <c r="G144" s="95">
        <v>0</v>
      </c>
      <c r="H144" s="95">
        <v>34.35</v>
      </c>
      <c r="I144" s="95">
        <v>4.12</v>
      </c>
      <c r="J144" s="95">
        <v>0</v>
      </c>
      <c r="K144" s="95">
        <v>0</v>
      </c>
      <c r="L144" s="95">
        <v>7.7</v>
      </c>
    </row>
    <row r="145" spans="1:12" x14ac:dyDescent="0.3">
      <c r="A145" s="95" t="s">
        <v>547</v>
      </c>
      <c r="B145" s="95" t="s">
        <v>692</v>
      </c>
      <c r="C145" s="95">
        <v>45.85</v>
      </c>
      <c r="D145" s="95">
        <v>1</v>
      </c>
      <c r="E145" s="95">
        <v>34.090000000000003</v>
      </c>
      <c r="F145" s="95">
        <v>0</v>
      </c>
      <c r="G145" s="95">
        <v>0</v>
      </c>
      <c r="H145" s="95">
        <v>34.090000000000003</v>
      </c>
      <c r="I145" s="95">
        <v>4.12</v>
      </c>
      <c r="J145" s="95">
        <v>0</v>
      </c>
      <c r="K145" s="95">
        <v>0</v>
      </c>
      <c r="L145" s="95">
        <v>7.64</v>
      </c>
    </row>
    <row r="146" spans="1:12" x14ac:dyDescent="0.3">
      <c r="A146" s="95" t="s">
        <v>547</v>
      </c>
      <c r="B146" s="95" t="s">
        <v>693</v>
      </c>
      <c r="C146" s="95">
        <v>44.85</v>
      </c>
      <c r="D146" s="95">
        <v>1</v>
      </c>
      <c r="E146" s="95">
        <v>33.25</v>
      </c>
      <c r="F146" s="95">
        <v>0</v>
      </c>
      <c r="G146" s="95">
        <v>0</v>
      </c>
      <c r="H146" s="95">
        <v>33.25</v>
      </c>
      <c r="I146" s="95">
        <v>4.12</v>
      </c>
      <c r="J146" s="95">
        <v>0</v>
      </c>
      <c r="K146" s="95">
        <v>0</v>
      </c>
      <c r="L146" s="95">
        <v>7.48</v>
      </c>
    </row>
    <row r="147" spans="1:12" x14ac:dyDescent="0.3">
      <c r="A147" s="95" t="s">
        <v>547</v>
      </c>
      <c r="B147" s="95" t="s">
        <v>694</v>
      </c>
      <c r="C147" s="95">
        <v>44.85</v>
      </c>
      <c r="D147" s="95">
        <v>1</v>
      </c>
      <c r="E147" s="95">
        <v>33.25</v>
      </c>
      <c r="F147" s="95">
        <v>0</v>
      </c>
      <c r="G147" s="95">
        <v>0</v>
      </c>
      <c r="H147" s="95">
        <v>33.25</v>
      </c>
      <c r="I147" s="95">
        <v>4.12</v>
      </c>
      <c r="J147" s="95">
        <v>0</v>
      </c>
      <c r="K147" s="95">
        <v>0</v>
      </c>
      <c r="L147" s="95">
        <v>7.48</v>
      </c>
    </row>
    <row r="148" spans="1:12" x14ac:dyDescent="0.3">
      <c r="A148" s="95" t="s">
        <v>547</v>
      </c>
      <c r="B148" s="95" t="s">
        <v>695</v>
      </c>
      <c r="C148" s="95">
        <v>44.85</v>
      </c>
      <c r="D148" s="95">
        <v>1</v>
      </c>
      <c r="E148" s="95">
        <v>33.25</v>
      </c>
      <c r="F148" s="95">
        <v>0</v>
      </c>
      <c r="G148" s="95">
        <v>0</v>
      </c>
      <c r="H148" s="95">
        <v>33.25</v>
      </c>
      <c r="I148" s="95">
        <v>4.12</v>
      </c>
      <c r="J148" s="95">
        <v>0</v>
      </c>
      <c r="K148" s="95">
        <v>0</v>
      </c>
      <c r="L148" s="95">
        <v>7.48</v>
      </c>
    </row>
    <row r="149" spans="1:12" x14ac:dyDescent="0.3">
      <c r="A149" s="95" t="s">
        <v>547</v>
      </c>
      <c r="B149" s="95" t="s">
        <v>696</v>
      </c>
      <c r="C149" s="95">
        <v>44.85</v>
      </c>
      <c r="D149" s="95">
        <v>1</v>
      </c>
      <c r="E149" s="95">
        <v>33.25</v>
      </c>
      <c r="F149" s="95">
        <v>0</v>
      </c>
      <c r="G149" s="95">
        <v>0</v>
      </c>
      <c r="H149" s="95">
        <v>33.25</v>
      </c>
      <c r="I149" s="95">
        <v>4.12</v>
      </c>
      <c r="J149" s="95">
        <v>0</v>
      </c>
      <c r="K149" s="95">
        <v>0</v>
      </c>
      <c r="L149" s="95">
        <v>7.48</v>
      </c>
    </row>
    <row r="150" spans="1:12" x14ac:dyDescent="0.3">
      <c r="A150" s="95" t="s">
        <v>547</v>
      </c>
      <c r="B150" s="95" t="s">
        <v>697</v>
      </c>
      <c r="C150" s="95">
        <v>44.85</v>
      </c>
      <c r="D150" s="95">
        <v>1</v>
      </c>
      <c r="E150" s="95">
        <v>33.25</v>
      </c>
      <c r="F150" s="95">
        <v>0</v>
      </c>
      <c r="G150" s="95">
        <v>0</v>
      </c>
      <c r="H150" s="95">
        <v>33.25</v>
      </c>
      <c r="I150" s="95">
        <v>4.12</v>
      </c>
      <c r="J150" s="95">
        <v>0</v>
      </c>
      <c r="K150" s="95">
        <v>0</v>
      </c>
      <c r="L150" s="95">
        <v>7.48</v>
      </c>
    </row>
    <row r="151" spans="1:12" x14ac:dyDescent="0.3">
      <c r="A151" s="95" t="s">
        <v>547</v>
      </c>
      <c r="B151" s="95" t="s">
        <v>698</v>
      </c>
      <c r="C151" s="95">
        <v>44.85</v>
      </c>
      <c r="D151" s="95">
        <v>1</v>
      </c>
      <c r="E151" s="95">
        <v>33.25</v>
      </c>
      <c r="F151" s="95">
        <v>0</v>
      </c>
      <c r="G151" s="95">
        <v>0</v>
      </c>
      <c r="H151" s="95">
        <v>33.25</v>
      </c>
      <c r="I151" s="95">
        <v>4.12</v>
      </c>
      <c r="J151" s="95">
        <v>0</v>
      </c>
      <c r="K151" s="95">
        <v>0</v>
      </c>
      <c r="L151" s="95">
        <v>7.48</v>
      </c>
    </row>
    <row r="152" spans="1:12" x14ac:dyDescent="0.3">
      <c r="A152" s="95" t="s">
        <v>547</v>
      </c>
      <c r="B152" s="95" t="s">
        <v>699</v>
      </c>
      <c r="C152" s="95">
        <v>44.85</v>
      </c>
      <c r="D152" s="95">
        <v>1</v>
      </c>
      <c r="E152" s="95">
        <v>33.25</v>
      </c>
      <c r="F152" s="95">
        <v>0</v>
      </c>
      <c r="G152" s="95">
        <v>0</v>
      </c>
      <c r="H152" s="95">
        <v>33.25</v>
      </c>
      <c r="I152" s="95">
        <v>4.12</v>
      </c>
      <c r="J152" s="95">
        <v>0</v>
      </c>
      <c r="K152" s="95">
        <v>0</v>
      </c>
      <c r="L152" s="95">
        <v>7.48</v>
      </c>
    </row>
    <row r="153" spans="1:12" x14ac:dyDescent="0.3">
      <c r="A153" s="95" t="s">
        <v>547</v>
      </c>
      <c r="B153" s="95" t="s">
        <v>700</v>
      </c>
      <c r="C153" s="95">
        <v>44.85</v>
      </c>
      <c r="D153" s="95">
        <v>1</v>
      </c>
      <c r="E153" s="95">
        <v>33.25</v>
      </c>
      <c r="F153" s="95">
        <v>0</v>
      </c>
      <c r="G153" s="95">
        <v>0</v>
      </c>
      <c r="H153" s="95">
        <v>33.25</v>
      </c>
      <c r="I153" s="95">
        <v>4.12</v>
      </c>
      <c r="J153" s="95">
        <v>0</v>
      </c>
      <c r="K153" s="95">
        <v>0</v>
      </c>
      <c r="L153" s="95">
        <v>7.48</v>
      </c>
    </row>
    <row r="154" spans="1:12" x14ac:dyDescent="0.3">
      <c r="A154" s="95" t="s">
        <v>547</v>
      </c>
      <c r="B154" s="95" t="s">
        <v>701</v>
      </c>
      <c r="C154" s="95">
        <v>43.56</v>
      </c>
      <c r="D154" s="95">
        <v>1</v>
      </c>
      <c r="E154" s="95">
        <v>35.75</v>
      </c>
      <c r="F154" s="95">
        <v>-3.57</v>
      </c>
      <c r="G154" s="95">
        <v>0</v>
      </c>
      <c r="H154" s="95">
        <v>32.18</v>
      </c>
      <c r="I154" s="95">
        <v>4.12</v>
      </c>
      <c r="J154" s="95">
        <v>0</v>
      </c>
      <c r="K154" s="95">
        <v>0</v>
      </c>
      <c r="L154" s="95">
        <v>7.26</v>
      </c>
    </row>
    <row r="155" spans="1:12" x14ac:dyDescent="0.3">
      <c r="A155" s="95" t="s">
        <v>547</v>
      </c>
      <c r="B155" s="95" t="s">
        <v>702</v>
      </c>
      <c r="C155" s="95">
        <v>43.56</v>
      </c>
      <c r="D155" s="95">
        <v>1</v>
      </c>
      <c r="E155" s="95">
        <v>35.75</v>
      </c>
      <c r="F155" s="95">
        <v>-3.57</v>
      </c>
      <c r="G155" s="95">
        <v>0</v>
      </c>
      <c r="H155" s="95">
        <v>32.18</v>
      </c>
      <c r="I155" s="95">
        <v>4.12</v>
      </c>
      <c r="J155" s="95">
        <v>0</v>
      </c>
      <c r="K155" s="95">
        <v>0</v>
      </c>
      <c r="L155" s="95">
        <v>7.26</v>
      </c>
    </row>
    <row r="156" spans="1:12" x14ac:dyDescent="0.3">
      <c r="A156" s="95" t="s">
        <v>547</v>
      </c>
      <c r="B156" s="95" t="s">
        <v>703</v>
      </c>
      <c r="C156" s="95">
        <v>42.9</v>
      </c>
      <c r="D156" s="95">
        <v>1</v>
      </c>
      <c r="E156" s="95">
        <v>31.63</v>
      </c>
      <c r="F156" s="95">
        <v>0</v>
      </c>
      <c r="G156" s="95">
        <v>0</v>
      </c>
      <c r="H156" s="95">
        <v>31.63</v>
      </c>
      <c r="I156" s="95">
        <v>4.12</v>
      </c>
      <c r="J156" s="95">
        <v>0</v>
      </c>
      <c r="K156" s="95">
        <v>0</v>
      </c>
      <c r="L156" s="95">
        <v>7.15</v>
      </c>
    </row>
    <row r="157" spans="1:12" x14ac:dyDescent="0.3">
      <c r="A157" s="95" t="s">
        <v>547</v>
      </c>
      <c r="B157" s="95" t="s">
        <v>704</v>
      </c>
      <c r="C157" s="95">
        <v>42.9</v>
      </c>
      <c r="D157" s="95">
        <v>1</v>
      </c>
      <c r="E157" s="95">
        <v>31.63</v>
      </c>
      <c r="F157" s="95">
        <v>0</v>
      </c>
      <c r="G157" s="95">
        <v>0</v>
      </c>
      <c r="H157" s="95">
        <v>31.63</v>
      </c>
      <c r="I157" s="95">
        <v>4.12</v>
      </c>
      <c r="J157" s="95">
        <v>0</v>
      </c>
      <c r="K157" s="95">
        <v>0</v>
      </c>
      <c r="L157" s="95">
        <v>7.15</v>
      </c>
    </row>
    <row r="158" spans="1:12" x14ac:dyDescent="0.3">
      <c r="A158" s="95" t="s">
        <v>547</v>
      </c>
      <c r="B158" s="95" t="s">
        <v>705</v>
      </c>
      <c r="C158" s="95">
        <v>42.9</v>
      </c>
      <c r="D158" s="95">
        <v>1</v>
      </c>
      <c r="E158" s="95">
        <v>31.63</v>
      </c>
      <c r="F158" s="95">
        <v>0</v>
      </c>
      <c r="G158" s="95">
        <v>0</v>
      </c>
      <c r="H158" s="95">
        <v>31.63</v>
      </c>
      <c r="I158" s="95">
        <v>4.12</v>
      </c>
      <c r="J158" s="95">
        <v>0</v>
      </c>
      <c r="K158" s="95">
        <v>0</v>
      </c>
      <c r="L158" s="95">
        <v>7.15</v>
      </c>
    </row>
    <row r="159" spans="1:12" x14ac:dyDescent="0.3">
      <c r="A159" s="95" t="s">
        <v>547</v>
      </c>
      <c r="B159" s="95" t="s">
        <v>706</v>
      </c>
      <c r="C159" s="95">
        <v>42.9</v>
      </c>
      <c r="D159" s="95">
        <v>1</v>
      </c>
      <c r="E159" s="95">
        <v>31.63</v>
      </c>
      <c r="F159" s="95">
        <v>0</v>
      </c>
      <c r="G159" s="95">
        <v>0</v>
      </c>
      <c r="H159" s="95">
        <v>31.63</v>
      </c>
      <c r="I159" s="95">
        <v>4.12</v>
      </c>
      <c r="J159" s="95">
        <v>0</v>
      </c>
      <c r="K159" s="95">
        <v>0</v>
      </c>
      <c r="L159" s="95">
        <v>7.15</v>
      </c>
    </row>
    <row r="160" spans="1:12" x14ac:dyDescent="0.3">
      <c r="A160" s="95" t="s">
        <v>547</v>
      </c>
      <c r="B160" s="95" t="s">
        <v>707</v>
      </c>
      <c r="C160" s="95">
        <v>42.9</v>
      </c>
      <c r="D160" s="95">
        <v>1</v>
      </c>
      <c r="E160" s="95">
        <v>31.63</v>
      </c>
      <c r="F160" s="95">
        <v>0</v>
      </c>
      <c r="G160" s="95">
        <v>0</v>
      </c>
      <c r="H160" s="95">
        <v>31.63</v>
      </c>
      <c r="I160" s="95">
        <v>4.12</v>
      </c>
      <c r="J160" s="95">
        <v>0</v>
      </c>
      <c r="K160" s="95">
        <v>0</v>
      </c>
      <c r="L160" s="95">
        <v>7.15</v>
      </c>
    </row>
    <row r="161" spans="1:12" x14ac:dyDescent="0.3">
      <c r="A161" s="95" t="s">
        <v>547</v>
      </c>
      <c r="B161" s="95" t="s">
        <v>708</v>
      </c>
      <c r="C161" s="95">
        <v>42.66</v>
      </c>
      <c r="D161" s="95">
        <v>1</v>
      </c>
      <c r="E161" s="95">
        <v>34.92</v>
      </c>
      <c r="F161" s="95">
        <v>-3.49</v>
      </c>
      <c r="G161" s="95">
        <v>0</v>
      </c>
      <c r="H161" s="95">
        <v>31.43</v>
      </c>
      <c r="I161" s="95">
        <v>4.12</v>
      </c>
      <c r="J161" s="95">
        <v>0</v>
      </c>
      <c r="K161" s="95">
        <v>0</v>
      </c>
      <c r="L161" s="95">
        <v>7.11</v>
      </c>
    </row>
    <row r="162" spans="1:12" x14ac:dyDescent="0.3">
      <c r="A162" s="95" t="s">
        <v>547</v>
      </c>
      <c r="B162" s="95" t="s">
        <v>709</v>
      </c>
      <c r="C162" s="95">
        <v>42.66</v>
      </c>
      <c r="D162" s="95">
        <v>1</v>
      </c>
      <c r="E162" s="95">
        <v>34.92</v>
      </c>
      <c r="F162" s="95">
        <v>-3.49</v>
      </c>
      <c r="G162" s="95">
        <v>0</v>
      </c>
      <c r="H162" s="95">
        <v>31.43</v>
      </c>
      <c r="I162" s="95">
        <v>4.12</v>
      </c>
      <c r="J162" s="95">
        <v>0</v>
      </c>
      <c r="K162" s="95">
        <v>0</v>
      </c>
      <c r="L162" s="95">
        <v>7.11</v>
      </c>
    </row>
    <row r="163" spans="1:12" x14ac:dyDescent="0.3">
      <c r="A163" s="95" t="s">
        <v>710</v>
      </c>
      <c r="B163" s="95" t="s">
        <v>711</v>
      </c>
      <c r="C163" s="95">
        <v>40.9</v>
      </c>
      <c r="D163" s="95">
        <v>1</v>
      </c>
      <c r="E163" s="95">
        <v>34.08</v>
      </c>
      <c r="F163" s="95">
        <v>0</v>
      </c>
      <c r="G163" s="95">
        <v>0</v>
      </c>
      <c r="H163" s="95">
        <v>34.08</v>
      </c>
      <c r="I163" s="95">
        <v>0</v>
      </c>
      <c r="J163" s="95">
        <v>0</v>
      </c>
      <c r="K163" s="95">
        <v>0</v>
      </c>
      <c r="L163" s="95">
        <v>6.82</v>
      </c>
    </row>
    <row r="164" spans="1:12" x14ac:dyDescent="0.3">
      <c r="A164" s="95" t="s">
        <v>547</v>
      </c>
      <c r="B164" s="95" t="s">
        <v>712</v>
      </c>
      <c r="C164" s="95">
        <v>40.85</v>
      </c>
      <c r="D164" s="95">
        <v>1</v>
      </c>
      <c r="E164" s="95">
        <v>29.92</v>
      </c>
      <c r="F164" s="95">
        <v>0</v>
      </c>
      <c r="G164" s="95">
        <v>0</v>
      </c>
      <c r="H164" s="95">
        <v>29.92</v>
      </c>
      <c r="I164" s="95">
        <v>4.12</v>
      </c>
      <c r="J164" s="95">
        <v>0</v>
      </c>
      <c r="K164" s="95">
        <v>0</v>
      </c>
      <c r="L164" s="95">
        <v>6.81</v>
      </c>
    </row>
    <row r="165" spans="1:12" x14ac:dyDescent="0.3">
      <c r="A165" s="95" t="s">
        <v>547</v>
      </c>
      <c r="B165" s="95" t="s">
        <v>713</v>
      </c>
      <c r="C165" s="95">
        <v>40.85</v>
      </c>
      <c r="D165" s="95">
        <v>1</v>
      </c>
      <c r="E165" s="95">
        <v>29.92</v>
      </c>
      <c r="F165" s="95">
        <v>0</v>
      </c>
      <c r="G165" s="95">
        <v>0</v>
      </c>
      <c r="H165" s="95">
        <v>29.92</v>
      </c>
      <c r="I165" s="95">
        <v>4.12</v>
      </c>
      <c r="J165" s="95">
        <v>0</v>
      </c>
      <c r="K165" s="95">
        <v>0</v>
      </c>
      <c r="L165" s="95">
        <v>6.81</v>
      </c>
    </row>
    <row r="166" spans="1:12" x14ac:dyDescent="0.3">
      <c r="A166" s="95" t="s">
        <v>547</v>
      </c>
      <c r="B166" s="95" t="s">
        <v>714</v>
      </c>
      <c r="C166" s="95">
        <v>40.85</v>
      </c>
      <c r="D166" s="95">
        <v>1</v>
      </c>
      <c r="E166" s="95">
        <v>29.92</v>
      </c>
      <c r="F166" s="95">
        <v>0</v>
      </c>
      <c r="G166" s="95">
        <v>0</v>
      </c>
      <c r="H166" s="95">
        <v>29.92</v>
      </c>
      <c r="I166" s="95">
        <v>4.12</v>
      </c>
      <c r="J166" s="95">
        <v>0</v>
      </c>
      <c r="K166" s="95">
        <v>0</v>
      </c>
      <c r="L166" s="95">
        <v>6.81</v>
      </c>
    </row>
    <row r="167" spans="1:12" x14ac:dyDescent="0.3">
      <c r="A167" s="95" t="s">
        <v>547</v>
      </c>
      <c r="B167" s="95" t="s">
        <v>715</v>
      </c>
      <c r="C167" s="95">
        <v>40.799999999999997</v>
      </c>
      <c r="D167" s="95">
        <v>1</v>
      </c>
      <c r="E167" s="95">
        <v>29.88</v>
      </c>
      <c r="F167" s="95">
        <v>0</v>
      </c>
      <c r="G167" s="95">
        <v>0</v>
      </c>
      <c r="H167" s="95">
        <v>29.88</v>
      </c>
      <c r="I167" s="95">
        <v>4.12</v>
      </c>
      <c r="J167" s="95">
        <v>0</v>
      </c>
      <c r="K167" s="95">
        <v>0</v>
      </c>
      <c r="L167" s="95">
        <v>6.8</v>
      </c>
    </row>
    <row r="168" spans="1:12" x14ac:dyDescent="0.3">
      <c r="A168" s="95" t="s">
        <v>716</v>
      </c>
      <c r="B168" s="95" t="s">
        <v>717</v>
      </c>
      <c r="C168" s="95">
        <v>38.99</v>
      </c>
      <c r="D168" s="95">
        <v>1</v>
      </c>
      <c r="E168" s="95">
        <v>38.99</v>
      </c>
      <c r="F168" s="95">
        <v>0</v>
      </c>
      <c r="G168" s="95">
        <v>0</v>
      </c>
      <c r="H168" s="95">
        <v>38.99</v>
      </c>
      <c r="I168" s="95">
        <v>0</v>
      </c>
      <c r="J168" s="95">
        <v>0</v>
      </c>
      <c r="K168" s="95">
        <v>0</v>
      </c>
      <c r="L168" s="95">
        <v>0</v>
      </c>
    </row>
    <row r="169" spans="1:12" x14ac:dyDescent="0.3">
      <c r="A169" s="95" t="s">
        <v>716</v>
      </c>
      <c r="B169" s="95" t="s">
        <v>718</v>
      </c>
      <c r="C169" s="95">
        <v>38.99</v>
      </c>
      <c r="D169" s="95">
        <v>1</v>
      </c>
      <c r="E169" s="95">
        <v>38.99</v>
      </c>
      <c r="F169" s="95">
        <v>0</v>
      </c>
      <c r="G169" s="95">
        <v>0</v>
      </c>
      <c r="H169" s="95">
        <v>38.99</v>
      </c>
      <c r="I169" s="95">
        <v>0</v>
      </c>
      <c r="J169" s="95">
        <v>0</v>
      </c>
      <c r="K169" s="95">
        <v>0</v>
      </c>
      <c r="L169" s="95">
        <v>0</v>
      </c>
    </row>
    <row r="170" spans="1:12" x14ac:dyDescent="0.3">
      <c r="A170" s="95" t="s">
        <v>547</v>
      </c>
      <c r="B170" s="95" t="s">
        <v>719</v>
      </c>
      <c r="C170" s="95">
        <v>37.26</v>
      </c>
      <c r="D170" s="95">
        <v>1</v>
      </c>
      <c r="E170" s="95">
        <v>29.92</v>
      </c>
      <c r="F170" s="95">
        <v>-2.99</v>
      </c>
      <c r="G170" s="95">
        <v>0</v>
      </c>
      <c r="H170" s="95">
        <v>26.93</v>
      </c>
      <c r="I170" s="95">
        <v>4.12</v>
      </c>
      <c r="J170" s="95">
        <v>0</v>
      </c>
      <c r="K170" s="95">
        <v>0</v>
      </c>
      <c r="L170" s="95">
        <v>6.21</v>
      </c>
    </row>
    <row r="171" spans="1:12" x14ac:dyDescent="0.3">
      <c r="A171" s="95" t="s">
        <v>547</v>
      </c>
      <c r="B171" s="95" t="s">
        <v>720</v>
      </c>
      <c r="C171" s="95">
        <v>37.26</v>
      </c>
      <c r="D171" s="95">
        <v>1</v>
      </c>
      <c r="E171" s="95">
        <v>29.92</v>
      </c>
      <c r="F171" s="95">
        <v>-2.99</v>
      </c>
      <c r="G171" s="95">
        <v>0</v>
      </c>
      <c r="H171" s="95">
        <v>26.93</v>
      </c>
      <c r="I171" s="95">
        <v>4.12</v>
      </c>
      <c r="J171" s="95">
        <v>0</v>
      </c>
      <c r="K171" s="95">
        <v>0</v>
      </c>
      <c r="L171" s="95">
        <v>6.21</v>
      </c>
    </row>
    <row r="172" spans="1:12" x14ac:dyDescent="0.3">
      <c r="A172" s="95" t="s">
        <v>547</v>
      </c>
      <c r="B172" s="95" t="s">
        <v>721</v>
      </c>
      <c r="C172" s="95">
        <v>34.9</v>
      </c>
      <c r="D172" s="95">
        <v>1</v>
      </c>
      <c r="E172" s="95">
        <v>24.96</v>
      </c>
      <c r="F172" s="95">
        <v>0</v>
      </c>
      <c r="G172" s="95">
        <v>0</v>
      </c>
      <c r="H172" s="95">
        <v>24.96</v>
      </c>
      <c r="I172" s="95">
        <v>4.12</v>
      </c>
      <c r="J172" s="95">
        <v>0</v>
      </c>
      <c r="K172" s="95">
        <v>0</v>
      </c>
      <c r="L172" s="95">
        <v>5.82</v>
      </c>
    </row>
    <row r="173" spans="1:12" x14ac:dyDescent="0.3">
      <c r="A173" s="95" t="s">
        <v>547</v>
      </c>
      <c r="B173" s="95" t="s">
        <v>722</v>
      </c>
      <c r="C173" s="95">
        <v>34.9</v>
      </c>
      <c r="D173" s="95">
        <v>1</v>
      </c>
      <c r="E173" s="95">
        <v>24.96</v>
      </c>
      <c r="F173" s="95">
        <v>0</v>
      </c>
      <c r="G173" s="95">
        <v>0</v>
      </c>
      <c r="H173" s="95">
        <v>24.96</v>
      </c>
      <c r="I173" s="95">
        <v>4.12</v>
      </c>
      <c r="J173" s="95">
        <v>0</v>
      </c>
      <c r="K173" s="95">
        <v>0</v>
      </c>
      <c r="L173" s="95">
        <v>5.82</v>
      </c>
    </row>
    <row r="174" spans="1:12" x14ac:dyDescent="0.3">
      <c r="A174" s="95" t="s">
        <v>547</v>
      </c>
      <c r="B174" s="95" t="s">
        <v>723</v>
      </c>
      <c r="C174" s="95">
        <v>34.9</v>
      </c>
      <c r="D174" s="95">
        <v>1</v>
      </c>
      <c r="E174" s="95">
        <v>24.96</v>
      </c>
      <c r="F174" s="95">
        <v>0</v>
      </c>
      <c r="G174" s="95">
        <v>0</v>
      </c>
      <c r="H174" s="95">
        <v>24.96</v>
      </c>
      <c r="I174" s="95">
        <v>4.12</v>
      </c>
      <c r="J174" s="95">
        <v>0</v>
      </c>
      <c r="K174" s="95">
        <v>0</v>
      </c>
      <c r="L174" s="95">
        <v>5.82</v>
      </c>
    </row>
    <row r="175" spans="1:12" x14ac:dyDescent="0.3">
      <c r="A175" s="95" t="s">
        <v>547</v>
      </c>
      <c r="B175" s="95" t="s">
        <v>724</v>
      </c>
      <c r="C175" s="95">
        <v>34.9</v>
      </c>
      <c r="D175" s="95">
        <v>1</v>
      </c>
      <c r="E175" s="95">
        <v>24.96</v>
      </c>
      <c r="F175" s="95">
        <v>0</v>
      </c>
      <c r="G175" s="95">
        <v>0</v>
      </c>
      <c r="H175" s="95">
        <v>24.96</v>
      </c>
      <c r="I175" s="95">
        <v>4.12</v>
      </c>
      <c r="J175" s="95">
        <v>0</v>
      </c>
      <c r="K175" s="95">
        <v>0</v>
      </c>
      <c r="L175" s="95">
        <v>5.82</v>
      </c>
    </row>
    <row r="176" spans="1:12" x14ac:dyDescent="0.3">
      <c r="A176" s="95" t="s">
        <v>547</v>
      </c>
      <c r="B176" s="95" t="s">
        <v>725</v>
      </c>
      <c r="C176" s="95">
        <v>34.9</v>
      </c>
      <c r="D176" s="95">
        <v>1</v>
      </c>
      <c r="E176" s="95">
        <v>24.96</v>
      </c>
      <c r="F176" s="95">
        <v>0</v>
      </c>
      <c r="G176" s="95">
        <v>0</v>
      </c>
      <c r="H176" s="95">
        <v>24.96</v>
      </c>
      <c r="I176" s="95">
        <v>4.12</v>
      </c>
      <c r="J176" s="95">
        <v>0</v>
      </c>
      <c r="K176" s="95">
        <v>0</v>
      </c>
      <c r="L176" s="95">
        <v>5.82</v>
      </c>
    </row>
    <row r="177" spans="1:12" x14ac:dyDescent="0.3">
      <c r="A177" s="95" t="s">
        <v>547</v>
      </c>
      <c r="B177" s="95" t="s">
        <v>726</v>
      </c>
      <c r="C177" s="95">
        <v>34.9</v>
      </c>
      <c r="D177" s="95">
        <v>1</v>
      </c>
      <c r="E177" s="95">
        <v>24.96</v>
      </c>
      <c r="F177" s="95">
        <v>0</v>
      </c>
      <c r="G177" s="95">
        <v>0</v>
      </c>
      <c r="H177" s="95">
        <v>24.96</v>
      </c>
      <c r="I177" s="95">
        <v>4.12</v>
      </c>
      <c r="J177" s="95">
        <v>0</v>
      </c>
      <c r="K177" s="95">
        <v>0</v>
      </c>
      <c r="L177" s="95">
        <v>5.82</v>
      </c>
    </row>
    <row r="178" spans="1:12" x14ac:dyDescent="0.3">
      <c r="A178" s="95" t="s">
        <v>547</v>
      </c>
      <c r="B178" s="95" t="s">
        <v>727</v>
      </c>
      <c r="C178" s="95">
        <v>34.9</v>
      </c>
      <c r="D178" s="95">
        <v>1</v>
      </c>
      <c r="E178" s="95">
        <v>24.96</v>
      </c>
      <c r="F178" s="95">
        <v>0</v>
      </c>
      <c r="G178" s="95">
        <v>0</v>
      </c>
      <c r="H178" s="95">
        <v>24.96</v>
      </c>
      <c r="I178" s="95">
        <v>4.12</v>
      </c>
      <c r="J178" s="95">
        <v>0</v>
      </c>
      <c r="K178" s="95">
        <v>0</v>
      </c>
      <c r="L178" s="95">
        <v>5.82</v>
      </c>
    </row>
    <row r="179" spans="1:12" x14ac:dyDescent="0.3">
      <c r="A179" s="95" t="s">
        <v>547</v>
      </c>
      <c r="B179" s="95" t="s">
        <v>728</v>
      </c>
      <c r="C179" s="95">
        <v>34.9</v>
      </c>
      <c r="D179" s="95">
        <v>1</v>
      </c>
      <c r="E179" s="95">
        <v>24.96</v>
      </c>
      <c r="F179" s="95">
        <v>0</v>
      </c>
      <c r="G179" s="95">
        <v>0</v>
      </c>
      <c r="H179" s="95">
        <v>24.96</v>
      </c>
      <c r="I179" s="95">
        <v>4.12</v>
      </c>
      <c r="J179" s="95">
        <v>0</v>
      </c>
      <c r="K179" s="95">
        <v>0</v>
      </c>
      <c r="L179" s="95">
        <v>5.82</v>
      </c>
    </row>
    <row r="180" spans="1:12" x14ac:dyDescent="0.3">
      <c r="A180" s="95" t="s">
        <v>547</v>
      </c>
      <c r="B180" s="95" t="s">
        <v>729</v>
      </c>
      <c r="C180" s="95">
        <v>34.9</v>
      </c>
      <c r="D180" s="95">
        <v>1</v>
      </c>
      <c r="E180" s="95">
        <v>24.96</v>
      </c>
      <c r="F180" s="95">
        <v>0</v>
      </c>
      <c r="G180" s="95">
        <v>0</v>
      </c>
      <c r="H180" s="95">
        <v>24.96</v>
      </c>
      <c r="I180" s="95">
        <v>4.12</v>
      </c>
      <c r="J180" s="95">
        <v>0</v>
      </c>
      <c r="K180" s="95">
        <v>0</v>
      </c>
      <c r="L180" s="95">
        <v>5.82</v>
      </c>
    </row>
    <row r="181" spans="1:12" x14ac:dyDescent="0.3">
      <c r="A181" s="95" t="s">
        <v>547</v>
      </c>
      <c r="B181" s="95" t="s">
        <v>730</v>
      </c>
      <c r="C181" s="95">
        <v>34.9</v>
      </c>
      <c r="D181" s="95">
        <v>1</v>
      </c>
      <c r="E181" s="95">
        <v>24.96</v>
      </c>
      <c r="F181" s="95">
        <v>0</v>
      </c>
      <c r="G181" s="95">
        <v>0</v>
      </c>
      <c r="H181" s="95">
        <v>24.96</v>
      </c>
      <c r="I181" s="95">
        <v>4.12</v>
      </c>
      <c r="J181" s="95">
        <v>0</v>
      </c>
      <c r="K181" s="95">
        <v>0</v>
      </c>
      <c r="L181" s="95">
        <v>5.82</v>
      </c>
    </row>
    <row r="182" spans="1:12" x14ac:dyDescent="0.3">
      <c r="A182" s="95" t="s">
        <v>547</v>
      </c>
      <c r="B182" s="95" t="s">
        <v>731</v>
      </c>
      <c r="C182" s="95">
        <v>34.9</v>
      </c>
      <c r="D182" s="95">
        <v>1</v>
      </c>
      <c r="E182" s="95">
        <v>24.96</v>
      </c>
      <c r="F182" s="95">
        <v>0</v>
      </c>
      <c r="G182" s="95">
        <v>0</v>
      </c>
      <c r="H182" s="95">
        <v>24.96</v>
      </c>
      <c r="I182" s="95">
        <v>4.12</v>
      </c>
      <c r="J182" s="95">
        <v>0</v>
      </c>
      <c r="K182" s="95">
        <v>0</v>
      </c>
      <c r="L182" s="95">
        <v>5.82</v>
      </c>
    </row>
    <row r="183" spans="1:12" x14ac:dyDescent="0.3">
      <c r="A183" s="95" t="s">
        <v>547</v>
      </c>
      <c r="B183" s="95" t="s">
        <v>732</v>
      </c>
      <c r="C183" s="95">
        <v>34.9</v>
      </c>
      <c r="D183" s="95">
        <v>1</v>
      </c>
      <c r="E183" s="95">
        <v>24.96</v>
      </c>
      <c r="F183" s="95">
        <v>0</v>
      </c>
      <c r="G183" s="95">
        <v>0</v>
      </c>
      <c r="H183" s="95">
        <v>24.96</v>
      </c>
      <c r="I183" s="95">
        <v>4.12</v>
      </c>
      <c r="J183" s="95">
        <v>0</v>
      </c>
      <c r="K183" s="95">
        <v>0</v>
      </c>
      <c r="L183" s="95">
        <v>5.82</v>
      </c>
    </row>
    <row r="184" spans="1:12" x14ac:dyDescent="0.3">
      <c r="A184" s="95" t="s">
        <v>547</v>
      </c>
      <c r="B184" s="95" t="s">
        <v>733</v>
      </c>
      <c r="C184" s="95">
        <v>34.9</v>
      </c>
      <c r="D184" s="95">
        <v>1</v>
      </c>
      <c r="E184" s="95">
        <v>24.96</v>
      </c>
      <c r="F184" s="95">
        <v>0</v>
      </c>
      <c r="G184" s="95">
        <v>0</v>
      </c>
      <c r="H184" s="95">
        <v>24.96</v>
      </c>
      <c r="I184" s="95">
        <v>4.12</v>
      </c>
      <c r="J184" s="95">
        <v>0</v>
      </c>
      <c r="K184" s="95">
        <v>0</v>
      </c>
      <c r="L184" s="95">
        <v>5.82</v>
      </c>
    </row>
    <row r="185" spans="1:12" x14ac:dyDescent="0.3">
      <c r="A185" s="95" t="s">
        <v>547</v>
      </c>
      <c r="B185" s="95" t="s">
        <v>734</v>
      </c>
      <c r="C185" s="95">
        <v>34.9</v>
      </c>
      <c r="D185" s="95">
        <v>1</v>
      </c>
      <c r="E185" s="95">
        <v>24.96</v>
      </c>
      <c r="F185" s="95">
        <v>0</v>
      </c>
      <c r="G185" s="95">
        <v>0</v>
      </c>
      <c r="H185" s="95">
        <v>24.96</v>
      </c>
      <c r="I185" s="95">
        <v>4.12</v>
      </c>
      <c r="J185" s="95">
        <v>0</v>
      </c>
      <c r="K185" s="95">
        <v>0</v>
      </c>
      <c r="L185" s="95">
        <v>5.82</v>
      </c>
    </row>
    <row r="186" spans="1:12" x14ac:dyDescent="0.3">
      <c r="A186" s="95" t="s">
        <v>547</v>
      </c>
      <c r="B186" s="95" t="s">
        <v>735</v>
      </c>
      <c r="C186" s="95">
        <v>34.9</v>
      </c>
      <c r="D186" s="95">
        <v>1</v>
      </c>
      <c r="E186" s="95">
        <v>24.96</v>
      </c>
      <c r="F186" s="95">
        <v>0</v>
      </c>
      <c r="G186" s="95">
        <v>0</v>
      </c>
      <c r="H186" s="95">
        <v>24.96</v>
      </c>
      <c r="I186" s="95">
        <v>4.12</v>
      </c>
      <c r="J186" s="95">
        <v>0</v>
      </c>
      <c r="K186" s="95">
        <v>0</v>
      </c>
      <c r="L186" s="95">
        <v>5.82</v>
      </c>
    </row>
    <row r="187" spans="1:12" x14ac:dyDescent="0.3">
      <c r="A187" s="95" t="s">
        <v>547</v>
      </c>
      <c r="B187" s="95" t="s">
        <v>736</v>
      </c>
      <c r="C187" s="95">
        <v>34.9</v>
      </c>
      <c r="D187" s="95">
        <v>1</v>
      </c>
      <c r="E187" s="95">
        <v>24.96</v>
      </c>
      <c r="F187" s="95">
        <v>0</v>
      </c>
      <c r="G187" s="95">
        <v>0</v>
      </c>
      <c r="H187" s="95">
        <v>24.96</v>
      </c>
      <c r="I187" s="95">
        <v>4.12</v>
      </c>
      <c r="J187" s="95">
        <v>0</v>
      </c>
      <c r="K187" s="95">
        <v>0</v>
      </c>
      <c r="L187" s="95">
        <v>5.82</v>
      </c>
    </row>
    <row r="188" spans="1:12" x14ac:dyDescent="0.3">
      <c r="A188" s="95" t="s">
        <v>547</v>
      </c>
      <c r="B188" s="95" t="s">
        <v>737</v>
      </c>
      <c r="C188" s="95">
        <v>34.9</v>
      </c>
      <c r="D188" s="95">
        <v>1</v>
      </c>
      <c r="E188" s="95">
        <v>24.96</v>
      </c>
      <c r="F188" s="95">
        <v>0</v>
      </c>
      <c r="G188" s="95">
        <v>0</v>
      </c>
      <c r="H188" s="95">
        <v>24.96</v>
      </c>
      <c r="I188" s="95">
        <v>4.12</v>
      </c>
      <c r="J188" s="95">
        <v>0</v>
      </c>
      <c r="K188" s="95">
        <v>0</v>
      </c>
      <c r="L188" s="95">
        <v>5.82</v>
      </c>
    </row>
    <row r="189" spans="1:12" x14ac:dyDescent="0.3">
      <c r="A189" s="95" t="s">
        <v>547</v>
      </c>
      <c r="B189" s="95" t="s">
        <v>738</v>
      </c>
      <c r="C189" s="95">
        <v>34.9</v>
      </c>
      <c r="D189" s="95">
        <v>1</v>
      </c>
      <c r="E189" s="95">
        <v>24.96</v>
      </c>
      <c r="F189" s="95">
        <v>0</v>
      </c>
      <c r="G189" s="95">
        <v>0</v>
      </c>
      <c r="H189" s="95">
        <v>24.96</v>
      </c>
      <c r="I189" s="95">
        <v>4.12</v>
      </c>
      <c r="J189" s="95">
        <v>0</v>
      </c>
      <c r="K189" s="95">
        <v>0</v>
      </c>
      <c r="L189" s="95">
        <v>5.82</v>
      </c>
    </row>
    <row r="190" spans="1:12" x14ac:dyDescent="0.3">
      <c r="A190" s="95" t="s">
        <v>547</v>
      </c>
      <c r="B190" s="95" t="s">
        <v>739</v>
      </c>
      <c r="C190" s="95">
        <v>34.9</v>
      </c>
      <c r="D190" s="95">
        <v>1</v>
      </c>
      <c r="E190" s="95">
        <v>24.96</v>
      </c>
      <c r="F190" s="95">
        <v>0</v>
      </c>
      <c r="G190" s="95">
        <v>0</v>
      </c>
      <c r="H190" s="95">
        <v>24.96</v>
      </c>
      <c r="I190" s="95">
        <v>4.12</v>
      </c>
      <c r="J190" s="95">
        <v>0</v>
      </c>
      <c r="K190" s="95">
        <v>0</v>
      </c>
      <c r="L190" s="95">
        <v>5.82</v>
      </c>
    </row>
    <row r="191" spans="1:12" x14ac:dyDescent="0.3">
      <c r="A191" s="95" t="s">
        <v>547</v>
      </c>
      <c r="B191" s="95" t="s">
        <v>740</v>
      </c>
      <c r="C191" s="95">
        <v>34.9</v>
      </c>
      <c r="D191" s="95">
        <v>1</v>
      </c>
      <c r="E191" s="95">
        <v>24.96</v>
      </c>
      <c r="F191" s="95">
        <v>0</v>
      </c>
      <c r="G191" s="95">
        <v>0</v>
      </c>
      <c r="H191" s="95">
        <v>24.96</v>
      </c>
      <c r="I191" s="95">
        <v>4.12</v>
      </c>
      <c r="J191" s="95">
        <v>0</v>
      </c>
      <c r="K191" s="95">
        <v>0</v>
      </c>
      <c r="L191" s="95">
        <v>5.82</v>
      </c>
    </row>
    <row r="192" spans="1:12" x14ac:dyDescent="0.3">
      <c r="A192" s="95" t="s">
        <v>547</v>
      </c>
      <c r="B192" s="95" t="s">
        <v>741</v>
      </c>
      <c r="C192" s="95">
        <v>34.9</v>
      </c>
      <c r="D192" s="95">
        <v>1</v>
      </c>
      <c r="E192" s="95">
        <v>24.96</v>
      </c>
      <c r="F192" s="95">
        <v>0</v>
      </c>
      <c r="G192" s="95">
        <v>0</v>
      </c>
      <c r="H192" s="95">
        <v>24.96</v>
      </c>
      <c r="I192" s="95">
        <v>4.12</v>
      </c>
      <c r="J192" s="95">
        <v>0</v>
      </c>
      <c r="K192" s="95">
        <v>0</v>
      </c>
      <c r="L192" s="95">
        <v>5.82</v>
      </c>
    </row>
    <row r="193" spans="1:12" x14ac:dyDescent="0.3">
      <c r="A193" s="95" t="s">
        <v>547</v>
      </c>
      <c r="B193" s="95" t="s">
        <v>742</v>
      </c>
      <c r="C193" s="95">
        <v>34.9</v>
      </c>
      <c r="D193" s="95">
        <v>1</v>
      </c>
      <c r="E193" s="95">
        <v>24.96</v>
      </c>
      <c r="F193" s="95">
        <v>0</v>
      </c>
      <c r="G193" s="95">
        <v>0</v>
      </c>
      <c r="H193" s="95">
        <v>24.96</v>
      </c>
      <c r="I193" s="95">
        <v>4.12</v>
      </c>
      <c r="J193" s="95">
        <v>0</v>
      </c>
      <c r="K193" s="95">
        <v>0</v>
      </c>
      <c r="L193" s="95">
        <v>5.82</v>
      </c>
    </row>
    <row r="194" spans="1:12" x14ac:dyDescent="0.3">
      <c r="A194" s="95" t="s">
        <v>547</v>
      </c>
      <c r="B194" s="95" t="s">
        <v>743</v>
      </c>
      <c r="C194" s="95">
        <v>34.9</v>
      </c>
      <c r="D194" s="95">
        <v>1</v>
      </c>
      <c r="E194" s="95">
        <v>24.96</v>
      </c>
      <c r="F194" s="95">
        <v>0</v>
      </c>
      <c r="G194" s="95">
        <v>0</v>
      </c>
      <c r="H194" s="95">
        <v>24.96</v>
      </c>
      <c r="I194" s="95">
        <v>4.12</v>
      </c>
      <c r="J194" s="95">
        <v>0</v>
      </c>
      <c r="K194" s="95">
        <v>0</v>
      </c>
      <c r="L194" s="95">
        <v>5.82</v>
      </c>
    </row>
    <row r="195" spans="1:12" x14ac:dyDescent="0.3">
      <c r="A195" s="95" t="s">
        <v>547</v>
      </c>
      <c r="B195" s="95" t="s">
        <v>744</v>
      </c>
      <c r="C195" s="95">
        <v>34.85</v>
      </c>
      <c r="D195" s="95">
        <v>1</v>
      </c>
      <c r="E195" s="95">
        <v>24.92</v>
      </c>
      <c r="F195" s="95">
        <v>0</v>
      </c>
      <c r="G195" s="95">
        <v>0</v>
      </c>
      <c r="H195" s="95">
        <v>24.92</v>
      </c>
      <c r="I195" s="95">
        <v>4.12</v>
      </c>
      <c r="J195" s="95">
        <v>0</v>
      </c>
      <c r="K195" s="95">
        <v>0</v>
      </c>
      <c r="L195" s="95">
        <v>5.81</v>
      </c>
    </row>
    <row r="196" spans="1:12" x14ac:dyDescent="0.3">
      <c r="A196" s="95" t="s">
        <v>547</v>
      </c>
      <c r="B196" s="95" t="s">
        <v>745</v>
      </c>
      <c r="C196" s="95">
        <v>31.8</v>
      </c>
      <c r="D196" s="95">
        <v>1</v>
      </c>
      <c r="E196" s="95">
        <v>22.38</v>
      </c>
      <c r="F196" s="95">
        <v>0</v>
      </c>
      <c r="G196" s="95">
        <v>0</v>
      </c>
      <c r="H196" s="95">
        <v>22.38</v>
      </c>
      <c r="I196" s="95">
        <v>4.12</v>
      </c>
      <c r="J196" s="95">
        <v>0</v>
      </c>
      <c r="K196" s="95">
        <v>0</v>
      </c>
      <c r="L196" s="95">
        <v>5.3</v>
      </c>
    </row>
    <row r="197" spans="1:12" x14ac:dyDescent="0.3">
      <c r="A197" s="95" t="s">
        <v>547</v>
      </c>
      <c r="B197" s="95" t="s">
        <v>746</v>
      </c>
      <c r="C197" s="95">
        <v>31.8</v>
      </c>
      <c r="D197" s="95">
        <v>1</v>
      </c>
      <c r="E197" s="95">
        <v>22.38</v>
      </c>
      <c r="F197" s="95">
        <v>0</v>
      </c>
      <c r="G197" s="95">
        <v>0</v>
      </c>
      <c r="H197" s="95">
        <v>22.38</v>
      </c>
      <c r="I197" s="95">
        <v>4.12</v>
      </c>
      <c r="J197" s="95">
        <v>0</v>
      </c>
      <c r="K197" s="95">
        <v>0</v>
      </c>
      <c r="L197" s="95">
        <v>5.3</v>
      </c>
    </row>
    <row r="198" spans="1:12" x14ac:dyDescent="0.3">
      <c r="A198" s="95" t="s">
        <v>547</v>
      </c>
      <c r="B198" s="95" t="s">
        <v>747</v>
      </c>
      <c r="C198" s="95">
        <v>30.4</v>
      </c>
      <c r="D198" s="95">
        <v>1</v>
      </c>
      <c r="E198" s="95">
        <v>41.58</v>
      </c>
      <c r="F198" s="95">
        <v>-4.1500000000000004</v>
      </c>
      <c r="G198" s="95">
        <v>-18.72</v>
      </c>
      <c r="H198" s="95">
        <v>18.71</v>
      </c>
      <c r="I198" s="95">
        <v>4.12</v>
      </c>
      <c r="J198" s="95">
        <v>0</v>
      </c>
      <c r="K198" s="95">
        <v>0</v>
      </c>
      <c r="L198" s="95">
        <v>4.57</v>
      </c>
    </row>
    <row r="199" spans="1:12" x14ac:dyDescent="0.3">
      <c r="A199" s="95" t="s">
        <v>547</v>
      </c>
      <c r="B199" s="95" t="s">
        <v>748</v>
      </c>
      <c r="C199" s="95">
        <v>29.9</v>
      </c>
      <c r="D199" s="95">
        <v>1</v>
      </c>
      <c r="E199" s="95">
        <v>20.8</v>
      </c>
      <c r="F199" s="95">
        <v>0</v>
      </c>
      <c r="G199" s="95">
        <v>0</v>
      </c>
      <c r="H199" s="95">
        <v>20.8</v>
      </c>
      <c r="I199" s="95">
        <v>4.12</v>
      </c>
      <c r="J199" s="95">
        <v>0</v>
      </c>
      <c r="K199" s="95">
        <v>0</v>
      </c>
      <c r="L199" s="95">
        <v>4.9800000000000004</v>
      </c>
    </row>
    <row r="200" spans="1:12" x14ac:dyDescent="0.3">
      <c r="A200" s="95" t="s">
        <v>547</v>
      </c>
      <c r="B200" s="95" t="s">
        <v>749</v>
      </c>
      <c r="C200" s="95">
        <v>29.9</v>
      </c>
      <c r="D200" s="95">
        <v>1</v>
      </c>
      <c r="E200" s="95">
        <v>20.8</v>
      </c>
      <c r="F200" s="95">
        <v>0</v>
      </c>
      <c r="G200" s="95">
        <v>0</v>
      </c>
      <c r="H200" s="95">
        <v>20.8</v>
      </c>
      <c r="I200" s="95">
        <v>4.12</v>
      </c>
      <c r="J200" s="95">
        <v>0</v>
      </c>
      <c r="K200" s="95">
        <v>0</v>
      </c>
      <c r="L200" s="95">
        <v>4.9800000000000004</v>
      </c>
    </row>
    <row r="201" spans="1:12" x14ac:dyDescent="0.3">
      <c r="A201" s="95" t="s">
        <v>547</v>
      </c>
      <c r="B201" s="95" t="s">
        <v>750</v>
      </c>
      <c r="C201" s="95">
        <v>29.9</v>
      </c>
      <c r="D201" s="95">
        <v>1</v>
      </c>
      <c r="E201" s="95">
        <v>20.8</v>
      </c>
      <c r="F201" s="95">
        <v>0</v>
      </c>
      <c r="G201" s="95">
        <v>0</v>
      </c>
      <c r="H201" s="95">
        <v>20.8</v>
      </c>
      <c r="I201" s="95">
        <v>4.12</v>
      </c>
      <c r="J201" s="95">
        <v>0</v>
      </c>
      <c r="K201" s="95">
        <v>0</v>
      </c>
      <c r="L201" s="95">
        <v>4.9800000000000004</v>
      </c>
    </row>
    <row r="202" spans="1:12" x14ac:dyDescent="0.3">
      <c r="A202" s="95" t="s">
        <v>547</v>
      </c>
      <c r="B202" s="95" t="s">
        <v>751</v>
      </c>
      <c r="C202" s="95">
        <v>29.9</v>
      </c>
      <c r="D202" s="95">
        <v>1</v>
      </c>
      <c r="E202" s="95">
        <v>20.8</v>
      </c>
      <c r="F202" s="95">
        <v>0</v>
      </c>
      <c r="G202" s="95">
        <v>0</v>
      </c>
      <c r="H202" s="95">
        <v>20.8</v>
      </c>
      <c r="I202" s="95">
        <v>4.12</v>
      </c>
      <c r="J202" s="95">
        <v>0</v>
      </c>
      <c r="K202" s="95">
        <v>0</v>
      </c>
      <c r="L202" s="95">
        <v>4.9800000000000004</v>
      </c>
    </row>
    <row r="203" spans="1:12" x14ac:dyDescent="0.3">
      <c r="A203" s="95" t="s">
        <v>547</v>
      </c>
      <c r="B203" s="95" t="s">
        <v>752</v>
      </c>
      <c r="C203" s="95">
        <v>29.9</v>
      </c>
      <c r="D203" s="95">
        <v>1</v>
      </c>
      <c r="E203" s="95">
        <v>20.8</v>
      </c>
      <c r="F203" s="95">
        <v>0</v>
      </c>
      <c r="G203" s="95">
        <v>0</v>
      </c>
      <c r="H203" s="95">
        <v>20.8</v>
      </c>
      <c r="I203" s="95">
        <v>4.12</v>
      </c>
      <c r="J203" s="95">
        <v>0</v>
      </c>
      <c r="K203" s="95">
        <v>0</v>
      </c>
      <c r="L203" s="95">
        <v>4.9800000000000004</v>
      </c>
    </row>
    <row r="204" spans="1:12" x14ac:dyDescent="0.3">
      <c r="A204" s="95" t="s">
        <v>547</v>
      </c>
      <c r="B204" s="95" t="s">
        <v>753</v>
      </c>
      <c r="C204" s="95">
        <v>29.9</v>
      </c>
      <c r="D204" s="95">
        <v>1</v>
      </c>
      <c r="E204" s="95">
        <v>20.8</v>
      </c>
      <c r="F204" s="95">
        <v>0</v>
      </c>
      <c r="G204" s="95">
        <v>0</v>
      </c>
      <c r="H204" s="95">
        <v>20.8</v>
      </c>
      <c r="I204" s="95">
        <v>4.12</v>
      </c>
      <c r="J204" s="95">
        <v>0</v>
      </c>
      <c r="K204" s="95">
        <v>0</v>
      </c>
      <c r="L204" s="95">
        <v>4.9800000000000004</v>
      </c>
    </row>
    <row r="205" spans="1:12" x14ac:dyDescent="0.3">
      <c r="A205" s="95" t="s">
        <v>547</v>
      </c>
      <c r="B205" s="95" t="s">
        <v>754</v>
      </c>
      <c r="C205" s="95">
        <v>29.9</v>
      </c>
      <c r="D205" s="95">
        <v>1</v>
      </c>
      <c r="E205" s="95">
        <v>20.8</v>
      </c>
      <c r="F205" s="95">
        <v>0</v>
      </c>
      <c r="G205" s="95">
        <v>0</v>
      </c>
      <c r="H205" s="95">
        <v>20.8</v>
      </c>
      <c r="I205" s="95">
        <v>4.12</v>
      </c>
      <c r="J205" s="95">
        <v>0</v>
      </c>
      <c r="K205" s="95">
        <v>0</v>
      </c>
      <c r="L205" s="95">
        <v>4.9800000000000004</v>
      </c>
    </row>
    <row r="206" spans="1:12" x14ac:dyDescent="0.3">
      <c r="A206" s="95" t="s">
        <v>547</v>
      </c>
      <c r="B206" s="95" t="s">
        <v>755</v>
      </c>
      <c r="C206" s="95">
        <v>29.9</v>
      </c>
      <c r="D206" s="95">
        <v>1</v>
      </c>
      <c r="E206" s="95">
        <v>20.8</v>
      </c>
      <c r="F206" s="95">
        <v>0</v>
      </c>
      <c r="G206" s="95">
        <v>0</v>
      </c>
      <c r="H206" s="95">
        <v>20.8</v>
      </c>
      <c r="I206" s="95">
        <v>4.12</v>
      </c>
      <c r="J206" s="95">
        <v>0</v>
      </c>
      <c r="K206" s="95">
        <v>0</v>
      </c>
      <c r="L206" s="95">
        <v>4.9800000000000004</v>
      </c>
    </row>
    <row r="207" spans="1:12" x14ac:dyDescent="0.3">
      <c r="A207" s="95" t="s">
        <v>547</v>
      </c>
      <c r="B207" s="95" t="s">
        <v>756</v>
      </c>
      <c r="C207" s="95">
        <v>29.9</v>
      </c>
      <c r="D207" s="95">
        <v>1</v>
      </c>
      <c r="E207" s="95">
        <v>20.8</v>
      </c>
      <c r="F207" s="95">
        <v>0</v>
      </c>
      <c r="G207" s="95">
        <v>0</v>
      </c>
      <c r="H207" s="95">
        <v>20.8</v>
      </c>
      <c r="I207" s="95">
        <v>4.12</v>
      </c>
      <c r="J207" s="95">
        <v>0</v>
      </c>
      <c r="K207" s="95">
        <v>0</v>
      </c>
      <c r="L207" s="95">
        <v>4.9800000000000004</v>
      </c>
    </row>
    <row r="208" spans="1:12" x14ac:dyDescent="0.3">
      <c r="A208" s="95" t="s">
        <v>547</v>
      </c>
      <c r="B208" s="95" t="s">
        <v>757</v>
      </c>
      <c r="C208" s="95">
        <v>29.9</v>
      </c>
      <c r="D208" s="95">
        <v>1</v>
      </c>
      <c r="E208" s="95">
        <v>20.8</v>
      </c>
      <c r="F208" s="95">
        <v>0</v>
      </c>
      <c r="G208" s="95">
        <v>0</v>
      </c>
      <c r="H208" s="95">
        <v>20.8</v>
      </c>
      <c r="I208" s="95">
        <v>4.12</v>
      </c>
      <c r="J208" s="95">
        <v>0</v>
      </c>
      <c r="K208" s="95">
        <v>0</v>
      </c>
      <c r="L208" s="95">
        <v>4.9800000000000004</v>
      </c>
    </row>
    <row r="209" spans="1:12" x14ac:dyDescent="0.3">
      <c r="A209" s="95" t="s">
        <v>547</v>
      </c>
      <c r="B209" s="95" t="s">
        <v>758</v>
      </c>
      <c r="C209" s="95">
        <v>29.9</v>
      </c>
      <c r="D209" s="95">
        <v>1</v>
      </c>
      <c r="E209" s="95">
        <v>20.8</v>
      </c>
      <c r="F209" s="95">
        <v>0</v>
      </c>
      <c r="G209" s="95">
        <v>0</v>
      </c>
      <c r="H209" s="95">
        <v>20.8</v>
      </c>
      <c r="I209" s="95">
        <v>4.12</v>
      </c>
      <c r="J209" s="95">
        <v>0</v>
      </c>
      <c r="K209" s="95">
        <v>0</v>
      </c>
      <c r="L209" s="95">
        <v>4.9800000000000004</v>
      </c>
    </row>
    <row r="210" spans="1:12" x14ac:dyDescent="0.3">
      <c r="A210" s="95" t="s">
        <v>547</v>
      </c>
      <c r="B210" s="95" t="s">
        <v>759</v>
      </c>
      <c r="C210" s="95">
        <v>29.9</v>
      </c>
      <c r="D210" s="95">
        <v>1</v>
      </c>
      <c r="E210" s="95">
        <v>20.8</v>
      </c>
      <c r="F210" s="95">
        <v>0</v>
      </c>
      <c r="G210" s="95">
        <v>0</v>
      </c>
      <c r="H210" s="95">
        <v>20.8</v>
      </c>
      <c r="I210" s="95">
        <v>4.12</v>
      </c>
      <c r="J210" s="95">
        <v>0</v>
      </c>
      <c r="K210" s="95">
        <v>0</v>
      </c>
      <c r="L210" s="95">
        <v>4.9800000000000004</v>
      </c>
    </row>
    <row r="211" spans="1:12" x14ac:dyDescent="0.3">
      <c r="A211" s="95" t="s">
        <v>547</v>
      </c>
      <c r="B211" s="95" t="s">
        <v>760</v>
      </c>
      <c r="C211" s="95">
        <v>29.9</v>
      </c>
      <c r="D211" s="95">
        <v>1</v>
      </c>
      <c r="E211" s="95">
        <v>20.8</v>
      </c>
      <c r="F211" s="95">
        <v>0</v>
      </c>
      <c r="G211" s="95">
        <v>0</v>
      </c>
      <c r="H211" s="95">
        <v>20.8</v>
      </c>
      <c r="I211" s="95">
        <v>4.12</v>
      </c>
      <c r="J211" s="95">
        <v>0</v>
      </c>
      <c r="K211" s="95">
        <v>0</v>
      </c>
      <c r="L211" s="95">
        <v>4.9800000000000004</v>
      </c>
    </row>
    <row r="212" spans="1:12" x14ac:dyDescent="0.3">
      <c r="A212" s="95" t="s">
        <v>547</v>
      </c>
      <c r="B212" s="95" t="s">
        <v>761</v>
      </c>
      <c r="C212" s="95">
        <v>29.9</v>
      </c>
      <c r="D212" s="95">
        <v>1</v>
      </c>
      <c r="E212" s="95">
        <v>20.8</v>
      </c>
      <c r="F212" s="95">
        <v>0</v>
      </c>
      <c r="G212" s="95">
        <v>0</v>
      </c>
      <c r="H212" s="95">
        <v>20.8</v>
      </c>
      <c r="I212" s="95">
        <v>4.12</v>
      </c>
      <c r="J212" s="95">
        <v>0</v>
      </c>
      <c r="K212" s="95">
        <v>0</v>
      </c>
      <c r="L212" s="95">
        <v>4.9800000000000004</v>
      </c>
    </row>
    <row r="213" spans="1:12" x14ac:dyDescent="0.3">
      <c r="A213" s="95" t="s">
        <v>547</v>
      </c>
      <c r="B213" s="95" t="s">
        <v>762</v>
      </c>
      <c r="C213" s="95">
        <v>29.9</v>
      </c>
      <c r="D213" s="95">
        <v>1</v>
      </c>
      <c r="E213" s="95">
        <v>20.8</v>
      </c>
      <c r="F213" s="95">
        <v>0</v>
      </c>
      <c r="G213" s="95">
        <v>0</v>
      </c>
      <c r="H213" s="95">
        <v>20.8</v>
      </c>
      <c r="I213" s="95">
        <v>4.12</v>
      </c>
      <c r="J213" s="95">
        <v>0</v>
      </c>
      <c r="K213" s="95">
        <v>0</v>
      </c>
      <c r="L213" s="95">
        <v>4.9800000000000004</v>
      </c>
    </row>
    <row r="214" spans="1:12" x14ac:dyDescent="0.3">
      <c r="A214" s="95" t="s">
        <v>547</v>
      </c>
      <c r="B214" s="95" t="s">
        <v>763</v>
      </c>
      <c r="C214" s="95">
        <v>29.9</v>
      </c>
      <c r="D214" s="95">
        <v>1</v>
      </c>
      <c r="E214" s="95">
        <v>20.8</v>
      </c>
      <c r="F214" s="95">
        <v>0</v>
      </c>
      <c r="G214" s="95">
        <v>0</v>
      </c>
      <c r="H214" s="95">
        <v>20.8</v>
      </c>
      <c r="I214" s="95">
        <v>4.12</v>
      </c>
      <c r="J214" s="95">
        <v>0</v>
      </c>
      <c r="K214" s="95">
        <v>0</v>
      </c>
      <c r="L214" s="95">
        <v>4.9800000000000004</v>
      </c>
    </row>
    <row r="215" spans="1:12" x14ac:dyDescent="0.3">
      <c r="A215" s="95" t="s">
        <v>547</v>
      </c>
      <c r="B215" s="95" t="s">
        <v>764</v>
      </c>
      <c r="C215" s="95">
        <v>29.9</v>
      </c>
      <c r="D215" s="95">
        <v>1</v>
      </c>
      <c r="E215" s="95">
        <v>20.8</v>
      </c>
      <c r="F215" s="95">
        <v>0</v>
      </c>
      <c r="G215" s="95">
        <v>0</v>
      </c>
      <c r="H215" s="95">
        <v>20.8</v>
      </c>
      <c r="I215" s="95">
        <v>4.12</v>
      </c>
      <c r="J215" s="95">
        <v>0</v>
      </c>
      <c r="K215" s="95">
        <v>0</v>
      </c>
      <c r="L215" s="95">
        <v>4.9800000000000004</v>
      </c>
    </row>
    <row r="216" spans="1:12" x14ac:dyDescent="0.3">
      <c r="A216" s="95" t="s">
        <v>547</v>
      </c>
      <c r="B216" s="95" t="s">
        <v>765</v>
      </c>
      <c r="C216" s="95">
        <v>29.9</v>
      </c>
      <c r="D216" s="95">
        <v>1</v>
      </c>
      <c r="E216" s="95">
        <v>20.8</v>
      </c>
      <c r="F216" s="95">
        <v>0</v>
      </c>
      <c r="G216" s="95">
        <v>0</v>
      </c>
      <c r="H216" s="95">
        <v>20.8</v>
      </c>
      <c r="I216" s="95">
        <v>4.12</v>
      </c>
      <c r="J216" s="95">
        <v>0</v>
      </c>
      <c r="K216" s="95">
        <v>0</v>
      </c>
      <c r="L216" s="95">
        <v>4.9800000000000004</v>
      </c>
    </row>
    <row r="217" spans="1:12" x14ac:dyDescent="0.3">
      <c r="A217" s="95" t="s">
        <v>547</v>
      </c>
      <c r="B217" s="95" t="s">
        <v>766</v>
      </c>
      <c r="C217" s="95">
        <v>29.9</v>
      </c>
      <c r="D217" s="95">
        <v>1</v>
      </c>
      <c r="E217" s="95">
        <v>20.8</v>
      </c>
      <c r="F217" s="95">
        <v>0</v>
      </c>
      <c r="G217" s="95">
        <v>0</v>
      </c>
      <c r="H217" s="95">
        <v>20.8</v>
      </c>
      <c r="I217" s="95">
        <v>4.12</v>
      </c>
      <c r="J217" s="95">
        <v>0</v>
      </c>
      <c r="K217" s="95">
        <v>0</v>
      </c>
      <c r="L217" s="95">
        <v>4.9800000000000004</v>
      </c>
    </row>
    <row r="218" spans="1:12" x14ac:dyDescent="0.3">
      <c r="A218" s="95" t="s">
        <v>547</v>
      </c>
      <c r="B218" s="95" t="s">
        <v>767</v>
      </c>
      <c r="C218" s="95">
        <v>29.9</v>
      </c>
      <c r="D218" s="95">
        <v>1</v>
      </c>
      <c r="E218" s="95">
        <v>20.8</v>
      </c>
      <c r="F218" s="95">
        <v>0</v>
      </c>
      <c r="G218" s="95">
        <v>0</v>
      </c>
      <c r="H218" s="95">
        <v>20.8</v>
      </c>
      <c r="I218" s="95">
        <v>4.12</v>
      </c>
      <c r="J218" s="95">
        <v>0</v>
      </c>
      <c r="K218" s="95">
        <v>0</v>
      </c>
      <c r="L218" s="95">
        <v>4.9800000000000004</v>
      </c>
    </row>
    <row r="219" spans="1:12" x14ac:dyDescent="0.3">
      <c r="A219" s="95" t="s">
        <v>547</v>
      </c>
      <c r="B219" s="95" t="s">
        <v>768</v>
      </c>
      <c r="C219" s="95">
        <v>29.9</v>
      </c>
      <c r="D219" s="95">
        <v>1</v>
      </c>
      <c r="E219" s="95">
        <v>20.8</v>
      </c>
      <c r="F219" s="95">
        <v>0</v>
      </c>
      <c r="G219" s="95">
        <v>0</v>
      </c>
      <c r="H219" s="95">
        <v>20.8</v>
      </c>
      <c r="I219" s="95">
        <v>4.12</v>
      </c>
      <c r="J219" s="95">
        <v>0</v>
      </c>
      <c r="K219" s="95">
        <v>0</v>
      </c>
      <c r="L219" s="95">
        <v>4.9800000000000004</v>
      </c>
    </row>
    <row r="220" spans="1:12" x14ac:dyDescent="0.3">
      <c r="A220" s="95" t="s">
        <v>547</v>
      </c>
      <c r="B220" s="95" t="s">
        <v>769</v>
      </c>
      <c r="C220" s="95">
        <v>29.9</v>
      </c>
      <c r="D220" s="95">
        <v>1</v>
      </c>
      <c r="E220" s="95">
        <v>20.8</v>
      </c>
      <c r="F220" s="95">
        <v>0</v>
      </c>
      <c r="G220" s="95">
        <v>0</v>
      </c>
      <c r="H220" s="95">
        <v>20.8</v>
      </c>
      <c r="I220" s="95">
        <v>4.12</v>
      </c>
      <c r="J220" s="95">
        <v>0</v>
      </c>
      <c r="K220" s="95">
        <v>0</v>
      </c>
      <c r="L220" s="95">
        <v>4.9800000000000004</v>
      </c>
    </row>
    <row r="221" spans="1:12" x14ac:dyDescent="0.3">
      <c r="A221" s="95" t="s">
        <v>547</v>
      </c>
      <c r="B221" s="95" t="s">
        <v>770</v>
      </c>
      <c r="C221" s="95">
        <v>29.9</v>
      </c>
      <c r="D221" s="95">
        <v>1</v>
      </c>
      <c r="E221" s="95">
        <v>20.8</v>
      </c>
      <c r="F221" s="95">
        <v>0</v>
      </c>
      <c r="G221" s="95">
        <v>0</v>
      </c>
      <c r="H221" s="95">
        <v>20.8</v>
      </c>
      <c r="I221" s="95">
        <v>4.12</v>
      </c>
      <c r="J221" s="95">
        <v>0</v>
      </c>
      <c r="K221" s="95">
        <v>0</v>
      </c>
      <c r="L221" s="95">
        <v>4.9800000000000004</v>
      </c>
    </row>
    <row r="222" spans="1:12" x14ac:dyDescent="0.3">
      <c r="A222" s="95" t="s">
        <v>547</v>
      </c>
      <c r="B222" s="95" t="s">
        <v>771</v>
      </c>
      <c r="C222" s="95">
        <v>29.9</v>
      </c>
      <c r="D222" s="95">
        <v>1</v>
      </c>
      <c r="E222" s="95">
        <v>20.8</v>
      </c>
      <c r="F222" s="95">
        <v>0</v>
      </c>
      <c r="G222" s="95">
        <v>0</v>
      </c>
      <c r="H222" s="95">
        <v>20.8</v>
      </c>
      <c r="I222" s="95">
        <v>4.12</v>
      </c>
      <c r="J222" s="95">
        <v>0</v>
      </c>
      <c r="K222" s="95">
        <v>0</v>
      </c>
      <c r="L222" s="95">
        <v>4.9800000000000004</v>
      </c>
    </row>
    <row r="223" spans="1:12" x14ac:dyDescent="0.3">
      <c r="A223" s="95" t="s">
        <v>547</v>
      </c>
      <c r="B223" s="95" t="s">
        <v>772</v>
      </c>
      <c r="C223" s="95">
        <v>29.9</v>
      </c>
      <c r="D223" s="95">
        <v>1</v>
      </c>
      <c r="E223" s="95">
        <v>20.8</v>
      </c>
      <c r="F223" s="95">
        <v>0</v>
      </c>
      <c r="G223" s="95">
        <v>0</v>
      </c>
      <c r="H223" s="95">
        <v>20.8</v>
      </c>
      <c r="I223" s="95">
        <v>4.12</v>
      </c>
      <c r="J223" s="95">
        <v>0</v>
      </c>
      <c r="K223" s="95">
        <v>0</v>
      </c>
      <c r="L223" s="95">
        <v>4.9800000000000004</v>
      </c>
    </row>
    <row r="224" spans="1:12" x14ac:dyDescent="0.3">
      <c r="A224" s="95" t="s">
        <v>547</v>
      </c>
      <c r="B224" s="95" t="s">
        <v>773</v>
      </c>
      <c r="C224" s="95">
        <v>29.9</v>
      </c>
      <c r="D224" s="95">
        <v>1</v>
      </c>
      <c r="E224" s="95">
        <v>20.8</v>
      </c>
      <c r="F224" s="95">
        <v>0</v>
      </c>
      <c r="G224" s="95">
        <v>0</v>
      </c>
      <c r="H224" s="95">
        <v>20.8</v>
      </c>
      <c r="I224" s="95">
        <v>4.12</v>
      </c>
      <c r="J224" s="95">
        <v>0</v>
      </c>
      <c r="K224" s="95">
        <v>0</v>
      </c>
      <c r="L224" s="95">
        <v>4.9800000000000004</v>
      </c>
    </row>
    <row r="225" spans="1:12" x14ac:dyDescent="0.3">
      <c r="A225" s="95" t="s">
        <v>547</v>
      </c>
      <c r="B225" s="95" t="s">
        <v>774</v>
      </c>
      <c r="C225" s="95">
        <v>29.9</v>
      </c>
      <c r="D225" s="95">
        <v>1</v>
      </c>
      <c r="E225" s="95">
        <v>20.8</v>
      </c>
      <c r="F225" s="95">
        <v>0</v>
      </c>
      <c r="G225" s="95">
        <v>0</v>
      </c>
      <c r="H225" s="95">
        <v>20.8</v>
      </c>
      <c r="I225" s="95">
        <v>4.12</v>
      </c>
      <c r="J225" s="95">
        <v>0</v>
      </c>
      <c r="K225" s="95">
        <v>0</v>
      </c>
      <c r="L225" s="95">
        <v>4.9800000000000004</v>
      </c>
    </row>
    <row r="226" spans="1:12" x14ac:dyDescent="0.3">
      <c r="A226" s="95" t="s">
        <v>547</v>
      </c>
      <c r="B226" s="95" t="s">
        <v>775</v>
      </c>
      <c r="C226" s="95">
        <v>29.9</v>
      </c>
      <c r="D226" s="95">
        <v>1</v>
      </c>
      <c r="E226" s="95">
        <v>20.8</v>
      </c>
      <c r="F226" s="95">
        <v>0</v>
      </c>
      <c r="G226" s="95">
        <v>0</v>
      </c>
      <c r="H226" s="95">
        <v>20.8</v>
      </c>
      <c r="I226" s="95">
        <v>4.12</v>
      </c>
      <c r="J226" s="95">
        <v>0</v>
      </c>
      <c r="K226" s="95">
        <v>0</v>
      </c>
      <c r="L226" s="95">
        <v>4.9800000000000004</v>
      </c>
    </row>
    <row r="227" spans="1:12" x14ac:dyDescent="0.3">
      <c r="A227" s="95" t="s">
        <v>547</v>
      </c>
      <c r="B227" s="95" t="s">
        <v>776</v>
      </c>
      <c r="C227" s="95">
        <v>28.85</v>
      </c>
      <c r="D227" s="95">
        <v>1</v>
      </c>
      <c r="E227" s="95">
        <v>19.920000000000002</v>
      </c>
      <c r="F227" s="95">
        <v>0</v>
      </c>
      <c r="G227" s="95">
        <v>0</v>
      </c>
      <c r="H227" s="95">
        <v>19.920000000000002</v>
      </c>
      <c r="I227" s="95">
        <v>4.12</v>
      </c>
      <c r="J227" s="95">
        <v>0</v>
      </c>
      <c r="K227" s="95">
        <v>0</v>
      </c>
      <c r="L227" s="95">
        <v>4.8099999999999996</v>
      </c>
    </row>
    <row r="228" spans="1:12" x14ac:dyDescent="0.3">
      <c r="A228" s="95" t="s">
        <v>547</v>
      </c>
      <c r="B228" s="95" t="s">
        <v>777</v>
      </c>
      <c r="C228" s="95">
        <v>27.85</v>
      </c>
      <c r="D228" s="95">
        <v>1</v>
      </c>
      <c r="E228" s="95">
        <v>19.09</v>
      </c>
      <c r="F228" s="95">
        <v>0</v>
      </c>
      <c r="G228" s="95">
        <v>0</v>
      </c>
      <c r="H228" s="95">
        <v>19.09</v>
      </c>
      <c r="I228" s="95">
        <v>4.12</v>
      </c>
      <c r="J228" s="95">
        <v>0</v>
      </c>
      <c r="K228" s="95">
        <v>0</v>
      </c>
      <c r="L228" s="95">
        <v>4.6399999999999997</v>
      </c>
    </row>
    <row r="229" spans="1:12" x14ac:dyDescent="0.3">
      <c r="A229" s="95" t="s">
        <v>547</v>
      </c>
      <c r="B229" s="95" t="s">
        <v>778</v>
      </c>
      <c r="C229" s="95">
        <v>27.85</v>
      </c>
      <c r="D229" s="95">
        <v>1</v>
      </c>
      <c r="E229" s="95">
        <v>19.09</v>
      </c>
      <c r="F229" s="95">
        <v>0</v>
      </c>
      <c r="G229" s="95">
        <v>0</v>
      </c>
      <c r="H229" s="95">
        <v>19.09</v>
      </c>
      <c r="I229" s="95">
        <v>4.12</v>
      </c>
      <c r="J229" s="95">
        <v>0</v>
      </c>
      <c r="K229" s="95">
        <v>0</v>
      </c>
      <c r="L229" s="95">
        <v>4.6399999999999997</v>
      </c>
    </row>
    <row r="230" spans="1:12" x14ac:dyDescent="0.3">
      <c r="A230" s="95" t="s">
        <v>547</v>
      </c>
      <c r="B230" s="95" t="s">
        <v>779</v>
      </c>
      <c r="C230" s="95">
        <v>27.85</v>
      </c>
      <c r="D230" s="95">
        <v>1</v>
      </c>
      <c r="E230" s="95">
        <v>19.09</v>
      </c>
      <c r="F230" s="95">
        <v>0</v>
      </c>
      <c r="G230" s="95">
        <v>0</v>
      </c>
      <c r="H230" s="95">
        <v>19.09</v>
      </c>
      <c r="I230" s="95">
        <v>4.12</v>
      </c>
      <c r="J230" s="95">
        <v>0</v>
      </c>
      <c r="K230" s="95">
        <v>0</v>
      </c>
      <c r="L230" s="95">
        <v>4.6399999999999997</v>
      </c>
    </row>
    <row r="231" spans="1:12" x14ac:dyDescent="0.3">
      <c r="A231" s="95" t="s">
        <v>547</v>
      </c>
      <c r="B231" s="95" t="s">
        <v>780</v>
      </c>
      <c r="C231" s="95">
        <v>27.85</v>
      </c>
      <c r="D231" s="95">
        <v>1</v>
      </c>
      <c r="E231" s="95">
        <v>19.09</v>
      </c>
      <c r="F231" s="95">
        <v>0</v>
      </c>
      <c r="G231" s="95">
        <v>0</v>
      </c>
      <c r="H231" s="95">
        <v>19.09</v>
      </c>
      <c r="I231" s="95">
        <v>4.12</v>
      </c>
      <c r="J231" s="95">
        <v>0</v>
      </c>
      <c r="K231" s="95">
        <v>0</v>
      </c>
      <c r="L231" s="95">
        <v>4.6399999999999997</v>
      </c>
    </row>
    <row r="232" spans="1:12" x14ac:dyDescent="0.3">
      <c r="A232" s="95" t="s">
        <v>547</v>
      </c>
      <c r="B232" s="95" t="s">
        <v>781</v>
      </c>
      <c r="C232" s="95">
        <v>27.85</v>
      </c>
      <c r="D232" s="95">
        <v>1</v>
      </c>
      <c r="E232" s="95">
        <v>19.09</v>
      </c>
      <c r="F232" s="95">
        <v>0</v>
      </c>
      <c r="G232" s="95">
        <v>0</v>
      </c>
      <c r="H232" s="95">
        <v>19.09</v>
      </c>
      <c r="I232" s="95">
        <v>4.12</v>
      </c>
      <c r="J232" s="95">
        <v>0</v>
      </c>
      <c r="K232" s="95">
        <v>0</v>
      </c>
      <c r="L232" s="95">
        <v>4.6399999999999997</v>
      </c>
    </row>
    <row r="233" spans="1:12" x14ac:dyDescent="0.3">
      <c r="A233" s="95" t="s">
        <v>547</v>
      </c>
      <c r="B233" s="95" t="s">
        <v>782</v>
      </c>
      <c r="C233" s="95">
        <v>27.85</v>
      </c>
      <c r="D233" s="95">
        <v>1</v>
      </c>
      <c r="E233" s="95">
        <v>19.09</v>
      </c>
      <c r="F233" s="95">
        <v>0</v>
      </c>
      <c r="G233" s="95">
        <v>0</v>
      </c>
      <c r="H233" s="95">
        <v>19.09</v>
      </c>
      <c r="I233" s="95">
        <v>4.12</v>
      </c>
      <c r="J233" s="95">
        <v>0</v>
      </c>
      <c r="K233" s="95">
        <v>0</v>
      </c>
      <c r="L233" s="95">
        <v>4.6399999999999997</v>
      </c>
    </row>
    <row r="234" spans="1:12" x14ac:dyDescent="0.3">
      <c r="A234" s="95" t="s">
        <v>547</v>
      </c>
      <c r="B234" s="95" t="s">
        <v>783</v>
      </c>
      <c r="C234" s="95">
        <v>27.85</v>
      </c>
      <c r="D234" s="95">
        <v>1</v>
      </c>
      <c r="E234" s="95">
        <v>19.09</v>
      </c>
      <c r="F234" s="95">
        <v>0</v>
      </c>
      <c r="G234" s="95">
        <v>0</v>
      </c>
      <c r="H234" s="95">
        <v>19.09</v>
      </c>
      <c r="I234" s="95">
        <v>4.12</v>
      </c>
      <c r="J234" s="95">
        <v>0</v>
      </c>
      <c r="K234" s="95">
        <v>0</v>
      </c>
      <c r="L234" s="95">
        <v>4.6399999999999997</v>
      </c>
    </row>
    <row r="235" spans="1:12" x14ac:dyDescent="0.3">
      <c r="A235" s="95" t="s">
        <v>547</v>
      </c>
      <c r="B235" s="95" t="s">
        <v>784</v>
      </c>
      <c r="C235" s="95">
        <v>27.85</v>
      </c>
      <c r="D235" s="95">
        <v>1</v>
      </c>
      <c r="E235" s="95">
        <v>19.09</v>
      </c>
      <c r="F235" s="95">
        <v>0</v>
      </c>
      <c r="G235" s="95">
        <v>0</v>
      </c>
      <c r="H235" s="95">
        <v>19.09</v>
      </c>
      <c r="I235" s="95">
        <v>4.12</v>
      </c>
      <c r="J235" s="95">
        <v>0</v>
      </c>
      <c r="K235" s="95">
        <v>0</v>
      </c>
      <c r="L235" s="95">
        <v>4.6399999999999997</v>
      </c>
    </row>
    <row r="236" spans="1:12" x14ac:dyDescent="0.3">
      <c r="A236" s="95" t="s">
        <v>547</v>
      </c>
      <c r="B236" s="95" t="s">
        <v>785</v>
      </c>
      <c r="C236" s="95">
        <v>26.46</v>
      </c>
      <c r="D236" s="95">
        <v>1</v>
      </c>
      <c r="E236" s="95">
        <v>19.920000000000002</v>
      </c>
      <c r="F236" s="95">
        <v>-1.99</v>
      </c>
      <c r="G236" s="95">
        <v>0</v>
      </c>
      <c r="H236" s="95">
        <v>17.93</v>
      </c>
      <c r="I236" s="95">
        <v>4.12</v>
      </c>
      <c r="J236" s="95">
        <v>0</v>
      </c>
      <c r="K236" s="95">
        <v>0</v>
      </c>
      <c r="L236" s="95">
        <v>4.41</v>
      </c>
    </row>
    <row r="237" spans="1:12" x14ac:dyDescent="0.3">
      <c r="A237" s="95" t="s">
        <v>547</v>
      </c>
      <c r="B237" s="95" t="s">
        <v>786</v>
      </c>
      <c r="C237" s="95">
        <v>22.9</v>
      </c>
      <c r="D237" s="95">
        <v>1</v>
      </c>
      <c r="E237" s="95">
        <v>14.96</v>
      </c>
      <c r="F237" s="95">
        <v>0</v>
      </c>
      <c r="G237" s="95">
        <v>0</v>
      </c>
      <c r="H237" s="95">
        <v>14.96</v>
      </c>
      <c r="I237" s="95">
        <v>4.12</v>
      </c>
      <c r="J237" s="95">
        <v>0</v>
      </c>
      <c r="K237" s="95">
        <v>0</v>
      </c>
      <c r="L237" s="95">
        <v>3.82</v>
      </c>
    </row>
    <row r="238" spans="1:12" x14ac:dyDescent="0.3">
      <c r="A238" s="95" t="s">
        <v>547</v>
      </c>
      <c r="B238" s="95" t="s">
        <v>787</v>
      </c>
      <c r="C238" s="95">
        <v>22.9</v>
      </c>
      <c r="D238" s="95">
        <v>1</v>
      </c>
      <c r="E238" s="95">
        <v>14.96</v>
      </c>
      <c r="F238" s="95">
        <v>0</v>
      </c>
      <c r="G238" s="95">
        <v>0</v>
      </c>
      <c r="H238" s="95">
        <v>14.96</v>
      </c>
      <c r="I238" s="95">
        <v>4.12</v>
      </c>
      <c r="J238" s="95">
        <v>0</v>
      </c>
      <c r="K238" s="95">
        <v>0</v>
      </c>
      <c r="L238" s="95">
        <v>3.82</v>
      </c>
    </row>
    <row r="239" spans="1:12" x14ac:dyDescent="0.3">
      <c r="A239" s="95" t="s">
        <v>547</v>
      </c>
      <c r="B239" s="95" t="s">
        <v>788</v>
      </c>
      <c r="C239" s="95">
        <v>22.9</v>
      </c>
      <c r="D239" s="95">
        <v>1</v>
      </c>
      <c r="E239" s="95">
        <v>14.96</v>
      </c>
      <c r="F239" s="95">
        <v>0</v>
      </c>
      <c r="G239" s="95">
        <v>0</v>
      </c>
      <c r="H239" s="95">
        <v>14.96</v>
      </c>
      <c r="I239" s="95">
        <v>4.12</v>
      </c>
      <c r="J239" s="95">
        <v>0</v>
      </c>
      <c r="K239" s="95">
        <v>0</v>
      </c>
      <c r="L239" s="95">
        <v>3.82</v>
      </c>
    </row>
    <row r="240" spans="1:12" x14ac:dyDescent="0.3">
      <c r="A240" s="95" t="s">
        <v>547</v>
      </c>
      <c r="B240" s="95" t="s">
        <v>789</v>
      </c>
      <c r="C240" s="95">
        <v>22.9</v>
      </c>
      <c r="D240" s="95">
        <v>1</v>
      </c>
      <c r="E240" s="95">
        <v>14.96</v>
      </c>
      <c r="F240" s="95">
        <v>0</v>
      </c>
      <c r="G240" s="95">
        <v>0</v>
      </c>
      <c r="H240" s="95">
        <v>14.96</v>
      </c>
      <c r="I240" s="95">
        <v>4.12</v>
      </c>
      <c r="J240" s="95">
        <v>0</v>
      </c>
      <c r="K240" s="95">
        <v>0</v>
      </c>
      <c r="L240" s="95">
        <v>3.82</v>
      </c>
    </row>
    <row r="241" spans="1:12" x14ac:dyDescent="0.3">
      <c r="A241" s="95" t="s">
        <v>547</v>
      </c>
      <c r="B241" s="95" t="s">
        <v>790</v>
      </c>
      <c r="C241" s="95">
        <v>22.9</v>
      </c>
      <c r="D241" s="95">
        <v>1</v>
      </c>
      <c r="E241" s="95">
        <v>14.96</v>
      </c>
      <c r="F241" s="95">
        <v>0</v>
      </c>
      <c r="G241" s="95">
        <v>0</v>
      </c>
      <c r="H241" s="95">
        <v>14.96</v>
      </c>
      <c r="I241" s="95">
        <v>4.12</v>
      </c>
      <c r="J241" s="95">
        <v>0</v>
      </c>
      <c r="K241" s="95">
        <v>0</v>
      </c>
      <c r="L241" s="95">
        <v>3.82</v>
      </c>
    </row>
    <row r="242" spans="1:12" x14ac:dyDescent="0.3">
      <c r="A242" s="95" t="s">
        <v>547</v>
      </c>
      <c r="B242" s="95" t="s">
        <v>791</v>
      </c>
      <c r="C242" s="95">
        <v>22.9</v>
      </c>
      <c r="D242" s="95">
        <v>1</v>
      </c>
      <c r="E242" s="95">
        <v>14.96</v>
      </c>
      <c r="F242" s="95">
        <v>0</v>
      </c>
      <c r="G242" s="95">
        <v>0</v>
      </c>
      <c r="H242" s="95">
        <v>14.96</v>
      </c>
      <c r="I242" s="95">
        <v>4.12</v>
      </c>
      <c r="J242" s="95">
        <v>0</v>
      </c>
      <c r="K242" s="95">
        <v>0</v>
      </c>
      <c r="L242" s="95">
        <v>3.82</v>
      </c>
    </row>
    <row r="243" spans="1:12" x14ac:dyDescent="0.3">
      <c r="A243" s="95" t="s">
        <v>547</v>
      </c>
      <c r="B243" s="95" t="s">
        <v>792</v>
      </c>
      <c r="C243" s="95">
        <v>22.9</v>
      </c>
      <c r="D243" s="95">
        <v>1</v>
      </c>
      <c r="E243" s="95">
        <v>14.96</v>
      </c>
      <c r="F243" s="95">
        <v>0</v>
      </c>
      <c r="G243" s="95">
        <v>0</v>
      </c>
      <c r="H243" s="95">
        <v>14.96</v>
      </c>
      <c r="I243" s="95">
        <v>4.12</v>
      </c>
      <c r="J243" s="95">
        <v>0</v>
      </c>
      <c r="K243" s="95">
        <v>0</v>
      </c>
      <c r="L243" s="95">
        <v>3.82</v>
      </c>
    </row>
    <row r="244" spans="1:12" x14ac:dyDescent="0.3">
      <c r="A244" s="95" t="s">
        <v>547</v>
      </c>
      <c r="B244" s="95" t="s">
        <v>793</v>
      </c>
      <c r="C244" s="95">
        <v>22.9</v>
      </c>
      <c r="D244" s="95">
        <v>1</v>
      </c>
      <c r="E244" s="95">
        <v>14.96</v>
      </c>
      <c r="F244" s="95">
        <v>0</v>
      </c>
      <c r="G244" s="95">
        <v>0</v>
      </c>
      <c r="H244" s="95">
        <v>14.96</v>
      </c>
      <c r="I244" s="95">
        <v>4.12</v>
      </c>
      <c r="J244" s="95">
        <v>0</v>
      </c>
      <c r="K244" s="95">
        <v>0</v>
      </c>
      <c r="L244" s="95">
        <v>3.82</v>
      </c>
    </row>
    <row r="245" spans="1:12" x14ac:dyDescent="0.3">
      <c r="A245" s="95" t="s">
        <v>547</v>
      </c>
      <c r="B245" s="95" t="s">
        <v>794</v>
      </c>
      <c r="C245" s="95">
        <v>22.9</v>
      </c>
      <c r="D245" s="95">
        <v>1</v>
      </c>
      <c r="E245" s="95">
        <v>14.96</v>
      </c>
      <c r="F245" s="95">
        <v>0</v>
      </c>
      <c r="G245" s="95">
        <v>0</v>
      </c>
      <c r="H245" s="95">
        <v>14.96</v>
      </c>
      <c r="I245" s="95">
        <v>4.12</v>
      </c>
      <c r="J245" s="95">
        <v>0</v>
      </c>
      <c r="K245" s="95">
        <v>0</v>
      </c>
      <c r="L245" s="95">
        <v>3.82</v>
      </c>
    </row>
    <row r="246" spans="1:12" x14ac:dyDescent="0.3">
      <c r="A246" s="95" t="s">
        <v>547</v>
      </c>
      <c r="B246" s="95" t="s">
        <v>795</v>
      </c>
      <c r="C246" s="95">
        <v>22.9</v>
      </c>
      <c r="D246" s="95">
        <v>1</v>
      </c>
      <c r="E246" s="95">
        <v>14.96</v>
      </c>
      <c r="F246" s="95">
        <v>0</v>
      </c>
      <c r="G246" s="95">
        <v>0</v>
      </c>
      <c r="H246" s="95">
        <v>14.96</v>
      </c>
      <c r="I246" s="95">
        <v>4.12</v>
      </c>
      <c r="J246" s="95">
        <v>0</v>
      </c>
      <c r="K246" s="95">
        <v>0</v>
      </c>
      <c r="L246" s="95">
        <v>3.82</v>
      </c>
    </row>
    <row r="247" spans="1:12" x14ac:dyDescent="0.3">
      <c r="A247" s="95" t="s">
        <v>547</v>
      </c>
      <c r="B247" s="95" t="s">
        <v>796</v>
      </c>
      <c r="C247" s="95">
        <v>22.9</v>
      </c>
      <c r="D247" s="95">
        <v>1</v>
      </c>
      <c r="E247" s="95">
        <v>14.96</v>
      </c>
      <c r="F247" s="95">
        <v>0</v>
      </c>
      <c r="G247" s="95">
        <v>0</v>
      </c>
      <c r="H247" s="95">
        <v>14.96</v>
      </c>
      <c r="I247" s="95">
        <v>4.12</v>
      </c>
      <c r="J247" s="95">
        <v>0</v>
      </c>
      <c r="K247" s="95">
        <v>0</v>
      </c>
      <c r="L247" s="95">
        <v>3.82</v>
      </c>
    </row>
    <row r="248" spans="1:12" x14ac:dyDescent="0.3">
      <c r="A248" s="95" t="s">
        <v>547</v>
      </c>
      <c r="B248" s="95" t="s">
        <v>797</v>
      </c>
      <c r="C248" s="95">
        <v>22.9</v>
      </c>
      <c r="D248" s="95">
        <v>1</v>
      </c>
      <c r="E248" s="95">
        <v>14.96</v>
      </c>
      <c r="F248" s="95">
        <v>0</v>
      </c>
      <c r="G248" s="95">
        <v>0</v>
      </c>
      <c r="H248" s="95">
        <v>14.96</v>
      </c>
      <c r="I248" s="95">
        <v>4.12</v>
      </c>
      <c r="J248" s="95">
        <v>0</v>
      </c>
      <c r="K248" s="95">
        <v>0</v>
      </c>
      <c r="L248" s="95">
        <v>3.82</v>
      </c>
    </row>
    <row r="249" spans="1:12" x14ac:dyDescent="0.3">
      <c r="A249" s="95" t="s">
        <v>547</v>
      </c>
      <c r="B249" s="95" t="s">
        <v>798</v>
      </c>
      <c r="C249" s="95">
        <v>22.9</v>
      </c>
      <c r="D249" s="95">
        <v>1</v>
      </c>
      <c r="E249" s="95">
        <v>14.96</v>
      </c>
      <c r="F249" s="95">
        <v>0</v>
      </c>
      <c r="G249" s="95">
        <v>0</v>
      </c>
      <c r="H249" s="95">
        <v>14.96</v>
      </c>
      <c r="I249" s="95">
        <v>4.12</v>
      </c>
      <c r="J249" s="95">
        <v>0</v>
      </c>
      <c r="K249" s="95">
        <v>0</v>
      </c>
      <c r="L249" s="95">
        <v>3.82</v>
      </c>
    </row>
    <row r="250" spans="1:12" x14ac:dyDescent="0.3">
      <c r="A250" s="95" t="s">
        <v>547</v>
      </c>
      <c r="B250" s="95" t="s">
        <v>799</v>
      </c>
      <c r="C250" s="95">
        <v>22.9</v>
      </c>
      <c r="D250" s="95">
        <v>1</v>
      </c>
      <c r="E250" s="95">
        <v>14.96</v>
      </c>
      <c r="F250" s="95">
        <v>0</v>
      </c>
      <c r="G250" s="95">
        <v>0</v>
      </c>
      <c r="H250" s="95">
        <v>14.96</v>
      </c>
      <c r="I250" s="95">
        <v>4.12</v>
      </c>
      <c r="J250" s="95">
        <v>0</v>
      </c>
      <c r="K250" s="95">
        <v>0</v>
      </c>
      <c r="L250" s="95">
        <v>3.82</v>
      </c>
    </row>
    <row r="251" spans="1:12" x14ac:dyDescent="0.3">
      <c r="A251" s="95" t="s">
        <v>547</v>
      </c>
      <c r="B251" s="95" t="s">
        <v>800</v>
      </c>
      <c r="C251" s="95">
        <v>22.9</v>
      </c>
      <c r="D251" s="95">
        <v>1</v>
      </c>
      <c r="E251" s="95">
        <v>14.96</v>
      </c>
      <c r="F251" s="95">
        <v>0</v>
      </c>
      <c r="G251" s="95">
        <v>0</v>
      </c>
      <c r="H251" s="95">
        <v>14.96</v>
      </c>
      <c r="I251" s="95">
        <v>4.12</v>
      </c>
      <c r="J251" s="95">
        <v>0</v>
      </c>
      <c r="K251" s="95">
        <v>0</v>
      </c>
      <c r="L251" s="95">
        <v>3.82</v>
      </c>
    </row>
    <row r="252" spans="1:12" x14ac:dyDescent="0.3">
      <c r="A252" s="95" t="s">
        <v>547</v>
      </c>
      <c r="B252" s="95" t="s">
        <v>801</v>
      </c>
      <c r="C252" s="95">
        <v>22.9</v>
      </c>
      <c r="D252" s="95">
        <v>1</v>
      </c>
      <c r="E252" s="95">
        <v>14.96</v>
      </c>
      <c r="F252" s="95">
        <v>0</v>
      </c>
      <c r="G252" s="95">
        <v>0</v>
      </c>
      <c r="H252" s="95">
        <v>14.96</v>
      </c>
      <c r="I252" s="95">
        <v>4.12</v>
      </c>
      <c r="J252" s="95">
        <v>0</v>
      </c>
      <c r="K252" s="95">
        <v>0</v>
      </c>
      <c r="L252" s="95">
        <v>3.82</v>
      </c>
    </row>
    <row r="253" spans="1:12" x14ac:dyDescent="0.3">
      <c r="A253" s="95" t="s">
        <v>547</v>
      </c>
      <c r="B253" s="95" t="s">
        <v>802</v>
      </c>
      <c r="C253" s="95">
        <v>22.9</v>
      </c>
      <c r="D253" s="95">
        <v>1</v>
      </c>
      <c r="E253" s="95">
        <v>14.96</v>
      </c>
      <c r="F253" s="95">
        <v>0</v>
      </c>
      <c r="G253" s="95">
        <v>0</v>
      </c>
      <c r="H253" s="95">
        <v>14.96</v>
      </c>
      <c r="I253" s="95">
        <v>4.12</v>
      </c>
      <c r="J253" s="95">
        <v>0</v>
      </c>
      <c r="K253" s="95">
        <v>0</v>
      </c>
      <c r="L253" s="95">
        <v>3.82</v>
      </c>
    </row>
    <row r="254" spans="1:12" x14ac:dyDescent="0.3">
      <c r="A254" s="95" t="s">
        <v>547</v>
      </c>
      <c r="B254" s="95" t="s">
        <v>803</v>
      </c>
      <c r="C254" s="95">
        <v>22.9</v>
      </c>
      <c r="D254" s="95">
        <v>1</v>
      </c>
      <c r="E254" s="95">
        <v>14.96</v>
      </c>
      <c r="F254" s="95">
        <v>0</v>
      </c>
      <c r="G254" s="95">
        <v>0</v>
      </c>
      <c r="H254" s="95">
        <v>14.96</v>
      </c>
      <c r="I254" s="95">
        <v>4.12</v>
      </c>
      <c r="J254" s="95">
        <v>0</v>
      </c>
      <c r="K254" s="95">
        <v>0</v>
      </c>
      <c r="L254" s="95">
        <v>3.82</v>
      </c>
    </row>
    <row r="255" spans="1:12" x14ac:dyDescent="0.3">
      <c r="A255" s="95" t="s">
        <v>547</v>
      </c>
      <c r="B255" s="95" t="s">
        <v>804</v>
      </c>
      <c r="C255" s="95">
        <v>22.9</v>
      </c>
      <c r="D255" s="95">
        <v>1</v>
      </c>
      <c r="E255" s="95">
        <v>14.96</v>
      </c>
      <c r="F255" s="95">
        <v>0</v>
      </c>
      <c r="G255" s="95">
        <v>0</v>
      </c>
      <c r="H255" s="95">
        <v>14.96</v>
      </c>
      <c r="I255" s="95">
        <v>4.12</v>
      </c>
      <c r="J255" s="95">
        <v>0</v>
      </c>
      <c r="K255" s="95">
        <v>0</v>
      </c>
      <c r="L255" s="95">
        <v>3.82</v>
      </c>
    </row>
    <row r="256" spans="1:12" x14ac:dyDescent="0.3">
      <c r="A256" s="95" t="s">
        <v>547</v>
      </c>
      <c r="B256" s="95" t="s">
        <v>805</v>
      </c>
      <c r="C256" s="95">
        <v>22.9</v>
      </c>
      <c r="D256" s="95">
        <v>1</v>
      </c>
      <c r="E256" s="95">
        <v>14.96</v>
      </c>
      <c r="F256" s="95">
        <v>0</v>
      </c>
      <c r="G256" s="95">
        <v>0</v>
      </c>
      <c r="H256" s="95">
        <v>14.96</v>
      </c>
      <c r="I256" s="95">
        <v>4.12</v>
      </c>
      <c r="J256" s="95">
        <v>0</v>
      </c>
      <c r="K256" s="95">
        <v>0</v>
      </c>
      <c r="L256" s="95">
        <v>3.82</v>
      </c>
    </row>
    <row r="257" spans="1:12" x14ac:dyDescent="0.3">
      <c r="A257" s="95" t="s">
        <v>547</v>
      </c>
      <c r="B257" s="95" t="s">
        <v>806</v>
      </c>
      <c r="C257" s="95">
        <v>22.9</v>
      </c>
      <c r="D257" s="95">
        <v>1</v>
      </c>
      <c r="E257" s="95">
        <v>14.96</v>
      </c>
      <c r="F257" s="95">
        <v>0</v>
      </c>
      <c r="G257" s="95">
        <v>0</v>
      </c>
      <c r="H257" s="95">
        <v>14.96</v>
      </c>
      <c r="I257" s="95">
        <v>4.12</v>
      </c>
      <c r="J257" s="95">
        <v>0</v>
      </c>
      <c r="K257" s="95">
        <v>0</v>
      </c>
      <c r="L257" s="95">
        <v>3.82</v>
      </c>
    </row>
    <row r="258" spans="1:12" x14ac:dyDescent="0.3">
      <c r="A258" s="95" t="s">
        <v>716</v>
      </c>
      <c r="B258" s="95" t="s">
        <v>807</v>
      </c>
      <c r="C258" s="95">
        <v>22.25</v>
      </c>
      <c r="D258" s="95">
        <v>1</v>
      </c>
      <c r="E258" s="95">
        <v>22.25</v>
      </c>
      <c r="F258" s="95">
        <v>0</v>
      </c>
      <c r="G258" s="95">
        <v>0</v>
      </c>
      <c r="H258" s="95">
        <v>22.25</v>
      </c>
      <c r="I258" s="95">
        <v>0</v>
      </c>
      <c r="J258" s="95">
        <v>0</v>
      </c>
      <c r="K258" s="95">
        <v>0</v>
      </c>
      <c r="L258" s="95">
        <v>0</v>
      </c>
    </row>
    <row r="259" spans="1:12" x14ac:dyDescent="0.3">
      <c r="A259" s="95" t="s">
        <v>547</v>
      </c>
      <c r="B259" s="95" t="s">
        <v>808</v>
      </c>
      <c r="C259" s="95">
        <v>16.899999999999999</v>
      </c>
      <c r="D259" s="95">
        <v>1</v>
      </c>
      <c r="E259" s="95">
        <v>9.9600000000000009</v>
      </c>
      <c r="F259" s="95">
        <v>0</v>
      </c>
      <c r="G259" s="95">
        <v>0</v>
      </c>
      <c r="H259" s="95">
        <v>9.9600000000000009</v>
      </c>
      <c r="I259" s="95">
        <v>4.12</v>
      </c>
      <c r="J259" s="95">
        <v>0</v>
      </c>
      <c r="K259" s="95">
        <v>0</v>
      </c>
      <c r="L259" s="95">
        <v>2.82</v>
      </c>
    </row>
    <row r="260" spans="1:12" x14ac:dyDescent="0.3">
      <c r="A260" s="95" t="s">
        <v>547</v>
      </c>
      <c r="B260" s="95" t="s">
        <v>809</v>
      </c>
      <c r="C260" s="95">
        <v>16.899999999999999</v>
      </c>
      <c r="D260" s="95">
        <v>1</v>
      </c>
      <c r="E260" s="95">
        <v>9.9600000000000009</v>
      </c>
      <c r="F260" s="95">
        <v>0</v>
      </c>
      <c r="G260" s="95">
        <v>0</v>
      </c>
      <c r="H260" s="95">
        <v>9.9600000000000009</v>
      </c>
      <c r="I260" s="95">
        <v>4.12</v>
      </c>
      <c r="J260" s="95">
        <v>0</v>
      </c>
      <c r="K260" s="95">
        <v>0</v>
      </c>
      <c r="L260" s="95">
        <v>2.82</v>
      </c>
    </row>
    <row r="261" spans="1:12" x14ac:dyDescent="0.3">
      <c r="A261" s="95" t="s">
        <v>547</v>
      </c>
      <c r="B261" s="95" t="s">
        <v>810</v>
      </c>
      <c r="C261" s="95">
        <v>16.899999999999999</v>
      </c>
      <c r="D261" s="95">
        <v>1</v>
      </c>
      <c r="E261" s="95">
        <v>9.9600000000000009</v>
      </c>
      <c r="F261" s="95">
        <v>0</v>
      </c>
      <c r="G261" s="95">
        <v>0</v>
      </c>
      <c r="H261" s="95">
        <v>9.9600000000000009</v>
      </c>
      <c r="I261" s="95">
        <v>4.12</v>
      </c>
      <c r="J261" s="95">
        <v>0</v>
      </c>
      <c r="K261" s="95">
        <v>0</v>
      </c>
      <c r="L261" s="95">
        <v>2.82</v>
      </c>
    </row>
    <row r="262" spans="1:12" x14ac:dyDescent="0.3">
      <c r="A262" s="95" t="s">
        <v>547</v>
      </c>
      <c r="B262" s="95" t="s">
        <v>811</v>
      </c>
      <c r="C262" s="95">
        <v>16.899999999999999</v>
      </c>
      <c r="D262" s="95">
        <v>1</v>
      </c>
      <c r="E262" s="95">
        <v>9.9600000000000009</v>
      </c>
      <c r="F262" s="95">
        <v>0</v>
      </c>
      <c r="G262" s="95">
        <v>0</v>
      </c>
      <c r="H262" s="95">
        <v>9.9600000000000009</v>
      </c>
      <c r="I262" s="95">
        <v>4.12</v>
      </c>
      <c r="J262" s="95">
        <v>0</v>
      </c>
      <c r="K262" s="95">
        <v>0</v>
      </c>
      <c r="L262" s="95">
        <v>2.82</v>
      </c>
    </row>
    <row r="263" spans="1:12" x14ac:dyDescent="0.3">
      <c r="A263" s="95" t="s">
        <v>547</v>
      </c>
      <c r="B263" s="95" t="s">
        <v>812</v>
      </c>
      <c r="C263" s="95">
        <v>16.899999999999999</v>
      </c>
      <c r="D263" s="95">
        <v>1</v>
      </c>
      <c r="E263" s="95">
        <v>9.9600000000000009</v>
      </c>
      <c r="F263" s="95">
        <v>0</v>
      </c>
      <c r="G263" s="95">
        <v>0</v>
      </c>
      <c r="H263" s="95">
        <v>9.9600000000000009</v>
      </c>
      <c r="I263" s="95">
        <v>4.12</v>
      </c>
      <c r="J263" s="95">
        <v>0</v>
      </c>
      <c r="K263" s="95">
        <v>0</v>
      </c>
      <c r="L263" s="95">
        <v>2.82</v>
      </c>
    </row>
    <row r="264" spans="1:12" x14ac:dyDescent="0.3">
      <c r="A264" s="95" t="s">
        <v>547</v>
      </c>
      <c r="B264" s="95" t="s">
        <v>813</v>
      </c>
      <c r="C264" s="95">
        <v>16.899999999999999</v>
      </c>
      <c r="D264" s="95">
        <v>1</v>
      </c>
      <c r="E264" s="95">
        <v>9.9600000000000009</v>
      </c>
      <c r="F264" s="95">
        <v>0</v>
      </c>
      <c r="G264" s="95">
        <v>0</v>
      </c>
      <c r="H264" s="95">
        <v>9.9600000000000009</v>
      </c>
      <c r="I264" s="95">
        <v>4.12</v>
      </c>
      <c r="J264" s="95">
        <v>0</v>
      </c>
      <c r="K264" s="95">
        <v>0</v>
      </c>
      <c r="L264" s="95">
        <v>2.82</v>
      </c>
    </row>
    <row r="265" spans="1:12" x14ac:dyDescent="0.3">
      <c r="A265" s="95" t="s">
        <v>547</v>
      </c>
      <c r="B265" s="95" t="s">
        <v>814</v>
      </c>
      <c r="C265" s="95">
        <v>16.899999999999999</v>
      </c>
      <c r="D265" s="95">
        <v>1</v>
      </c>
      <c r="E265" s="95">
        <v>9.9600000000000009</v>
      </c>
      <c r="F265" s="95">
        <v>0</v>
      </c>
      <c r="G265" s="95">
        <v>0</v>
      </c>
      <c r="H265" s="95">
        <v>9.9600000000000009</v>
      </c>
      <c r="I265" s="95">
        <v>4.12</v>
      </c>
      <c r="J265" s="95">
        <v>0</v>
      </c>
      <c r="K265" s="95">
        <v>0</v>
      </c>
      <c r="L265" s="95">
        <v>2.82</v>
      </c>
    </row>
    <row r="266" spans="1:12" x14ac:dyDescent="0.3">
      <c r="A266" s="95" t="s">
        <v>716</v>
      </c>
      <c r="B266" s="95" t="s">
        <v>815</v>
      </c>
      <c r="C266" s="95">
        <v>13.61</v>
      </c>
      <c r="D266" s="95">
        <v>1</v>
      </c>
      <c r="E266" s="95">
        <v>13.61</v>
      </c>
      <c r="F266" s="95">
        <v>0</v>
      </c>
      <c r="G266" s="95">
        <v>0</v>
      </c>
      <c r="H266" s="95">
        <v>13.61</v>
      </c>
      <c r="I266" s="95">
        <v>0</v>
      </c>
      <c r="J266" s="95">
        <v>0</v>
      </c>
      <c r="K266" s="95">
        <v>0</v>
      </c>
      <c r="L266" s="95">
        <v>0</v>
      </c>
    </row>
    <row r="267" spans="1:12" x14ac:dyDescent="0.3">
      <c r="A267" s="95" t="s">
        <v>547</v>
      </c>
      <c r="B267" s="95" t="s">
        <v>816</v>
      </c>
      <c r="C267" s="95">
        <v>7.95</v>
      </c>
      <c r="D267" s="95">
        <v>1</v>
      </c>
      <c r="E267" s="95">
        <v>35.799999999999997</v>
      </c>
      <c r="F267" s="95">
        <v>0</v>
      </c>
      <c r="G267" s="95">
        <v>-35.799999999999997</v>
      </c>
      <c r="H267" s="95">
        <v>0</v>
      </c>
      <c r="I267" s="95">
        <v>4.12</v>
      </c>
      <c r="J267" s="95">
        <v>0</v>
      </c>
      <c r="K267" s="95">
        <v>0</v>
      </c>
      <c r="L267" s="95">
        <v>0.83</v>
      </c>
    </row>
    <row r="268" spans="1:12" x14ac:dyDescent="0.3">
      <c r="A268" s="95" t="s">
        <v>716</v>
      </c>
      <c r="B268" s="95" t="s">
        <v>817</v>
      </c>
      <c r="C268" s="95">
        <v>6.79</v>
      </c>
      <c r="D268" s="95">
        <v>1</v>
      </c>
      <c r="E268" s="95">
        <v>6.79</v>
      </c>
      <c r="F268" s="95">
        <v>0</v>
      </c>
      <c r="G268" s="95">
        <v>0</v>
      </c>
      <c r="H268" s="95">
        <v>6.79</v>
      </c>
      <c r="I268" s="95">
        <v>0</v>
      </c>
      <c r="J268" s="95">
        <v>0</v>
      </c>
      <c r="K268" s="95">
        <v>0</v>
      </c>
      <c r="L268" s="95">
        <v>0</v>
      </c>
    </row>
    <row r="269" spans="1:12" x14ac:dyDescent="0.3">
      <c r="A269" s="95" t="s">
        <v>716</v>
      </c>
      <c r="B269" s="95" t="s">
        <v>818</v>
      </c>
      <c r="C269" s="95">
        <v>6.79</v>
      </c>
      <c r="D269" s="95">
        <v>1</v>
      </c>
      <c r="E269" s="95">
        <v>6.79</v>
      </c>
      <c r="F269" s="95">
        <v>0</v>
      </c>
      <c r="G269" s="95">
        <v>0</v>
      </c>
      <c r="H269" s="95">
        <v>6.79</v>
      </c>
      <c r="I269" s="95">
        <v>0</v>
      </c>
      <c r="J269" s="95">
        <v>0</v>
      </c>
      <c r="K269" s="95">
        <v>0</v>
      </c>
      <c r="L269" s="95">
        <v>0</v>
      </c>
    </row>
    <row r="270" spans="1:12" x14ac:dyDescent="0.3">
      <c r="A270" s="95" t="s">
        <v>547</v>
      </c>
      <c r="B270" s="95" t="s">
        <v>819</v>
      </c>
      <c r="C270" s="95">
        <v>4.95</v>
      </c>
      <c r="D270" s="95">
        <v>1</v>
      </c>
      <c r="E270" s="95">
        <v>9.9600000000000009</v>
      </c>
      <c r="F270" s="95">
        <v>0</v>
      </c>
      <c r="G270" s="95">
        <v>-9.9600000000000009</v>
      </c>
      <c r="H270" s="95">
        <v>0</v>
      </c>
      <c r="I270" s="95">
        <v>4.12</v>
      </c>
      <c r="J270" s="95">
        <v>0</v>
      </c>
      <c r="K270" s="95">
        <v>0</v>
      </c>
      <c r="L270" s="95">
        <v>0.83</v>
      </c>
    </row>
    <row r="271" spans="1:12" x14ac:dyDescent="0.3">
      <c r="A271" s="95" t="s">
        <v>710</v>
      </c>
      <c r="B271" s="95" t="s">
        <v>820</v>
      </c>
      <c r="C271" s="95">
        <v>0</v>
      </c>
      <c r="D271" s="95">
        <v>1</v>
      </c>
      <c r="E271" s="95">
        <v>54.9</v>
      </c>
      <c r="F271" s="95">
        <v>-54.9</v>
      </c>
      <c r="G271" s="95">
        <v>0</v>
      </c>
      <c r="H271" s="95">
        <v>0</v>
      </c>
      <c r="I271" s="95">
        <v>0</v>
      </c>
      <c r="J271" s="95">
        <v>0</v>
      </c>
      <c r="K271" s="95">
        <v>0</v>
      </c>
      <c r="L271" s="95">
        <v>0</v>
      </c>
    </row>
    <row r="272" spans="1:12" x14ac:dyDescent="0.3">
      <c r="A272" s="95" t="s">
        <v>547</v>
      </c>
      <c r="B272" s="95" t="s">
        <v>821</v>
      </c>
      <c r="C272" s="95">
        <v>0</v>
      </c>
      <c r="D272" s="95">
        <v>1</v>
      </c>
      <c r="E272" s="95">
        <v>182.94</v>
      </c>
      <c r="F272" s="95">
        <v>-18.28</v>
      </c>
      <c r="G272" s="95">
        <v>-164.66</v>
      </c>
      <c r="H272" s="95">
        <v>0</v>
      </c>
      <c r="I272" s="95">
        <v>0</v>
      </c>
      <c r="J272" s="95">
        <v>0</v>
      </c>
      <c r="K272" s="95">
        <v>0</v>
      </c>
      <c r="L272" s="95">
        <v>0</v>
      </c>
    </row>
    <row r="273" spans="1:12" x14ac:dyDescent="0.3">
      <c r="A273" s="95" t="s">
        <v>710</v>
      </c>
      <c r="B273" s="95" t="s">
        <v>822</v>
      </c>
      <c r="C273" s="95">
        <v>0</v>
      </c>
      <c r="D273" s="95">
        <v>1</v>
      </c>
      <c r="E273" s="95">
        <v>29.95</v>
      </c>
      <c r="F273" s="95">
        <v>-29.95</v>
      </c>
      <c r="G273" s="95">
        <v>0</v>
      </c>
      <c r="H273" s="95">
        <v>0</v>
      </c>
      <c r="I273" s="95">
        <v>0</v>
      </c>
      <c r="J273" s="95">
        <v>0</v>
      </c>
      <c r="K273" s="95">
        <v>0</v>
      </c>
      <c r="L273" s="95">
        <v>0</v>
      </c>
    </row>
    <row r="274" spans="1:12" x14ac:dyDescent="0.3">
      <c r="A274" s="95" t="s">
        <v>547</v>
      </c>
      <c r="B274" s="95" t="s">
        <v>823</v>
      </c>
      <c r="C274" s="95">
        <v>0</v>
      </c>
      <c r="D274" s="95">
        <v>1</v>
      </c>
      <c r="E274" s="95">
        <v>20.8</v>
      </c>
      <c r="F274" s="95">
        <v>0</v>
      </c>
      <c r="G274" s="95">
        <v>-20.8</v>
      </c>
      <c r="H274" s="95">
        <v>0</v>
      </c>
      <c r="I274" s="95">
        <v>0</v>
      </c>
      <c r="J274" s="95">
        <v>0</v>
      </c>
      <c r="K274" s="95">
        <v>0</v>
      </c>
      <c r="L274" s="95">
        <v>0</v>
      </c>
    </row>
    <row r="275" spans="1:12" x14ac:dyDescent="0.3">
      <c r="A275" s="95" t="s">
        <v>547</v>
      </c>
      <c r="B275" s="95" t="s">
        <v>824</v>
      </c>
      <c r="C275" s="95">
        <v>0</v>
      </c>
      <c r="D275" s="95">
        <v>1</v>
      </c>
      <c r="E275" s="95">
        <v>81.58</v>
      </c>
      <c r="F275" s="95">
        <v>0</v>
      </c>
      <c r="G275" s="95">
        <v>-81.58</v>
      </c>
      <c r="H275" s="95">
        <v>0</v>
      </c>
      <c r="I275" s="95">
        <v>0</v>
      </c>
      <c r="J275" s="95">
        <v>0</v>
      </c>
      <c r="K275" s="95">
        <v>0</v>
      </c>
      <c r="L275" s="95">
        <v>0</v>
      </c>
    </row>
    <row r="276" spans="1:12" x14ac:dyDescent="0.3">
      <c r="A276" s="95" t="s">
        <v>547</v>
      </c>
      <c r="B276" s="95" t="s">
        <v>825</v>
      </c>
      <c r="C276" s="95">
        <v>0</v>
      </c>
      <c r="D276" s="95">
        <v>1</v>
      </c>
      <c r="E276" s="95">
        <v>68.25</v>
      </c>
      <c r="F276" s="95">
        <v>0</v>
      </c>
      <c r="G276" s="95">
        <v>-68.25</v>
      </c>
      <c r="H276" s="95">
        <v>0</v>
      </c>
      <c r="I276" s="95">
        <v>0</v>
      </c>
      <c r="J276" s="95">
        <v>0</v>
      </c>
      <c r="K276" s="95">
        <v>0</v>
      </c>
      <c r="L276" s="95">
        <v>0</v>
      </c>
    </row>
    <row r="277" spans="1:12" x14ac:dyDescent="0.3">
      <c r="A277" s="95" t="s">
        <v>547</v>
      </c>
      <c r="B277" s="95" t="s">
        <v>826</v>
      </c>
      <c r="C277" s="95">
        <v>0</v>
      </c>
      <c r="D277" s="95">
        <v>1</v>
      </c>
      <c r="E277" s="95">
        <v>181.33</v>
      </c>
      <c r="F277" s="95">
        <v>0</v>
      </c>
      <c r="G277" s="95">
        <v>-181.33</v>
      </c>
      <c r="H277" s="95">
        <v>0</v>
      </c>
      <c r="I277" s="95">
        <v>0</v>
      </c>
      <c r="J277" s="95">
        <v>0</v>
      </c>
      <c r="K277" s="95">
        <v>0</v>
      </c>
      <c r="L277" s="95">
        <v>0</v>
      </c>
    </row>
    <row r="278" spans="1:12" x14ac:dyDescent="0.3">
      <c r="A278" s="95" t="s">
        <v>547</v>
      </c>
      <c r="B278" s="95" t="s">
        <v>827</v>
      </c>
      <c r="C278" s="95">
        <v>0</v>
      </c>
      <c r="D278" s="95">
        <v>1</v>
      </c>
      <c r="E278" s="95">
        <v>14.96</v>
      </c>
      <c r="F278" s="95">
        <v>0</v>
      </c>
      <c r="G278" s="95">
        <v>-14.96</v>
      </c>
      <c r="H278" s="95">
        <v>0</v>
      </c>
      <c r="I278" s="95">
        <v>0</v>
      </c>
      <c r="J278" s="95">
        <v>0</v>
      </c>
      <c r="K278" s="95">
        <v>0</v>
      </c>
      <c r="L278" s="95">
        <v>0</v>
      </c>
    </row>
    <row r="279" spans="1:12" x14ac:dyDescent="0.3">
      <c r="A279" s="95" t="s">
        <v>547</v>
      </c>
      <c r="B279" s="95" t="s">
        <v>828</v>
      </c>
      <c r="C279" s="95">
        <v>0</v>
      </c>
      <c r="D279" s="95">
        <v>1</v>
      </c>
      <c r="E279" s="95">
        <v>74.739999999999995</v>
      </c>
      <c r="F279" s="95">
        <v>-7.47</v>
      </c>
      <c r="G279" s="95">
        <v>-67.27</v>
      </c>
      <c r="H279" s="95">
        <v>0</v>
      </c>
      <c r="I279" s="95">
        <v>0</v>
      </c>
      <c r="J279" s="95">
        <v>0</v>
      </c>
      <c r="K279" s="95">
        <v>0</v>
      </c>
      <c r="L279" s="95">
        <v>0</v>
      </c>
    </row>
    <row r="280" spans="1:12" x14ac:dyDescent="0.3">
      <c r="A280" s="95" t="s">
        <v>710</v>
      </c>
      <c r="B280" s="95" t="s">
        <v>829</v>
      </c>
      <c r="C280" s="95">
        <v>0</v>
      </c>
      <c r="D280" s="95">
        <v>1</v>
      </c>
      <c r="E280" s="95">
        <v>62.8</v>
      </c>
      <c r="F280" s="95">
        <v>-62.8</v>
      </c>
      <c r="G280" s="95">
        <v>0</v>
      </c>
      <c r="H280" s="95">
        <v>0</v>
      </c>
      <c r="I280" s="95">
        <v>0</v>
      </c>
      <c r="J280" s="95">
        <v>0</v>
      </c>
      <c r="K280" s="95">
        <v>0</v>
      </c>
      <c r="L280" s="95">
        <v>0</v>
      </c>
    </row>
    <row r="281" spans="1:12" x14ac:dyDescent="0.3">
      <c r="A281" s="95" t="s">
        <v>710</v>
      </c>
      <c r="B281" s="95" t="s">
        <v>830</v>
      </c>
      <c r="C281" s="95">
        <v>0</v>
      </c>
      <c r="D281" s="95">
        <v>1</v>
      </c>
      <c r="E281" s="95">
        <v>47.85</v>
      </c>
      <c r="F281" s="95">
        <v>-47.85</v>
      </c>
      <c r="G281" s="95">
        <v>0</v>
      </c>
      <c r="H281" s="95">
        <v>0</v>
      </c>
      <c r="I281" s="95">
        <v>0</v>
      </c>
      <c r="J281" s="95">
        <v>0</v>
      </c>
      <c r="K281" s="95">
        <v>0</v>
      </c>
      <c r="L281" s="95">
        <v>0</v>
      </c>
    </row>
    <row r="282" spans="1:12" x14ac:dyDescent="0.3">
      <c r="A282" s="95" t="s">
        <v>547</v>
      </c>
      <c r="B282" s="95" t="s">
        <v>831</v>
      </c>
      <c r="C282" s="95">
        <v>0</v>
      </c>
      <c r="D282" s="95">
        <v>1</v>
      </c>
      <c r="E282" s="95">
        <v>68.25</v>
      </c>
      <c r="F282" s="95">
        <v>0</v>
      </c>
      <c r="G282" s="95">
        <v>-68.25</v>
      </c>
      <c r="H282" s="95">
        <v>0</v>
      </c>
      <c r="I282" s="95">
        <v>0</v>
      </c>
      <c r="J282" s="95">
        <v>0</v>
      </c>
      <c r="K282" s="95">
        <v>0</v>
      </c>
      <c r="L282" s="95">
        <v>0</v>
      </c>
    </row>
    <row r="283" spans="1:12" x14ac:dyDescent="0.3">
      <c r="A283" s="95" t="s">
        <v>710</v>
      </c>
      <c r="B283" s="95" t="s">
        <v>832</v>
      </c>
      <c r="C283" s="95">
        <v>0</v>
      </c>
      <c r="D283" s="95">
        <v>1</v>
      </c>
      <c r="E283" s="95">
        <v>24.95</v>
      </c>
      <c r="F283" s="95">
        <v>-24.95</v>
      </c>
      <c r="G283" s="95">
        <v>0</v>
      </c>
      <c r="H283" s="95">
        <v>0</v>
      </c>
      <c r="I283" s="95">
        <v>0</v>
      </c>
      <c r="J283" s="95">
        <v>0</v>
      </c>
      <c r="K283" s="95">
        <v>0</v>
      </c>
      <c r="L283" s="95">
        <v>0</v>
      </c>
    </row>
    <row r="284" spans="1:12" x14ac:dyDescent="0.3">
      <c r="A284" s="95" t="s">
        <v>710</v>
      </c>
      <c r="B284" s="95" t="s">
        <v>833</v>
      </c>
      <c r="C284" s="95">
        <v>0</v>
      </c>
      <c r="D284" s="95">
        <v>1</v>
      </c>
      <c r="E284" s="95">
        <v>90.75</v>
      </c>
      <c r="F284" s="95">
        <v>-90.75</v>
      </c>
      <c r="G284" s="95">
        <v>0</v>
      </c>
      <c r="H284" s="95">
        <v>0</v>
      </c>
      <c r="I284" s="95">
        <v>0</v>
      </c>
      <c r="J284" s="95">
        <v>0</v>
      </c>
      <c r="K284" s="95">
        <v>0</v>
      </c>
      <c r="L284" s="95">
        <v>0</v>
      </c>
    </row>
    <row r="285" spans="1:12" x14ac:dyDescent="0.3">
      <c r="A285" s="95" t="s">
        <v>710</v>
      </c>
      <c r="B285" s="95" t="s">
        <v>834</v>
      </c>
      <c r="C285" s="95">
        <v>0</v>
      </c>
      <c r="D285" s="95">
        <v>1</v>
      </c>
      <c r="E285" s="95">
        <v>29.95</v>
      </c>
      <c r="F285" s="95">
        <v>-29.95</v>
      </c>
      <c r="G285" s="95">
        <v>0</v>
      </c>
      <c r="H285" s="95">
        <v>0</v>
      </c>
      <c r="I285" s="95">
        <v>0</v>
      </c>
      <c r="J285" s="95">
        <v>0</v>
      </c>
      <c r="K285" s="95">
        <v>0</v>
      </c>
      <c r="L285" s="95">
        <v>0</v>
      </c>
    </row>
    <row r="286" spans="1:12" x14ac:dyDescent="0.3">
      <c r="A286" s="95" t="s">
        <v>710</v>
      </c>
      <c r="B286" s="95" t="s">
        <v>835</v>
      </c>
      <c r="C286" s="95">
        <v>0</v>
      </c>
      <c r="D286" s="95">
        <v>1</v>
      </c>
      <c r="E286" s="95">
        <v>97.9</v>
      </c>
      <c r="F286" s="95">
        <v>-97.9</v>
      </c>
      <c r="G286" s="95">
        <v>0</v>
      </c>
      <c r="H286" s="95">
        <v>0</v>
      </c>
      <c r="I286" s="95">
        <v>0</v>
      </c>
      <c r="J286" s="95">
        <v>0</v>
      </c>
      <c r="K286" s="95">
        <v>0</v>
      </c>
      <c r="L286" s="95">
        <v>0</v>
      </c>
    </row>
    <row r="287" spans="1:12" x14ac:dyDescent="0.3">
      <c r="A287" s="95" t="s">
        <v>547</v>
      </c>
      <c r="B287" s="95" t="s">
        <v>836</v>
      </c>
      <c r="C287" s="95">
        <v>0</v>
      </c>
      <c r="D287" s="95">
        <v>1</v>
      </c>
      <c r="E287" s="95">
        <v>52.37</v>
      </c>
      <c r="F287" s="95">
        <v>0</v>
      </c>
      <c r="G287" s="95">
        <v>-52.37</v>
      </c>
      <c r="H287" s="95">
        <v>0</v>
      </c>
      <c r="I287" s="95">
        <v>0</v>
      </c>
      <c r="J287" s="95">
        <v>0</v>
      </c>
      <c r="K287" s="95">
        <v>0</v>
      </c>
      <c r="L287" s="95">
        <v>0</v>
      </c>
    </row>
    <row r="288" spans="1:12" x14ac:dyDescent="0.3">
      <c r="A288" s="95" t="s">
        <v>547</v>
      </c>
      <c r="B288" s="95" t="s">
        <v>837</v>
      </c>
      <c r="C288" s="95">
        <v>0</v>
      </c>
      <c r="D288" s="95">
        <v>1</v>
      </c>
      <c r="E288" s="95">
        <v>111.33</v>
      </c>
      <c r="F288" s="95">
        <v>0</v>
      </c>
      <c r="G288" s="95">
        <v>-111.33</v>
      </c>
      <c r="H288" s="95">
        <v>0</v>
      </c>
      <c r="I288" s="95">
        <v>0</v>
      </c>
      <c r="J288" s="95">
        <v>0</v>
      </c>
      <c r="K288" s="95">
        <v>0</v>
      </c>
      <c r="L288" s="95">
        <v>0</v>
      </c>
    </row>
    <row r="289" spans="1:12" x14ac:dyDescent="0.3">
      <c r="A289" s="95" t="s">
        <v>710</v>
      </c>
      <c r="B289" s="95" t="s">
        <v>838</v>
      </c>
      <c r="C289" s="95">
        <v>0</v>
      </c>
      <c r="D289" s="95">
        <v>1</v>
      </c>
      <c r="E289" s="95">
        <v>22.9</v>
      </c>
      <c r="F289" s="95">
        <v>-22.9</v>
      </c>
      <c r="G289" s="95">
        <v>0</v>
      </c>
      <c r="H289" s="95">
        <v>0</v>
      </c>
      <c r="I289" s="95">
        <v>0</v>
      </c>
      <c r="J289" s="95">
        <v>0</v>
      </c>
      <c r="K289" s="95">
        <v>0</v>
      </c>
      <c r="L289" s="95">
        <v>0</v>
      </c>
    </row>
    <row r="290" spans="1:12" x14ac:dyDescent="0.3">
      <c r="A290" s="95" t="s">
        <v>547</v>
      </c>
      <c r="B290" s="95" t="s">
        <v>839</v>
      </c>
      <c r="C290" s="95">
        <v>0</v>
      </c>
      <c r="D290" s="95">
        <v>1</v>
      </c>
      <c r="E290" s="95">
        <v>24.96</v>
      </c>
      <c r="F290" s="95">
        <v>0</v>
      </c>
      <c r="G290" s="95">
        <v>-24.96</v>
      </c>
      <c r="H290" s="95">
        <v>0</v>
      </c>
      <c r="I290" s="95">
        <v>0</v>
      </c>
      <c r="J290" s="95">
        <v>0</v>
      </c>
      <c r="K290" s="95">
        <v>0</v>
      </c>
      <c r="L290" s="95">
        <v>0</v>
      </c>
    </row>
    <row r="291" spans="1:12" x14ac:dyDescent="0.3">
      <c r="A291" s="95" t="s">
        <v>710</v>
      </c>
      <c r="B291" s="95" t="s">
        <v>840</v>
      </c>
      <c r="C291" s="95">
        <v>0</v>
      </c>
      <c r="D291" s="95">
        <v>1</v>
      </c>
      <c r="E291" s="95">
        <v>29.95</v>
      </c>
      <c r="F291" s="95">
        <v>-29.95</v>
      </c>
      <c r="G291" s="95">
        <v>0</v>
      </c>
      <c r="H291" s="95">
        <v>0</v>
      </c>
      <c r="I291" s="95">
        <v>0</v>
      </c>
      <c r="J291" s="95">
        <v>0</v>
      </c>
      <c r="K291" s="95">
        <v>0</v>
      </c>
      <c r="L291" s="95">
        <v>0</v>
      </c>
    </row>
    <row r="292" spans="1:12" x14ac:dyDescent="0.3">
      <c r="A292" s="95" t="s">
        <v>547</v>
      </c>
      <c r="B292" s="95" t="s">
        <v>841</v>
      </c>
      <c r="C292" s="95">
        <v>0</v>
      </c>
      <c r="D292" s="95">
        <v>1</v>
      </c>
      <c r="E292" s="95">
        <v>14.96</v>
      </c>
      <c r="F292" s="95">
        <v>0</v>
      </c>
      <c r="G292" s="95">
        <v>-14.96</v>
      </c>
      <c r="H292" s="95">
        <v>0</v>
      </c>
      <c r="I292" s="95">
        <v>0</v>
      </c>
      <c r="J292" s="95">
        <v>0</v>
      </c>
      <c r="K292" s="95">
        <v>0</v>
      </c>
      <c r="L292" s="95">
        <v>0</v>
      </c>
    </row>
    <row r="293" spans="1:12" x14ac:dyDescent="0.3">
      <c r="A293" s="95" t="s">
        <v>710</v>
      </c>
      <c r="B293" s="95" t="s">
        <v>842</v>
      </c>
      <c r="C293" s="95">
        <v>0</v>
      </c>
      <c r="D293" s="95">
        <v>1</v>
      </c>
      <c r="E293" s="95">
        <v>97.9</v>
      </c>
      <c r="F293" s="95">
        <v>-97.9</v>
      </c>
      <c r="G293" s="95">
        <v>0</v>
      </c>
      <c r="H293" s="95">
        <v>0</v>
      </c>
      <c r="I293" s="95">
        <v>0</v>
      </c>
      <c r="J293" s="95">
        <v>0</v>
      </c>
      <c r="K293" s="95">
        <v>0</v>
      </c>
      <c r="L293" s="95">
        <v>0</v>
      </c>
    </row>
    <row r="294" spans="1:12" x14ac:dyDescent="0.3">
      <c r="A294" s="95" t="s">
        <v>710</v>
      </c>
      <c r="B294" s="95" t="s">
        <v>843</v>
      </c>
      <c r="C294" s="95">
        <v>0</v>
      </c>
      <c r="D294" s="95">
        <v>1</v>
      </c>
      <c r="E294" s="95">
        <v>55.95</v>
      </c>
      <c r="F294" s="95">
        <v>-55.95</v>
      </c>
      <c r="G294" s="95">
        <v>0</v>
      </c>
      <c r="H294" s="95">
        <v>0</v>
      </c>
      <c r="I294" s="95">
        <v>0</v>
      </c>
      <c r="J294" s="95">
        <v>0</v>
      </c>
      <c r="K294" s="95">
        <v>0</v>
      </c>
      <c r="L294" s="95">
        <v>0</v>
      </c>
    </row>
    <row r="295" spans="1:12" x14ac:dyDescent="0.3">
      <c r="A295" s="95" t="s">
        <v>710</v>
      </c>
      <c r="B295" s="95" t="s">
        <v>844</v>
      </c>
      <c r="C295" s="95">
        <v>0</v>
      </c>
      <c r="D295" s="95">
        <v>1</v>
      </c>
      <c r="E295" s="95">
        <v>62.85</v>
      </c>
      <c r="F295" s="95">
        <v>-62.85</v>
      </c>
      <c r="G295" s="95">
        <v>0</v>
      </c>
      <c r="H295" s="95">
        <v>0</v>
      </c>
      <c r="I295" s="95">
        <v>0</v>
      </c>
      <c r="J295" s="95">
        <v>0</v>
      </c>
      <c r="K295" s="95">
        <v>0</v>
      </c>
      <c r="L295" s="95">
        <v>0</v>
      </c>
    </row>
    <row r="296" spans="1:12" x14ac:dyDescent="0.3">
      <c r="A296" s="95" t="s">
        <v>547</v>
      </c>
      <c r="B296" s="95" t="s">
        <v>845</v>
      </c>
      <c r="C296" s="95">
        <v>-23.95</v>
      </c>
      <c r="D296" s="95">
        <v>0</v>
      </c>
      <c r="E296" s="95">
        <v>0</v>
      </c>
      <c r="F296" s="95">
        <v>0</v>
      </c>
      <c r="G296" s="95">
        <v>-22.45</v>
      </c>
      <c r="H296" s="95">
        <v>-22.45</v>
      </c>
      <c r="I296" s="95">
        <v>0</v>
      </c>
      <c r="J296" s="95">
        <v>0</v>
      </c>
      <c r="K296" s="95">
        <v>0</v>
      </c>
      <c r="L296" s="95">
        <v>-4.5</v>
      </c>
    </row>
    <row r="297" spans="1:12" x14ac:dyDescent="0.3">
      <c r="A297" s="95" t="s">
        <v>547</v>
      </c>
      <c r="B297" s="95" t="s">
        <v>846</v>
      </c>
      <c r="C297" s="95">
        <v>-26.9</v>
      </c>
      <c r="D297" s="95">
        <v>0</v>
      </c>
      <c r="E297" s="95">
        <v>0</v>
      </c>
      <c r="F297" s="95">
        <v>0</v>
      </c>
      <c r="G297" s="95">
        <v>-18.3</v>
      </c>
      <c r="H297" s="95">
        <v>-18.3</v>
      </c>
      <c r="I297" s="95">
        <v>-4.12</v>
      </c>
      <c r="J297" s="95">
        <v>0</v>
      </c>
      <c r="K297" s="95">
        <v>0</v>
      </c>
      <c r="L297" s="95">
        <v>-4.4800000000000004</v>
      </c>
    </row>
    <row r="298" spans="1:12" x14ac:dyDescent="0.3">
      <c r="A298" s="95" t="s">
        <v>547</v>
      </c>
      <c r="B298" s="95" t="s">
        <v>847</v>
      </c>
      <c r="C298" s="95">
        <v>-34.9</v>
      </c>
      <c r="D298" s="95">
        <v>0</v>
      </c>
      <c r="E298" s="95">
        <v>0</v>
      </c>
      <c r="F298" s="95">
        <v>0</v>
      </c>
      <c r="G298" s="95">
        <v>-24.96</v>
      </c>
      <c r="H298" s="95">
        <v>-24.96</v>
      </c>
      <c r="I298" s="95">
        <v>-4.12</v>
      </c>
      <c r="J298" s="95">
        <v>0</v>
      </c>
      <c r="K298" s="95">
        <v>0</v>
      </c>
      <c r="L298" s="95">
        <v>-5.82</v>
      </c>
    </row>
    <row r="299" spans="1:12" x14ac:dyDescent="0.3">
      <c r="A299" s="95" t="s">
        <v>547</v>
      </c>
      <c r="B299" s="95" t="s">
        <v>848</v>
      </c>
      <c r="C299" s="95">
        <v>-41.9</v>
      </c>
      <c r="D299" s="95">
        <v>0</v>
      </c>
      <c r="E299" s="95">
        <v>0</v>
      </c>
      <c r="F299" s="95">
        <v>0</v>
      </c>
      <c r="G299" s="95">
        <v>-30.8</v>
      </c>
      <c r="H299" s="95">
        <v>-30.8</v>
      </c>
      <c r="I299" s="95">
        <v>-4.12</v>
      </c>
      <c r="J299" s="95">
        <v>0</v>
      </c>
      <c r="K299" s="95">
        <v>0</v>
      </c>
      <c r="L299" s="95">
        <v>-6.98</v>
      </c>
    </row>
    <row r="300" spans="1:12" x14ac:dyDescent="0.3">
      <c r="A300" s="95" t="s">
        <v>547</v>
      </c>
      <c r="B300" s="95" t="s">
        <v>849</v>
      </c>
      <c r="C300" s="95">
        <v>-44.46</v>
      </c>
      <c r="D300" s="95">
        <v>0</v>
      </c>
      <c r="E300" s="95">
        <v>0</v>
      </c>
      <c r="F300" s="95">
        <v>0</v>
      </c>
      <c r="G300" s="95">
        <v>-32.93</v>
      </c>
      <c r="H300" s="95">
        <v>-32.93</v>
      </c>
      <c r="I300" s="95">
        <v>-4.12</v>
      </c>
      <c r="J300" s="95">
        <v>0</v>
      </c>
      <c r="K300" s="95">
        <v>0</v>
      </c>
      <c r="L300" s="95">
        <v>-7.41</v>
      </c>
    </row>
    <row r="301" spans="1:12" x14ac:dyDescent="0.3">
      <c r="A301" s="95" t="s">
        <v>547</v>
      </c>
      <c r="B301" s="95" t="s">
        <v>850</v>
      </c>
      <c r="C301" s="95">
        <v>-47.85</v>
      </c>
      <c r="D301" s="95">
        <v>0</v>
      </c>
      <c r="E301" s="95">
        <v>0</v>
      </c>
      <c r="F301" s="95">
        <v>0</v>
      </c>
      <c r="G301" s="95">
        <v>-39.880000000000003</v>
      </c>
      <c r="H301" s="95">
        <v>-39.880000000000003</v>
      </c>
      <c r="I301" s="95">
        <v>0</v>
      </c>
      <c r="J301" s="95">
        <v>0</v>
      </c>
      <c r="K301" s="95">
        <v>0</v>
      </c>
      <c r="L301" s="95">
        <v>-7.97</v>
      </c>
    </row>
    <row r="302" spans="1:12" x14ac:dyDescent="0.3">
      <c r="A302" s="95" t="s">
        <v>547</v>
      </c>
      <c r="B302" s="95" t="s">
        <v>851</v>
      </c>
      <c r="C302" s="95">
        <v>-56.9</v>
      </c>
      <c r="D302" s="95">
        <v>0</v>
      </c>
      <c r="E302" s="95">
        <v>0</v>
      </c>
      <c r="F302" s="95">
        <v>0</v>
      </c>
      <c r="G302" s="95">
        <v>-49.92</v>
      </c>
      <c r="H302" s="95">
        <v>-49.92</v>
      </c>
      <c r="I302" s="95">
        <v>0</v>
      </c>
      <c r="J302" s="95">
        <v>0</v>
      </c>
      <c r="K302" s="95">
        <v>0</v>
      </c>
      <c r="L302" s="95">
        <v>-9.98</v>
      </c>
    </row>
    <row r="303" spans="1:12" x14ac:dyDescent="0.3">
      <c r="A303" s="95" t="s">
        <v>547</v>
      </c>
      <c r="B303" s="95" t="s">
        <v>852</v>
      </c>
      <c r="C303" s="95">
        <v>-64.900000000000006</v>
      </c>
      <c r="D303" s="95">
        <v>0</v>
      </c>
      <c r="E303" s="95">
        <v>0</v>
      </c>
      <c r="F303" s="95">
        <v>0</v>
      </c>
      <c r="G303" s="95">
        <v>-54.08</v>
      </c>
      <c r="H303" s="95">
        <v>-54.08</v>
      </c>
      <c r="I303" s="95">
        <v>0</v>
      </c>
      <c r="J303" s="95">
        <v>0</v>
      </c>
      <c r="K303" s="95">
        <v>0</v>
      </c>
      <c r="L303" s="95">
        <v>-10.82</v>
      </c>
    </row>
    <row r="304" spans="1:12" x14ac:dyDescent="0.3">
      <c r="A304" s="95" t="s">
        <v>547</v>
      </c>
      <c r="B304" s="95" t="s">
        <v>853</v>
      </c>
      <c r="C304" s="95">
        <v>-81.900000000000006</v>
      </c>
      <c r="D304" s="95">
        <v>0</v>
      </c>
      <c r="E304" s="95">
        <v>0</v>
      </c>
      <c r="F304" s="95">
        <v>0</v>
      </c>
      <c r="G304" s="95">
        <v>-68.25</v>
      </c>
      <c r="H304" s="95">
        <v>-68.25</v>
      </c>
      <c r="I304" s="95">
        <v>0</v>
      </c>
      <c r="J304" s="95">
        <v>0</v>
      </c>
      <c r="K304" s="95">
        <v>0</v>
      </c>
      <c r="L304" s="95">
        <v>-13.65</v>
      </c>
    </row>
    <row r="305" spans="1:12" x14ac:dyDescent="0.3">
      <c r="A305" s="95" t="s">
        <v>547</v>
      </c>
      <c r="B305" s="95" t="s">
        <v>854</v>
      </c>
      <c r="C305" s="95">
        <v>-94.32</v>
      </c>
      <c r="D305" s="95">
        <v>0</v>
      </c>
      <c r="E305" s="95">
        <v>0</v>
      </c>
      <c r="F305" s="95">
        <v>0</v>
      </c>
      <c r="G305" s="95">
        <v>-78.599999999999994</v>
      </c>
      <c r="H305" s="95">
        <v>-78.599999999999994</v>
      </c>
      <c r="I305" s="95">
        <v>0</v>
      </c>
      <c r="J305" s="95">
        <v>0</v>
      </c>
      <c r="K305" s="95">
        <v>0</v>
      </c>
      <c r="L305" s="95">
        <v>-15.72</v>
      </c>
    </row>
    <row r="306" spans="1:12" x14ac:dyDescent="0.3">
      <c r="A306" s="95" t="s">
        <v>547</v>
      </c>
      <c r="B306" s="95" t="s">
        <v>855</v>
      </c>
      <c r="C306" s="95">
        <v>-99.85</v>
      </c>
      <c r="D306" s="95">
        <v>0</v>
      </c>
      <c r="E306" s="95">
        <v>0</v>
      </c>
      <c r="F306" s="95">
        <v>0</v>
      </c>
      <c r="G306" s="95">
        <v>-83.21</v>
      </c>
      <c r="H306" s="95">
        <v>-83.21</v>
      </c>
      <c r="I306" s="95">
        <v>0</v>
      </c>
      <c r="J306" s="95">
        <v>0</v>
      </c>
      <c r="K306" s="95">
        <v>0</v>
      </c>
      <c r="L306" s="95">
        <v>-16.64</v>
      </c>
    </row>
    <row r="307" spans="1:12" x14ac:dyDescent="0.3">
      <c r="A307" s="95" t="s">
        <v>547</v>
      </c>
      <c r="B307" s="95" t="s">
        <v>856</v>
      </c>
      <c r="C307" s="95">
        <v>-126.7</v>
      </c>
      <c r="D307" s="95">
        <v>0</v>
      </c>
      <c r="E307" s="95">
        <v>0</v>
      </c>
      <c r="F307" s="95">
        <v>0</v>
      </c>
      <c r="G307" s="95">
        <v>-105.58</v>
      </c>
      <c r="H307" s="95">
        <v>-105.58</v>
      </c>
      <c r="I307" s="95">
        <v>0</v>
      </c>
      <c r="J307" s="95">
        <v>0</v>
      </c>
      <c r="K307" s="95">
        <v>0</v>
      </c>
      <c r="L307" s="95">
        <v>-21.12</v>
      </c>
    </row>
    <row r="308" spans="1:12" x14ac:dyDescent="0.3">
      <c r="A308" s="95" t="s">
        <v>547</v>
      </c>
      <c r="B308" s="95" t="s">
        <v>857</v>
      </c>
      <c r="C308" s="95">
        <v>-176.22</v>
      </c>
      <c r="D308" s="95">
        <v>0</v>
      </c>
      <c r="E308" s="95">
        <v>0</v>
      </c>
      <c r="F308" s="95">
        <v>0</v>
      </c>
      <c r="G308" s="95">
        <v>-146.85</v>
      </c>
      <c r="H308" s="95">
        <v>-146.85</v>
      </c>
      <c r="I308" s="95">
        <v>0</v>
      </c>
      <c r="J308" s="95">
        <v>0</v>
      </c>
      <c r="K308" s="95">
        <v>0</v>
      </c>
      <c r="L308" s="95">
        <v>-29.37</v>
      </c>
    </row>
    <row r="309" spans="1:12" x14ac:dyDescent="0.3">
      <c r="A309" s="95" t="s">
        <v>547</v>
      </c>
      <c r="B309" s="95" t="s">
        <v>858</v>
      </c>
      <c r="C309" s="95">
        <v>-245.7</v>
      </c>
      <c r="D309" s="95">
        <v>0</v>
      </c>
      <c r="E309" s="95">
        <v>0</v>
      </c>
      <c r="F309" s="95">
        <v>0</v>
      </c>
      <c r="G309" s="95">
        <v>-204.75</v>
      </c>
      <c r="H309" s="95">
        <v>-204.75</v>
      </c>
      <c r="I309" s="95">
        <v>0</v>
      </c>
      <c r="J309" s="95">
        <v>0</v>
      </c>
      <c r="K309" s="95">
        <v>0</v>
      </c>
      <c r="L309" s="95">
        <v>-40.950000000000003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FF3F-1D34-42CB-89E3-0CD8ED573492}">
  <sheetPr>
    <tabColor theme="1"/>
  </sheetPr>
  <dimension ref="A1:AI168"/>
  <sheetViews>
    <sheetView showGridLines="0" tabSelected="1" zoomScale="85" zoomScaleNormal="85" workbookViewId="0">
      <pane xSplit="8" ySplit="2" topLeftCell="I96" activePane="bottomRight" state="frozen"/>
      <selection pane="topRight"/>
      <selection pane="bottomLeft"/>
      <selection pane="bottomRight" activeCell="F118" sqref="F118"/>
    </sheetView>
  </sheetViews>
  <sheetFormatPr baseColWidth="10" defaultColWidth="11.44140625" defaultRowHeight="14.4" outlineLevelRow="2" outlineLevelCol="1" x14ac:dyDescent="0.3"/>
  <cols>
    <col min="1" max="1" width="4.44140625" hidden="1" customWidth="1" outlineLevel="1"/>
    <col min="2" max="2" width="2.44140625" hidden="1" customWidth="1" outlineLevel="1"/>
    <col min="3" max="3" width="18.44140625" hidden="1" customWidth="1" outlineLevel="1"/>
    <col min="4" max="4" width="4.109375" style="15" customWidth="1" collapsed="1"/>
    <col min="5" max="5" width="5.33203125" style="15" customWidth="1"/>
    <col min="6" max="6" width="4.33203125" style="15" customWidth="1"/>
    <col min="7" max="7" width="8.33203125" style="15" customWidth="1"/>
    <col min="8" max="8" width="21.6640625" style="15" customWidth="1"/>
    <col min="9" max="20" width="12.6640625" style="26" customWidth="1"/>
    <col min="21" max="21" width="17.33203125" style="27" customWidth="1"/>
    <col min="22" max="22" width="11.44140625" customWidth="1"/>
    <col min="23" max="23" width="40" bestFit="1" customWidth="1"/>
    <col min="24" max="26" width="11.44140625" customWidth="1"/>
  </cols>
  <sheetData>
    <row r="1" spans="1:25" outlineLevel="1" x14ac:dyDescent="0.3">
      <c r="I1" s="303" t="str">
        <f>+params!B4</f>
        <v>202601</v>
      </c>
      <c r="J1" s="303">
        <f>+params!C4</f>
        <v>202602</v>
      </c>
      <c r="K1" s="303">
        <f>+params!D4</f>
        <v>202603</v>
      </c>
      <c r="L1" s="303">
        <f>+params!E4</f>
        <v>202604</v>
      </c>
      <c r="M1" s="303">
        <f>+params!F4</f>
        <v>202605</v>
      </c>
      <c r="N1" s="303">
        <f>+params!G4</f>
        <v>202606</v>
      </c>
      <c r="O1" s="303">
        <f>+params!H4</f>
        <v>202607</v>
      </c>
      <c r="P1" s="303">
        <f>+params!I4</f>
        <v>202608</v>
      </c>
      <c r="Q1" s="303">
        <f>+params!J4</f>
        <v>202609</v>
      </c>
      <c r="R1" s="303">
        <f>+params!K4</f>
        <v>202610</v>
      </c>
      <c r="S1" s="303">
        <f>+params!L4</f>
        <v>202611</v>
      </c>
      <c r="T1" s="303">
        <f>+params!M4</f>
        <v>202612</v>
      </c>
    </row>
    <row r="2" spans="1:25" s="22" customFormat="1" ht="23.4" x14ac:dyDescent="0.45">
      <c r="E2" s="395">
        <v>2026</v>
      </c>
      <c r="F2" s="395"/>
      <c r="G2" s="395"/>
      <c r="H2" s="395"/>
      <c r="I2" s="16" t="s">
        <v>1429</v>
      </c>
      <c r="J2" s="16" t="s">
        <v>1430</v>
      </c>
      <c r="K2" s="16" t="s">
        <v>1431</v>
      </c>
      <c r="L2" s="16" t="s">
        <v>1432</v>
      </c>
      <c r="M2" s="16" t="s">
        <v>1433</v>
      </c>
      <c r="N2" s="16" t="s">
        <v>1434</v>
      </c>
      <c r="O2" s="16" t="s">
        <v>1435</v>
      </c>
      <c r="P2" s="16" t="s">
        <v>1436</v>
      </c>
      <c r="Q2" s="16" t="s">
        <v>1437</v>
      </c>
      <c r="R2" s="16" t="s">
        <v>1438</v>
      </c>
      <c r="S2" s="16" t="s">
        <v>1439</v>
      </c>
      <c r="T2" s="16" t="s">
        <v>1440</v>
      </c>
      <c r="U2" s="2" t="s">
        <v>0</v>
      </c>
    </row>
    <row r="3" spans="1:25" ht="18" customHeight="1" x14ac:dyDescent="0.35">
      <c r="D3" s="396" t="s">
        <v>1</v>
      </c>
      <c r="E3" s="396"/>
      <c r="F3" s="396"/>
      <c r="G3" s="396"/>
      <c r="H3" s="397"/>
      <c r="I3" s="28">
        <f>+I4+I30</f>
        <v>152677.71</v>
      </c>
      <c r="J3" s="28">
        <f t="shared" ref="J3:T3" si="0">+J4+J30</f>
        <v>174132.08</v>
      </c>
      <c r="K3" s="28">
        <f t="shared" si="0"/>
        <v>113987.41</v>
      </c>
      <c r="L3" s="28">
        <f t="shared" si="0"/>
        <v>0</v>
      </c>
      <c r="M3" s="28">
        <f t="shared" si="0"/>
        <v>0</v>
      </c>
      <c r="N3" s="28">
        <f t="shared" si="0"/>
        <v>0</v>
      </c>
      <c r="O3" s="28">
        <f t="shared" si="0"/>
        <v>0</v>
      </c>
      <c r="P3" s="28">
        <f t="shared" si="0"/>
        <v>0</v>
      </c>
      <c r="Q3" s="28">
        <f t="shared" si="0"/>
        <v>0</v>
      </c>
      <c r="R3" s="28">
        <f t="shared" si="0"/>
        <v>0</v>
      </c>
      <c r="S3" s="28">
        <f t="shared" si="0"/>
        <v>0</v>
      </c>
      <c r="T3" s="28">
        <f t="shared" si="0"/>
        <v>0</v>
      </c>
      <c r="U3" s="29">
        <f>SUM(I3:T3)</f>
        <v>440797.19999999995</v>
      </c>
    </row>
    <row r="4" spans="1:25" ht="15" customHeight="1" x14ac:dyDescent="0.3">
      <c r="D4" s="393" t="s">
        <v>1564</v>
      </c>
      <c r="E4" s="393"/>
      <c r="F4" s="393"/>
      <c r="G4" s="393"/>
      <c r="H4" s="394"/>
      <c r="I4" s="30">
        <f>+I5+I16+I21+I23</f>
        <v>131758.06</v>
      </c>
      <c r="J4" s="30">
        <f t="shared" ref="J4:T4" si="1">+J5+J16+J21+J23</f>
        <v>151409.56</v>
      </c>
      <c r="K4" s="30">
        <f t="shared" si="1"/>
        <v>113987.41</v>
      </c>
      <c r="L4" s="30">
        <f t="shared" si="1"/>
        <v>0</v>
      </c>
      <c r="M4" s="30">
        <f t="shared" si="1"/>
        <v>0</v>
      </c>
      <c r="N4" s="30">
        <f t="shared" si="1"/>
        <v>0</v>
      </c>
      <c r="O4" s="30">
        <f t="shared" si="1"/>
        <v>0</v>
      </c>
      <c r="P4" s="30">
        <f t="shared" si="1"/>
        <v>0</v>
      </c>
      <c r="Q4" s="30">
        <f t="shared" si="1"/>
        <v>0</v>
      </c>
      <c r="R4" s="30">
        <f t="shared" si="1"/>
        <v>0</v>
      </c>
      <c r="S4" s="30">
        <f t="shared" si="1"/>
        <v>0</v>
      </c>
      <c r="T4" s="30">
        <f t="shared" si="1"/>
        <v>0</v>
      </c>
      <c r="U4" s="31">
        <f t="shared" ref="U4:U50" si="2">SUM(I4:T4)</f>
        <v>397155.03</v>
      </c>
    </row>
    <row r="5" spans="1:25" ht="15" customHeight="1" x14ac:dyDescent="0.3">
      <c r="A5" t="s">
        <v>2</v>
      </c>
      <c r="B5" t="s">
        <v>3</v>
      </c>
      <c r="C5" t="s">
        <v>4</v>
      </c>
      <c r="D5" s="3"/>
      <c r="E5" s="391" t="s">
        <v>9</v>
      </c>
      <c r="F5" s="391"/>
      <c r="G5" s="391"/>
      <c r="H5" s="391"/>
      <c r="I5" s="30">
        <f>SUM(I6:I14)</f>
        <v>133633.76999999999</v>
      </c>
      <c r="J5" s="30">
        <f t="shared" ref="J5:T5" si="3">SUM(J6:J14)</f>
        <v>149057.08000000002</v>
      </c>
      <c r="K5" s="30">
        <f t="shared" si="3"/>
        <v>98377.450000000012</v>
      </c>
      <c r="L5" s="30">
        <f t="shared" si="3"/>
        <v>0</v>
      </c>
      <c r="M5" s="30">
        <f t="shared" si="3"/>
        <v>0</v>
      </c>
      <c r="N5" s="30">
        <f t="shared" si="3"/>
        <v>0</v>
      </c>
      <c r="O5" s="30">
        <f t="shared" si="3"/>
        <v>0</v>
      </c>
      <c r="P5" s="30">
        <f t="shared" si="3"/>
        <v>0</v>
      </c>
      <c r="Q5" s="30">
        <f t="shared" si="3"/>
        <v>0</v>
      </c>
      <c r="R5" s="30">
        <f t="shared" si="3"/>
        <v>0</v>
      </c>
      <c r="S5" s="30">
        <f t="shared" si="3"/>
        <v>0</v>
      </c>
      <c r="T5" s="30">
        <f t="shared" si="3"/>
        <v>0</v>
      </c>
      <c r="U5" s="31">
        <f t="shared" si="2"/>
        <v>381068.3</v>
      </c>
    </row>
    <row r="6" spans="1:25" outlineLevel="1" x14ac:dyDescent="0.3">
      <c r="A6">
        <v>0</v>
      </c>
      <c r="B6">
        <v>0</v>
      </c>
      <c r="C6" t="s">
        <v>8</v>
      </c>
      <c r="D6" s="3"/>
      <c r="E6" s="3" t="e" vm="1">
        <v>#VALUE!</v>
      </c>
      <c r="F6" s="371" t="s">
        <v>6</v>
      </c>
      <c r="G6" s="371"/>
      <c r="H6" s="371"/>
      <c r="I6" s="30">
        <f>SUMIFS('i-sales'!$K:$K,
'i-sales'!$C:$C,'P&amp;G-SL'!I$1,
'i-sales'!$D:$D,'P&amp;G-SL'!$C6,
'i-sales'!$G:$G,'P&amp;G-SL'!$A6,
'i-sales'!$H:$H,'P&amp;G-SL'!$B6
)</f>
        <v>61194.44</v>
      </c>
      <c r="J6" s="30">
        <f>SUMIFS('i-sales'!$K:$K,
'i-sales'!$C:$C,'P&amp;G-SL'!J$1,
'i-sales'!$D:$D,'P&amp;G-SL'!$C6,
'i-sales'!$G:$G,'P&amp;G-SL'!$A6,
'i-sales'!$H:$H,'P&amp;G-SL'!$B6
)</f>
        <v>73349.64</v>
      </c>
      <c r="K6" s="30">
        <f>SUMIFS('i-sales'!$K:$K,
'i-sales'!$C:$C,'P&amp;G-SL'!K$1,
'i-sales'!$D:$D,'P&amp;G-SL'!$C6,
'i-sales'!$G:$G,'P&amp;G-SL'!$A6,
'i-sales'!$H:$H,'P&amp;G-SL'!$B6
)</f>
        <v>45991.32</v>
      </c>
      <c r="L6" s="30">
        <f>SUMIFS('i-sales'!$K:$K,
'i-sales'!$C:$C,'P&amp;G-SL'!L$1,
'i-sales'!$D:$D,'P&amp;G-SL'!$C6,
'i-sales'!$G:$G,'P&amp;G-SL'!$A6,
'i-sales'!$H:$H,'P&amp;G-SL'!$B6
)</f>
        <v>0</v>
      </c>
      <c r="M6" s="30">
        <f>SUMIFS('i-sales'!$K:$K,
'i-sales'!$C:$C,'P&amp;G-SL'!M$1,
'i-sales'!$D:$D,'P&amp;G-SL'!$C6,
'i-sales'!$G:$G,'P&amp;G-SL'!$A6,
'i-sales'!$H:$H,'P&amp;G-SL'!$B6
)</f>
        <v>0</v>
      </c>
      <c r="N6" s="30">
        <f>SUMIFS('i-sales'!$K:$K,
'i-sales'!$C:$C,'P&amp;G-SL'!N$1,
'i-sales'!$D:$D,'P&amp;G-SL'!$C6,
'i-sales'!$G:$G,'P&amp;G-SL'!$A6,
'i-sales'!$H:$H,'P&amp;G-SL'!$B6
)</f>
        <v>0</v>
      </c>
      <c r="O6" s="30">
        <f>SUMIFS('i-sales'!$K:$K,
'i-sales'!$C:$C,'P&amp;G-SL'!O$1,
'i-sales'!$D:$D,'P&amp;G-SL'!$C6,
'i-sales'!$G:$G,'P&amp;G-SL'!$A6,
'i-sales'!$H:$H,'P&amp;G-SL'!$B6
)</f>
        <v>0</v>
      </c>
      <c r="P6" s="30">
        <f>SUMIFS('i-sales'!$K:$K,
'i-sales'!$C:$C,'P&amp;G-SL'!P$1,
'i-sales'!$D:$D,'P&amp;G-SL'!$C6,
'i-sales'!$G:$G,'P&amp;G-SL'!$A6,
'i-sales'!$H:$H,'P&amp;G-SL'!$B6
)</f>
        <v>0</v>
      </c>
      <c r="Q6" s="30">
        <f>SUMIFS('i-sales'!$K:$K,
'i-sales'!$C:$C,'P&amp;G-SL'!Q$1,
'i-sales'!$D:$D,'P&amp;G-SL'!$C6,
'i-sales'!$G:$G,'P&amp;G-SL'!$A6,
'i-sales'!$H:$H,'P&amp;G-SL'!$B6
)</f>
        <v>0</v>
      </c>
      <c r="R6" s="30">
        <f>SUMIFS('i-sales'!$K:$K,
'i-sales'!$C:$C,'P&amp;G-SL'!R$1,
'i-sales'!$D:$D,'P&amp;G-SL'!$C6,
'i-sales'!$G:$G,'P&amp;G-SL'!$A6,
'i-sales'!$H:$H,'P&amp;G-SL'!$B6
)</f>
        <v>0</v>
      </c>
      <c r="S6" s="30">
        <f>SUMIFS('i-sales'!$K:$K,
'i-sales'!$C:$C,'P&amp;G-SL'!S$1,
'i-sales'!$D:$D,'P&amp;G-SL'!$C6,
'i-sales'!$G:$G,'P&amp;G-SL'!$A6,
'i-sales'!$H:$H,'P&amp;G-SL'!$B6
)</f>
        <v>0</v>
      </c>
      <c r="T6" s="30">
        <f>SUMIFS('i-sales'!$K:$K,
'i-sales'!$C:$C,'P&amp;G-SL'!T$1,
'i-sales'!$D:$D,'P&amp;G-SL'!$C6,
'i-sales'!$G:$G,'P&amp;G-SL'!$A6,
'i-sales'!$H:$H,'P&amp;G-SL'!$B6
)</f>
        <v>0</v>
      </c>
      <c r="U6" s="31">
        <f t="shared" si="2"/>
        <v>180535.40000000002</v>
      </c>
    </row>
    <row r="7" spans="1:25" outlineLevel="1" x14ac:dyDescent="0.3">
      <c r="A7">
        <v>0</v>
      </c>
      <c r="B7">
        <v>0</v>
      </c>
      <c r="C7" t="s">
        <v>18</v>
      </c>
      <c r="D7" s="3"/>
      <c r="E7" s="3" t="e" vm="2">
        <v>#VALUE!</v>
      </c>
      <c r="F7" s="371" t="s">
        <v>17</v>
      </c>
      <c r="G7" s="371"/>
      <c r="H7" s="371"/>
      <c r="I7" s="30">
        <f>SUMIFS('i-sales'!$K:$K,
'i-sales'!$C:$C,'P&amp;G-SL'!I$1,
'i-sales'!$D:$D,'P&amp;G-SL'!$C7,
'i-sales'!$G:$G,'P&amp;G-SL'!$A7,
'i-sales'!$H:$H,'P&amp;G-SL'!$B7
)</f>
        <v>20924.16</v>
      </c>
      <c r="J7" s="30">
        <f>SUMIFS('i-sales'!$K:$K,
'i-sales'!$C:$C,'P&amp;G-SL'!J$1,
'i-sales'!$D:$D,'P&amp;G-SL'!$C7,
'i-sales'!$G:$G,'P&amp;G-SL'!$A7,
'i-sales'!$H:$H,'P&amp;G-SL'!$B7
)</f>
        <v>19361.46</v>
      </c>
      <c r="K7" s="30">
        <f>SUMIFS('i-sales'!$K:$K,
'i-sales'!$C:$C,'P&amp;G-SL'!K$1,
'i-sales'!$D:$D,'P&amp;G-SL'!$C7,
'i-sales'!$G:$G,'P&amp;G-SL'!$A7,
'i-sales'!$H:$H,'P&amp;G-SL'!$B7
)</f>
        <v>15661.44</v>
      </c>
      <c r="L7" s="30">
        <f>SUMIFS('i-sales'!$K:$K,
'i-sales'!$C:$C,'P&amp;G-SL'!L$1,
'i-sales'!$D:$D,'P&amp;G-SL'!$C7,
'i-sales'!$G:$G,'P&amp;G-SL'!$A7,
'i-sales'!$H:$H,'P&amp;G-SL'!$B7
)</f>
        <v>0</v>
      </c>
      <c r="M7" s="30">
        <f>SUMIFS('i-sales'!$K:$K,
'i-sales'!$C:$C,'P&amp;G-SL'!M$1,
'i-sales'!$D:$D,'P&amp;G-SL'!$C7,
'i-sales'!$G:$G,'P&amp;G-SL'!$A7,
'i-sales'!$H:$H,'P&amp;G-SL'!$B7
)</f>
        <v>0</v>
      </c>
      <c r="N7" s="30">
        <f>SUMIFS('i-sales'!$K:$K,
'i-sales'!$C:$C,'P&amp;G-SL'!N$1,
'i-sales'!$D:$D,'P&amp;G-SL'!$C7,
'i-sales'!$G:$G,'P&amp;G-SL'!$A7,
'i-sales'!$H:$H,'P&amp;G-SL'!$B7
)</f>
        <v>0</v>
      </c>
      <c r="O7" s="30">
        <f>SUMIFS('i-sales'!$K:$K,
'i-sales'!$C:$C,'P&amp;G-SL'!O$1,
'i-sales'!$D:$D,'P&amp;G-SL'!$C7,
'i-sales'!$G:$G,'P&amp;G-SL'!$A7,
'i-sales'!$H:$H,'P&amp;G-SL'!$B7
)</f>
        <v>0</v>
      </c>
      <c r="P7" s="30">
        <f>SUMIFS('i-sales'!$K:$K,
'i-sales'!$C:$C,'P&amp;G-SL'!P$1,
'i-sales'!$D:$D,'P&amp;G-SL'!$C7,
'i-sales'!$G:$G,'P&amp;G-SL'!$A7,
'i-sales'!$H:$H,'P&amp;G-SL'!$B7
)</f>
        <v>0</v>
      </c>
      <c r="Q7" s="30">
        <f>SUMIFS('i-sales'!$K:$K,
'i-sales'!$C:$C,'P&amp;G-SL'!Q$1,
'i-sales'!$D:$D,'P&amp;G-SL'!$C7,
'i-sales'!$G:$G,'P&amp;G-SL'!$A7,
'i-sales'!$H:$H,'P&amp;G-SL'!$B7
)</f>
        <v>0</v>
      </c>
      <c r="R7" s="30">
        <f>SUMIFS('i-sales'!$K:$K,
'i-sales'!$C:$C,'P&amp;G-SL'!R$1,
'i-sales'!$D:$D,'P&amp;G-SL'!$C7,
'i-sales'!$G:$G,'P&amp;G-SL'!$A7,
'i-sales'!$H:$H,'P&amp;G-SL'!$B7
)</f>
        <v>0</v>
      </c>
      <c r="S7" s="30">
        <f>SUMIFS('i-sales'!$K:$K,
'i-sales'!$C:$C,'P&amp;G-SL'!S$1,
'i-sales'!$D:$D,'P&amp;G-SL'!$C7,
'i-sales'!$G:$G,'P&amp;G-SL'!$A7,
'i-sales'!$H:$H,'P&amp;G-SL'!$B7
)</f>
        <v>0</v>
      </c>
      <c r="T7" s="30">
        <f>SUMIFS('i-sales'!$K:$K,
'i-sales'!$C:$C,'P&amp;G-SL'!T$1,
'i-sales'!$D:$D,'P&amp;G-SL'!$C7,
'i-sales'!$G:$G,'P&amp;G-SL'!$A7,
'i-sales'!$H:$H,'P&amp;G-SL'!$B7
)</f>
        <v>0</v>
      </c>
      <c r="U7" s="31">
        <f t="shared" si="2"/>
        <v>55947.06</v>
      </c>
    </row>
    <row r="8" spans="1:25" outlineLevel="1" x14ac:dyDescent="0.3">
      <c r="A8">
        <v>0</v>
      </c>
      <c r="B8">
        <v>0</v>
      </c>
      <c r="C8" t="s">
        <v>20</v>
      </c>
      <c r="D8" s="3"/>
      <c r="E8" s="3" t="e" vm="3">
        <v>#VALUE!</v>
      </c>
      <c r="F8" s="371" t="s">
        <v>19</v>
      </c>
      <c r="G8" s="371"/>
      <c r="H8" s="371"/>
      <c r="I8" s="30">
        <f>SUMIFS('i-sales'!$K:$K,
'i-sales'!$C:$C,'P&amp;G-SL'!I$1,
'i-sales'!$D:$D,'P&amp;G-SL'!$C8,
'i-sales'!$G:$G,'P&amp;G-SL'!$A8,
'i-sales'!$H:$H,'P&amp;G-SL'!$B8
)</f>
        <v>25590.350000000002</v>
      </c>
      <c r="J8" s="30">
        <f>SUMIFS('i-sales'!$K:$K,
'i-sales'!$C:$C,'P&amp;G-SL'!J$1,
'i-sales'!$D:$D,'P&amp;G-SL'!$C8,
'i-sales'!$G:$G,'P&amp;G-SL'!$A8,
'i-sales'!$H:$H,'P&amp;G-SL'!$B8
)</f>
        <v>27502.639999999999</v>
      </c>
      <c r="K8" s="30">
        <f>SUMIFS('i-sales'!$K:$K,
'i-sales'!$C:$C,'P&amp;G-SL'!K$1,
'i-sales'!$D:$D,'P&amp;G-SL'!$C8,
'i-sales'!$G:$G,'P&amp;G-SL'!$A8,
'i-sales'!$H:$H,'P&amp;G-SL'!$B8
)</f>
        <v>22172.28</v>
      </c>
      <c r="L8" s="30">
        <f>SUMIFS('i-sales'!$K:$K,
'i-sales'!$C:$C,'P&amp;G-SL'!L$1,
'i-sales'!$D:$D,'P&amp;G-SL'!$C8,
'i-sales'!$G:$G,'P&amp;G-SL'!$A8,
'i-sales'!$H:$H,'P&amp;G-SL'!$B8
)</f>
        <v>0</v>
      </c>
      <c r="M8" s="30">
        <f>SUMIFS('i-sales'!$K:$K,
'i-sales'!$C:$C,'P&amp;G-SL'!M$1,
'i-sales'!$D:$D,'P&amp;G-SL'!$C8,
'i-sales'!$G:$G,'P&amp;G-SL'!$A8,
'i-sales'!$H:$H,'P&amp;G-SL'!$B8
)</f>
        <v>0</v>
      </c>
      <c r="N8" s="30">
        <f>SUMIFS('i-sales'!$K:$K,
'i-sales'!$C:$C,'P&amp;G-SL'!N$1,
'i-sales'!$D:$D,'P&amp;G-SL'!$C8,
'i-sales'!$G:$G,'P&amp;G-SL'!$A8,
'i-sales'!$H:$H,'P&amp;G-SL'!$B8
)</f>
        <v>0</v>
      </c>
      <c r="O8" s="30">
        <f>SUMIFS('i-sales'!$K:$K,
'i-sales'!$C:$C,'P&amp;G-SL'!O$1,
'i-sales'!$D:$D,'P&amp;G-SL'!$C8,
'i-sales'!$G:$G,'P&amp;G-SL'!$A8,
'i-sales'!$H:$H,'P&amp;G-SL'!$B8
)</f>
        <v>0</v>
      </c>
      <c r="P8" s="30">
        <f>SUMIFS('i-sales'!$K:$K,
'i-sales'!$C:$C,'P&amp;G-SL'!P$1,
'i-sales'!$D:$D,'P&amp;G-SL'!$C8,
'i-sales'!$G:$G,'P&amp;G-SL'!$A8,
'i-sales'!$H:$H,'P&amp;G-SL'!$B8
)</f>
        <v>0</v>
      </c>
      <c r="Q8" s="30">
        <f>SUMIFS('i-sales'!$K:$K,
'i-sales'!$C:$C,'P&amp;G-SL'!Q$1,
'i-sales'!$D:$D,'P&amp;G-SL'!$C8,
'i-sales'!$G:$G,'P&amp;G-SL'!$A8,
'i-sales'!$H:$H,'P&amp;G-SL'!$B8
)</f>
        <v>0</v>
      </c>
      <c r="R8" s="30">
        <f>SUMIFS('i-sales'!$K:$K,
'i-sales'!$C:$C,'P&amp;G-SL'!R$1,
'i-sales'!$D:$D,'P&amp;G-SL'!$C8,
'i-sales'!$G:$G,'P&amp;G-SL'!$A8,
'i-sales'!$H:$H,'P&amp;G-SL'!$B8
)</f>
        <v>0</v>
      </c>
      <c r="S8" s="30">
        <f>SUMIFS('i-sales'!$K:$K,
'i-sales'!$C:$C,'P&amp;G-SL'!S$1,
'i-sales'!$D:$D,'P&amp;G-SL'!$C8,
'i-sales'!$G:$G,'P&amp;G-SL'!$A8,
'i-sales'!$H:$H,'P&amp;G-SL'!$B8
)</f>
        <v>0</v>
      </c>
      <c r="T8" s="30">
        <f>SUMIFS('i-sales'!$K:$K,
'i-sales'!$C:$C,'P&amp;G-SL'!T$1,
'i-sales'!$D:$D,'P&amp;G-SL'!$C8,
'i-sales'!$G:$G,'P&amp;G-SL'!$A8,
'i-sales'!$H:$H,'P&amp;G-SL'!$B8
)</f>
        <v>0</v>
      </c>
      <c r="U8" s="31">
        <f>SUM(I8:T8)</f>
        <v>75265.27</v>
      </c>
      <c r="W8" s="276"/>
      <c r="Y8" s="309"/>
    </row>
    <row r="9" spans="1:25" outlineLevel="1" x14ac:dyDescent="0.3">
      <c r="A9">
        <v>0</v>
      </c>
      <c r="B9">
        <v>0</v>
      </c>
      <c r="C9" t="s">
        <v>22</v>
      </c>
      <c r="D9" s="3"/>
      <c r="E9" s="3" t="e" vm="4">
        <v>#VALUE!</v>
      </c>
      <c r="F9" s="371" t="s">
        <v>21</v>
      </c>
      <c r="G9" s="371"/>
      <c r="H9" s="371"/>
      <c r="I9" s="30">
        <f>SUMIFS('i-sales'!$K:$K,
'i-sales'!$C:$C,'P&amp;G-SL'!I$1,
'i-sales'!$D:$D,'P&amp;G-SL'!$C9,
'i-sales'!$G:$G,'P&amp;G-SL'!$A9,
'i-sales'!$H:$H,'P&amp;G-SL'!$B9
)</f>
        <v>18483.79</v>
      </c>
      <c r="J9" s="30">
        <f>SUMIFS('i-sales'!$K:$K,
'i-sales'!$C:$C,'P&amp;G-SL'!J$1,
'i-sales'!$D:$D,'P&amp;G-SL'!$C9,
'i-sales'!$G:$G,'P&amp;G-SL'!$A9,
'i-sales'!$H:$H,'P&amp;G-SL'!$B9
)</f>
        <v>20044.87</v>
      </c>
      <c r="K9" s="30">
        <f>SUMIFS('i-sales'!$K:$K,
'i-sales'!$C:$C,'P&amp;G-SL'!K$1,
'i-sales'!$D:$D,'P&amp;G-SL'!$C9,
'i-sales'!$G:$G,'P&amp;G-SL'!$A9,
'i-sales'!$H:$H,'P&amp;G-SL'!$B9
)</f>
        <v>10681.85</v>
      </c>
      <c r="L9" s="30">
        <f>SUMIFS('i-sales'!$K:$K,
'i-sales'!$C:$C,'P&amp;G-SL'!L$1,
'i-sales'!$D:$D,'P&amp;G-SL'!$C9,
'i-sales'!$G:$G,'P&amp;G-SL'!$A9,
'i-sales'!$H:$H,'P&amp;G-SL'!$B9
)</f>
        <v>0</v>
      </c>
      <c r="M9" s="30">
        <f>SUMIFS('i-sales'!$K:$K,
'i-sales'!$C:$C,'P&amp;G-SL'!M$1,
'i-sales'!$D:$D,'P&amp;G-SL'!$C9,
'i-sales'!$G:$G,'P&amp;G-SL'!$A9,
'i-sales'!$H:$H,'P&amp;G-SL'!$B9
)</f>
        <v>0</v>
      </c>
      <c r="N9" s="30">
        <f>SUMIFS('i-sales'!$K:$K,
'i-sales'!$C:$C,'P&amp;G-SL'!N$1,
'i-sales'!$D:$D,'P&amp;G-SL'!$C9,
'i-sales'!$G:$G,'P&amp;G-SL'!$A9,
'i-sales'!$H:$H,'P&amp;G-SL'!$B9
)</f>
        <v>0</v>
      </c>
      <c r="O9" s="30">
        <f>SUMIFS('i-sales'!$K:$K,
'i-sales'!$C:$C,'P&amp;G-SL'!O$1,
'i-sales'!$D:$D,'P&amp;G-SL'!$C9,
'i-sales'!$G:$G,'P&amp;G-SL'!$A9,
'i-sales'!$H:$H,'P&amp;G-SL'!$B9
)</f>
        <v>0</v>
      </c>
      <c r="P9" s="30">
        <f>SUMIFS('i-sales'!$K:$K,
'i-sales'!$C:$C,'P&amp;G-SL'!P$1,
'i-sales'!$D:$D,'P&amp;G-SL'!$C9,
'i-sales'!$G:$G,'P&amp;G-SL'!$A9,
'i-sales'!$H:$H,'P&amp;G-SL'!$B9
)</f>
        <v>0</v>
      </c>
      <c r="Q9" s="30">
        <f>SUMIFS('i-sales'!$K:$K,
'i-sales'!$C:$C,'P&amp;G-SL'!Q$1,
'i-sales'!$D:$D,'P&amp;G-SL'!$C9,
'i-sales'!$G:$G,'P&amp;G-SL'!$A9,
'i-sales'!$H:$H,'P&amp;G-SL'!$B9
)</f>
        <v>0</v>
      </c>
      <c r="R9" s="30">
        <f>SUMIFS('i-sales'!$K:$K,
'i-sales'!$C:$C,'P&amp;G-SL'!R$1,
'i-sales'!$D:$D,'P&amp;G-SL'!$C9,
'i-sales'!$G:$G,'P&amp;G-SL'!$A9,
'i-sales'!$H:$H,'P&amp;G-SL'!$B9
)</f>
        <v>0</v>
      </c>
      <c r="S9" s="30">
        <f>SUMIFS('i-sales'!$K:$K,
'i-sales'!$C:$C,'P&amp;G-SL'!S$1,
'i-sales'!$D:$D,'P&amp;G-SL'!$C9,
'i-sales'!$G:$G,'P&amp;G-SL'!$A9,
'i-sales'!$H:$H,'P&amp;G-SL'!$B9
)</f>
        <v>0</v>
      </c>
      <c r="T9" s="30">
        <f>SUMIFS('i-sales'!$K:$K,
'i-sales'!$C:$C,'P&amp;G-SL'!T$1,
'i-sales'!$D:$D,'P&amp;G-SL'!$C9,
'i-sales'!$G:$G,'P&amp;G-SL'!$A9,
'i-sales'!$H:$H,'P&amp;G-SL'!$B9
)</f>
        <v>0</v>
      </c>
      <c r="U9" s="31">
        <f t="shared" si="2"/>
        <v>49210.51</v>
      </c>
      <c r="W9" s="341"/>
      <c r="Y9" s="310"/>
    </row>
    <row r="10" spans="1:25" outlineLevel="1" x14ac:dyDescent="0.3">
      <c r="A10">
        <v>0</v>
      </c>
      <c r="B10">
        <v>0</v>
      </c>
      <c r="C10" t="s">
        <v>24</v>
      </c>
      <c r="D10" s="3"/>
      <c r="E10" s="3" t="e" vm="5">
        <v>#VALUE!</v>
      </c>
      <c r="F10" s="371" t="s">
        <v>23</v>
      </c>
      <c r="G10" s="371"/>
      <c r="H10" s="371"/>
      <c r="I10" s="30">
        <f>SUMIFS('i-sales'!$K:$K,
'i-sales'!$C:$C,'P&amp;G-SL'!I$1,
'i-sales'!$D:$D,'P&amp;G-SL'!$C10,
'i-sales'!$G:$G,'P&amp;G-SL'!$A10,
'i-sales'!$H:$H,'P&amp;G-SL'!$B10
)</f>
        <v>5482.24</v>
      </c>
      <c r="J10" s="30">
        <f>SUMIFS('i-sales'!$K:$K,
'i-sales'!$C:$C,'P&amp;G-SL'!J$1,
'i-sales'!$D:$D,'P&amp;G-SL'!$C10,
'i-sales'!$G:$G,'P&amp;G-SL'!$A10,
'i-sales'!$H:$H,'P&amp;G-SL'!$B10
)</f>
        <v>6077.94</v>
      </c>
      <c r="K10" s="30">
        <f>SUMIFS('i-sales'!$K:$K,
'i-sales'!$C:$C,'P&amp;G-SL'!K$1,
'i-sales'!$D:$D,'P&amp;G-SL'!$C10,
'i-sales'!$G:$G,'P&amp;G-SL'!$A10,
'i-sales'!$H:$H,'P&amp;G-SL'!$B10
)</f>
        <v>3577.39</v>
      </c>
      <c r="L10" s="30">
        <f>SUMIFS('i-sales'!$K:$K,
'i-sales'!$C:$C,'P&amp;G-SL'!L$1,
'i-sales'!$D:$D,'P&amp;G-SL'!$C10,
'i-sales'!$G:$G,'P&amp;G-SL'!$A10,
'i-sales'!$H:$H,'P&amp;G-SL'!$B10
)</f>
        <v>0</v>
      </c>
      <c r="M10" s="30">
        <f>SUMIFS('i-sales'!$K:$K,
'i-sales'!$C:$C,'P&amp;G-SL'!M$1,
'i-sales'!$D:$D,'P&amp;G-SL'!$C10,
'i-sales'!$G:$G,'P&amp;G-SL'!$A10,
'i-sales'!$H:$H,'P&amp;G-SL'!$B10
)</f>
        <v>0</v>
      </c>
      <c r="N10" s="30">
        <f>SUMIFS('i-sales'!$K:$K,
'i-sales'!$C:$C,'P&amp;G-SL'!N$1,
'i-sales'!$D:$D,'P&amp;G-SL'!$C10,
'i-sales'!$G:$G,'P&amp;G-SL'!$A10,
'i-sales'!$H:$H,'P&amp;G-SL'!$B10
)</f>
        <v>0</v>
      </c>
      <c r="O10" s="30">
        <f>SUMIFS('i-sales'!$K:$K,
'i-sales'!$C:$C,'P&amp;G-SL'!O$1,
'i-sales'!$D:$D,'P&amp;G-SL'!$C10,
'i-sales'!$G:$G,'P&amp;G-SL'!$A10,
'i-sales'!$H:$H,'P&amp;G-SL'!$B10
)</f>
        <v>0</v>
      </c>
      <c r="P10" s="30">
        <f>SUMIFS('i-sales'!$K:$K,
'i-sales'!$C:$C,'P&amp;G-SL'!P$1,
'i-sales'!$D:$D,'P&amp;G-SL'!$C10,
'i-sales'!$G:$G,'P&amp;G-SL'!$A10,
'i-sales'!$H:$H,'P&amp;G-SL'!$B10
)</f>
        <v>0</v>
      </c>
      <c r="Q10" s="30">
        <f>SUMIFS('i-sales'!$K:$K,
'i-sales'!$C:$C,'P&amp;G-SL'!Q$1,
'i-sales'!$D:$D,'P&amp;G-SL'!$C10,
'i-sales'!$G:$G,'P&amp;G-SL'!$A10,
'i-sales'!$H:$H,'P&amp;G-SL'!$B10
)</f>
        <v>0</v>
      </c>
      <c r="R10" s="30">
        <f>SUMIFS('i-sales'!$K:$K,
'i-sales'!$C:$C,'P&amp;G-SL'!R$1,
'i-sales'!$D:$D,'P&amp;G-SL'!$C10,
'i-sales'!$G:$G,'P&amp;G-SL'!$A10,
'i-sales'!$H:$H,'P&amp;G-SL'!$B10
)</f>
        <v>0</v>
      </c>
      <c r="S10" s="30">
        <f>SUMIFS('i-sales'!$K:$K,
'i-sales'!$C:$C,'P&amp;G-SL'!S$1,
'i-sales'!$D:$D,'P&amp;G-SL'!$C10,
'i-sales'!$G:$G,'P&amp;G-SL'!$A10,
'i-sales'!$H:$H,'P&amp;G-SL'!$B10
)</f>
        <v>0</v>
      </c>
      <c r="T10" s="30">
        <f>SUMIFS('i-sales'!$K:$K,
'i-sales'!$C:$C,'P&amp;G-SL'!T$1,
'i-sales'!$D:$D,'P&amp;G-SL'!$C10,
'i-sales'!$G:$G,'P&amp;G-SL'!$A10,
'i-sales'!$H:$H,'P&amp;G-SL'!$B10
)</f>
        <v>0</v>
      </c>
      <c r="U10" s="31">
        <f>SUM(I10:T10)</f>
        <v>15137.57</v>
      </c>
      <c r="W10" s="341"/>
      <c r="X10" s="276"/>
    </row>
    <row r="11" spans="1:25" outlineLevel="1" x14ac:dyDescent="0.3">
      <c r="A11">
        <v>0</v>
      </c>
      <c r="B11">
        <v>0</v>
      </c>
      <c r="C11" t="s">
        <v>28</v>
      </c>
      <c r="D11" s="3"/>
      <c r="E11" s="3" t="e" vm="7">
        <v>#VALUE!</v>
      </c>
      <c r="F11" s="371" t="s">
        <v>27</v>
      </c>
      <c r="G11" s="371"/>
      <c r="H11" s="371"/>
      <c r="I11" s="30">
        <f>SUMIFS('i-sales'!$K:$K,
'i-sales'!$C:$C,'P&amp;G-SL'!I$1,
'i-sales'!$D:$D,'P&amp;G-SL'!$C11,
'i-sales'!$G:$G,'P&amp;G-SL'!$A11,
'i-sales'!$H:$H,'P&amp;G-SL'!$B11
)</f>
        <v>422.71</v>
      </c>
      <c r="J11" s="30">
        <f>SUMIFS('i-sales'!$K:$K,
'i-sales'!$C:$C,'P&amp;G-SL'!J$1,
'i-sales'!$D:$D,'P&amp;G-SL'!$C11,
'i-sales'!$G:$G,'P&amp;G-SL'!$A11,
'i-sales'!$H:$H,'P&amp;G-SL'!$B11
)</f>
        <v>998.68</v>
      </c>
      <c r="K11" s="30">
        <f>SUMIFS('i-sales'!$K:$K,
'i-sales'!$C:$C,'P&amp;G-SL'!K$1,
'i-sales'!$D:$D,'P&amp;G-SL'!$C11,
'i-sales'!$G:$G,'P&amp;G-SL'!$A11,
'i-sales'!$H:$H,'P&amp;G-SL'!$B11
)</f>
        <v>26.36</v>
      </c>
      <c r="L11" s="30">
        <f>SUMIFS('i-sales'!$K:$K,
'i-sales'!$C:$C,'P&amp;G-SL'!L$1,
'i-sales'!$D:$D,'P&amp;G-SL'!$C11,
'i-sales'!$G:$G,'P&amp;G-SL'!$A11,
'i-sales'!$H:$H,'P&amp;G-SL'!$B11
)</f>
        <v>0</v>
      </c>
      <c r="M11" s="30">
        <f>SUMIFS('i-sales'!$K:$K,
'i-sales'!$C:$C,'P&amp;G-SL'!M$1,
'i-sales'!$D:$D,'P&amp;G-SL'!$C11,
'i-sales'!$G:$G,'P&amp;G-SL'!$A11,
'i-sales'!$H:$H,'P&amp;G-SL'!$B11
)</f>
        <v>0</v>
      </c>
      <c r="N11" s="30">
        <f>SUMIFS('i-sales'!$K:$K,
'i-sales'!$C:$C,'P&amp;G-SL'!N$1,
'i-sales'!$D:$D,'P&amp;G-SL'!$C11,
'i-sales'!$G:$G,'P&amp;G-SL'!$A11,
'i-sales'!$H:$H,'P&amp;G-SL'!$B11
)</f>
        <v>0</v>
      </c>
      <c r="O11" s="30">
        <f>SUMIFS('i-sales'!$K:$K,
'i-sales'!$C:$C,'P&amp;G-SL'!O$1,
'i-sales'!$D:$D,'P&amp;G-SL'!$C11,
'i-sales'!$G:$G,'P&amp;G-SL'!$A11,
'i-sales'!$H:$H,'P&amp;G-SL'!$B11
)</f>
        <v>0</v>
      </c>
      <c r="P11" s="30">
        <f>SUMIFS('i-sales'!$K:$K,
'i-sales'!$C:$C,'P&amp;G-SL'!P$1,
'i-sales'!$D:$D,'P&amp;G-SL'!$C11,
'i-sales'!$G:$G,'P&amp;G-SL'!$A11,
'i-sales'!$H:$H,'P&amp;G-SL'!$B11
)</f>
        <v>0</v>
      </c>
      <c r="Q11" s="30">
        <f>SUMIFS('i-sales'!$K:$K,
'i-sales'!$C:$C,'P&amp;G-SL'!Q$1,
'i-sales'!$D:$D,'P&amp;G-SL'!$C11,
'i-sales'!$G:$G,'P&amp;G-SL'!$A11,
'i-sales'!$H:$H,'P&amp;G-SL'!$B11
)</f>
        <v>0</v>
      </c>
      <c r="R11" s="30">
        <f>SUMIFS('i-sales'!$K:$K,
'i-sales'!$C:$C,'P&amp;G-SL'!R$1,
'i-sales'!$D:$D,'P&amp;G-SL'!$C11,
'i-sales'!$G:$G,'P&amp;G-SL'!$A11,
'i-sales'!$H:$H,'P&amp;G-SL'!$B11
)</f>
        <v>0</v>
      </c>
      <c r="S11" s="30">
        <f>SUMIFS('i-sales'!$K:$K,
'i-sales'!$C:$C,'P&amp;G-SL'!S$1,
'i-sales'!$D:$D,'P&amp;G-SL'!$C11,
'i-sales'!$G:$G,'P&amp;G-SL'!$A11,
'i-sales'!$H:$H,'P&amp;G-SL'!$B11
)</f>
        <v>0</v>
      </c>
      <c r="T11" s="30">
        <f>SUMIFS('i-sales'!$K:$K,
'i-sales'!$C:$C,'P&amp;G-SL'!T$1,
'i-sales'!$D:$D,'P&amp;G-SL'!$C11,
'i-sales'!$G:$G,'P&amp;G-SL'!$A11,
'i-sales'!$H:$H,'P&amp;G-SL'!$B11
)</f>
        <v>0</v>
      </c>
      <c r="U11" s="31">
        <f>SUM(I11:T11)</f>
        <v>1447.7499999999998</v>
      </c>
      <c r="W11" s="341"/>
      <c r="X11" s="341"/>
    </row>
    <row r="12" spans="1:25" outlineLevel="1" x14ac:dyDescent="0.3">
      <c r="A12">
        <v>0</v>
      </c>
      <c r="B12">
        <v>0</v>
      </c>
      <c r="C12" t="s">
        <v>26</v>
      </c>
      <c r="D12" s="3"/>
      <c r="E12" s="3" t="e" vm="6">
        <v>#VALUE!</v>
      </c>
      <c r="F12" s="371" t="s">
        <v>25</v>
      </c>
      <c r="G12" s="371"/>
      <c r="H12" s="371"/>
      <c r="I12" s="30">
        <f>SUMIFS('i-sales'!$K:$K,
'i-sales'!$C:$C,'P&amp;G-SL'!I$1,
'i-sales'!$D:$D,'P&amp;G-SL'!$C12,
'i-sales'!$G:$G,'P&amp;G-SL'!$A12,
'i-sales'!$H:$H,'P&amp;G-SL'!$B12
)</f>
        <v>115.58</v>
      </c>
      <c r="J12" s="30">
        <f>SUMIFS('i-sales'!$K:$K,
'i-sales'!$C:$C,'P&amp;G-SL'!J$1,
'i-sales'!$D:$D,'P&amp;G-SL'!$C12,
'i-sales'!$G:$G,'P&amp;G-SL'!$A12,
'i-sales'!$H:$H,'P&amp;G-SL'!$B12
)</f>
        <v>175.87</v>
      </c>
      <c r="K12" s="30">
        <f>SUMIFS('i-sales'!$K:$K,
'i-sales'!$C:$C,'P&amp;G-SL'!K$1,
'i-sales'!$D:$D,'P&amp;G-SL'!$C12,
'i-sales'!$G:$G,'P&amp;G-SL'!$A12,
'i-sales'!$H:$H,'P&amp;G-SL'!$B12
)</f>
        <v>39.590000000000003</v>
      </c>
      <c r="L12" s="30">
        <f>SUMIFS('i-sales'!$K:$K,
'i-sales'!$C:$C,'P&amp;G-SL'!L$1,
'i-sales'!$D:$D,'P&amp;G-SL'!$C12,
'i-sales'!$G:$G,'P&amp;G-SL'!$A12,
'i-sales'!$H:$H,'P&amp;G-SL'!$B12
)</f>
        <v>0</v>
      </c>
      <c r="M12" s="30">
        <f>SUMIFS('i-sales'!$K:$K,
'i-sales'!$C:$C,'P&amp;G-SL'!M$1,
'i-sales'!$D:$D,'P&amp;G-SL'!$C12,
'i-sales'!$G:$G,'P&amp;G-SL'!$A12,
'i-sales'!$H:$H,'P&amp;G-SL'!$B12
)</f>
        <v>0</v>
      </c>
      <c r="N12" s="30">
        <f>SUMIFS('i-sales'!$K:$K,
'i-sales'!$C:$C,'P&amp;G-SL'!N$1,
'i-sales'!$D:$D,'P&amp;G-SL'!$C12,
'i-sales'!$G:$G,'P&amp;G-SL'!$A12,
'i-sales'!$H:$H,'P&amp;G-SL'!$B12
)</f>
        <v>0</v>
      </c>
      <c r="O12" s="30">
        <f>SUMIFS('i-sales'!$K:$K,
'i-sales'!$C:$C,'P&amp;G-SL'!O$1,
'i-sales'!$D:$D,'P&amp;G-SL'!$C12,
'i-sales'!$G:$G,'P&amp;G-SL'!$A12,
'i-sales'!$H:$H,'P&amp;G-SL'!$B12
)</f>
        <v>0</v>
      </c>
      <c r="P12" s="30">
        <f>SUMIFS('i-sales'!$K:$K,
'i-sales'!$C:$C,'P&amp;G-SL'!P$1,
'i-sales'!$D:$D,'P&amp;G-SL'!$C12,
'i-sales'!$G:$G,'P&amp;G-SL'!$A12,
'i-sales'!$H:$H,'P&amp;G-SL'!$B12
)</f>
        <v>0</v>
      </c>
      <c r="Q12" s="30">
        <f>SUMIFS('i-sales'!$K:$K,
'i-sales'!$C:$C,'P&amp;G-SL'!Q$1,
'i-sales'!$D:$D,'P&amp;G-SL'!$C12,
'i-sales'!$G:$G,'P&amp;G-SL'!$A12,
'i-sales'!$H:$H,'P&amp;G-SL'!$B12
)</f>
        <v>0</v>
      </c>
      <c r="R12" s="30">
        <f>SUMIFS('i-sales'!$K:$K,
'i-sales'!$C:$C,'P&amp;G-SL'!R$1,
'i-sales'!$D:$D,'P&amp;G-SL'!$C12,
'i-sales'!$G:$G,'P&amp;G-SL'!$A12,
'i-sales'!$H:$H,'P&amp;G-SL'!$B12
)</f>
        <v>0</v>
      </c>
      <c r="S12" s="30">
        <f>SUMIFS('i-sales'!$K:$K,
'i-sales'!$C:$C,'P&amp;G-SL'!S$1,
'i-sales'!$D:$D,'P&amp;G-SL'!$C12,
'i-sales'!$G:$G,'P&amp;G-SL'!$A12,
'i-sales'!$H:$H,'P&amp;G-SL'!$B12
)</f>
        <v>0</v>
      </c>
      <c r="T12" s="30">
        <f>SUMIFS('i-sales'!$K:$K,
'i-sales'!$C:$C,'P&amp;G-SL'!T$1,
'i-sales'!$D:$D,'P&amp;G-SL'!$C12,
'i-sales'!$G:$G,'P&amp;G-SL'!$A12,
'i-sales'!$H:$H,'P&amp;G-SL'!$B12
)</f>
        <v>0</v>
      </c>
      <c r="U12" s="31">
        <f t="shared" si="2"/>
        <v>331.03999999999996</v>
      </c>
      <c r="X12" s="276"/>
    </row>
    <row r="13" spans="1:25" outlineLevel="1" x14ac:dyDescent="0.3">
      <c r="A13">
        <v>0</v>
      </c>
      <c r="B13">
        <v>0</v>
      </c>
      <c r="C13" t="s">
        <v>30</v>
      </c>
      <c r="D13" s="3"/>
      <c r="E13" s="3" t="e" vm="8">
        <v>#VALUE!</v>
      </c>
      <c r="F13" s="371" t="s">
        <v>29</v>
      </c>
      <c r="G13" s="371"/>
      <c r="H13" s="371"/>
      <c r="I13" s="30">
        <f>SUMIFS('i-sales'!$K:$K,
'i-sales'!$C:$C,'P&amp;G-SL'!I$1,
'i-sales'!$D:$D,'P&amp;G-SL'!$C13,
'i-sales'!$G:$G,'P&amp;G-SL'!$A13,
'i-sales'!$H:$H,'P&amp;G-SL'!$B13
)</f>
        <v>729.31</v>
      </c>
      <c r="J13" s="30">
        <f>SUMIFS('i-sales'!$K:$K,
'i-sales'!$C:$C,'P&amp;G-SL'!J$1,
'i-sales'!$D:$D,'P&amp;G-SL'!$C13,
'i-sales'!$G:$G,'P&amp;G-SL'!$A13,
'i-sales'!$H:$H,'P&amp;G-SL'!$B13
)</f>
        <v>1281.5</v>
      </c>
      <c r="K13" s="30">
        <f>SUMIFS('i-sales'!$K:$K,
'i-sales'!$C:$C,'P&amp;G-SL'!K$1,
'i-sales'!$D:$D,'P&amp;G-SL'!$C13,
'i-sales'!$G:$G,'P&amp;G-SL'!$A13,
'i-sales'!$H:$H,'P&amp;G-SL'!$B13
)</f>
        <v>0</v>
      </c>
      <c r="L13" s="30">
        <f>SUMIFS('i-sales'!$K:$K,
'i-sales'!$C:$C,'P&amp;G-SL'!L$1,
'i-sales'!$D:$D,'P&amp;G-SL'!$C13,
'i-sales'!$G:$G,'P&amp;G-SL'!$A13,
'i-sales'!$H:$H,'P&amp;G-SL'!$B13
)</f>
        <v>0</v>
      </c>
      <c r="M13" s="30">
        <f>SUMIFS('i-sales'!$K:$K,
'i-sales'!$C:$C,'P&amp;G-SL'!M$1,
'i-sales'!$D:$D,'P&amp;G-SL'!$C13,
'i-sales'!$G:$G,'P&amp;G-SL'!$A13,
'i-sales'!$H:$H,'P&amp;G-SL'!$B13
)</f>
        <v>0</v>
      </c>
      <c r="N13" s="30">
        <f>SUMIFS('i-sales'!$K:$K,
'i-sales'!$C:$C,'P&amp;G-SL'!N$1,
'i-sales'!$D:$D,'P&amp;G-SL'!$C13,
'i-sales'!$G:$G,'P&amp;G-SL'!$A13,
'i-sales'!$H:$H,'P&amp;G-SL'!$B13
)</f>
        <v>0</v>
      </c>
      <c r="O13" s="30">
        <f>SUMIFS('i-sales'!$K:$K,
'i-sales'!$C:$C,'P&amp;G-SL'!O$1,
'i-sales'!$D:$D,'P&amp;G-SL'!$C13,
'i-sales'!$G:$G,'P&amp;G-SL'!$A13,
'i-sales'!$H:$H,'P&amp;G-SL'!$B13
)</f>
        <v>0</v>
      </c>
      <c r="P13" s="30">
        <f>SUMIFS('i-sales'!$K:$K,
'i-sales'!$C:$C,'P&amp;G-SL'!P$1,
'i-sales'!$D:$D,'P&amp;G-SL'!$C13,
'i-sales'!$G:$G,'P&amp;G-SL'!$A13,
'i-sales'!$H:$H,'P&amp;G-SL'!$B13
)</f>
        <v>0</v>
      </c>
      <c r="Q13" s="30">
        <f>SUMIFS('i-sales'!$K:$K,
'i-sales'!$C:$C,'P&amp;G-SL'!Q$1,
'i-sales'!$D:$D,'P&amp;G-SL'!$C13,
'i-sales'!$G:$G,'P&amp;G-SL'!$A13,
'i-sales'!$H:$H,'P&amp;G-SL'!$B13
)</f>
        <v>0</v>
      </c>
      <c r="R13" s="30">
        <f>SUMIFS('i-sales'!$K:$K,
'i-sales'!$C:$C,'P&amp;G-SL'!R$1,
'i-sales'!$D:$D,'P&amp;G-SL'!$C13,
'i-sales'!$G:$G,'P&amp;G-SL'!$A13,
'i-sales'!$H:$H,'P&amp;G-SL'!$B13
)</f>
        <v>0</v>
      </c>
      <c r="S13" s="30">
        <f>SUMIFS('i-sales'!$K:$K,
'i-sales'!$C:$C,'P&amp;G-SL'!S$1,
'i-sales'!$D:$D,'P&amp;G-SL'!$C13,
'i-sales'!$G:$G,'P&amp;G-SL'!$A13,
'i-sales'!$H:$H,'P&amp;G-SL'!$B13
)</f>
        <v>0</v>
      </c>
      <c r="T13" s="30">
        <f>SUMIFS('i-sales'!$K:$K,
'i-sales'!$C:$C,'P&amp;G-SL'!T$1,
'i-sales'!$D:$D,'P&amp;G-SL'!$C13,
'i-sales'!$G:$G,'P&amp;G-SL'!$A13,
'i-sales'!$H:$H,'P&amp;G-SL'!$B13
)</f>
        <v>0</v>
      </c>
      <c r="U13" s="31">
        <f t="shared" si="2"/>
        <v>2010.81</v>
      </c>
    </row>
    <row r="14" spans="1:25" outlineLevel="1" x14ac:dyDescent="0.3">
      <c r="A14">
        <v>0</v>
      </c>
      <c r="B14">
        <v>0</v>
      </c>
      <c r="C14" t="s">
        <v>32</v>
      </c>
      <c r="D14" s="3"/>
      <c r="E14" s="3" t="e" vm="9">
        <v>#VALUE!</v>
      </c>
      <c r="F14" s="371" t="s">
        <v>31</v>
      </c>
      <c r="G14" s="371"/>
      <c r="H14" s="371"/>
      <c r="I14" s="30">
        <f>SUMIFS('i-sales'!$K:$K,
'i-sales'!$C:$C,'P&amp;G-SL'!I$1,
'i-sales'!$D:$D,'P&amp;G-SL'!$C14,
'i-sales'!$G:$G,'P&amp;G-SL'!$A14,
'i-sales'!$H:$H,'P&amp;G-SL'!$B14
)</f>
        <v>691.19</v>
      </c>
      <c r="J14" s="30">
        <f>SUMIFS('i-sales'!$K:$K,
'i-sales'!$C:$C,'P&amp;G-SL'!J$1,
'i-sales'!$D:$D,'P&amp;G-SL'!$C14,
'i-sales'!$G:$G,'P&amp;G-SL'!$A14,
'i-sales'!$H:$H,'P&amp;G-SL'!$B14
)</f>
        <v>264.48</v>
      </c>
      <c r="K14" s="30">
        <f>SUMIFS('i-sales'!$K:$K,
'i-sales'!$C:$C,'P&amp;G-SL'!K$1,
'i-sales'!$D:$D,'P&amp;G-SL'!$C14,
'i-sales'!$G:$G,'P&amp;G-SL'!$A14,
'i-sales'!$H:$H,'P&amp;G-SL'!$B14
)</f>
        <v>227.22</v>
      </c>
      <c r="L14" s="30">
        <f>SUMIFS('i-sales'!$K:$K,
'i-sales'!$C:$C,'P&amp;G-SL'!L$1,
'i-sales'!$D:$D,'P&amp;G-SL'!$C14,
'i-sales'!$G:$G,'P&amp;G-SL'!$A14,
'i-sales'!$H:$H,'P&amp;G-SL'!$B14
)</f>
        <v>0</v>
      </c>
      <c r="M14" s="30">
        <f>SUMIFS('i-sales'!$K:$K,
'i-sales'!$C:$C,'P&amp;G-SL'!M$1,
'i-sales'!$D:$D,'P&amp;G-SL'!$C14,
'i-sales'!$G:$G,'P&amp;G-SL'!$A14,
'i-sales'!$H:$H,'P&amp;G-SL'!$B14
)</f>
        <v>0</v>
      </c>
      <c r="N14" s="30">
        <f>SUMIFS('i-sales'!$K:$K,
'i-sales'!$C:$C,'P&amp;G-SL'!N$1,
'i-sales'!$D:$D,'P&amp;G-SL'!$C14,
'i-sales'!$G:$G,'P&amp;G-SL'!$A14,
'i-sales'!$H:$H,'P&amp;G-SL'!$B14
)</f>
        <v>0</v>
      </c>
      <c r="O14" s="30">
        <f>SUMIFS('i-sales'!$K:$K,
'i-sales'!$C:$C,'P&amp;G-SL'!O$1,
'i-sales'!$D:$D,'P&amp;G-SL'!$C14,
'i-sales'!$G:$G,'P&amp;G-SL'!$A14,
'i-sales'!$H:$H,'P&amp;G-SL'!$B14
)</f>
        <v>0</v>
      </c>
      <c r="P14" s="30">
        <f>SUMIFS('i-sales'!$K:$K,
'i-sales'!$C:$C,'P&amp;G-SL'!P$1,
'i-sales'!$D:$D,'P&amp;G-SL'!$C14,
'i-sales'!$G:$G,'P&amp;G-SL'!$A14,
'i-sales'!$H:$H,'P&amp;G-SL'!$B14
)</f>
        <v>0</v>
      </c>
      <c r="Q14" s="30">
        <f>SUMIFS('i-sales'!$K:$K,
'i-sales'!$C:$C,'P&amp;G-SL'!Q$1,
'i-sales'!$D:$D,'P&amp;G-SL'!$C14,
'i-sales'!$G:$G,'P&amp;G-SL'!$A14,
'i-sales'!$H:$H,'P&amp;G-SL'!$B14
)</f>
        <v>0</v>
      </c>
      <c r="R14" s="30">
        <f>SUMIFS('i-sales'!$K:$K,
'i-sales'!$C:$C,'P&amp;G-SL'!R$1,
'i-sales'!$D:$D,'P&amp;G-SL'!$C14,
'i-sales'!$G:$G,'P&amp;G-SL'!$A14,
'i-sales'!$H:$H,'P&amp;G-SL'!$B14
)</f>
        <v>0</v>
      </c>
      <c r="S14" s="30">
        <f>SUMIFS('i-sales'!$K:$K,
'i-sales'!$C:$C,'P&amp;G-SL'!S$1,
'i-sales'!$D:$D,'P&amp;G-SL'!$C14,
'i-sales'!$G:$G,'P&amp;G-SL'!$A14,
'i-sales'!$H:$H,'P&amp;G-SL'!$B14
)</f>
        <v>0</v>
      </c>
      <c r="T14" s="30">
        <f>SUMIFS('i-sales'!$K:$K,
'i-sales'!$C:$C,'P&amp;G-SL'!T$1,
'i-sales'!$D:$D,'P&amp;G-SL'!$C14,
'i-sales'!$G:$G,'P&amp;G-SL'!$A14,
'i-sales'!$H:$H,'P&amp;G-SL'!$B14
)</f>
        <v>0</v>
      </c>
      <c r="U14" s="31">
        <f t="shared" si="2"/>
        <v>1182.8900000000001</v>
      </c>
    </row>
    <row r="15" spans="1:25" outlineLevel="1" x14ac:dyDescent="0.3">
      <c r="D15" s="3"/>
      <c r="E15" s="3"/>
      <c r="F15" s="284"/>
      <c r="G15" s="284"/>
      <c r="H15" s="284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1"/>
    </row>
    <row r="16" spans="1:25" x14ac:dyDescent="0.3">
      <c r="D16" s="3"/>
      <c r="E16" s="391" t="s">
        <v>10</v>
      </c>
      <c r="F16" s="391"/>
      <c r="G16" s="391"/>
      <c r="H16" s="391"/>
      <c r="I16" s="30">
        <f>SUM(I17:I19)</f>
        <v>1419.7</v>
      </c>
      <c r="J16" s="30">
        <f t="shared" ref="J16:T16" si="4">SUM(J17:J19)</f>
        <v>2875.02</v>
      </c>
      <c r="K16" s="30">
        <f t="shared" si="4"/>
        <v>15609.96</v>
      </c>
      <c r="L16" s="30">
        <f t="shared" si="4"/>
        <v>0</v>
      </c>
      <c r="M16" s="30">
        <f t="shared" si="4"/>
        <v>0</v>
      </c>
      <c r="N16" s="30">
        <f t="shared" si="4"/>
        <v>0</v>
      </c>
      <c r="O16" s="30">
        <f t="shared" si="4"/>
        <v>0</v>
      </c>
      <c r="P16" s="30">
        <f t="shared" si="4"/>
        <v>0</v>
      </c>
      <c r="Q16" s="30">
        <f t="shared" si="4"/>
        <v>0</v>
      </c>
      <c r="R16" s="30">
        <f t="shared" si="4"/>
        <v>0</v>
      </c>
      <c r="S16" s="30">
        <f t="shared" si="4"/>
        <v>0</v>
      </c>
      <c r="T16" s="30">
        <f t="shared" si="4"/>
        <v>0</v>
      </c>
      <c r="U16" s="31">
        <f t="shared" si="2"/>
        <v>19904.68</v>
      </c>
    </row>
    <row r="17" spans="4:24" outlineLevel="1" x14ac:dyDescent="0.3">
      <c r="D17" s="3"/>
      <c r="E17" s="314" t="s">
        <v>1471</v>
      </c>
      <c r="F17" s="293" t="s">
        <v>2</v>
      </c>
      <c r="G17" s="284"/>
      <c r="H17" s="284"/>
      <c r="I17" s="30">
        <f>SUMIFS(i_marketplaces_sl[[net]:[net]],i_marketplaces_sl[[yyyymm]:[yyyymm]],I$1,i_marketplaces_sl[[client_name]:[client_name]],$F17)</f>
        <v>1419.7</v>
      </c>
      <c r="J17" s="30">
        <f>SUMIFS(i_marketplaces_sl[[net]:[net]],i_marketplaces_sl[[yyyymm]:[yyyymm]],J$1,i_marketplaces_sl[[client_name]:[client_name]],$F17)</f>
        <v>1128.42</v>
      </c>
      <c r="K17" s="30">
        <f>SUMIFS(i_marketplaces_sl[[net]:[net]],i_marketplaces_sl[[yyyymm]:[yyyymm]],K$1,i_marketplaces_sl[[client_name]:[client_name]],$F17)</f>
        <v>0</v>
      </c>
      <c r="L17" s="30">
        <f>SUMIFS(i_marketplaces_sl[[net]:[net]],i_marketplaces_sl[[yyyymm]:[yyyymm]],L$1,i_marketplaces_sl[[client_name]:[client_name]],$F17)</f>
        <v>0</v>
      </c>
      <c r="M17" s="30">
        <f>SUMIFS(i_marketplaces_sl[[net]:[net]],i_marketplaces_sl[[yyyymm]:[yyyymm]],M$1,i_marketplaces_sl[[client_name]:[client_name]],$F17)</f>
        <v>0</v>
      </c>
      <c r="N17" s="30">
        <f>SUMIFS(i_marketplaces_sl[[net]:[net]],i_marketplaces_sl[[yyyymm]:[yyyymm]],N$1,i_marketplaces_sl[[client_name]:[client_name]],$F17)</f>
        <v>0</v>
      </c>
      <c r="O17" s="30">
        <f>SUMIFS(i_marketplaces_sl[[net]:[net]],i_marketplaces_sl[[yyyymm]:[yyyymm]],O$1,i_marketplaces_sl[[client_name]:[client_name]],$F17)</f>
        <v>0</v>
      </c>
      <c r="P17" s="30">
        <f>SUMIFS(i_marketplaces_sl[[net]:[net]],i_marketplaces_sl[[yyyymm]:[yyyymm]],P$1,i_marketplaces_sl[[client_name]:[client_name]],$F17)</f>
        <v>0</v>
      </c>
      <c r="Q17" s="30">
        <f>SUMIFS(i_marketplaces_sl[[net]:[net]],i_marketplaces_sl[[yyyymm]:[yyyymm]],Q$1,i_marketplaces_sl[[client_name]:[client_name]],$F17)</f>
        <v>0</v>
      </c>
      <c r="R17" s="30">
        <f>SUMIFS(i_marketplaces_sl[[net]:[net]],i_marketplaces_sl[[yyyymm]:[yyyymm]],R$1,i_marketplaces_sl[[client_name]:[client_name]],$F17)</f>
        <v>0</v>
      </c>
      <c r="S17" s="30">
        <f>SUMIFS(i_marketplaces_sl[[net]:[net]],i_marketplaces_sl[[yyyymm]:[yyyymm]],S$1,i_marketplaces_sl[[client_name]:[client_name]],$F17)</f>
        <v>0</v>
      </c>
      <c r="T17" s="30">
        <f>SUMIFS(i_marketplaces_sl[[net]:[net]],i_marketplaces_sl[[yyyymm]:[yyyymm]],T$1,i_marketplaces_sl[[client_name]:[client_name]],$F17)</f>
        <v>0</v>
      </c>
      <c r="U17" s="31">
        <f t="shared" si="2"/>
        <v>2548.12</v>
      </c>
    </row>
    <row r="18" spans="4:24" outlineLevel="1" x14ac:dyDescent="0.3">
      <c r="D18" s="3"/>
      <c r="E18" s="3" t="e" vm="3">
        <v>#VALUE!</v>
      </c>
      <c r="F18" s="293" t="s">
        <v>13</v>
      </c>
      <c r="G18" s="284"/>
      <c r="H18" s="284"/>
      <c r="I18" s="30">
        <f>SUMIFS(i_marketplaces_sl[[net]:[net]],i_marketplaces_sl[[yyyymm]:[yyyymm]],I$1,i_marketplaces_sl[[client_name]:[client_name]],$F18)</f>
        <v>0</v>
      </c>
      <c r="J18" s="30">
        <f>SUMIFS(i_marketplaces_sl[[net]:[net]],i_marketplaces_sl[[yyyymm]:[yyyymm]],J$1,i_marketplaces_sl[[client_name]:[client_name]],$F18)</f>
        <v>0</v>
      </c>
      <c r="K18" s="30">
        <f>SUMIFS(i_marketplaces_sl[[net]:[net]],i_marketplaces_sl[[yyyymm]:[yyyymm]],K$1,i_marketplaces_sl[[client_name]:[client_name]],$F18)</f>
        <v>15609.96</v>
      </c>
      <c r="L18" s="30">
        <f>SUMIFS(i_marketplaces_sl[[net]:[net]],i_marketplaces_sl[[yyyymm]:[yyyymm]],L$1,i_marketplaces_sl[[client_name]:[client_name]],$F18)</f>
        <v>0</v>
      </c>
      <c r="M18" s="30">
        <f>SUMIFS(i_marketplaces_sl[[net]:[net]],i_marketplaces_sl[[yyyymm]:[yyyymm]],M$1,i_marketplaces_sl[[client_name]:[client_name]],$F18)</f>
        <v>0</v>
      </c>
      <c r="N18" s="30">
        <f>SUMIFS(i_marketplaces_sl[[net]:[net]],i_marketplaces_sl[[yyyymm]:[yyyymm]],N$1,i_marketplaces_sl[[client_name]:[client_name]],$F18)</f>
        <v>0</v>
      </c>
      <c r="O18" s="30">
        <f>SUMIFS(i_marketplaces_sl[[net]:[net]],i_marketplaces_sl[[yyyymm]:[yyyymm]],O$1,i_marketplaces_sl[[client_name]:[client_name]],$F18)</f>
        <v>0</v>
      </c>
      <c r="P18" s="30">
        <f>SUMIFS(i_marketplaces_sl[[net]:[net]],i_marketplaces_sl[[yyyymm]:[yyyymm]],P$1,i_marketplaces_sl[[client_name]:[client_name]],$F18)</f>
        <v>0</v>
      </c>
      <c r="Q18" s="30">
        <f>SUMIFS(i_marketplaces_sl[[net]:[net]],i_marketplaces_sl[[yyyymm]:[yyyymm]],Q$1,i_marketplaces_sl[[client_name]:[client_name]],$F18)</f>
        <v>0</v>
      </c>
      <c r="R18" s="30">
        <f>SUMIFS(i_marketplaces_sl[[net]:[net]],i_marketplaces_sl[[yyyymm]:[yyyymm]],R$1,i_marketplaces_sl[[client_name]:[client_name]],$F18)</f>
        <v>0</v>
      </c>
      <c r="S18" s="30">
        <f>SUMIFS(i_marketplaces_sl[[net]:[net]],i_marketplaces_sl[[yyyymm]:[yyyymm]],S$1,i_marketplaces_sl[[client_name]:[client_name]],$F18)</f>
        <v>0</v>
      </c>
      <c r="T18" s="30">
        <f>SUMIFS(i_marketplaces_sl[[net]:[net]],i_marketplaces_sl[[yyyymm]:[yyyymm]],T$1,i_marketplaces_sl[[client_name]:[client_name]],$F18)</f>
        <v>0</v>
      </c>
      <c r="U18" s="31">
        <f t="shared" si="2"/>
        <v>15609.96</v>
      </c>
    </row>
    <row r="19" spans="4:24" outlineLevel="1" x14ac:dyDescent="0.3">
      <c r="D19" s="3"/>
      <c r="E19" s="3" t="e" vm="3">
        <v>#VALUE!</v>
      </c>
      <c r="F19" s="293" t="s">
        <v>1418</v>
      </c>
      <c r="G19" s="284"/>
      <c r="H19" s="284"/>
      <c r="I19" s="30">
        <f>SUMIFS(i_marketplaces_sl[[net]:[net]],i_marketplaces_sl[[yyyymm]:[yyyymm]],I$1,i_marketplaces_sl[[client_name]:[client_name]],$F19)</f>
        <v>0</v>
      </c>
      <c r="J19" s="30">
        <f>SUMIFS(i_marketplaces_sl[[net]:[net]],i_marketplaces_sl[[yyyymm]:[yyyymm]],J$1,i_marketplaces_sl[[client_name]:[client_name]],$F19)</f>
        <v>1746.6</v>
      </c>
      <c r="K19" s="30">
        <f>SUMIFS(i_marketplaces_sl[[net]:[net]],i_marketplaces_sl[[yyyymm]:[yyyymm]],K$1,i_marketplaces_sl[[client_name]:[client_name]],$F19)</f>
        <v>0</v>
      </c>
      <c r="L19" s="30">
        <f>SUMIFS(i_marketplaces_sl[[net]:[net]],i_marketplaces_sl[[yyyymm]:[yyyymm]],L$1,i_marketplaces_sl[[client_name]:[client_name]],$F19)</f>
        <v>0</v>
      </c>
      <c r="M19" s="30">
        <f>SUMIFS(i_marketplaces_sl[[net]:[net]],i_marketplaces_sl[[yyyymm]:[yyyymm]],M$1,i_marketplaces_sl[[client_name]:[client_name]],$F19)</f>
        <v>0</v>
      </c>
      <c r="N19" s="30">
        <f>SUMIFS(i_marketplaces_sl[[net]:[net]],i_marketplaces_sl[[yyyymm]:[yyyymm]],N$1,i_marketplaces_sl[[client_name]:[client_name]],$F19)</f>
        <v>0</v>
      </c>
      <c r="O19" s="30">
        <f>SUMIFS(i_marketplaces_sl[[net]:[net]],i_marketplaces_sl[[yyyymm]:[yyyymm]],O$1,i_marketplaces_sl[[client_name]:[client_name]],$F19)</f>
        <v>0</v>
      </c>
      <c r="P19" s="30">
        <f>SUMIFS(i_marketplaces_sl[[net]:[net]],i_marketplaces_sl[[yyyymm]:[yyyymm]],P$1,i_marketplaces_sl[[client_name]:[client_name]],$F19)</f>
        <v>0</v>
      </c>
      <c r="Q19" s="30">
        <f>SUMIFS(i_marketplaces_sl[[net]:[net]],i_marketplaces_sl[[yyyymm]:[yyyymm]],Q$1,i_marketplaces_sl[[client_name]:[client_name]],$F19)</f>
        <v>0</v>
      </c>
      <c r="R19" s="30">
        <f>SUMIFS(i_marketplaces_sl[[net]:[net]],i_marketplaces_sl[[yyyymm]:[yyyymm]],R$1,i_marketplaces_sl[[client_name]:[client_name]],$F19)</f>
        <v>0</v>
      </c>
      <c r="S19" s="30">
        <f>SUMIFS(i_marketplaces_sl[[net]:[net]],i_marketplaces_sl[[yyyymm]:[yyyymm]],S$1,i_marketplaces_sl[[client_name]:[client_name]],$F19)</f>
        <v>0</v>
      </c>
      <c r="T19" s="30">
        <f>SUMIFS(i_marketplaces_sl[[net]:[net]],i_marketplaces_sl[[yyyymm]:[yyyymm]],T$1,i_marketplaces_sl[[client_name]:[client_name]],$F19)</f>
        <v>0</v>
      </c>
      <c r="U19" s="31">
        <f t="shared" si="2"/>
        <v>1746.6</v>
      </c>
    </row>
    <row r="20" spans="4:24" outlineLevel="1" x14ac:dyDescent="0.3">
      <c r="D20" s="3"/>
      <c r="E20" s="293"/>
      <c r="F20" s="293"/>
      <c r="G20" s="284"/>
      <c r="H20" s="284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1"/>
    </row>
    <row r="21" spans="4:24" ht="14.4" customHeight="1" x14ac:dyDescent="0.3">
      <c r="D21" s="3"/>
      <c r="E21" s="391" t="s">
        <v>1541</v>
      </c>
      <c r="F21" s="391"/>
      <c r="G21" s="391"/>
      <c r="H21" s="391"/>
      <c r="I21" s="30">
        <f>SUMIFS(i_suplidos_sl[[net]:[net]],i_suplidos_sl[[yyyymm]:[yyyymm]],I$1)</f>
        <v>-2176.46</v>
      </c>
      <c r="J21" s="30">
        <f>SUMIFS(i_suplidos_sl[[net]:[net]],i_suplidos_sl[[yyyymm]:[yyyymm]],J$1)</f>
        <v>-522.54</v>
      </c>
      <c r="K21" s="30">
        <f>SUMIFS(i_suplidos_sl[[net]:[net]],i_suplidos_sl[[yyyymm]:[yyyymm]],K$1)</f>
        <v>0</v>
      </c>
      <c r="L21" s="30">
        <f>SUMIFS(i_suplidos_sl[[net]:[net]],i_suplidos_sl[[yyyymm]:[yyyymm]],L$1)</f>
        <v>0</v>
      </c>
      <c r="M21" s="30">
        <f>SUMIFS(i_suplidos_sl[[net]:[net]],i_suplidos_sl[[yyyymm]:[yyyymm]],M$1)</f>
        <v>0</v>
      </c>
      <c r="N21" s="30">
        <f>SUMIFS(i_suplidos_sl[[net]:[net]],i_suplidos_sl[[yyyymm]:[yyyymm]],N$1)</f>
        <v>0</v>
      </c>
      <c r="O21" s="30">
        <f>SUMIFS(i_suplidos_sl[[net]:[net]],i_suplidos_sl[[yyyymm]:[yyyymm]],O$1)</f>
        <v>0</v>
      </c>
      <c r="P21" s="30">
        <f>SUMIFS(i_suplidos_sl[[net]:[net]],i_suplidos_sl[[yyyymm]:[yyyymm]],P$1)</f>
        <v>0</v>
      </c>
      <c r="Q21" s="30">
        <f>SUMIFS(i_suplidos_sl[[net]:[net]],i_suplidos_sl[[yyyymm]:[yyyymm]],Q$1)</f>
        <v>0</v>
      </c>
      <c r="R21" s="30">
        <f>SUMIFS(i_suplidos_sl[[net]:[net]],i_suplidos_sl[[yyyymm]:[yyyymm]],R$1)</f>
        <v>0</v>
      </c>
      <c r="S21" s="30">
        <f>SUMIFS(i_suplidos_sl[[net]:[net]],i_suplidos_sl[[yyyymm]:[yyyymm]],S$1)</f>
        <v>0</v>
      </c>
      <c r="T21" s="30">
        <f>SUMIFS(i_suplidos_sl[[net]:[net]],i_suplidos_sl[[yyyymm]:[yyyymm]],T$1)</f>
        <v>0</v>
      </c>
      <c r="U21" s="31"/>
    </row>
    <row r="22" spans="4:24" outlineLevel="1" x14ac:dyDescent="0.3">
      <c r="D22" s="3"/>
      <c r="E22" s="293"/>
      <c r="F22" s="293"/>
      <c r="G22" s="325"/>
      <c r="H22" s="325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1"/>
    </row>
    <row r="23" spans="4:24" ht="14.4" customHeight="1" x14ac:dyDescent="0.3">
      <c r="D23" s="3"/>
      <c r="E23" s="391" t="s">
        <v>1452</v>
      </c>
      <c r="F23" s="391"/>
      <c r="G23" s="391"/>
      <c r="H23" s="391"/>
      <c r="I23" s="30">
        <f>SUMIFS(i_rapels_sl[[net]:[net]],i_rapels_sl[[yyyymm]:[yyyymm]],I$1)</f>
        <v>-1118.95</v>
      </c>
      <c r="J23" s="30">
        <f>SUMIFS(i_rapels_sl[[net]:[net]],i_rapels_sl[[yyyymm]:[yyyymm]],J$1)</f>
        <v>0</v>
      </c>
      <c r="K23" s="30">
        <f>SUMIFS(i_rapels_sl[[net]:[net]],i_rapels_sl[[yyyymm]:[yyyymm]],K$1)</f>
        <v>0</v>
      </c>
      <c r="L23" s="30">
        <f>SUMIFS(i_rapels_sl[[net]:[net]],i_rapels_sl[[yyyymm]:[yyyymm]],L$1)</f>
        <v>0</v>
      </c>
      <c r="M23" s="30">
        <f>SUMIFS(i_rapels_sl[[net]:[net]],i_rapels_sl[[yyyymm]:[yyyymm]],M$1)</f>
        <v>0</v>
      </c>
      <c r="N23" s="30">
        <f>SUMIFS(i_rapels_sl[[net]:[net]],i_rapels_sl[[yyyymm]:[yyyymm]],N$1)</f>
        <v>0</v>
      </c>
      <c r="O23" s="30">
        <f>SUMIFS(i_rapels_sl[[net]:[net]],i_rapels_sl[[yyyymm]:[yyyymm]],O$1)</f>
        <v>0</v>
      </c>
      <c r="P23" s="30">
        <f>SUMIFS(i_rapels_sl[[net]:[net]],i_rapels_sl[[yyyymm]:[yyyymm]],P$1)</f>
        <v>0</v>
      </c>
      <c r="Q23" s="30">
        <f>SUMIFS(i_rapels_sl[[net]:[net]],i_rapels_sl[[yyyymm]:[yyyymm]],Q$1)</f>
        <v>0</v>
      </c>
      <c r="R23" s="30">
        <f>SUMIFS(i_rapels_sl[[net]:[net]],i_rapels_sl[[yyyymm]:[yyyymm]],R$1)</f>
        <v>0</v>
      </c>
      <c r="S23" s="30">
        <f>SUMIFS(i_rapels_sl[[net]:[net]],i_rapels_sl[[yyyymm]:[yyyymm]],S$1)</f>
        <v>0</v>
      </c>
      <c r="T23" s="30">
        <f>SUMIFS(i_rapels_sl[[net]:[net]],i_rapels_sl[[yyyymm]:[yyyymm]],T$1)</f>
        <v>0</v>
      </c>
      <c r="U23" s="31">
        <f t="shared" si="2"/>
        <v>-1118.95</v>
      </c>
    </row>
    <row r="24" spans="4:24" outlineLevel="1" x14ac:dyDescent="0.3">
      <c r="D24" s="3"/>
      <c r="E24" s="293"/>
      <c r="F24" s="293"/>
      <c r="G24" s="284"/>
      <c r="H24" s="284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1"/>
    </row>
    <row r="25" spans="4:24" ht="14.4" customHeight="1" outlineLevel="1" x14ac:dyDescent="0.3">
      <c r="D25" s="3"/>
      <c r="E25" s="392" t="s">
        <v>1427</v>
      </c>
      <c r="F25" s="392"/>
      <c r="G25" s="392"/>
      <c r="H25" s="392"/>
      <c r="I25" s="298">
        <f>SUM(I26:I28)</f>
        <v>23.483436349746498</v>
      </c>
      <c r="J25" s="298">
        <f t="shared" ref="J25:T25" si="5">SUM(J26:J28)</f>
        <v>-152.16827386692384</v>
      </c>
      <c r="K25" s="298">
        <f t="shared" si="5"/>
        <v>0</v>
      </c>
      <c r="L25" s="298">
        <f t="shared" si="5"/>
        <v>0</v>
      </c>
      <c r="M25" s="298">
        <f t="shared" si="5"/>
        <v>0</v>
      </c>
      <c r="N25" s="298">
        <f t="shared" si="5"/>
        <v>0</v>
      </c>
      <c r="O25" s="298">
        <f t="shared" si="5"/>
        <v>0</v>
      </c>
      <c r="P25" s="298">
        <f t="shared" si="5"/>
        <v>0</v>
      </c>
      <c r="Q25" s="298">
        <f t="shared" si="5"/>
        <v>0</v>
      </c>
      <c r="R25" s="298">
        <f t="shared" si="5"/>
        <v>0</v>
      </c>
      <c r="S25" s="298">
        <f t="shared" si="5"/>
        <v>0</v>
      </c>
      <c r="T25" s="298">
        <f t="shared" si="5"/>
        <v>0</v>
      </c>
      <c r="U25" s="299">
        <f t="shared" si="2"/>
        <v>-128.68483751717736</v>
      </c>
    </row>
    <row r="26" spans="4:24" outlineLevel="1" x14ac:dyDescent="0.3">
      <c r="D26" s="3"/>
      <c r="E26" s="296"/>
      <c r="F26" s="296" t="s">
        <v>1463</v>
      </c>
      <c r="G26" s="297"/>
      <c r="H26" s="297"/>
      <c r="I26" s="298">
        <f>SUMIFS(i_adjustments_sl[[net]:[net]],i_adjustments_sl[[yyyymm]:[yyyymm]],I$1,i_adjustments_sl[[type]:[type]],$F26)</f>
        <v>-97.252100840336141</v>
      </c>
      <c r="J26" s="298">
        <f>SUMIFS(i_adjustments_sl[[net]:[net]],i_adjustments_sl[[yyyymm]:[yyyymm]],J$1,i_adjustments_sl[[type]:[type]],$F26)</f>
        <v>47.823529411764703</v>
      </c>
      <c r="K26" s="298">
        <f>SUMIFS(i_adjustments_sl[[net]:[net]],i_adjustments_sl[[yyyymm]:[yyyymm]],K$1,i_adjustments_sl[[type]:[type]],$F26)</f>
        <v>0</v>
      </c>
      <c r="L26" s="298">
        <f>SUMIFS(i_adjustments_sl[[net]:[net]],i_adjustments_sl[[yyyymm]:[yyyymm]],L$1,i_adjustments_sl[[type]:[type]],$F26)</f>
        <v>0</v>
      </c>
      <c r="M26" s="298">
        <f>SUMIFS(i_adjustments_sl[[net]:[net]],i_adjustments_sl[[yyyymm]:[yyyymm]],M$1,i_adjustments_sl[[type]:[type]],$F26)</f>
        <v>0</v>
      </c>
      <c r="N26" s="298">
        <f>SUMIFS(i_adjustments_sl[[net]:[net]],i_adjustments_sl[[yyyymm]:[yyyymm]],N$1,i_adjustments_sl[[type]:[type]],$F26)</f>
        <v>0</v>
      </c>
      <c r="O26" s="298">
        <f>SUMIFS(i_adjustments_sl[[net]:[net]],i_adjustments_sl[[yyyymm]:[yyyymm]],O$1,i_adjustments_sl[[type]:[type]],$F26)</f>
        <v>0</v>
      </c>
      <c r="P26" s="298">
        <f>SUMIFS(i_adjustments_sl[[net]:[net]],i_adjustments_sl[[yyyymm]:[yyyymm]],P$1,i_adjustments_sl[[type]:[type]],$F26)</f>
        <v>0</v>
      </c>
      <c r="Q26" s="298">
        <f>SUMIFS(i_adjustments_sl[[net]:[net]],i_adjustments_sl[[yyyymm]:[yyyymm]],Q$1,i_adjustments_sl[[type]:[type]],$F26)</f>
        <v>0</v>
      </c>
      <c r="R26" s="298">
        <f>SUMIFS(i_adjustments_sl[[net]:[net]],i_adjustments_sl[[yyyymm]:[yyyymm]],R$1,i_adjustments_sl[[type]:[type]],$F26)</f>
        <v>0</v>
      </c>
      <c r="S26" s="298">
        <f>SUMIFS(i_adjustments_sl[[net]:[net]],i_adjustments_sl[[yyyymm]:[yyyymm]],S$1,i_adjustments_sl[[type]:[type]],$F26)</f>
        <v>0</v>
      </c>
      <c r="T26" s="298">
        <f>SUMIFS(i_adjustments_sl[[net]:[net]],i_adjustments_sl[[yyyymm]:[yyyymm]],T$1,i_adjustments_sl[[type]:[type]],$F26)</f>
        <v>0</v>
      </c>
      <c r="U26" s="299">
        <f t="shared" si="2"/>
        <v>-49.428571428571438</v>
      </c>
    </row>
    <row r="27" spans="4:24" outlineLevel="1" x14ac:dyDescent="0.3">
      <c r="D27" s="3"/>
      <c r="E27" s="296"/>
      <c r="F27" s="296" t="s">
        <v>1464</v>
      </c>
      <c r="G27" s="297"/>
      <c r="H27" s="297"/>
      <c r="I27" s="298">
        <f>SUMIFS(i_adjustments_sl[[net]:[net]],i_adjustments_sl[[yyyymm]:[yyyymm]],I$1,i_adjustments_sl[[type]:[type]],$F27)</f>
        <v>120.73553719008264</v>
      </c>
      <c r="J27" s="298">
        <f>SUMIFS(i_adjustments_sl[[net]:[net]],i_adjustments_sl[[yyyymm]:[yyyymm]],J$1,i_adjustments_sl[[type]:[type]],$F27)</f>
        <v>-199.99180327868854</v>
      </c>
      <c r="K27" s="298">
        <f>SUMIFS(i_adjustments_sl[[net]:[net]],i_adjustments_sl[[yyyymm]:[yyyymm]],K$1,i_adjustments_sl[[type]:[type]],$F27)</f>
        <v>0</v>
      </c>
      <c r="L27" s="298">
        <f>SUMIFS(i_adjustments_sl[[net]:[net]],i_adjustments_sl[[yyyymm]:[yyyymm]],L$1,i_adjustments_sl[[type]:[type]],$F27)</f>
        <v>0</v>
      </c>
      <c r="M27" s="298">
        <f>SUMIFS(i_adjustments_sl[[net]:[net]],i_adjustments_sl[[yyyymm]:[yyyymm]],M$1,i_adjustments_sl[[type]:[type]],$F27)</f>
        <v>0</v>
      </c>
      <c r="N27" s="298">
        <f>SUMIFS(i_adjustments_sl[[net]:[net]],i_adjustments_sl[[yyyymm]:[yyyymm]],N$1,i_adjustments_sl[[type]:[type]],$F27)</f>
        <v>0</v>
      </c>
      <c r="O27" s="298">
        <f>SUMIFS(i_adjustments_sl[[net]:[net]],i_adjustments_sl[[yyyymm]:[yyyymm]],O$1,i_adjustments_sl[[type]:[type]],$F27)</f>
        <v>0</v>
      </c>
      <c r="P27" s="298">
        <f>SUMIFS(i_adjustments_sl[[net]:[net]],i_adjustments_sl[[yyyymm]:[yyyymm]],P$1,i_adjustments_sl[[type]:[type]],$F27)</f>
        <v>0</v>
      </c>
      <c r="Q27" s="298">
        <f>SUMIFS(i_adjustments_sl[[net]:[net]],i_adjustments_sl[[yyyymm]:[yyyymm]],Q$1,i_adjustments_sl[[type]:[type]],$F27)</f>
        <v>0</v>
      </c>
      <c r="R27" s="298">
        <f>SUMIFS(i_adjustments_sl[[net]:[net]],i_adjustments_sl[[yyyymm]:[yyyymm]],R$1,i_adjustments_sl[[type]:[type]],$F27)</f>
        <v>0</v>
      </c>
      <c r="S27" s="298">
        <f>SUMIFS(i_adjustments_sl[[net]:[net]],i_adjustments_sl[[yyyymm]:[yyyymm]],S$1,i_adjustments_sl[[type]:[type]],$F27)</f>
        <v>0</v>
      </c>
      <c r="T27" s="298">
        <f>SUMIFS(i_adjustments_sl[[net]:[net]],i_adjustments_sl[[yyyymm]:[yyyymm]],T$1,i_adjustments_sl[[type]:[type]],$F27)</f>
        <v>0</v>
      </c>
      <c r="U27" s="299">
        <f t="shared" si="2"/>
        <v>-79.256266088605898</v>
      </c>
    </row>
    <row r="28" spans="4:24" outlineLevel="1" x14ac:dyDescent="0.3">
      <c r="D28" s="3"/>
      <c r="E28" s="296"/>
      <c r="F28" s="296" t="s">
        <v>1419</v>
      </c>
      <c r="G28" s="297"/>
      <c r="H28" s="297"/>
      <c r="I28" s="298">
        <f>SUMIFS(i_adjustments_sl[[net]:[net]],i_adjustments_sl[[yyyymm]:[yyyymm]],I$1,i_adjustments_sl[[type]:[type]],$F28)</f>
        <v>0</v>
      </c>
      <c r="J28" s="298">
        <f>SUMIFS(i_adjustments_sl[[net]:[net]],i_adjustments_sl[[yyyymm]:[yyyymm]],J$1,i_adjustments_sl[[type]:[type]],$F28)</f>
        <v>0</v>
      </c>
      <c r="K28" s="298">
        <f>SUMIFS(i_adjustments_sl[[net]:[net]],i_adjustments_sl[[yyyymm]:[yyyymm]],K$1,i_adjustments_sl[[type]:[type]],$F28)</f>
        <v>0</v>
      </c>
      <c r="L28" s="298">
        <f>SUMIFS(i_adjustments_sl[[net]:[net]],i_adjustments_sl[[yyyymm]:[yyyymm]],L$1,i_adjustments_sl[[type]:[type]],$F28)</f>
        <v>0</v>
      </c>
      <c r="M28" s="298">
        <f>SUMIFS(i_adjustments_sl[[net]:[net]],i_adjustments_sl[[yyyymm]:[yyyymm]],M$1,i_adjustments_sl[[type]:[type]],$F28)</f>
        <v>0</v>
      </c>
      <c r="N28" s="298">
        <f>SUMIFS(i_adjustments_sl[[net]:[net]],i_adjustments_sl[[yyyymm]:[yyyymm]],N$1,i_adjustments_sl[[type]:[type]],$F28)</f>
        <v>0</v>
      </c>
      <c r="O28" s="298">
        <f>SUMIFS(i_adjustments_sl[[net]:[net]],i_adjustments_sl[[yyyymm]:[yyyymm]],O$1,i_adjustments_sl[[type]:[type]],$F28)</f>
        <v>0</v>
      </c>
      <c r="P28" s="298">
        <f>SUMIFS(i_adjustments_sl[[net]:[net]],i_adjustments_sl[[yyyymm]:[yyyymm]],P$1,i_adjustments_sl[[type]:[type]],$F28)</f>
        <v>0</v>
      </c>
      <c r="Q28" s="298">
        <f>SUMIFS(i_adjustments_sl[[net]:[net]],i_adjustments_sl[[yyyymm]:[yyyymm]],Q$1,i_adjustments_sl[[type]:[type]],$F28)</f>
        <v>0</v>
      </c>
      <c r="R28" s="298">
        <f>SUMIFS(i_adjustments_sl[[net]:[net]],i_adjustments_sl[[yyyymm]:[yyyymm]],R$1,i_adjustments_sl[[type]:[type]],$F28)</f>
        <v>0</v>
      </c>
      <c r="S28" s="298">
        <f>SUMIFS(i_adjustments_sl[[net]:[net]],i_adjustments_sl[[yyyymm]:[yyyymm]],S$1,i_adjustments_sl[[type]:[type]],$F28)</f>
        <v>0</v>
      </c>
      <c r="T28" s="298">
        <f>SUMIFS(i_adjustments_sl[[net]:[net]],i_adjustments_sl[[yyyymm]:[yyyymm]],T$1,i_adjustments_sl[[type]:[type]],$F28)</f>
        <v>0</v>
      </c>
      <c r="U28" s="299">
        <f t="shared" si="2"/>
        <v>0</v>
      </c>
      <c r="W28" s="307"/>
      <c r="X28" s="308"/>
    </row>
    <row r="29" spans="4:24" outlineLevel="1" x14ac:dyDescent="0.3">
      <c r="D29" s="343"/>
      <c r="E29" s="344"/>
      <c r="F29" s="344"/>
      <c r="G29" s="345"/>
      <c r="H29" s="345"/>
      <c r="I29" s="298"/>
      <c r="J29" s="298"/>
      <c r="K29" s="298"/>
      <c r="L29" s="298"/>
      <c r="M29" s="298"/>
      <c r="N29" s="298"/>
      <c r="O29" s="298"/>
      <c r="P29" s="298"/>
      <c r="Q29" s="298"/>
      <c r="R29" s="298"/>
      <c r="S29" s="298"/>
      <c r="T29" s="298"/>
      <c r="U29" s="299"/>
      <c r="W29" s="307"/>
      <c r="X29" s="308"/>
    </row>
    <row r="30" spans="4:24" x14ac:dyDescent="0.3">
      <c r="D30" s="393" t="s">
        <v>1565</v>
      </c>
      <c r="E30" s="393"/>
      <c r="F30" s="393"/>
      <c r="G30" s="393"/>
      <c r="H30" s="394"/>
      <c r="I30" s="30">
        <f>+I31</f>
        <v>20919.650000000001</v>
      </c>
      <c r="J30" s="30">
        <f t="shared" ref="J30:T30" si="6">+J31</f>
        <v>22722.52</v>
      </c>
      <c r="K30" s="30">
        <f t="shared" si="6"/>
        <v>0</v>
      </c>
      <c r="L30" s="30">
        <f t="shared" si="6"/>
        <v>0</v>
      </c>
      <c r="M30" s="30">
        <f t="shared" si="6"/>
        <v>0</v>
      </c>
      <c r="N30" s="30">
        <f t="shared" si="6"/>
        <v>0</v>
      </c>
      <c r="O30" s="30">
        <f t="shared" si="6"/>
        <v>0</v>
      </c>
      <c r="P30" s="30">
        <f t="shared" si="6"/>
        <v>0</v>
      </c>
      <c r="Q30" s="30">
        <f t="shared" si="6"/>
        <v>0</v>
      </c>
      <c r="R30" s="30">
        <f t="shared" si="6"/>
        <v>0</v>
      </c>
      <c r="S30" s="30">
        <f t="shared" si="6"/>
        <v>0</v>
      </c>
      <c r="T30" s="30">
        <f t="shared" si="6"/>
        <v>0</v>
      </c>
      <c r="U30" s="31">
        <f t="shared" si="2"/>
        <v>43642.17</v>
      </c>
      <c r="W30" s="307"/>
      <c r="X30" s="308"/>
    </row>
    <row r="31" spans="4:24" ht="14.4" customHeight="1" x14ac:dyDescent="0.3">
      <c r="D31" s="297"/>
      <c r="E31" s="391" t="s">
        <v>154</v>
      </c>
      <c r="F31" s="391"/>
      <c r="G31" s="391"/>
      <c r="H31" s="391"/>
      <c r="I31" s="30">
        <f>+I37+I45+I48</f>
        <v>20919.650000000001</v>
      </c>
      <c r="J31" s="30">
        <f>+J37+J45+J48</f>
        <v>22722.52</v>
      </c>
      <c r="K31" s="30">
        <f t="shared" ref="K31:T31" si="7">+K37+K45+K48</f>
        <v>0</v>
      </c>
      <c r="L31" s="30">
        <f t="shared" si="7"/>
        <v>0</v>
      </c>
      <c r="M31" s="30">
        <f t="shared" si="7"/>
        <v>0</v>
      </c>
      <c r="N31" s="30">
        <f t="shared" si="7"/>
        <v>0</v>
      </c>
      <c r="O31" s="30">
        <f t="shared" si="7"/>
        <v>0</v>
      </c>
      <c r="P31" s="30">
        <f t="shared" si="7"/>
        <v>0</v>
      </c>
      <c r="Q31" s="30">
        <f t="shared" si="7"/>
        <v>0</v>
      </c>
      <c r="R31" s="30">
        <f t="shared" si="7"/>
        <v>0</v>
      </c>
      <c r="S31" s="30">
        <f t="shared" si="7"/>
        <v>0</v>
      </c>
      <c r="T31" s="30">
        <f t="shared" si="7"/>
        <v>0</v>
      </c>
      <c r="U31" s="31">
        <f t="shared" si="2"/>
        <v>43642.17</v>
      </c>
      <c r="W31" s="307"/>
      <c r="X31" s="308"/>
    </row>
    <row r="32" spans="4:24" outlineLevel="1" x14ac:dyDescent="0.3">
      <c r="D32" s="297"/>
      <c r="E32" s="292" t="e" vm="11">
        <v>#VALUE!</v>
      </c>
      <c r="F32" s="296" t="s">
        <v>1426</v>
      </c>
      <c r="G32" s="297"/>
      <c r="H32" s="297"/>
      <c r="I32" s="298">
        <f ca="1">SUM(I33:I36)</f>
        <v>11560.245999999999</v>
      </c>
      <c r="J32" s="298">
        <f t="shared" ref="J32:T32" ca="1" si="8">SUM(J33:J36)</f>
        <v>13751.86332231405</v>
      </c>
      <c r="K32" s="298">
        <f t="shared" ca="1" si="8"/>
        <v>0</v>
      </c>
      <c r="L32" s="298">
        <f t="shared" ca="1" si="8"/>
        <v>0</v>
      </c>
      <c r="M32" s="298">
        <f t="shared" ca="1" si="8"/>
        <v>0</v>
      </c>
      <c r="N32" s="298">
        <f t="shared" ca="1" si="8"/>
        <v>0</v>
      </c>
      <c r="O32" s="298">
        <f t="shared" ca="1" si="8"/>
        <v>0</v>
      </c>
      <c r="P32" s="298">
        <f t="shared" ca="1" si="8"/>
        <v>0</v>
      </c>
      <c r="Q32" s="298">
        <f t="shared" ca="1" si="8"/>
        <v>0</v>
      </c>
      <c r="R32" s="298">
        <f t="shared" ca="1" si="8"/>
        <v>0</v>
      </c>
      <c r="S32" s="298">
        <f t="shared" ca="1" si="8"/>
        <v>0</v>
      </c>
      <c r="T32" s="298">
        <f t="shared" ca="1" si="8"/>
        <v>0</v>
      </c>
      <c r="U32" s="299">
        <f t="shared" ca="1" si="2"/>
        <v>25312.109322314049</v>
      </c>
      <c r="W32" s="307"/>
      <c r="X32" s="308"/>
    </row>
    <row r="33" spans="4:24" outlineLevel="1" x14ac:dyDescent="0.3">
      <c r="D33" s="297"/>
      <c r="E33" s="292"/>
      <c r="F33" s="296"/>
      <c r="G33" s="296" t="s">
        <v>1420</v>
      </c>
      <c r="H33" s="297"/>
      <c r="I33" s="302">
        <f>+I72</f>
        <v>1272</v>
      </c>
      <c r="J33" s="302">
        <f t="shared" ref="J33:T33" si="9">+J72</f>
        <v>1596</v>
      </c>
      <c r="K33" s="302">
        <f t="shared" si="9"/>
        <v>0</v>
      </c>
      <c r="L33" s="302">
        <f t="shared" si="9"/>
        <v>0</v>
      </c>
      <c r="M33" s="302">
        <f t="shared" si="9"/>
        <v>0</v>
      </c>
      <c r="N33" s="302">
        <f t="shared" si="9"/>
        <v>0</v>
      </c>
      <c r="O33" s="302">
        <f t="shared" si="9"/>
        <v>0</v>
      </c>
      <c r="P33" s="302">
        <f t="shared" si="9"/>
        <v>0</v>
      </c>
      <c r="Q33" s="302">
        <f t="shared" si="9"/>
        <v>0</v>
      </c>
      <c r="R33" s="302">
        <f t="shared" si="9"/>
        <v>0</v>
      </c>
      <c r="S33" s="302">
        <f t="shared" si="9"/>
        <v>0</v>
      </c>
      <c r="T33" s="302">
        <f t="shared" si="9"/>
        <v>0</v>
      </c>
      <c r="U33" s="299">
        <f t="shared" si="2"/>
        <v>2868</v>
      </c>
      <c r="W33" s="307"/>
      <c r="X33" s="308"/>
    </row>
    <row r="34" spans="4:24" outlineLevel="1" x14ac:dyDescent="0.3">
      <c r="D34" s="297"/>
      <c r="E34" s="292"/>
      <c r="F34" s="296"/>
      <c r="G34" s="296" t="s">
        <v>1421</v>
      </c>
      <c r="H34" s="297"/>
      <c r="I34" s="302">
        <f ca="1">+I109</f>
        <v>2946.3680000000004</v>
      </c>
      <c r="J34" s="302">
        <f t="shared" ref="J34:T34" ca="1" si="10">+J109</f>
        <v>2983.1360000000004</v>
      </c>
      <c r="K34" s="302">
        <f t="shared" ca="1" si="10"/>
        <v>0</v>
      </c>
      <c r="L34" s="302">
        <f t="shared" ca="1" si="10"/>
        <v>0</v>
      </c>
      <c r="M34" s="302">
        <f t="shared" ca="1" si="10"/>
        <v>0</v>
      </c>
      <c r="N34" s="302">
        <f t="shared" ca="1" si="10"/>
        <v>0</v>
      </c>
      <c r="O34" s="302">
        <f t="shared" ca="1" si="10"/>
        <v>0</v>
      </c>
      <c r="P34" s="302">
        <f t="shared" ca="1" si="10"/>
        <v>0</v>
      </c>
      <c r="Q34" s="302">
        <f t="shared" ca="1" si="10"/>
        <v>0</v>
      </c>
      <c r="R34" s="302">
        <f t="shared" ca="1" si="10"/>
        <v>0</v>
      </c>
      <c r="S34" s="302">
        <f t="shared" ca="1" si="10"/>
        <v>0</v>
      </c>
      <c r="T34" s="302">
        <f t="shared" ca="1" si="10"/>
        <v>0</v>
      </c>
      <c r="U34" s="299">
        <f t="shared" ca="1" si="2"/>
        <v>5929.5040000000008</v>
      </c>
      <c r="W34" s="307"/>
      <c r="X34" s="308"/>
    </row>
    <row r="35" spans="4:24" outlineLevel="1" x14ac:dyDescent="0.3">
      <c r="D35" s="297"/>
      <c r="E35" s="292"/>
      <c r="F35" s="296"/>
      <c r="G35" s="296" t="s">
        <v>1422</v>
      </c>
      <c r="H35" s="297"/>
      <c r="I35" s="302">
        <f ca="1">+I95</f>
        <v>6005.65</v>
      </c>
      <c r="J35" s="302">
        <f t="shared" ref="J35:T35" ca="1" si="11">+J95</f>
        <v>7802.34</v>
      </c>
      <c r="K35" s="302">
        <f t="shared" ca="1" si="11"/>
        <v>0</v>
      </c>
      <c r="L35" s="302">
        <f t="shared" ca="1" si="11"/>
        <v>0</v>
      </c>
      <c r="M35" s="302">
        <f t="shared" ca="1" si="11"/>
        <v>0</v>
      </c>
      <c r="N35" s="302">
        <f t="shared" ca="1" si="11"/>
        <v>0</v>
      </c>
      <c r="O35" s="302">
        <f t="shared" ca="1" si="11"/>
        <v>0</v>
      </c>
      <c r="P35" s="302">
        <f t="shared" ca="1" si="11"/>
        <v>0</v>
      </c>
      <c r="Q35" s="302">
        <f t="shared" ca="1" si="11"/>
        <v>0</v>
      </c>
      <c r="R35" s="302">
        <f t="shared" ca="1" si="11"/>
        <v>0</v>
      </c>
      <c r="S35" s="302">
        <f t="shared" ca="1" si="11"/>
        <v>0</v>
      </c>
      <c r="T35" s="302">
        <f t="shared" ca="1" si="11"/>
        <v>0</v>
      </c>
      <c r="U35" s="299">
        <f t="shared" ca="1" si="2"/>
        <v>13807.99</v>
      </c>
      <c r="W35" s="307"/>
      <c r="X35" s="308"/>
    </row>
    <row r="36" spans="4:24" outlineLevel="1" x14ac:dyDescent="0.3">
      <c r="D36" s="297"/>
      <c r="E36" s="292"/>
      <c r="F36" s="296"/>
      <c r="G36" s="296" t="s">
        <v>1423</v>
      </c>
      <c r="H36" s="297"/>
      <c r="I36" s="302">
        <f ca="1">+I142</f>
        <v>1336.2280000000001</v>
      </c>
      <c r="J36" s="302">
        <f t="shared" ref="J36:T36" ca="1" si="12">+J142</f>
        <v>1370.3873223140495</v>
      </c>
      <c r="K36" s="302">
        <f t="shared" ca="1" si="12"/>
        <v>0</v>
      </c>
      <c r="L36" s="302">
        <f t="shared" ca="1" si="12"/>
        <v>0</v>
      </c>
      <c r="M36" s="302">
        <f t="shared" ca="1" si="12"/>
        <v>0</v>
      </c>
      <c r="N36" s="302">
        <f t="shared" ca="1" si="12"/>
        <v>0</v>
      </c>
      <c r="O36" s="302">
        <f t="shared" ca="1" si="12"/>
        <v>0</v>
      </c>
      <c r="P36" s="302">
        <f t="shared" ca="1" si="12"/>
        <v>0</v>
      </c>
      <c r="Q36" s="302">
        <f t="shared" ca="1" si="12"/>
        <v>0</v>
      </c>
      <c r="R36" s="302">
        <f t="shared" ca="1" si="12"/>
        <v>0</v>
      </c>
      <c r="S36" s="302">
        <f t="shared" ca="1" si="12"/>
        <v>0</v>
      </c>
      <c r="T36" s="302">
        <f t="shared" ca="1" si="12"/>
        <v>0</v>
      </c>
      <c r="U36" s="299">
        <f t="shared" ca="1" si="2"/>
        <v>2706.6153223140495</v>
      </c>
      <c r="W36" s="307"/>
      <c r="X36" s="308"/>
    </row>
    <row r="37" spans="4:24" x14ac:dyDescent="0.3">
      <c r="D37" s="325"/>
      <c r="E37" s="292" t="e" vm="11">
        <v>#VALUE!</v>
      </c>
      <c r="F37" s="293" t="s">
        <v>1424</v>
      </c>
      <c r="G37" s="293"/>
      <c r="H37" s="284"/>
      <c r="I37" s="317">
        <f>SUMIFS(i_sharedservices_sl[[net]:[net]],i_sharedservices_sl[[yyyymm]:[yyyymm]],I$1,i_sharedservices_sl[[type]:[type]],LEFT($F$37,2))</f>
        <v>10732.87</v>
      </c>
      <c r="J37" s="317">
        <f>SUMIFS(i_sharedservices_sl[[net]:[net]],i_sharedservices_sl[[yyyymm]:[yyyymm]],J$1,i_sharedservices_sl[[type]:[type]],LEFT($F$37,2))</f>
        <v>13068.98</v>
      </c>
      <c r="K37" s="301">
        <f>SUMIFS(i_sharedservices_sl[[net]:[net]],i_sharedservices_sl[[yyyymm]:[yyyymm]],K$1,i_sharedservices_sl[[type]:[type]],LEFT($F$37,2))</f>
        <v>0</v>
      </c>
      <c r="L37" s="301">
        <f>SUMIFS(i_sharedservices_sl[[net]:[net]],i_sharedservices_sl[[yyyymm]:[yyyymm]],L$1,i_sharedservices_sl[[type]:[type]],LEFT($F$37,2))</f>
        <v>0</v>
      </c>
      <c r="M37" s="301">
        <f>SUMIFS(i_sharedservices_sl[[net]:[net]],i_sharedservices_sl[[yyyymm]:[yyyymm]],M$1,i_sharedservices_sl[[type]:[type]],LEFT($F$37,2))</f>
        <v>0</v>
      </c>
      <c r="N37" s="301">
        <f>SUMIFS(i_sharedservices_sl[[net]:[net]],i_sharedservices_sl[[yyyymm]:[yyyymm]],N$1,i_sharedservices_sl[[type]:[type]],LEFT($F$37,2))</f>
        <v>0</v>
      </c>
      <c r="O37" s="301">
        <f>SUMIFS(i_sharedservices_sl[[net]:[net]],i_sharedservices_sl[[yyyymm]:[yyyymm]],O$1,i_sharedservices_sl[[type]:[type]],LEFT($F$37,2))</f>
        <v>0</v>
      </c>
      <c r="P37" s="301">
        <f>SUMIFS(i_sharedservices_sl[[net]:[net]],i_sharedservices_sl[[yyyymm]:[yyyymm]],P$1,i_sharedservices_sl[[type]:[type]],LEFT($F$37,2))</f>
        <v>0</v>
      </c>
      <c r="Q37" s="301">
        <f>SUMIFS(i_sharedservices_sl[[net]:[net]],i_sharedservices_sl[[yyyymm]:[yyyymm]],Q$1,i_sharedservices_sl[[type]:[type]],LEFT($F$37,2))</f>
        <v>0</v>
      </c>
      <c r="R37" s="301">
        <f>SUMIFS(i_sharedservices_sl[[net]:[net]],i_sharedservices_sl[[yyyymm]:[yyyymm]],R$1,i_sharedservices_sl[[type]:[type]],LEFT($F$37,2))</f>
        <v>0</v>
      </c>
      <c r="S37" s="301">
        <f>SUMIFS(i_sharedservices_sl[[net]:[net]],i_sharedservices_sl[[yyyymm]:[yyyymm]],S$1,i_sharedservices_sl[[type]:[type]],LEFT($F$37,2))</f>
        <v>0</v>
      </c>
      <c r="T37" s="301">
        <f>SUMIFS(i_sharedservices_sl[[net]:[net]],i_sharedservices_sl[[yyyymm]:[yyyymm]],T$1,i_sharedservices_sl[[type]:[type]],LEFT($F$37,2))</f>
        <v>0</v>
      </c>
      <c r="U37" s="31">
        <f t="shared" si="2"/>
        <v>23801.85</v>
      </c>
      <c r="W37" s="307"/>
      <c r="X37" s="308"/>
    </row>
    <row r="38" spans="4:24" s="294" customFormat="1" outlineLevel="1" x14ac:dyDescent="0.3">
      <c r="D38" s="297"/>
      <c r="E38" s="295"/>
      <c r="F38" s="296" t="s">
        <v>1425</v>
      </c>
      <c r="G38" s="296"/>
      <c r="H38" s="297"/>
      <c r="I38" s="298">
        <f>+I37/exchange_rates!$B2</f>
        <v>9332.930434782611</v>
      </c>
      <c r="J38" s="298">
        <f>+J37/exchange_rates!$B2</f>
        <v>11364.330434782609</v>
      </c>
      <c r="K38" s="298">
        <f>+K37/exchange_rates!$B2</f>
        <v>0</v>
      </c>
      <c r="L38" s="298">
        <f>+L37/exchange_rates!$B2</f>
        <v>0</v>
      </c>
      <c r="M38" s="298">
        <f>+M37/exchange_rates!$B2</f>
        <v>0</v>
      </c>
      <c r="N38" s="298">
        <f>+N37/exchange_rates!$B2</f>
        <v>0</v>
      </c>
      <c r="O38" s="298">
        <f>+O37/exchange_rates!$B2</f>
        <v>0</v>
      </c>
      <c r="P38" s="298">
        <f>+P37/exchange_rates!$B2</f>
        <v>0</v>
      </c>
      <c r="Q38" s="298">
        <f>+Q37/exchange_rates!$B2</f>
        <v>0</v>
      </c>
      <c r="R38" s="298">
        <f>+R37/exchange_rates!$B2</f>
        <v>0</v>
      </c>
      <c r="S38" s="298">
        <f>+S37/exchange_rates!$B2</f>
        <v>0</v>
      </c>
      <c r="T38" s="298">
        <f>+T37/exchange_rates!$B2</f>
        <v>0</v>
      </c>
      <c r="U38" s="299">
        <f t="shared" si="2"/>
        <v>20697.26086956522</v>
      </c>
      <c r="W38" s="307"/>
      <c r="X38" s="308"/>
    </row>
    <row r="39" spans="4:24" outlineLevel="1" x14ac:dyDescent="0.3">
      <c r="D39" s="325"/>
      <c r="E39" s="292"/>
      <c r="F39" s="293"/>
      <c r="G39" s="293"/>
      <c r="H39" s="284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1"/>
      <c r="W39" s="307"/>
      <c r="X39" s="308"/>
    </row>
    <row r="40" spans="4:24" outlineLevel="1" x14ac:dyDescent="0.3">
      <c r="D40" s="7"/>
      <c r="E40" s="6" t="e" vm="12">
        <v>#VALUE!</v>
      </c>
      <c r="F40" s="296" t="s">
        <v>1492</v>
      </c>
      <c r="G40" s="7"/>
      <c r="H40" s="7"/>
      <c r="I40" s="298">
        <f ca="1">SUM(I41:I44)</f>
        <v>7344.852100000001</v>
      </c>
      <c r="J40" s="298">
        <f t="shared" ref="J40:K40" ca="1" si="13">SUM(J41:J44)</f>
        <v>8501.7440000000006</v>
      </c>
      <c r="K40" s="298">
        <f t="shared" ca="1" si="13"/>
        <v>0</v>
      </c>
      <c r="L40" s="298">
        <f t="shared" ref="L40:M40" ca="1" si="14">SUM(L41:L44)</f>
        <v>0</v>
      </c>
      <c r="M40" s="298">
        <f t="shared" ca="1" si="14"/>
        <v>0</v>
      </c>
      <c r="N40" s="298">
        <f t="shared" ref="N40:O40" ca="1" si="15">SUM(N41:N44)</f>
        <v>0</v>
      </c>
      <c r="O40" s="298">
        <f t="shared" ca="1" si="15"/>
        <v>0</v>
      </c>
      <c r="P40" s="298">
        <f t="shared" ref="P40:Q40" ca="1" si="16">SUM(P41:P44)</f>
        <v>0</v>
      </c>
      <c r="Q40" s="298">
        <f t="shared" ca="1" si="16"/>
        <v>0</v>
      </c>
      <c r="R40" s="298">
        <f t="shared" ref="R40:S40" ca="1" si="17">SUM(R41:R44)</f>
        <v>0</v>
      </c>
      <c r="S40" s="298">
        <f t="shared" ca="1" si="17"/>
        <v>0</v>
      </c>
      <c r="T40" s="298">
        <f t="shared" ref="T40" ca="1" si="18">SUM(T41:T44)</f>
        <v>0</v>
      </c>
      <c r="U40" s="299">
        <f t="shared" ca="1" si="2"/>
        <v>15846.596100000002</v>
      </c>
      <c r="W40" s="307"/>
      <c r="X40" s="308"/>
    </row>
    <row r="41" spans="4:24" outlineLevel="1" x14ac:dyDescent="0.3">
      <c r="D41" s="7"/>
      <c r="E41" s="6"/>
      <c r="F41" s="293"/>
      <c r="G41" s="296" t="s">
        <v>1420</v>
      </c>
      <c r="H41" s="7"/>
      <c r="I41" s="298">
        <f>+I73</f>
        <v>471</v>
      </c>
      <c r="J41" s="298">
        <f>+J73</f>
        <v>744</v>
      </c>
      <c r="K41" s="298">
        <f>+K73</f>
        <v>0</v>
      </c>
      <c r="L41" s="298">
        <f t="shared" ref="L41:T41" si="19">+L73</f>
        <v>0</v>
      </c>
      <c r="M41" s="298">
        <f t="shared" si="19"/>
        <v>0</v>
      </c>
      <c r="N41" s="298">
        <f t="shared" si="19"/>
        <v>0</v>
      </c>
      <c r="O41" s="298">
        <f t="shared" si="19"/>
        <v>0</v>
      </c>
      <c r="P41" s="298">
        <f t="shared" si="19"/>
        <v>0</v>
      </c>
      <c r="Q41" s="298">
        <f t="shared" si="19"/>
        <v>0</v>
      </c>
      <c r="R41" s="298">
        <f t="shared" si="19"/>
        <v>0</v>
      </c>
      <c r="S41" s="298">
        <f t="shared" si="19"/>
        <v>0</v>
      </c>
      <c r="T41" s="298">
        <f t="shared" si="19"/>
        <v>0</v>
      </c>
      <c r="U41" s="299">
        <f t="shared" si="2"/>
        <v>1215</v>
      </c>
      <c r="W41" s="307"/>
      <c r="X41" s="308"/>
    </row>
    <row r="42" spans="4:24" outlineLevel="1" x14ac:dyDescent="0.3">
      <c r="D42" s="7"/>
      <c r="E42" s="6"/>
      <c r="F42" s="293"/>
      <c r="G42" s="296" t="s">
        <v>1421</v>
      </c>
      <c r="H42" s="7"/>
      <c r="I42" s="298">
        <f ca="1">+I110</f>
        <v>2946.3680000000004</v>
      </c>
      <c r="J42" s="298">
        <f ca="1">+J110</f>
        <v>2983.1360000000004</v>
      </c>
      <c r="K42" s="298">
        <f ca="1">+K110</f>
        <v>0</v>
      </c>
      <c r="L42" s="298">
        <f t="shared" ref="L42:T42" ca="1" si="20">+L110</f>
        <v>0</v>
      </c>
      <c r="M42" s="298">
        <f t="shared" ca="1" si="20"/>
        <v>0</v>
      </c>
      <c r="N42" s="298">
        <f t="shared" ca="1" si="20"/>
        <v>0</v>
      </c>
      <c r="O42" s="298">
        <f t="shared" ca="1" si="20"/>
        <v>0</v>
      </c>
      <c r="P42" s="298">
        <f t="shared" ca="1" si="20"/>
        <v>0</v>
      </c>
      <c r="Q42" s="298">
        <f t="shared" ca="1" si="20"/>
        <v>0</v>
      </c>
      <c r="R42" s="298">
        <f t="shared" ca="1" si="20"/>
        <v>0</v>
      </c>
      <c r="S42" s="298">
        <f t="shared" ca="1" si="20"/>
        <v>0</v>
      </c>
      <c r="T42" s="298">
        <f t="shared" ca="1" si="20"/>
        <v>0</v>
      </c>
      <c r="U42" s="299">
        <f t="shared" ca="1" si="2"/>
        <v>5929.5040000000008</v>
      </c>
      <c r="W42" s="307"/>
      <c r="X42" s="308"/>
    </row>
    <row r="43" spans="4:24" outlineLevel="1" x14ac:dyDescent="0.3">
      <c r="D43" s="7"/>
      <c r="E43" s="6"/>
      <c r="F43" s="293"/>
      <c r="G43" s="296" t="s">
        <v>1422</v>
      </c>
      <c r="H43" s="7"/>
      <c r="I43" s="298">
        <f ca="1">+I98</f>
        <v>3899.8100000000004</v>
      </c>
      <c r="J43" s="298">
        <f ca="1">+J98</f>
        <v>4744.08</v>
      </c>
      <c r="K43" s="298">
        <f ca="1">+K98</f>
        <v>0</v>
      </c>
      <c r="L43" s="298">
        <f t="shared" ref="L43:T43" ca="1" si="21">+L98</f>
        <v>0</v>
      </c>
      <c r="M43" s="298">
        <f t="shared" ca="1" si="21"/>
        <v>0</v>
      </c>
      <c r="N43" s="298">
        <f t="shared" ca="1" si="21"/>
        <v>0</v>
      </c>
      <c r="O43" s="298">
        <f t="shared" ca="1" si="21"/>
        <v>0</v>
      </c>
      <c r="P43" s="298">
        <f t="shared" ca="1" si="21"/>
        <v>0</v>
      </c>
      <c r="Q43" s="298">
        <f t="shared" ca="1" si="21"/>
        <v>0</v>
      </c>
      <c r="R43" s="298">
        <f t="shared" ca="1" si="21"/>
        <v>0</v>
      </c>
      <c r="S43" s="298">
        <f t="shared" ca="1" si="21"/>
        <v>0</v>
      </c>
      <c r="T43" s="298">
        <f t="shared" ca="1" si="21"/>
        <v>0</v>
      </c>
      <c r="U43" s="299">
        <f t="shared" ca="1" si="2"/>
        <v>8643.89</v>
      </c>
      <c r="W43" s="307"/>
      <c r="X43" s="308"/>
    </row>
    <row r="44" spans="4:24" outlineLevel="1" x14ac:dyDescent="0.3">
      <c r="D44" s="7"/>
      <c r="E44" s="6"/>
      <c r="F44" s="293"/>
      <c r="G44" s="296" t="s">
        <v>1423</v>
      </c>
      <c r="H44" s="7"/>
      <c r="I44" s="298">
        <f ca="1">+I143</f>
        <v>27.674099999999999</v>
      </c>
      <c r="J44" s="298">
        <f ca="1">+J143</f>
        <v>30.527999999999999</v>
      </c>
      <c r="K44" s="298">
        <f ca="1">+K143</f>
        <v>0</v>
      </c>
      <c r="L44" s="298">
        <f t="shared" ref="L44:T44" ca="1" si="22">+L143</f>
        <v>0</v>
      </c>
      <c r="M44" s="298">
        <f t="shared" ca="1" si="22"/>
        <v>0</v>
      </c>
      <c r="N44" s="298">
        <f t="shared" ca="1" si="22"/>
        <v>0</v>
      </c>
      <c r="O44" s="298">
        <f t="shared" ca="1" si="22"/>
        <v>0</v>
      </c>
      <c r="P44" s="298">
        <f t="shared" ca="1" si="22"/>
        <v>0</v>
      </c>
      <c r="Q44" s="298">
        <f t="shared" ca="1" si="22"/>
        <v>0</v>
      </c>
      <c r="R44" s="298">
        <f t="shared" ca="1" si="22"/>
        <v>0</v>
      </c>
      <c r="S44" s="298">
        <f t="shared" ca="1" si="22"/>
        <v>0</v>
      </c>
      <c r="T44" s="298">
        <f t="shared" ca="1" si="22"/>
        <v>0</v>
      </c>
      <c r="U44" s="299">
        <f t="shared" ca="1" si="2"/>
        <v>58.202100000000002</v>
      </c>
    </row>
    <row r="45" spans="4:24" x14ac:dyDescent="0.3">
      <c r="D45" s="7"/>
      <c r="E45" s="6" t="e" vm="12">
        <v>#VALUE!</v>
      </c>
      <c r="F45" s="293" t="s">
        <v>1486</v>
      </c>
      <c r="G45" s="293"/>
      <c r="H45" s="7"/>
      <c r="I45" s="300">
        <f>SUMIFS(i_sharedservices_sl[[net]:[net]],i_sharedservices_sl[[yyyymm]:[yyyymm]],I$1,i_sharedservices_sl[[type]:[type]],LEFT($F$45,2))</f>
        <v>7334.44</v>
      </c>
      <c r="J45" s="300">
        <f>SUMIFS(i_sharedservices_sl[[net]:[net]],i_sharedservices_sl[[yyyymm]:[yyyymm]],J$1,i_sharedservices_sl[[type]:[type]],LEFT($F$45,2))</f>
        <v>8462.36</v>
      </c>
      <c r="K45" s="300">
        <f>SUMIFS(i_sharedservices_sl[[net]:[net]],i_sharedservices_sl[[yyyymm]:[yyyymm]],K$1,i_sharedservices_sl[[type]:[type]],LEFT($F$45,2))</f>
        <v>0</v>
      </c>
      <c r="L45" s="300">
        <f>SUMIFS(i_sharedservices_sl[[net]:[net]],i_sharedservices_sl[[yyyymm]:[yyyymm]],L$1,i_sharedservices_sl[[type]:[type]],LEFT($F$45,2))</f>
        <v>0</v>
      </c>
      <c r="M45" s="300">
        <f>SUMIFS(i_sharedservices_sl[[net]:[net]],i_sharedservices_sl[[yyyymm]:[yyyymm]],M$1,i_sharedservices_sl[[type]:[type]],LEFT($F$45,2))</f>
        <v>0</v>
      </c>
      <c r="N45" s="300">
        <f>SUMIFS(i_sharedservices_sl[[net]:[net]],i_sharedservices_sl[[yyyymm]:[yyyymm]],N$1,i_sharedservices_sl[[type]:[type]],LEFT($F$45,2))</f>
        <v>0</v>
      </c>
      <c r="O45" s="300">
        <f>SUMIFS(i_sharedservices_sl[[net]:[net]],i_sharedservices_sl[[yyyymm]:[yyyymm]],O$1,i_sharedservices_sl[[type]:[type]],LEFT($F$45,2))</f>
        <v>0</v>
      </c>
      <c r="P45" s="300">
        <f>SUMIFS(i_sharedservices_sl[[net]:[net]],i_sharedservices_sl[[yyyymm]:[yyyymm]],P$1,i_sharedservices_sl[[type]:[type]],LEFT($F$45,2))</f>
        <v>0</v>
      </c>
      <c r="Q45" s="300">
        <f>SUMIFS(i_sharedservices_sl[[net]:[net]],i_sharedservices_sl[[yyyymm]:[yyyymm]],Q$1,i_sharedservices_sl[[type]:[type]],LEFT($F$45,2))</f>
        <v>0</v>
      </c>
      <c r="R45" s="300">
        <f>SUMIFS(i_sharedservices_sl[[net]:[net]],i_sharedservices_sl[[yyyymm]:[yyyymm]],R$1,i_sharedservices_sl[[type]:[type]],LEFT($F$45,2))</f>
        <v>0</v>
      </c>
      <c r="S45" s="300">
        <f>SUMIFS(i_sharedservices_sl[[net]:[net]],i_sharedservices_sl[[yyyymm]:[yyyymm]],S$1,i_sharedservices_sl[[type]:[type]],LEFT($F$45,2))</f>
        <v>0</v>
      </c>
      <c r="T45" s="300">
        <f>SUMIFS(i_sharedservices_sl[[net]:[net]],i_sharedservices_sl[[yyyymm]:[yyyymm]],T$1,i_sharedservices_sl[[type]:[type]],LEFT($F$45,2))</f>
        <v>0</v>
      </c>
      <c r="U45" s="31">
        <f t="shared" si="2"/>
        <v>15796.8</v>
      </c>
    </row>
    <row r="46" spans="4:24" outlineLevel="1" x14ac:dyDescent="0.3">
      <c r="D46" s="7"/>
      <c r="E46" s="6"/>
      <c r="F46" s="296" t="s">
        <v>1487</v>
      </c>
      <c r="G46" s="293"/>
      <c r="H46" s="7"/>
      <c r="I46" s="298">
        <f>IFERROR(+I45/exchange_rates!B$3,0)</f>
        <v>8731.4761904761908</v>
      </c>
      <c r="J46" s="298">
        <f>IFERROR(+J45/exchange_rates!C$3,0)</f>
        <v>9955.7176470588238</v>
      </c>
      <c r="K46" s="298">
        <f>IFERROR(+K45/exchange_rates!D$3,0)</f>
        <v>0</v>
      </c>
      <c r="L46" s="298">
        <f>IFERROR(+L45/exchange_rates!E$3,0)</f>
        <v>0</v>
      </c>
      <c r="M46" s="298">
        <f>IFERROR(+M45/exchange_rates!F$3,0)</f>
        <v>0</v>
      </c>
      <c r="N46" s="298">
        <f>IFERROR(+N45/exchange_rates!G$3,0)</f>
        <v>0</v>
      </c>
      <c r="O46" s="298">
        <f>IFERROR(+O45/exchange_rates!H$3,0)</f>
        <v>0</v>
      </c>
      <c r="P46" s="298">
        <f>IFERROR(+P45/exchange_rates!I$3,0)</f>
        <v>0</v>
      </c>
      <c r="Q46" s="298">
        <f>IFERROR(+Q45/exchange_rates!J$3,0)</f>
        <v>0</v>
      </c>
      <c r="R46" s="298">
        <f>IFERROR(+R45/exchange_rates!K$3,0)</f>
        <v>0</v>
      </c>
      <c r="S46" s="298">
        <f>IFERROR(+S45/exchange_rates!L$3,0)</f>
        <v>0</v>
      </c>
      <c r="T46" s="298">
        <f>IFERROR(+T45/exchange_rates!M$3,0)</f>
        <v>0</v>
      </c>
      <c r="U46" s="299">
        <f t="shared" si="2"/>
        <v>18687.193837535015</v>
      </c>
    </row>
    <row r="47" spans="4:24" outlineLevel="1" x14ac:dyDescent="0.3">
      <c r="D47" s="7"/>
      <c r="E47" s="6"/>
      <c r="F47" s="293"/>
      <c r="G47" s="293"/>
      <c r="H47" s="7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1"/>
    </row>
    <row r="48" spans="4:24" x14ac:dyDescent="0.3">
      <c r="D48" s="7"/>
      <c r="E48" s="314" t="s">
        <v>1471</v>
      </c>
      <c r="F48" s="293" t="s">
        <v>2</v>
      </c>
      <c r="G48" s="7"/>
      <c r="H48" s="7"/>
      <c r="I48" s="30">
        <f>SUM(I49:I50)</f>
        <v>2852.34</v>
      </c>
      <c r="J48" s="30">
        <f t="shared" ref="J48:T48" si="23">SUM(J49:J50)</f>
        <v>1191.18</v>
      </c>
      <c r="K48" s="30">
        <f t="shared" si="23"/>
        <v>0</v>
      </c>
      <c r="L48" s="30">
        <f t="shared" si="23"/>
        <v>0</v>
      </c>
      <c r="M48" s="30">
        <f t="shared" si="23"/>
        <v>0</v>
      </c>
      <c r="N48" s="30">
        <f t="shared" si="23"/>
        <v>0</v>
      </c>
      <c r="O48" s="30">
        <f t="shared" si="23"/>
        <v>0</v>
      </c>
      <c r="P48" s="30">
        <f t="shared" si="23"/>
        <v>0</v>
      </c>
      <c r="Q48" s="30">
        <f t="shared" si="23"/>
        <v>0</v>
      </c>
      <c r="R48" s="30">
        <f t="shared" si="23"/>
        <v>0</v>
      </c>
      <c r="S48" s="30">
        <f t="shared" si="23"/>
        <v>0</v>
      </c>
      <c r="T48" s="30">
        <f t="shared" si="23"/>
        <v>0</v>
      </c>
      <c r="U48" s="31">
        <f t="shared" si="2"/>
        <v>4043.5200000000004</v>
      </c>
      <c r="W48" s="307"/>
      <c r="X48" s="308"/>
    </row>
    <row r="49" spans="2:35" outlineLevel="1" x14ac:dyDescent="0.3">
      <c r="D49" s="7"/>
      <c r="E49" s="6"/>
      <c r="F49" s="293"/>
      <c r="G49" s="284" t="s">
        <v>102</v>
      </c>
      <c r="H49" s="7"/>
      <c r="I49" s="300">
        <f>SUMIFS(i_sharedservices_sl[[net]:[net]],i_sharedservices_sl[[yyyymm]:[yyyymm]],I$1,i_sharedservices_sl[[type]:[type]],$F$48,i_sharedservices_sl[[subtype]:[subtype]],$G49)</f>
        <v>1191.18</v>
      </c>
      <c r="J49" s="300">
        <f>SUMIFS(i_sharedservices_sl[[net]:[net]],i_sharedservices_sl[[yyyymm]:[yyyymm]],J$1,i_sharedservices_sl[[type]:[type]],$F$48,i_sharedservices_sl[[subtype]:[subtype]],$G49)</f>
        <v>1191.18</v>
      </c>
      <c r="K49" s="300">
        <f>SUMIFS(i_sharedservices_sl[[net]:[net]],i_sharedservices_sl[[yyyymm]:[yyyymm]],K$1,i_sharedservices_sl[[type]:[type]],$F$48,i_sharedservices_sl[[subtype]:[subtype]],$G49)</f>
        <v>0</v>
      </c>
      <c r="L49" s="300">
        <f>SUMIFS(i_sharedservices_sl[[net]:[net]],i_sharedservices_sl[[yyyymm]:[yyyymm]],L$1,i_sharedservices_sl[[type]:[type]],$F$48,i_sharedservices_sl[[subtype]:[subtype]],$G49)</f>
        <v>0</v>
      </c>
      <c r="M49" s="300">
        <f>SUMIFS(i_sharedservices_sl[[net]:[net]],i_sharedservices_sl[[yyyymm]:[yyyymm]],M$1,i_sharedservices_sl[[type]:[type]],$F$48,i_sharedservices_sl[[subtype]:[subtype]],$G49)</f>
        <v>0</v>
      </c>
      <c r="N49" s="300">
        <f>SUMIFS(i_sharedservices_sl[[net]:[net]],i_sharedservices_sl[[yyyymm]:[yyyymm]],N$1,i_sharedservices_sl[[type]:[type]],$F$48,i_sharedservices_sl[[subtype]:[subtype]],$G49)</f>
        <v>0</v>
      </c>
      <c r="O49" s="300">
        <f>SUMIFS(i_sharedservices_sl[[net]:[net]],i_sharedservices_sl[[yyyymm]:[yyyymm]],O$1,i_sharedservices_sl[[type]:[type]],$F$48,i_sharedservices_sl[[subtype]:[subtype]],$G49)</f>
        <v>0</v>
      </c>
      <c r="P49" s="300">
        <f>SUMIFS(i_sharedservices_sl[[net]:[net]],i_sharedservices_sl[[yyyymm]:[yyyymm]],P$1,i_sharedservices_sl[[type]:[type]],$F$48,i_sharedservices_sl[[subtype]:[subtype]],$G49)</f>
        <v>0</v>
      </c>
      <c r="Q49" s="300">
        <f>SUMIFS(i_sharedservices_sl[[net]:[net]],i_sharedservices_sl[[yyyymm]:[yyyymm]],Q$1,i_sharedservices_sl[[type]:[type]],$F$48,i_sharedservices_sl[[subtype]:[subtype]],$G49)</f>
        <v>0</v>
      </c>
      <c r="R49" s="300">
        <f>SUMIFS(i_sharedservices_sl[[net]:[net]],i_sharedservices_sl[[yyyymm]:[yyyymm]],R$1,i_sharedservices_sl[[type]:[type]],$F$48,i_sharedservices_sl[[subtype]:[subtype]],$G49)</f>
        <v>0</v>
      </c>
      <c r="S49" s="300">
        <f>SUMIFS(i_sharedservices_sl[[net]:[net]],i_sharedservices_sl[[yyyymm]:[yyyymm]],S$1,i_sharedservices_sl[[type]:[type]],$F$48,i_sharedservices_sl[[subtype]:[subtype]],$G49)</f>
        <v>0</v>
      </c>
      <c r="T49" s="300">
        <f>SUMIFS(i_sharedservices_sl[[net]:[net]],i_sharedservices_sl[[yyyymm]:[yyyymm]],T$1,i_sharedservices_sl[[type]:[type]],$F$48,i_sharedservices_sl[[subtype]:[subtype]],$G49)</f>
        <v>0</v>
      </c>
      <c r="U49" s="31">
        <f t="shared" si="2"/>
        <v>2382.36</v>
      </c>
    </row>
    <row r="50" spans="2:35" outlineLevel="1" x14ac:dyDescent="0.3">
      <c r="D50" s="7"/>
      <c r="E50" s="6"/>
      <c r="F50" s="293"/>
      <c r="G50" s="293" t="s">
        <v>1477</v>
      </c>
      <c r="H50" s="7"/>
      <c r="I50" s="300">
        <f>SUMIFS(i_sharedservices_sl[[net]:[net]],i_sharedservices_sl[[yyyymm]:[yyyymm]],I$1,i_sharedservices_sl[[type]:[type]],$F$48,i_sharedservices_sl[[subtype]:[subtype]],$G50)</f>
        <v>1661.16</v>
      </c>
      <c r="J50" s="318">
        <f>SUMIFS(i_sharedservices_sl[[net]:[net]],i_sharedservices_sl[[yyyymm]:[yyyymm]],J$1,i_sharedservices_sl[[type]:[type]],$F$48,i_sharedservices_sl[[subtype]:[subtype]],$G50)</f>
        <v>0</v>
      </c>
      <c r="K50" s="300">
        <f>SUMIFS(i_sharedservices_sl[[net]:[net]],i_sharedservices_sl[[yyyymm]:[yyyymm]],K$1,i_sharedservices_sl[[type]:[type]],$F$48,i_sharedservices_sl[[subtype]:[subtype]],$G50)</f>
        <v>0</v>
      </c>
      <c r="L50" s="300">
        <f>SUMIFS(i_sharedservices_sl[[net]:[net]],i_sharedservices_sl[[yyyymm]:[yyyymm]],L$1,i_sharedservices_sl[[type]:[type]],$F$48,i_sharedservices_sl[[subtype]:[subtype]],$G50)</f>
        <v>0</v>
      </c>
      <c r="M50" s="300">
        <f>SUMIFS(i_sharedservices_sl[[net]:[net]],i_sharedservices_sl[[yyyymm]:[yyyymm]],M$1,i_sharedservices_sl[[type]:[type]],$F$48,i_sharedservices_sl[[subtype]:[subtype]],$G50)</f>
        <v>0</v>
      </c>
      <c r="N50" s="300">
        <f>SUMIFS(i_sharedservices_sl[[net]:[net]],i_sharedservices_sl[[yyyymm]:[yyyymm]],N$1,i_sharedservices_sl[[type]:[type]],$F$48,i_sharedservices_sl[[subtype]:[subtype]],$G50)</f>
        <v>0</v>
      </c>
      <c r="O50" s="300">
        <f>SUMIFS(i_sharedservices_sl[[net]:[net]],i_sharedservices_sl[[yyyymm]:[yyyymm]],O$1,i_sharedservices_sl[[type]:[type]],$F$48,i_sharedservices_sl[[subtype]:[subtype]],$G50)</f>
        <v>0</v>
      </c>
      <c r="P50" s="300">
        <f>SUMIFS(i_sharedservices_sl[[net]:[net]],i_sharedservices_sl[[yyyymm]:[yyyymm]],P$1,i_sharedservices_sl[[type]:[type]],$F$48,i_sharedservices_sl[[subtype]:[subtype]],$G50)</f>
        <v>0</v>
      </c>
      <c r="Q50" s="300">
        <f>SUMIFS(i_sharedservices_sl[[net]:[net]],i_sharedservices_sl[[yyyymm]:[yyyymm]],Q$1,i_sharedservices_sl[[type]:[type]],$F$48,i_sharedservices_sl[[subtype]:[subtype]],$G50)</f>
        <v>0</v>
      </c>
      <c r="R50" s="300">
        <f>SUMIFS(i_sharedservices_sl[[net]:[net]],i_sharedservices_sl[[yyyymm]:[yyyymm]],R$1,i_sharedservices_sl[[type]:[type]],$F$48,i_sharedservices_sl[[subtype]:[subtype]],$G50)</f>
        <v>0</v>
      </c>
      <c r="S50" s="300">
        <f>SUMIFS(i_sharedservices_sl[[net]:[net]],i_sharedservices_sl[[yyyymm]:[yyyymm]],S$1,i_sharedservices_sl[[type]:[type]],$F$48,i_sharedservices_sl[[subtype]:[subtype]],$G50)</f>
        <v>0</v>
      </c>
      <c r="T50" s="300">
        <f>SUMIFS(i_sharedservices_sl[[net]:[net]],i_sharedservices_sl[[yyyymm]:[yyyymm]],T$1,i_sharedservices_sl[[type]:[type]],$F$48,i_sharedservices_sl[[subtype]:[subtype]],$G50)</f>
        <v>0</v>
      </c>
      <c r="U50" s="31">
        <f t="shared" si="2"/>
        <v>1661.16</v>
      </c>
      <c r="V50" t="s">
        <v>1527</v>
      </c>
      <c r="W50" s="59"/>
    </row>
    <row r="51" spans="2:35" x14ac:dyDescent="0.3">
      <c r="Y51" s="281"/>
      <c r="Z51" s="92"/>
    </row>
    <row r="52" spans="2:35" x14ac:dyDescent="0.3">
      <c r="D52" s="278"/>
      <c r="E52" s="10"/>
      <c r="F52" s="278"/>
      <c r="G52" s="278"/>
      <c r="H52" s="278"/>
      <c r="I52" s="356">
        <f>+I54+I62+I69+I75</f>
        <v>0.69504013644402474</v>
      </c>
      <c r="J52" s="356">
        <f t="shared" ref="J52:T52" si="24">+J54+J62+J69+J75</f>
        <v>0.66993880703437736</v>
      </c>
      <c r="K52" s="356">
        <f t="shared" si="24"/>
        <v>1.1123947811429349E-2</v>
      </c>
      <c r="L52" s="356" t="e">
        <f t="shared" si="24"/>
        <v>#DIV/0!</v>
      </c>
      <c r="M52" s="356" t="e">
        <f t="shared" si="24"/>
        <v>#DIV/0!</v>
      </c>
      <c r="N52" s="356" t="e">
        <f t="shared" si="24"/>
        <v>#DIV/0!</v>
      </c>
      <c r="O52" s="356" t="e">
        <f t="shared" si="24"/>
        <v>#DIV/0!</v>
      </c>
      <c r="P52" s="356" t="e">
        <f t="shared" si="24"/>
        <v>#DIV/0!</v>
      </c>
      <c r="Q52" s="356" t="e">
        <f t="shared" si="24"/>
        <v>#DIV/0!</v>
      </c>
      <c r="R52" s="356" t="e">
        <f t="shared" si="24"/>
        <v>#DIV/0!</v>
      </c>
      <c r="S52" s="356" t="e">
        <f t="shared" si="24"/>
        <v>#DIV/0!</v>
      </c>
      <c r="T52" s="356" t="e">
        <f t="shared" si="24"/>
        <v>#DIV/0!</v>
      </c>
      <c r="U52" s="356">
        <f>+U54+U62+U69+U75</f>
        <v>0.48917993056766773</v>
      </c>
    </row>
    <row r="53" spans="2:35" ht="18" x14ac:dyDescent="0.35">
      <c r="D53" s="380" t="s">
        <v>35</v>
      </c>
      <c r="E53" s="380"/>
      <c r="F53" s="380"/>
      <c r="G53" s="380"/>
      <c r="H53" s="381"/>
      <c r="I53" s="38">
        <f>+I55+I63+I70+I76</f>
        <v>91577.14</v>
      </c>
      <c r="J53" s="38">
        <f t="shared" ref="J53:T53" si="25">+J55+J63+J70+J76</f>
        <v>101435.14</v>
      </c>
      <c r="K53" s="38">
        <f t="shared" si="25"/>
        <v>1267.99</v>
      </c>
      <c r="L53" s="38">
        <f t="shared" si="25"/>
        <v>0</v>
      </c>
      <c r="M53" s="38">
        <f t="shared" si="25"/>
        <v>0</v>
      </c>
      <c r="N53" s="38">
        <f t="shared" si="25"/>
        <v>0</v>
      </c>
      <c r="O53" s="38">
        <f t="shared" si="25"/>
        <v>0</v>
      </c>
      <c r="P53" s="38">
        <f t="shared" si="25"/>
        <v>0</v>
      </c>
      <c r="Q53" s="38">
        <f t="shared" si="25"/>
        <v>0</v>
      </c>
      <c r="R53" s="38">
        <f t="shared" si="25"/>
        <v>0</v>
      </c>
      <c r="S53" s="38">
        <f t="shared" si="25"/>
        <v>0</v>
      </c>
      <c r="T53" s="38">
        <f t="shared" si="25"/>
        <v>0</v>
      </c>
      <c r="U53" s="29">
        <f>SUM(I53:T53)</f>
        <v>194280.27</v>
      </c>
      <c r="W53" s="276"/>
      <c r="X53" s="276"/>
    </row>
    <row r="54" spans="2:35" outlineLevel="1" x14ac:dyDescent="0.3">
      <c r="D54" s="361"/>
      <c r="E54" s="361"/>
      <c r="F54" s="361"/>
      <c r="G54" s="361"/>
      <c r="H54" s="361"/>
      <c r="I54" s="362">
        <f>+I55/I$4</f>
        <v>0.42985393075763262</v>
      </c>
      <c r="J54" s="362">
        <f t="shared" ref="J54:U54" si="26">+J55/J$4</f>
        <v>0.41927940349341214</v>
      </c>
      <c r="K54" s="362">
        <f t="shared" si="26"/>
        <v>1.1123947811429349E-2</v>
      </c>
      <c r="L54" s="362" t="e">
        <f t="shared" si="26"/>
        <v>#DIV/0!</v>
      </c>
      <c r="M54" s="362" t="e">
        <f t="shared" si="26"/>
        <v>#DIV/0!</v>
      </c>
      <c r="N54" s="362" t="e">
        <f t="shared" si="26"/>
        <v>#DIV/0!</v>
      </c>
      <c r="O54" s="362" t="e">
        <f t="shared" si="26"/>
        <v>#DIV/0!</v>
      </c>
      <c r="P54" s="362" t="e">
        <f t="shared" si="26"/>
        <v>#DIV/0!</v>
      </c>
      <c r="Q54" s="362" t="e">
        <f t="shared" si="26"/>
        <v>#DIV/0!</v>
      </c>
      <c r="R54" s="362" t="e">
        <f t="shared" si="26"/>
        <v>#DIV/0!</v>
      </c>
      <c r="S54" s="362" t="e">
        <f t="shared" si="26"/>
        <v>#DIV/0!</v>
      </c>
      <c r="T54" s="362" t="e">
        <f t="shared" si="26"/>
        <v>#DIV/0!</v>
      </c>
      <c r="U54" s="360">
        <f t="shared" si="26"/>
        <v>0.30564291229044738</v>
      </c>
    </row>
    <row r="55" spans="2:35" ht="14.4" customHeight="1" x14ac:dyDescent="0.3">
      <c r="D55" s="382" t="s">
        <v>36</v>
      </c>
      <c r="E55" s="382"/>
      <c r="F55" s="382"/>
      <c r="G55" s="382"/>
      <c r="H55" s="383"/>
      <c r="I55" s="363">
        <f t="shared" ref="I55:T55" si="27">SUM(I56:I60)</f>
        <v>56636.72</v>
      </c>
      <c r="J55" s="363">
        <f t="shared" si="27"/>
        <v>63482.909999999996</v>
      </c>
      <c r="K55" s="363">
        <f t="shared" si="27"/>
        <v>1267.99</v>
      </c>
      <c r="L55" s="363">
        <f t="shared" si="27"/>
        <v>0</v>
      </c>
      <c r="M55" s="363">
        <f t="shared" si="27"/>
        <v>0</v>
      </c>
      <c r="N55" s="363">
        <f t="shared" si="27"/>
        <v>0</v>
      </c>
      <c r="O55" s="363">
        <f t="shared" si="27"/>
        <v>0</v>
      </c>
      <c r="P55" s="363">
        <f t="shared" si="27"/>
        <v>0</v>
      </c>
      <c r="Q55" s="363">
        <f t="shared" si="27"/>
        <v>0</v>
      </c>
      <c r="R55" s="363">
        <f t="shared" si="27"/>
        <v>0</v>
      </c>
      <c r="S55" s="363">
        <f t="shared" si="27"/>
        <v>0</v>
      </c>
      <c r="T55" s="363">
        <f t="shared" si="27"/>
        <v>0</v>
      </c>
      <c r="U55" s="31">
        <f t="shared" ref="U55:U116" si="28">SUM(I55:T55)</f>
        <v>121387.62000000001</v>
      </c>
      <c r="V55" s="276"/>
      <c r="Y55" s="276"/>
      <c r="Z55" s="276"/>
      <c r="AA55" s="276"/>
      <c r="AB55" s="276"/>
      <c r="AC55" s="276"/>
      <c r="AD55" s="276"/>
      <c r="AE55" s="276"/>
      <c r="AF55" s="276"/>
      <c r="AG55" s="276"/>
      <c r="AH55" s="276"/>
      <c r="AI55" s="276"/>
    </row>
    <row r="56" spans="2:35" outlineLevel="1" x14ac:dyDescent="0.3">
      <c r="C56" t="s">
        <v>37</v>
      </c>
      <c r="D56" s="361"/>
      <c r="E56" s="361"/>
      <c r="F56" s="364" t="e" vm="1">
        <v>#VALUE!</v>
      </c>
      <c r="G56" s="384" t="s">
        <v>38</v>
      </c>
      <c r="H56" s="384"/>
      <c r="I56" s="365">
        <f>SUMIFS(g_manufacturing_sl[[net]:[net]],
g_manufacturing_sl[[yyyymm]:[yyyymm]],I$1,
g_manufacturing_sl[[supplier]:[supplier]],$G56)</f>
        <v>17898.080000000002</v>
      </c>
      <c r="J56" s="365">
        <f>SUMIFS(g_manufacturing_sl[[net]:[net]],
g_manufacturing_sl[[yyyymm]:[yyyymm]],J$1,
g_manufacturing_sl[[supplier]:[supplier]],$G56)</f>
        <v>22987.129999999997</v>
      </c>
      <c r="K56" s="365">
        <f>SUMIFS(g_manufacturing_sl[[net]:[net]],
g_manufacturing_sl[[yyyymm]:[yyyymm]],K$1,
g_manufacturing_sl[[supplier]:[supplier]],$G56)</f>
        <v>697.99</v>
      </c>
      <c r="L56" s="365">
        <f>SUMIFS(g_manufacturing_sl[[net]:[net]],
g_manufacturing_sl[[yyyymm]:[yyyymm]],L$1,
g_manufacturing_sl[[supplier]:[supplier]],$G56)</f>
        <v>0</v>
      </c>
      <c r="M56" s="365">
        <f>SUMIFS(g_manufacturing_sl[[net]:[net]],
g_manufacturing_sl[[yyyymm]:[yyyymm]],M$1,
g_manufacturing_sl[[supplier]:[supplier]],$G56)</f>
        <v>0</v>
      </c>
      <c r="N56" s="365">
        <f>SUMIFS(g_manufacturing_sl[[net]:[net]],
g_manufacturing_sl[[yyyymm]:[yyyymm]],N$1,
g_manufacturing_sl[[supplier]:[supplier]],$G56)</f>
        <v>0</v>
      </c>
      <c r="O56" s="365">
        <f>SUMIFS(g_manufacturing_sl[[net]:[net]],
g_manufacturing_sl[[yyyymm]:[yyyymm]],O$1,
g_manufacturing_sl[[supplier]:[supplier]],$G56)</f>
        <v>0</v>
      </c>
      <c r="P56" s="365">
        <f>SUMIFS(g_manufacturing_sl[[net]:[net]],
g_manufacturing_sl[[yyyymm]:[yyyymm]],P$1,
g_manufacturing_sl[[supplier]:[supplier]],$G56)</f>
        <v>0</v>
      </c>
      <c r="Q56" s="365">
        <f>SUMIFS(g_manufacturing_sl[[net]:[net]],
g_manufacturing_sl[[yyyymm]:[yyyymm]],Q$1,
g_manufacturing_sl[[supplier]:[supplier]],$G56)</f>
        <v>0</v>
      </c>
      <c r="R56" s="365">
        <f>SUMIFS(g_manufacturing_sl[[net]:[net]],
g_manufacturing_sl[[yyyymm]:[yyyymm]],R$1,
g_manufacturing_sl[[supplier]:[supplier]],$G56)</f>
        <v>0</v>
      </c>
      <c r="S56" s="365">
        <f>SUMIFS(g_manufacturing_sl[[net]:[net]],
g_manufacturing_sl[[yyyymm]:[yyyymm]],S$1,
g_manufacturing_sl[[supplier]:[supplier]],$G56)</f>
        <v>0</v>
      </c>
      <c r="T56" s="365">
        <f>SUMIFS(g_manufacturing_sl[[net]:[net]],
g_manufacturing_sl[[yyyymm]:[yyyymm]],T$1,
g_manufacturing_sl[[supplier]:[supplier]],$G56)</f>
        <v>0</v>
      </c>
      <c r="U56" s="31">
        <f t="shared" si="28"/>
        <v>41583.199999999997</v>
      </c>
    </row>
    <row r="57" spans="2:35" outlineLevel="1" x14ac:dyDescent="0.3">
      <c r="C57" t="s">
        <v>39</v>
      </c>
      <c r="D57" s="361"/>
      <c r="E57" s="361"/>
      <c r="F57" s="364" t="e" vm="1">
        <v>#VALUE!</v>
      </c>
      <c r="G57" s="384" t="s">
        <v>40</v>
      </c>
      <c r="H57" s="384"/>
      <c r="I57" s="366">
        <f>SUMIFS(g_manufacturing_sl[[net]:[net]],
g_manufacturing_sl[[yyyymm]:[yyyymm]],I$1,
g_manufacturing_sl[[supplier]:[supplier]],$G57)</f>
        <v>29.22</v>
      </c>
      <c r="J57" s="365">
        <f>SUMIFS(g_manufacturing_sl[[net]:[net]],
g_manufacturing_sl[[yyyymm]:[yyyymm]],J$1,
g_manufacturing_sl[[supplier]:[supplier]],$G57)</f>
        <v>59.84</v>
      </c>
      <c r="K57" s="365">
        <f>SUMIFS(g_manufacturing_sl[[net]:[net]],
g_manufacturing_sl[[yyyymm]:[yyyymm]],K$1,
g_manufacturing_sl[[supplier]:[supplier]],$G57)</f>
        <v>0</v>
      </c>
      <c r="L57" s="365">
        <f>SUMIFS(g_manufacturing_sl[[net]:[net]],
g_manufacturing_sl[[yyyymm]:[yyyymm]],L$1,
g_manufacturing_sl[[supplier]:[supplier]],$G57)</f>
        <v>0</v>
      </c>
      <c r="M57" s="365">
        <f>SUMIFS(g_manufacturing_sl[[net]:[net]],
g_manufacturing_sl[[yyyymm]:[yyyymm]],M$1,
g_manufacturing_sl[[supplier]:[supplier]],$G57)</f>
        <v>0</v>
      </c>
      <c r="N57" s="365">
        <f>SUMIFS(g_manufacturing_sl[[net]:[net]],
g_manufacturing_sl[[yyyymm]:[yyyymm]],N$1,
g_manufacturing_sl[[supplier]:[supplier]],$G57)</f>
        <v>0</v>
      </c>
      <c r="O57" s="365">
        <f>SUMIFS(g_manufacturing_sl[[net]:[net]],
g_manufacturing_sl[[yyyymm]:[yyyymm]],O$1,
g_manufacturing_sl[[supplier]:[supplier]],$G57)</f>
        <v>0</v>
      </c>
      <c r="P57" s="365">
        <f>SUMIFS(g_manufacturing_sl[[net]:[net]],
g_manufacturing_sl[[yyyymm]:[yyyymm]],P$1,
g_manufacturing_sl[[supplier]:[supplier]],$G57)</f>
        <v>0</v>
      </c>
      <c r="Q57" s="365">
        <f>SUMIFS(g_manufacturing_sl[[net]:[net]],
g_manufacturing_sl[[yyyymm]:[yyyymm]],Q$1,
g_manufacturing_sl[[supplier]:[supplier]],$G57)</f>
        <v>0</v>
      </c>
      <c r="R57" s="365">
        <f>SUMIFS(g_manufacturing_sl[[net]:[net]],
g_manufacturing_sl[[yyyymm]:[yyyymm]],R$1,
g_manufacturing_sl[[supplier]:[supplier]],$G57)</f>
        <v>0</v>
      </c>
      <c r="S57" s="365">
        <f>SUMIFS(g_manufacturing_sl[[net]:[net]],
g_manufacturing_sl[[yyyymm]:[yyyymm]],S$1,
g_manufacturing_sl[[supplier]:[supplier]],$G57)</f>
        <v>0</v>
      </c>
      <c r="T57" s="365">
        <f>SUMIFS(g_manufacturing_sl[[net]:[net]],
g_manufacturing_sl[[yyyymm]:[yyyymm]],T$1,
g_manufacturing_sl[[supplier]:[supplier]],$G57)</f>
        <v>0</v>
      </c>
      <c r="U57" s="31">
        <f t="shared" si="28"/>
        <v>89.06</v>
      </c>
      <c r="W57" s="55">
        <v>-63513.33</v>
      </c>
    </row>
    <row r="58" spans="2:35" outlineLevel="1" x14ac:dyDescent="0.3">
      <c r="C58" t="s">
        <v>41</v>
      </c>
      <c r="D58" s="361"/>
      <c r="E58" s="361"/>
      <c r="F58" s="364" t="e" vm="1">
        <v>#VALUE!</v>
      </c>
      <c r="G58" s="384" t="s">
        <v>407</v>
      </c>
      <c r="H58" s="384"/>
      <c r="I58" s="365">
        <f>SUMIFS(g_manufacturing_sl[[net]:[net]],
g_manufacturing_sl[[yyyymm]:[yyyymm]],I$1,
g_manufacturing_sl[[supplier]:[supplier]],$G58)</f>
        <v>28979.31</v>
      </c>
      <c r="J58" s="365">
        <f>SUMIFS(g_manufacturing_sl[[net]:[net]],
g_manufacturing_sl[[yyyymm]:[yyyymm]],J$1,
g_manufacturing_sl[[supplier]:[supplier]],$G58)</f>
        <v>33510.620000000003</v>
      </c>
      <c r="K58" s="365">
        <f>SUMIFS(g_manufacturing_sl[[net]:[net]],
g_manufacturing_sl[[yyyymm]:[yyyymm]],K$1,
g_manufacturing_sl[[supplier]:[supplier]],$G58)</f>
        <v>0</v>
      </c>
      <c r="L58" s="365">
        <f>SUMIFS(g_manufacturing_sl[[net]:[net]],
g_manufacturing_sl[[yyyymm]:[yyyymm]],L$1,
g_manufacturing_sl[[supplier]:[supplier]],$G58)</f>
        <v>0</v>
      </c>
      <c r="M58" s="365">
        <f>SUMIFS(g_manufacturing_sl[[net]:[net]],
g_manufacturing_sl[[yyyymm]:[yyyymm]],M$1,
g_manufacturing_sl[[supplier]:[supplier]],$G58)</f>
        <v>0</v>
      </c>
      <c r="N58" s="365">
        <f>SUMIFS(g_manufacturing_sl[[net]:[net]],
g_manufacturing_sl[[yyyymm]:[yyyymm]],N$1,
g_manufacturing_sl[[supplier]:[supplier]],$G58)</f>
        <v>0</v>
      </c>
      <c r="O58" s="365">
        <f>SUMIFS(g_manufacturing_sl[[net]:[net]],
g_manufacturing_sl[[yyyymm]:[yyyymm]],O$1,
g_manufacturing_sl[[supplier]:[supplier]],$G58)</f>
        <v>0</v>
      </c>
      <c r="P58" s="365">
        <f>SUMIFS(g_manufacturing_sl[[net]:[net]],
g_manufacturing_sl[[yyyymm]:[yyyymm]],P$1,
g_manufacturing_sl[[supplier]:[supplier]],$G58)</f>
        <v>0</v>
      </c>
      <c r="Q58" s="365">
        <f>SUMIFS(g_manufacturing_sl[[net]:[net]],
g_manufacturing_sl[[yyyymm]:[yyyymm]],Q$1,
g_manufacturing_sl[[supplier]:[supplier]],$G58)</f>
        <v>0</v>
      </c>
      <c r="R58" s="365">
        <f>SUMIFS(g_manufacturing_sl[[net]:[net]],
g_manufacturing_sl[[yyyymm]:[yyyymm]],R$1,
g_manufacturing_sl[[supplier]:[supplier]],$G58)</f>
        <v>0</v>
      </c>
      <c r="S58" s="365">
        <f>SUMIFS(g_manufacturing_sl[[net]:[net]],
g_manufacturing_sl[[yyyymm]:[yyyymm]],S$1,
g_manufacturing_sl[[supplier]:[supplier]],$G58)</f>
        <v>0</v>
      </c>
      <c r="T58" s="365">
        <f>SUMIFS(g_manufacturing_sl[[net]:[net]],
g_manufacturing_sl[[yyyymm]:[yyyymm]],T$1,
g_manufacturing_sl[[supplier]:[supplier]],$G58)</f>
        <v>0</v>
      </c>
      <c r="U58" s="31">
        <f t="shared" si="28"/>
        <v>62489.930000000008</v>
      </c>
      <c r="W58">
        <v>63482.909999999996</v>
      </c>
    </row>
    <row r="59" spans="2:35" outlineLevel="1" x14ac:dyDescent="0.3">
      <c r="C59" t="s">
        <v>43</v>
      </c>
      <c r="D59" s="361"/>
      <c r="E59" s="361"/>
      <c r="F59" s="364" t="e" vm="2">
        <v>#VALUE!</v>
      </c>
      <c r="G59" s="384" t="s">
        <v>408</v>
      </c>
      <c r="H59" s="384"/>
      <c r="I59" s="365">
        <f>SUMIFS(g_manufacturing_sl[[net]:[net]],
g_manufacturing_sl[[yyyymm]:[yyyymm]],I$1,
g_manufacturing_sl[[supplier]:[supplier]],$G59)</f>
        <v>9730.11</v>
      </c>
      <c r="J59" s="365">
        <f>SUMIFS(g_manufacturing_sl[[net]:[net]],
g_manufacturing_sl[[yyyymm]:[yyyymm]],J$1,
g_manufacturing_sl[[supplier]:[supplier]],$G59)</f>
        <v>6925.32</v>
      </c>
      <c r="K59" s="365">
        <f>SUMIFS(g_manufacturing_sl[[net]:[net]],
g_manufacturing_sl[[yyyymm]:[yyyymm]],K$1,
g_manufacturing_sl[[supplier]:[supplier]],$G59)</f>
        <v>0</v>
      </c>
      <c r="L59" s="365">
        <f>SUMIFS(g_manufacturing_sl[[net]:[net]],
g_manufacturing_sl[[yyyymm]:[yyyymm]],L$1,
g_manufacturing_sl[[supplier]:[supplier]],$G59)</f>
        <v>0</v>
      </c>
      <c r="M59" s="365">
        <f>SUMIFS(g_manufacturing_sl[[net]:[net]],
g_manufacturing_sl[[yyyymm]:[yyyymm]],M$1,
g_manufacturing_sl[[supplier]:[supplier]],$G59)</f>
        <v>0</v>
      </c>
      <c r="N59" s="365">
        <f>SUMIFS(g_manufacturing_sl[[net]:[net]],
g_manufacturing_sl[[yyyymm]:[yyyymm]],N$1,
g_manufacturing_sl[[supplier]:[supplier]],$G59)</f>
        <v>0</v>
      </c>
      <c r="O59" s="365">
        <f>SUMIFS(g_manufacturing_sl[[net]:[net]],
g_manufacturing_sl[[yyyymm]:[yyyymm]],O$1,
g_manufacturing_sl[[supplier]:[supplier]],$G59)</f>
        <v>0</v>
      </c>
      <c r="P59" s="365">
        <f>SUMIFS(g_manufacturing_sl[[net]:[net]],
g_manufacturing_sl[[yyyymm]:[yyyymm]],P$1,
g_manufacturing_sl[[supplier]:[supplier]],$G59)</f>
        <v>0</v>
      </c>
      <c r="Q59" s="365">
        <f>SUMIFS(g_manufacturing_sl[[net]:[net]],
g_manufacturing_sl[[yyyymm]:[yyyymm]],Q$1,
g_manufacturing_sl[[supplier]:[supplier]],$G59)</f>
        <v>0</v>
      </c>
      <c r="R59" s="365">
        <f>SUMIFS(g_manufacturing_sl[[net]:[net]],
g_manufacturing_sl[[yyyymm]:[yyyymm]],R$1,
g_manufacturing_sl[[supplier]:[supplier]],$G59)</f>
        <v>0</v>
      </c>
      <c r="S59" s="365">
        <f>SUMIFS(g_manufacturing_sl[[net]:[net]],
g_manufacturing_sl[[yyyymm]:[yyyymm]],S$1,
g_manufacturing_sl[[supplier]:[supplier]],$G59)</f>
        <v>0</v>
      </c>
      <c r="T59" s="365">
        <f>SUMIFS(g_manufacturing_sl[[net]:[net]],
g_manufacturing_sl[[yyyymm]:[yyyymm]],T$1,
g_manufacturing_sl[[supplier]:[supplier]],$G59)</f>
        <v>0</v>
      </c>
      <c r="U59" s="31">
        <f t="shared" si="28"/>
        <v>16655.43</v>
      </c>
      <c r="W59" s="55">
        <f>+W58+W57</f>
        <v>-30.42000000000553</v>
      </c>
    </row>
    <row r="60" spans="2:35" outlineLevel="1" x14ac:dyDescent="0.3">
      <c r="B60" t="s">
        <v>46</v>
      </c>
      <c r="C60" t="s">
        <v>47</v>
      </c>
      <c r="D60" s="361"/>
      <c r="E60" s="361"/>
      <c r="F60" s="364" t="e" vm="13">
        <v>#VALUE!</v>
      </c>
      <c r="G60" s="384" t="s">
        <v>1499</v>
      </c>
      <c r="H60" s="384"/>
      <c r="I60" s="365">
        <f>SUMIFS(g_manufacturing_sl[[net]:[net]],
g_manufacturing_sl[[yyyymm]:[yyyymm]],I$1,
g_manufacturing_sl[[supplier]:[supplier]],$G60)</f>
        <v>0</v>
      </c>
      <c r="J60" s="365">
        <f>SUMIFS(g_manufacturing_sl[[net]:[net]],
g_manufacturing_sl[[yyyymm]:[yyyymm]],J$1,
g_manufacturing_sl[[supplier]:[supplier]],$G60)</f>
        <v>0</v>
      </c>
      <c r="K60" s="365">
        <f>SUMIFS(g_manufacturing_sl[[net]:[net]],
g_manufacturing_sl[[yyyymm]:[yyyymm]],K$1,
g_manufacturing_sl[[supplier]:[supplier]],$G60)</f>
        <v>570</v>
      </c>
      <c r="L60" s="365">
        <f>SUMIFS(g_manufacturing_sl[[net]:[net]],
g_manufacturing_sl[[yyyymm]:[yyyymm]],L$1,
g_manufacturing_sl[[supplier]:[supplier]],$G60)</f>
        <v>0</v>
      </c>
      <c r="M60" s="365">
        <f>SUMIFS(g_manufacturing_sl[[net]:[net]],
g_manufacturing_sl[[yyyymm]:[yyyymm]],M$1,
g_manufacturing_sl[[supplier]:[supplier]],$G60)</f>
        <v>0</v>
      </c>
      <c r="N60" s="365">
        <f>SUMIFS(g_manufacturing_sl[[net]:[net]],
g_manufacturing_sl[[yyyymm]:[yyyymm]],N$1,
g_manufacturing_sl[[supplier]:[supplier]],$G60)</f>
        <v>0</v>
      </c>
      <c r="O60" s="365">
        <f>SUMIFS(g_manufacturing_sl[[net]:[net]],
g_manufacturing_sl[[yyyymm]:[yyyymm]],O$1,
g_manufacturing_sl[[supplier]:[supplier]],$G60)</f>
        <v>0</v>
      </c>
      <c r="P60" s="365">
        <f>SUMIFS(g_manufacturing_sl[[net]:[net]],
g_manufacturing_sl[[yyyymm]:[yyyymm]],P$1,
g_manufacturing_sl[[supplier]:[supplier]],$G60)</f>
        <v>0</v>
      </c>
      <c r="Q60" s="365">
        <f>SUMIFS(g_manufacturing_sl[[net]:[net]],
g_manufacturing_sl[[yyyymm]:[yyyymm]],Q$1,
g_manufacturing_sl[[supplier]:[supplier]],$G60)</f>
        <v>0</v>
      </c>
      <c r="R60" s="365">
        <f>SUMIFS(g_manufacturing_sl[[net]:[net]],
g_manufacturing_sl[[yyyymm]:[yyyymm]],R$1,
g_manufacturing_sl[[supplier]:[supplier]],$G60)</f>
        <v>0</v>
      </c>
      <c r="S60" s="365">
        <f>SUMIFS(g_manufacturing_sl[[net]:[net]],
g_manufacturing_sl[[yyyymm]:[yyyymm]],S$1,
g_manufacturing_sl[[supplier]:[supplier]],$G60)</f>
        <v>0</v>
      </c>
      <c r="T60" s="365">
        <f>SUMIFS(g_manufacturing_sl[[net]:[net]],
g_manufacturing_sl[[yyyymm]:[yyyymm]],T$1,
g_manufacturing_sl[[supplier]:[supplier]],$G60)</f>
        <v>0</v>
      </c>
      <c r="U60" s="31">
        <f t="shared" si="28"/>
        <v>570</v>
      </c>
    </row>
    <row r="61" spans="2:35" outlineLevel="1" x14ac:dyDescent="0.3">
      <c r="D61" s="361"/>
      <c r="E61" s="361"/>
      <c r="F61" s="364"/>
      <c r="G61" s="361"/>
      <c r="H61" s="361"/>
      <c r="I61" s="365"/>
      <c r="J61" s="365"/>
      <c r="K61" s="365"/>
      <c r="L61" s="365"/>
      <c r="M61" s="365"/>
      <c r="N61" s="365"/>
      <c r="O61" s="365"/>
      <c r="P61" s="365"/>
      <c r="Q61" s="365"/>
      <c r="R61" s="365"/>
      <c r="S61" s="365"/>
      <c r="T61" s="365"/>
      <c r="U61" s="31"/>
    </row>
    <row r="62" spans="2:35" outlineLevel="1" x14ac:dyDescent="0.3">
      <c r="D62" s="361"/>
      <c r="E62" s="361"/>
      <c r="F62" s="361"/>
      <c r="G62" s="361"/>
      <c r="H62" s="361"/>
      <c r="I62" s="362">
        <f>+I63/I$4</f>
        <v>0.13056643365878337</v>
      </c>
      <c r="J62" s="362">
        <f>+J63/J$4</f>
        <v>0.1181347465774288</v>
      </c>
      <c r="K62" s="362">
        <f t="shared" ref="K62" si="29">+K63/K$4</f>
        <v>0</v>
      </c>
      <c r="L62" s="362" t="e">
        <f t="shared" ref="L62" si="30">+L63/L$4</f>
        <v>#DIV/0!</v>
      </c>
      <c r="M62" s="362" t="e">
        <f t="shared" ref="M62" si="31">+M63/M$4</f>
        <v>#DIV/0!</v>
      </c>
      <c r="N62" s="362" t="e">
        <f t="shared" ref="N62" si="32">+N63/N$4</f>
        <v>#DIV/0!</v>
      </c>
      <c r="O62" s="362" t="e">
        <f t="shared" ref="O62" si="33">+O63/O$4</f>
        <v>#DIV/0!</v>
      </c>
      <c r="P62" s="362" t="e">
        <f t="shared" ref="P62" si="34">+P63/P$4</f>
        <v>#DIV/0!</v>
      </c>
      <c r="Q62" s="362" t="e">
        <f t="shared" ref="Q62" si="35">+Q63/Q$4</f>
        <v>#DIV/0!</v>
      </c>
      <c r="R62" s="362" t="e">
        <f t="shared" ref="R62" si="36">+R63/R$4</f>
        <v>#DIV/0!</v>
      </c>
      <c r="S62" s="362" t="e">
        <f t="shared" ref="S62" si="37">+S63/S$4</f>
        <v>#DIV/0!</v>
      </c>
      <c r="T62" s="362" t="e">
        <f t="shared" ref="T62:U62" si="38">+T63/T$4</f>
        <v>#DIV/0!</v>
      </c>
      <c r="U62" s="360">
        <f t="shared" si="38"/>
        <v>8.8353180368885176E-2</v>
      </c>
    </row>
    <row r="63" spans="2:35" ht="14.4" customHeight="1" x14ac:dyDescent="0.3">
      <c r="D63" s="375" t="s">
        <v>50</v>
      </c>
      <c r="E63" s="375"/>
      <c r="F63" s="375"/>
      <c r="G63" s="375"/>
      <c r="H63" s="376"/>
      <c r="I63" s="363">
        <f t="shared" ref="I63:T63" si="39">SUM(I64:I67)</f>
        <v>17203.18</v>
      </c>
      <c r="J63" s="363">
        <f t="shared" si="39"/>
        <v>17886.73</v>
      </c>
      <c r="K63" s="363">
        <f t="shared" si="39"/>
        <v>0</v>
      </c>
      <c r="L63" s="363">
        <f t="shared" si="39"/>
        <v>0</v>
      </c>
      <c r="M63" s="363">
        <f t="shared" si="39"/>
        <v>0</v>
      </c>
      <c r="N63" s="363">
        <f t="shared" si="39"/>
        <v>0</v>
      </c>
      <c r="O63" s="363">
        <f t="shared" si="39"/>
        <v>0</v>
      </c>
      <c r="P63" s="363">
        <f t="shared" si="39"/>
        <v>0</v>
      </c>
      <c r="Q63" s="363">
        <f t="shared" si="39"/>
        <v>0</v>
      </c>
      <c r="R63" s="363">
        <f t="shared" si="39"/>
        <v>0</v>
      </c>
      <c r="S63" s="363">
        <f t="shared" si="39"/>
        <v>0</v>
      </c>
      <c r="T63" s="363">
        <f t="shared" si="39"/>
        <v>0</v>
      </c>
      <c r="U63" s="31">
        <f t="shared" si="28"/>
        <v>35089.910000000003</v>
      </c>
    </row>
    <row r="64" spans="2:35" outlineLevel="2" x14ac:dyDescent="0.3">
      <c r="C64" t="s">
        <v>51</v>
      </c>
      <c r="D64" s="361"/>
      <c r="E64" s="361"/>
      <c r="F64" s="361"/>
      <c r="G64" s="384" t="s">
        <v>421</v>
      </c>
      <c r="H64" s="384"/>
      <c r="I64" s="367">
        <f>SUMIFS(g_shipping_sl[[net]:[net]],g_shipping_sl[[yyyymm]:[yyyymm]],I$1,g_shipping_sl[[supplier]:[supplier]],$G64)</f>
        <v>12319.26</v>
      </c>
      <c r="J64" s="367">
        <f>SUMIFS(g_shipping_sl[[net]:[net]],g_shipping_sl[[yyyymm]:[yyyymm]],J$1,g_shipping_sl[[supplier]:[supplier]],$G64)</f>
        <v>15947.02</v>
      </c>
      <c r="K64" s="367">
        <f>SUMIFS(g_shipping_sl[[net]:[net]],g_shipping_sl[[yyyymm]:[yyyymm]],K$1,g_shipping_sl[[supplier]:[supplier]],$G64)</f>
        <v>0</v>
      </c>
      <c r="L64" s="367">
        <f>SUMIFS(g_shipping_sl[[net]:[net]],g_shipping_sl[[yyyymm]:[yyyymm]],L$1,g_shipping_sl[[supplier]:[supplier]],$G64)</f>
        <v>0</v>
      </c>
      <c r="M64" s="367">
        <f>SUMIFS(g_shipping_sl[[net]:[net]],g_shipping_sl[[yyyymm]:[yyyymm]],M$1,g_shipping_sl[[supplier]:[supplier]],$G64)</f>
        <v>0</v>
      </c>
      <c r="N64" s="367">
        <f>SUMIFS(g_shipping_sl[[net]:[net]],g_shipping_sl[[yyyymm]:[yyyymm]],N$1,g_shipping_sl[[supplier]:[supplier]],$G64)</f>
        <v>0</v>
      </c>
      <c r="O64" s="367">
        <f>SUMIFS(g_shipping_sl[[net]:[net]],g_shipping_sl[[yyyymm]:[yyyymm]],O$1,g_shipping_sl[[supplier]:[supplier]],$G64)</f>
        <v>0</v>
      </c>
      <c r="P64" s="367">
        <f>SUMIFS(g_shipping_sl[[net]:[net]],g_shipping_sl[[yyyymm]:[yyyymm]],P$1,g_shipping_sl[[supplier]:[supplier]],$G64)</f>
        <v>0</v>
      </c>
      <c r="Q64" s="367">
        <f>SUMIFS(g_shipping_sl[[net]:[net]],g_shipping_sl[[yyyymm]:[yyyymm]],Q$1,g_shipping_sl[[supplier]:[supplier]],$G64)</f>
        <v>0</v>
      </c>
      <c r="R64" s="367">
        <f>SUMIFS(g_shipping_sl[[net]:[net]],g_shipping_sl[[yyyymm]:[yyyymm]],R$1,g_shipping_sl[[supplier]:[supplier]],$G64)</f>
        <v>0</v>
      </c>
      <c r="S64" s="367">
        <f>SUMIFS(g_shipping_sl[[net]:[net]],g_shipping_sl[[yyyymm]:[yyyymm]],S$1,g_shipping_sl[[supplier]:[supplier]],$G64)</f>
        <v>0</v>
      </c>
      <c r="T64" s="367">
        <f>SUMIFS(g_shipping_sl[[net]:[net]],g_shipping_sl[[yyyymm]:[yyyymm]],T$1,g_shipping_sl[[supplier]:[supplier]],$G64)</f>
        <v>0</v>
      </c>
      <c r="U64" s="31">
        <f t="shared" ref="U64:U67" si="40">SUM(I64:T64)</f>
        <v>28266.28</v>
      </c>
      <c r="X64" s="59"/>
    </row>
    <row r="65" spans="3:25" outlineLevel="2" x14ac:dyDescent="0.3">
      <c r="C65" t="s">
        <v>52</v>
      </c>
      <c r="D65" s="361"/>
      <c r="E65" s="361"/>
      <c r="F65" s="361"/>
      <c r="G65" s="384" t="s">
        <v>422</v>
      </c>
      <c r="H65" s="384"/>
      <c r="I65" s="367">
        <f>SUMIFS(g_shipping_sl[[net]:[net]],g_shipping_sl[[yyyymm]:[yyyymm]],I$1,g_shipping_sl[[supplier]:[supplier]],$G65)</f>
        <v>575.06999999999994</v>
      </c>
      <c r="J65" s="367">
        <f>SUMIFS(g_shipping_sl[[net]:[net]],g_shipping_sl[[yyyymm]:[yyyymm]],J$1,g_shipping_sl[[supplier]:[supplier]],$G65)</f>
        <v>113.22</v>
      </c>
      <c r="K65" s="367">
        <f>SUMIFS(g_shipping_sl[[net]:[net]],g_shipping_sl[[yyyymm]:[yyyymm]],K$1,g_shipping_sl[[supplier]:[supplier]],$G65)</f>
        <v>0</v>
      </c>
      <c r="L65" s="367">
        <f>SUMIFS(g_shipping_sl[[net]:[net]],g_shipping_sl[[yyyymm]:[yyyymm]],L$1,g_shipping_sl[[supplier]:[supplier]],$G65)</f>
        <v>0</v>
      </c>
      <c r="M65" s="367">
        <f>SUMIFS(g_shipping_sl[[net]:[net]],g_shipping_sl[[yyyymm]:[yyyymm]],M$1,g_shipping_sl[[supplier]:[supplier]],$G65)</f>
        <v>0</v>
      </c>
      <c r="N65" s="367">
        <f>SUMIFS(g_shipping_sl[[net]:[net]],g_shipping_sl[[yyyymm]:[yyyymm]],N$1,g_shipping_sl[[supplier]:[supplier]],$G65)</f>
        <v>0</v>
      </c>
      <c r="O65" s="367">
        <f>SUMIFS(g_shipping_sl[[net]:[net]],g_shipping_sl[[yyyymm]:[yyyymm]],O$1,g_shipping_sl[[supplier]:[supplier]],$G65)</f>
        <v>0</v>
      </c>
      <c r="P65" s="367">
        <f>SUMIFS(g_shipping_sl[[net]:[net]],g_shipping_sl[[yyyymm]:[yyyymm]],P$1,g_shipping_sl[[supplier]:[supplier]],$G65)</f>
        <v>0</v>
      </c>
      <c r="Q65" s="367">
        <f>SUMIFS(g_shipping_sl[[net]:[net]],g_shipping_sl[[yyyymm]:[yyyymm]],Q$1,g_shipping_sl[[supplier]:[supplier]],$G65)</f>
        <v>0</v>
      </c>
      <c r="R65" s="367">
        <f>SUMIFS(g_shipping_sl[[net]:[net]],g_shipping_sl[[yyyymm]:[yyyymm]],R$1,g_shipping_sl[[supplier]:[supplier]],$G65)</f>
        <v>0</v>
      </c>
      <c r="S65" s="367">
        <f>SUMIFS(g_shipping_sl[[net]:[net]],g_shipping_sl[[yyyymm]:[yyyymm]],S$1,g_shipping_sl[[supplier]:[supplier]],$G65)</f>
        <v>0</v>
      </c>
      <c r="T65" s="367">
        <f>SUMIFS(g_shipping_sl[[net]:[net]],g_shipping_sl[[yyyymm]:[yyyymm]],T$1,g_shipping_sl[[supplier]:[supplier]],$G65)</f>
        <v>0</v>
      </c>
      <c r="U65" s="31">
        <f t="shared" si="40"/>
        <v>688.29</v>
      </c>
      <c r="X65" s="59"/>
      <c r="Y65" s="92"/>
    </row>
    <row r="66" spans="3:25" outlineLevel="2" x14ac:dyDescent="0.3">
      <c r="C66" t="s">
        <v>54</v>
      </c>
      <c r="D66" s="361"/>
      <c r="E66" s="361"/>
      <c r="F66" s="361"/>
      <c r="G66" s="384" t="s">
        <v>425</v>
      </c>
      <c r="H66" s="384"/>
      <c r="I66" s="367">
        <f>SUMIFS(g_shipping_sl[[net]:[net]],g_shipping_sl[[yyyymm]:[yyyymm]],I$1,g_shipping_sl[[supplier]:[supplier]],$G66)</f>
        <v>3.3</v>
      </c>
      <c r="J66" s="367">
        <f>SUMIFS(g_shipping_sl[[net]:[net]],g_shipping_sl[[yyyymm]:[yyyymm]],J$1,g_shipping_sl[[supplier]:[supplier]],$G66)</f>
        <v>0</v>
      </c>
      <c r="K66" s="367">
        <f>SUMIFS(g_shipping_sl[[net]:[net]],g_shipping_sl[[yyyymm]:[yyyymm]],K$1,g_shipping_sl[[supplier]:[supplier]],$G66)</f>
        <v>0</v>
      </c>
      <c r="L66" s="367">
        <f>SUMIFS(g_shipping_sl[[net]:[net]],g_shipping_sl[[yyyymm]:[yyyymm]],L$1,g_shipping_sl[[supplier]:[supplier]],$G66)</f>
        <v>0</v>
      </c>
      <c r="M66" s="367">
        <f>SUMIFS(g_shipping_sl[[net]:[net]],g_shipping_sl[[yyyymm]:[yyyymm]],M$1,g_shipping_sl[[supplier]:[supplier]],$G66)</f>
        <v>0</v>
      </c>
      <c r="N66" s="367">
        <f>SUMIFS(g_shipping_sl[[net]:[net]],g_shipping_sl[[yyyymm]:[yyyymm]],N$1,g_shipping_sl[[supplier]:[supplier]],$G66)</f>
        <v>0</v>
      </c>
      <c r="O66" s="367">
        <f>SUMIFS(g_shipping_sl[[net]:[net]],g_shipping_sl[[yyyymm]:[yyyymm]],O$1,g_shipping_sl[[supplier]:[supplier]],$G66)</f>
        <v>0</v>
      </c>
      <c r="P66" s="367">
        <f>SUMIFS(g_shipping_sl[[net]:[net]],g_shipping_sl[[yyyymm]:[yyyymm]],P$1,g_shipping_sl[[supplier]:[supplier]],$G66)</f>
        <v>0</v>
      </c>
      <c r="Q66" s="367">
        <f>SUMIFS(g_shipping_sl[[net]:[net]],g_shipping_sl[[yyyymm]:[yyyymm]],Q$1,g_shipping_sl[[supplier]:[supplier]],$G66)</f>
        <v>0</v>
      </c>
      <c r="R66" s="367">
        <f>SUMIFS(g_shipping_sl[[net]:[net]],g_shipping_sl[[yyyymm]:[yyyymm]],R$1,g_shipping_sl[[supplier]:[supplier]],$G66)</f>
        <v>0</v>
      </c>
      <c r="S66" s="367">
        <f>SUMIFS(g_shipping_sl[[net]:[net]],g_shipping_sl[[yyyymm]:[yyyymm]],S$1,g_shipping_sl[[supplier]:[supplier]],$G66)</f>
        <v>0</v>
      </c>
      <c r="T66" s="367">
        <f>SUMIFS(g_shipping_sl[[net]:[net]],g_shipping_sl[[yyyymm]:[yyyymm]],T$1,g_shipping_sl[[supplier]:[supplier]],$G66)</f>
        <v>0</v>
      </c>
      <c r="U66" s="31">
        <f t="shared" si="40"/>
        <v>3.3</v>
      </c>
      <c r="Y66" s="92"/>
    </row>
    <row r="67" spans="3:25" outlineLevel="2" x14ac:dyDescent="0.3">
      <c r="C67" t="s">
        <v>55</v>
      </c>
      <c r="D67" s="361"/>
      <c r="E67" s="361"/>
      <c r="F67" s="361"/>
      <c r="G67" s="384" t="s">
        <v>1032</v>
      </c>
      <c r="H67" s="384"/>
      <c r="I67" s="367">
        <f>SUMIFS(g_shipping_sl[[net]:[net]],g_shipping_sl[[yyyymm]:[yyyymm]],I$1,g_shipping_sl[[supplier]:[supplier]],$G67)</f>
        <v>4305.55</v>
      </c>
      <c r="J67" s="367">
        <f>SUMIFS(g_shipping_sl[[net]:[net]],g_shipping_sl[[yyyymm]:[yyyymm]],J$1,g_shipping_sl[[supplier]:[supplier]],$G67)</f>
        <v>1826.4900000000002</v>
      </c>
      <c r="K67" s="367">
        <f>SUMIFS(g_shipping_sl[[net]:[net]],g_shipping_sl[[yyyymm]:[yyyymm]],K$1,g_shipping_sl[[supplier]:[supplier]],$G67)</f>
        <v>0</v>
      </c>
      <c r="L67" s="367">
        <f>SUMIFS(g_shipping_sl[[net]:[net]],g_shipping_sl[[yyyymm]:[yyyymm]],L$1,g_shipping_sl[[supplier]:[supplier]],$G67)</f>
        <v>0</v>
      </c>
      <c r="M67" s="367">
        <f>SUMIFS(g_shipping_sl[[net]:[net]],g_shipping_sl[[yyyymm]:[yyyymm]],M$1,g_shipping_sl[[supplier]:[supplier]],$G67)</f>
        <v>0</v>
      </c>
      <c r="N67" s="367">
        <f>SUMIFS(g_shipping_sl[[net]:[net]],g_shipping_sl[[yyyymm]:[yyyymm]],N$1,g_shipping_sl[[supplier]:[supplier]],$G67)</f>
        <v>0</v>
      </c>
      <c r="O67" s="367">
        <f>SUMIFS(g_shipping_sl[[net]:[net]],g_shipping_sl[[yyyymm]:[yyyymm]],O$1,g_shipping_sl[[supplier]:[supplier]],$G67)</f>
        <v>0</v>
      </c>
      <c r="P67" s="367">
        <f>SUMIFS(g_shipping_sl[[net]:[net]],g_shipping_sl[[yyyymm]:[yyyymm]],P$1,g_shipping_sl[[supplier]:[supplier]],$G67)</f>
        <v>0</v>
      </c>
      <c r="Q67" s="367">
        <f>SUMIFS(g_shipping_sl[[net]:[net]],g_shipping_sl[[yyyymm]:[yyyymm]],Q$1,g_shipping_sl[[supplier]:[supplier]],$G67)</f>
        <v>0</v>
      </c>
      <c r="R67" s="367">
        <f>SUMIFS(g_shipping_sl[[net]:[net]],g_shipping_sl[[yyyymm]:[yyyymm]],R$1,g_shipping_sl[[supplier]:[supplier]],$G67)</f>
        <v>0</v>
      </c>
      <c r="S67" s="367">
        <f>SUMIFS(g_shipping_sl[[net]:[net]],g_shipping_sl[[yyyymm]:[yyyymm]],S$1,g_shipping_sl[[supplier]:[supplier]],$G67)</f>
        <v>0</v>
      </c>
      <c r="T67" s="367">
        <f>SUMIFS(g_shipping_sl[[net]:[net]],g_shipping_sl[[yyyymm]:[yyyymm]],T$1,g_shipping_sl[[supplier]:[supplier]],$G67)</f>
        <v>0</v>
      </c>
      <c r="U67" s="31">
        <f t="shared" si="40"/>
        <v>6132.0400000000009</v>
      </c>
      <c r="Y67" s="92"/>
    </row>
    <row r="68" spans="3:25" outlineLevel="2" x14ac:dyDescent="0.3">
      <c r="D68" s="361"/>
      <c r="E68" s="361"/>
      <c r="F68" s="361"/>
      <c r="G68" s="361"/>
      <c r="H68" s="361"/>
      <c r="I68" s="367"/>
      <c r="J68" s="367"/>
      <c r="K68" s="367"/>
      <c r="L68" s="367"/>
      <c r="M68" s="367"/>
      <c r="N68" s="367"/>
      <c r="O68" s="367"/>
      <c r="P68" s="367"/>
      <c r="Q68" s="367"/>
      <c r="R68" s="367"/>
      <c r="S68" s="367"/>
      <c r="T68" s="367"/>
      <c r="U68" s="31"/>
      <c r="Y68" s="92"/>
    </row>
    <row r="69" spans="3:25" outlineLevel="2" x14ac:dyDescent="0.3">
      <c r="D69" s="361"/>
      <c r="E69" s="361"/>
      <c r="F69" s="361"/>
      <c r="G69" s="361"/>
      <c r="H69" s="361"/>
      <c r="I69" s="362">
        <f>+I70/I$4</f>
        <v>0.10425927643439802</v>
      </c>
      <c r="J69" s="362">
        <f t="shared" ref="J69" si="41">+J70/J$4</f>
        <v>0.1100458914219155</v>
      </c>
      <c r="K69" s="362">
        <f t="shared" ref="K69" si="42">+K70/K$4</f>
        <v>0</v>
      </c>
      <c r="L69" s="362" t="e">
        <f t="shared" ref="L69" si="43">+L70/L$4</f>
        <v>#DIV/0!</v>
      </c>
      <c r="M69" s="362" t="e">
        <f t="shared" ref="M69" si="44">+M70/M$4</f>
        <v>#DIV/0!</v>
      </c>
      <c r="N69" s="362" t="e">
        <f t="shared" ref="N69" si="45">+N70/N$4</f>
        <v>#DIV/0!</v>
      </c>
      <c r="O69" s="362" t="e">
        <f t="shared" ref="O69" si="46">+O70/O$4</f>
        <v>#DIV/0!</v>
      </c>
      <c r="P69" s="362" t="e">
        <f t="shared" ref="P69" si="47">+P70/P$4</f>
        <v>#DIV/0!</v>
      </c>
      <c r="Q69" s="362" t="e">
        <f t="shared" ref="Q69" si="48">+Q70/Q$4</f>
        <v>#DIV/0!</v>
      </c>
      <c r="R69" s="362" t="e">
        <f t="shared" ref="R69" si="49">+R70/R$4</f>
        <v>#DIV/0!</v>
      </c>
      <c r="S69" s="362" t="e">
        <f t="shared" ref="S69" si="50">+S70/S$4</f>
        <v>#DIV/0!</v>
      </c>
      <c r="T69" s="362" t="e">
        <f t="shared" ref="T69:U69" si="51">+T70/T$4</f>
        <v>#DIV/0!</v>
      </c>
      <c r="U69" s="360">
        <f t="shared" si="51"/>
        <v>7.6541898512527962E-2</v>
      </c>
      <c r="W69" s="59"/>
      <c r="X69" s="273"/>
    </row>
    <row r="70" spans="3:25" ht="14.4" customHeight="1" x14ac:dyDescent="0.3">
      <c r="D70" s="375" t="s">
        <v>57</v>
      </c>
      <c r="E70" s="375"/>
      <c r="F70" s="375"/>
      <c r="G70" s="375"/>
      <c r="H70" s="376"/>
      <c r="I70" s="363">
        <f>SUMIFS(g_royalties_sl[[total]:[total]],g_royalties_sl[[yyyymm]:[yyyymm]],I$1)</f>
        <v>13737</v>
      </c>
      <c r="J70" s="363">
        <f>SUMIFS(g_royalties_sl[[total]:[total]],g_royalties_sl[[yyyymm]:[yyyymm]],J$1)</f>
        <v>16662</v>
      </c>
      <c r="K70" s="363">
        <f>SUMIFS(g_royalties_sl[[total]:[total]],g_royalties_sl[[yyyymm]:[yyyymm]],K$1)</f>
        <v>0</v>
      </c>
      <c r="L70" s="363">
        <f>SUMIFS(g_royalties_sl[[total]:[total]],g_royalties_sl[[yyyymm]:[yyyymm]],L$1)</f>
        <v>0</v>
      </c>
      <c r="M70" s="363">
        <f>SUMIFS(g_royalties_sl[[total]:[total]],g_royalties_sl[[yyyymm]:[yyyymm]],M$1)</f>
        <v>0</v>
      </c>
      <c r="N70" s="363">
        <f>SUMIFS(g_royalties_sl[[total]:[total]],g_royalties_sl[[yyyymm]:[yyyymm]],N$1)</f>
        <v>0</v>
      </c>
      <c r="O70" s="363">
        <f>SUMIFS(g_royalties_sl[[total]:[total]],g_royalties_sl[[yyyymm]:[yyyymm]],O$1)</f>
        <v>0</v>
      </c>
      <c r="P70" s="363">
        <f>SUMIFS(g_royalties_sl[[total]:[total]],g_royalties_sl[[yyyymm]:[yyyymm]],P$1)</f>
        <v>0</v>
      </c>
      <c r="Q70" s="363">
        <f>SUMIFS(g_royalties_sl[[total]:[total]],g_royalties_sl[[yyyymm]:[yyyymm]],Q$1)</f>
        <v>0</v>
      </c>
      <c r="R70" s="363">
        <f>SUMIFS(g_royalties_sl[[total]:[total]],g_royalties_sl[[yyyymm]:[yyyymm]],R$1)</f>
        <v>0</v>
      </c>
      <c r="S70" s="363">
        <f>SUMIFS(g_royalties_sl[[total]:[total]],g_royalties_sl[[yyyymm]:[yyyymm]],S$1)</f>
        <v>0</v>
      </c>
      <c r="T70" s="363">
        <f>SUMIFS(g_royalties_sl[[total]:[total]],g_royalties_sl[[yyyymm]:[yyyymm]],T$1)</f>
        <v>0</v>
      </c>
      <c r="U70" s="31">
        <f>SUM(I70:T70)</f>
        <v>30399</v>
      </c>
      <c r="V70" s="55"/>
    </row>
    <row r="71" spans="3:25" outlineLevel="1" x14ac:dyDescent="0.3">
      <c r="C71" t="s">
        <v>58</v>
      </c>
      <c r="D71" s="368"/>
      <c r="E71" s="368"/>
      <c r="F71" s="368"/>
      <c r="G71" s="384" t="s">
        <v>59</v>
      </c>
      <c r="H71" s="384"/>
      <c r="I71" s="365">
        <f>+I70-I72-I73</f>
        <v>11994</v>
      </c>
      <c r="J71" s="365">
        <f t="shared" ref="J71:T71" si="52">+J70-J72-J73</f>
        <v>14322</v>
      </c>
      <c r="K71" s="365">
        <f t="shared" si="52"/>
        <v>0</v>
      </c>
      <c r="L71" s="365">
        <f t="shared" si="52"/>
        <v>0</v>
      </c>
      <c r="M71" s="365">
        <f t="shared" si="52"/>
        <v>0</v>
      </c>
      <c r="N71" s="365">
        <f t="shared" si="52"/>
        <v>0</v>
      </c>
      <c r="O71" s="365">
        <f t="shared" si="52"/>
        <v>0</v>
      </c>
      <c r="P71" s="365">
        <f t="shared" si="52"/>
        <v>0</v>
      </c>
      <c r="Q71" s="365">
        <f t="shared" si="52"/>
        <v>0</v>
      </c>
      <c r="R71" s="365">
        <f t="shared" si="52"/>
        <v>0</v>
      </c>
      <c r="S71" s="365">
        <f t="shared" si="52"/>
        <v>0</v>
      </c>
      <c r="T71" s="365">
        <f t="shared" si="52"/>
        <v>0</v>
      </c>
      <c r="U71" s="31">
        <f t="shared" si="28"/>
        <v>26316</v>
      </c>
    </row>
    <row r="72" spans="3:25" outlineLevel="1" x14ac:dyDescent="0.3">
      <c r="C72" t="s">
        <v>60</v>
      </c>
      <c r="D72" s="368"/>
      <c r="E72" s="368"/>
      <c r="F72" s="368"/>
      <c r="G72" s="384" t="s">
        <v>61</v>
      </c>
      <c r="H72" s="384"/>
      <c r="I72" s="365">
        <f>SUMIFS(g_royalties_sl[[uk]:[uk]],g_royalties_sl[[yyyymm]:[yyyymm]],I$1)</f>
        <v>1272</v>
      </c>
      <c r="J72" s="365">
        <f>SUMIFS(g_royalties_sl[[uk]:[uk]],g_royalties_sl[[yyyymm]:[yyyymm]],J$1)</f>
        <v>1596</v>
      </c>
      <c r="K72" s="365">
        <f>SUMIFS(g_royalties_sl[[uk]:[uk]],g_royalties_sl[[yyyymm]:[yyyymm]],K$1)</f>
        <v>0</v>
      </c>
      <c r="L72" s="365">
        <f>SUMIFS(g_royalties_sl[[uk]:[uk]],g_royalties_sl[[yyyymm]:[yyyymm]],L$1)</f>
        <v>0</v>
      </c>
      <c r="M72" s="365">
        <f>SUMIFS(g_royalties_sl[[uk]:[uk]],g_royalties_sl[[yyyymm]:[yyyymm]],M$1)</f>
        <v>0</v>
      </c>
      <c r="N72" s="365">
        <f>SUMIFS(g_royalties_sl[[uk]:[uk]],g_royalties_sl[[yyyymm]:[yyyymm]],N$1)</f>
        <v>0</v>
      </c>
      <c r="O72" s="365">
        <f>SUMIFS(g_royalties_sl[[uk]:[uk]],g_royalties_sl[[yyyymm]:[yyyymm]],O$1)</f>
        <v>0</v>
      </c>
      <c r="P72" s="365">
        <f>SUMIFS(g_royalties_sl[[uk]:[uk]],g_royalties_sl[[yyyymm]:[yyyymm]],P$1)</f>
        <v>0</v>
      </c>
      <c r="Q72" s="365">
        <f>SUMIFS(g_royalties_sl[[uk]:[uk]],g_royalties_sl[[yyyymm]:[yyyymm]],Q$1)</f>
        <v>0</v>
      </c>
      <c r="R72" s="365">
        <f>SUMIFS(g_royalties_sl[[uk]:[uk]],g_royalties_sl[[yyyymm]:[yyyymm]],R$1)</f>
        <v>0</v>
      </c>
      <c r="S72" s="365">
        <f>SUMIFS(g_royalties_sl[[uk]:[uk]],g_royalties_sl[[yyyymm]:[yyyymm]],S$1)</f>
        <v>0</v>
      </c>
      <c r="T72" s="365">
        <f>SUMIFS(g_royalties_sl[[uk]:[uk]],g_royalties_sl[[yyyymm]:[yyyymm]],T$1)</f>
        <v>0</v>
      </c>
      <c r="U72" s="31">
        <f t="shared" si="28"/>
        <v>2868</v>
      </c>
    </row>
    <row r="73" spans="3:25" outlineLevel="1" x14ac:dyDescent="0.3">
      <c r="C73" t="s">
        <v>62</v>
      </c>
      <c r="D73" s="361"/>
      <c r="E73" s="361"/>
      <c r="F73" s="361"/>
      <c r="G73" s="384" t="s">
        <v>63</v>
      </c>
      <c r="H73" s="384"/>
      <c r="I73" s="365">
        <f>SUMIFS(g_royalties_sl[[us]:[us]],g_royalties_sl[[yyyymm]:[yyyymm]],I$1)</f>
        <v>471</v>
      </c>
      <c r="J73" s="365">
        <f>SUMIFS(g_royalties_sl[[us]:[us]],g_royalties_sl[[yyyymm]:[yyyymm]],J$1)</f>
        <v>744</v>
      </c>
      <c r="K73" s="365">
        <f>SUMIFS(g_royalties_sl[[us]:[us]],g_royalties_sl[[yyyymm]:[yyyymm]],K$1)</f>
        <v>0</v>
      </c>
      <c r="L73" s="365">
        <f>SUMIFS(g_royalties_sl[[us]:[us]],g_royalties_sl[[yyyymm]:[yyyymm]],L$1)</f>
        <v>0</v>
      </c>
      <c r="M73" s="365">
        <f>SUMIFS(g_royalties_sl[[us]:[us]],g_royalties_sl[[yyyymm]:[yyyymm]],M$1)</f>
        <v>0</v>
      </c>
      <c r="N73" s="365">
        <f>SUMIFS(g_royalties_sl[[us]:[us]],g_royalties_sl[[yyyymm]:[yyyymm]],N$1)</f>
        <v>0</v>
      </c>
      <c r="O73" s="365">
        <f>SUMIFS(g_royalties_sl[[us]:[us]],g_royalties_sl[[yyyymm]:[yyyymm]],O$1)</f>
        <v>0</v>
      </c>
      <c r="P73" s="365">
        <f>SUMIFS(g_royalties_sl[[us]:[us]],g_royalties_sl[[yyyymm]:[yyyymm]],P$1)</f>
        <v>0</v>
      </c>
      <c r="Q73" s="365">
        <f>SUMIFS(g_royalties_sl[[us]:[us]],g_royalties_sl[[yyyymm]:[yyyymm]],Q$1)</f>
        <v>0</v>
      </c>
      <c r="R73" s="365">
        <f>SUMIFS(g_royalties_sl[[us]:[us]],g_royalties_sl[[yyyymm]:[yyyymm]],R$1)</f>
        <v>0</v>
      </c>
      <c r="S73" s="365">
        <f>SUMIFS(g_royalties_sl[[us]:[us]],g_royalties_sl[[yyyymm]:[yyyymm]],S$1)</f>
        <v>0</v>
      </c>
      <c r="T73" s="365">
        <f>SUMIFS(g_royalties_sl[[us]:[us]],g_royalties_sl[[yyyymm]:[yyyymm]],T$1)</f>
        <v>0</v>
      </c>
      <c r="U73" s="31">
        <f t="shared" si="28"/>
        <v>1215</v>
      </c>
      <c r="W73" s="55">
        <v>-17203.18</v>
      </c>
      <c r="X73" s="55">
        <v>-17886.73</v>
      </c>
      <c r="Y73" s="55">
        <f>+X73+W73</f>
        <v>-35089.910000000003</v>
      </c>
    </row>
    <row r="74" spans="3:25" outlineLevel="1" x14ac:dyDescent="0.3">
      <c r="D74" s="361"/>
      <c r="E74" s="361"/>
      <c r="F74" s="361"/>
      <c r="G74" s="361"/>
      <c r="H74" s="361"/>
      <c r="I74" s="365"/>
      <c r="J74" s="365"/>
      <c r="K74" s="365"/>
      <c r="L74" s="365"/>
      <c r="M74" s="365"/>
      <c r="N74" s="365"/>
      <c r="O74" s="365"/>
      <c r="P74" s="365"/>
      <c r="Q74" s="365"/>
      <c r="R74" s="365"/>
      <c r="S74" s="365"/>
      <c r="T74" s="365"/>
      <c r="U74" s="31"/>
      <c r="W74" s="55"/>
      <c r="X74" s="55"/>
      <c r="Y74" s="55"/>
    </row>
    <row r="75" spans="3:25" outlineLevel="1" x14ac:dyDescent="0.3">
      <c r="D75" s="361"/>
      <c r="E75" s="361"/>
      <c r="F75" s="361"/>
      <c r="G75" s="361"/>
      <c r="H75" s="361"/>
      <c r="I75" s="362">
        <f>+I76/I$4</f>
        <v>3.036049559321077E-2</v>
      </c>
      <c r="J75" s="362">
        <f t="shared" ref="J75" si="53">+J76/J$4</f>
        <v>2.2478765541621017E-2</v>
      </c>
      <c r="K75" s="362">
        <f t="shared" ref="K75" si="54">+K76/K$4</f>
        <v>0</v>
      </c>
      <c r="L75" s="362" t="e">
        <f t="shared" ref="L75" si="55">+L76/L$4</f>
        <v>#DIV/0!</v>
      </c>
      <c r="M75" s="362" t="e">
        <f t="shared" ref="M75" si="56">+M76/M$4</f>
        <v>#DIV/0!</v>
      </c>
      <c r="N75" s="362" t="e">
        <f t="shared" ref="N75" si="57">+N76/N$4</f>
        <v>#DIV/0!</v>
      </c>
      <c r="O75" s="362" t="e">
        <f t="shared" ref="O75" si="58">+O76/O$4</f>
        <v>#DIV/0!</v>
      </c>
      <c r="P75" s="362" t="e">
        <f t="shared" ref="P75" si="59">+P76/P$4</f>
        <v>#DIV/0!</v>
      </c>
      <c r="Q75" s="362" t="e">
        <f t="shared" ref="Q75" si="60">+Q76/Q$4</f>
        <v>#DIV/0!</v>
      </c>
      <c r="R75" s="362" t="e">
        <f t="shared" ref="R75" si="61">+R76/R$4</f>
        <v>#DIV/0!</v>
      </c>
      <c r="S75" s="362" t="e">
        <f t="shared" ref="S75" si="62">+S76/S$4</f>
        <v>#DIV/0!</v>
      </c>
      <c r="T75" s="362" t="e">
        <f t="shared" ref="T75" si="63">+T76/T$4</f>
        <v>#DIV/0!</v>
      </c>
      <c r="U75" s="360">
        <f>+U76/U$4</f>
        <v>1.8641939395807224E-2</v>
      </c>
      <c r="W75" s="55"/>
      <c r="X75" s="55"/>
      <c r="Y75" s="55"/>
    </row>
    <row r="76" spans="3:25" ht="14.4" customHeight="1" x14ac:dyDescent="0.3">
      <c r="C76" s="24"/>
      <c r="D76" s="375" t="s">
        <v>64</v>
      </c>
      <c r="E76" s="375"/>
      <c r="F76" s="375"/>
      <c r="G76" s="375"/>
      <c r="H76" s="376"/>
      <c r="I76" s="363">
        <f>SUM(I77:I79)</f>
        <v>4000.2400000000002</v>
      </c>
      <c r="J76" s="363">
        <f t="shared" ref="J76:T76" si="64">SUM(J77:J79)</f>
        <v>3403.5</v>
      </c>
      <c r="K76" s="363">
        <f t="shared" si="64"/>
        <v>0</v>
      </c>
      <c r="L76" s="363">
        <f t="shared" si="64"/>
        <v>0</v>
      </c>
      <c r="M76" s="363">
        <f t="shared" si="64"/>
        <v>0</v>
      </c>
      <c r="N76" s="363">
        <f t="shared" si="64"/>
        <v>0</v>
      </c>
      <c r="O76" s="363">
        <f t="shared" si="64"/>
        <v>0</v>
      </c>
      <c r="P76" s="363">
        <f t="shared" si="64"/>
        <v>0</v>
      </c>
      <c r="Q76" s="363">
        <f t="shared" si="64"/>
        <v>0</v>
      </c>
      <c r="R76" s="363">
        <f t="shared" si="64"/>
        <v>0</v>
      </c>
      <c r="S76" s="363">
        <f t="shared" si="64"/>
        <v>0</v>
      </c>
      <c r="T76" s="363">
        <f t="shared" si="64"/>
        <v>0</v>
      </c>
      <c r="U76" s="31">
        <f t="shared" si="28"/>
        <v>7403.74</v>
      </c>
      <c r="Y76" s="59">
        <f>+J63+I63</f>
        <v>35089.910000000003</v>
      </c>
    </row>
    <row r="77" spans="3:25" outlineLevel="1" x14ac:dyDescent="0.3">
      <c r="C77" t="s">
        <v>65</v>
      </c>
      <c r="D77" s="361"/>
      <c r="E77" s="361"/>
      <c r="F77" s="361"/>
      <c r="G77" s="384" t="s">
        <v>9</v>
      </c>
      <c r="H77" s="384"/>
      <c r="I77" s="365">
        <f>SUMIFS(g_paymentsuplier_sl[[total]:[total]],g_paymentsuplier_sl[[yyyymm]:[yyyymm]],I$1,g_paymentsuplier_sl[[supplier]:[supplier]],$G77)</f>
        <v>2623.76</v>
      </c>
      <c r="J77" s="365">
        <f>SUMIFS(g_paymentsuplier_sl[[total]:[total]],g_paymentsuplier_sl[[yyyymm]:[yyyymm]],J$1,g_paymentsuplier_sl[[supplier]:[supplier]],$G77)</f>
        <v>2221.5</v>
      </c>
      <c r="K77" s="365">
        <f>SUMIFS(g_paymentsuplier_sl[[total]:[total]],g_paymentsuplier_sl[[yyyymm]:[yyyymm]],K$1,g_paymentsuplier_sl[[supplier]:[supplier]],$G77)</f>
        <v>0</v>
      </c>
      <c r="L77" s="365">
        <f>SUMIFS(g_paymentsuplier_sl[[total]:[total]],g_paymentsuplier_sl[[yyyymm]:[yyyymm]],L$1,g_paymentsuplier_sl[[supplier]:[supplier]],$G77)</f>
        <v>0</v>
      </c>
      <c r="M77" s="365">
        <f>SUMIFS(g_paymentsuplier_sl[[total]:[total]],g_paymentsuplier_sl[[yyyymm]:[yyyymm]],M$1,g_paymentsuplier_sl[[supplier]:[supplier]],$G77)</f>
        <v>0</v>
      </c>
      <c r="N77" s="365">
        <f>SUMIFS(g_paymentsuplier_sl[[total]:[total]],g_paymentsuplier_sl[[yyyymm]:[yyyymm]],N$1,g_paymentsuplier_sl[[supplier]:[supplier]],$G77)</f>
        <v>0</v>
      </c>
      <c r="O77" s="365">
        <f>SUMIFS(g_paymentsuplier_sl[[total]:[total]],g_paymentsuplier_sl[[yyyymm]:[yyyymm]],O$1,g_paymentsuplier_sl[[supplier]:[supplier]],$G77)</f>
        <v>0</v>
      </c>
      <c r="P77" s="365">
        <f>SUMIFS(g_paymentsuplier_sl[[total]:[total]],g_paymentsuplier_sl[[yyyymm]:[yyyymm]],P$1,g_paymentsuplier_sl[[supplier]:[supplier]],$G77)</f>
        <v>0</v>
      </c>
      <c r="Q77" s="365">
        <f>SUMIFS(g_paymentsuplier_sl[[total]:[total]],g_paymentsuplier_sl[[yyyymm]:[yyyymm]],Q$1,g_paymentsuplier_sl[[supplier]:[supplier]],$G77)</f>
        <v>0</v>
      </c>
      <c r="R77" s="365">
        <f>SUMIFS(g_paymentsuplier_sl[[total]:[total]],g_paymentsuplier_sl[[yyyymm]:[yyyymm]],R$1,g_paymentsuplier_sl[[supplier]:[supplier]],$G77)</f>
        <v>0</v>
      </c>
      <c r="S77" s="365">
        <f>SUMIFS(g_paymentsuplier_sl[[total]:[total]],g_paymentsuplier_sl[[yyyymm]:[yyyymm]],S$1,g_paymentsuplier_sl[[supplier]:[supplier]],$G77)</f>
        <v>0</v>
      </c>
      <c r="T77" s="365">
        <f>SUMIFS(g_paymentsuplier_sl[[total]:[total]],g_paymentsuplier_sl[[yyyymm]:[yyyymm]],T$1,g_paymentsuplier_sl[[supplier]:[supplier]],$G77)</f>
        <v>0</v>
      </c>
      <c r="U77" s="31">
        <f t="shared" ref="U77:U78" si="65">SUM(I77:T77)</f>
        <v>4845.26</v>
      </c>
      <c r="Y77" s="55">
        <f>+Y76+Y73</f>
        <v>0</v>
      </c>
    </row>
    <row r="78" spans="3:25" outlineLevel="1" x14ac:dyDescent="0.3">
      <c r="C78" t="s">
        <v>66</v>
      </c>
      <c r="D78" s="361"/>
      <c r="E78" s="361"/>
      <c r="F78" s="361"/>
      <c r="G78" s="384" t="s">
        <v>67</v>
      </c>
      <c r="H78" s="384"/>
      <c r="I78" s="365">
        <f>SUMIFS(g_paymentsuplier_sl[[total]:[total]],g_paymentsuplier_sl[[yyyymm]:[yyyymm]],I$1,g_paymentsuplier_sl[[supplier]:[supplier]],$G78)</f>
        <v>1366.48</v>
      </c>
      <c r="J78" s="365">
        <f>SUMIFS(g_paymentsuplier_sl[[total]:[total]],g_paymentsuplier_sl[[yyyymm]:[yyyymm]],J$1,g_paymentsuplier_sl[[supplier]:[supplier]],$G78)</f>
        <v>1172</v>
      </c>
      <c r="K78" s="365">
        <f>SUMIFS(g_paymentsuplier_sl[[total]:[total]],g_paymentsuplier_sl[[yyyymm]:[yyyymm]],K$1,g_paymentsuplier_sl[[supplier]:[supplier]],$G78)</f>
        <v>0</v>
      </c>
      <c r="L78" s="365">
        <f>SUMIFS(g_paymentsuplier_sl[[total]:[total]],g_paymentsuplier_sl[[yyyymm]:[yyyymm]],L$1,g_paymentsuplier_sl[[supplier]:[supplier]],$G78)</f>
        <v>0</v>
      </c>
      <c r="M78" s="365">
        <f>SUMIFS(g_paymentsuplier_sl[[total]:[total]],g_paymentsuplier_sl[[yyyymm]:[yyyymm]],M$1,g_paymentsuplier_sl[[supplier]:[supplier]],$G78)</f>
        <v>0</v>
      </c>
      <c r="N78" s="365">
        <f>SUMIFS(g_paymentsuplier_sl[[total]:[total]],g_paymentsuplier_sl[[yyyymm]:[yyyymm]],N$1,g_paymentsuplier_sl[[supplier]:[supplier]],$G78)</f>
        <v>0</v>
      </c>
      <c r="O78" s="365">
        <f>SUMIFS(g_paymentsuplier_sl[[total]:[total]],g_paymentsuplier_sl[[yyyymm]:[yyyymm]],O$1,g_paymentsuplier_sl[[supplier]:[supplier]],$G78)</f>
        <v>0</v>
      </c>
      <c r="P78" s="365">
        <f>SUMIFS(g_paymentsuplier_sl[[total]:[total]],g_paymentsuplier_sl[[yyyymm]:[yyyymm]],P$1,g_paymentsuplier_sl[[supplier]:[supplier]],$G78)</f>
        <v>0</v>
      </c>
      <c r="Q78" s="365">
        <f>SUMIFS(g_paymentsuplier_sl[[total]:[total]],g_paymentsuplier_sl[[yyyymm]:[yyyymm]],Q$1,g_paymentsuplier_sl[[supplier]:[supplier]],$G78)</f>
        <v>0</v>
      </c>
      <c r="R78" s="365">
        <f>SUMIFS(g_paymentsuplier_sl[[total]:[total]],g_paymentsuplier_sl[[yyyymm]:[yyyymm]],R$1,g_paymentsuplier_sl[[supplier]:[supplier]],$G78)</f>
        <v>0</v>
      </c>
      <c r="S78" s="365">
        <f>SUMIFS(g_paymentsuplier_sl[[total]:[total]],g_paymentsuplier_sl[[yyyymm]:[yyyymm]],S$1,g_paymentsuplier_sl[[supplier]:[supplier]],$G78)</f>
        <v>0</v>
      </c>
      <c r="T78" s="365">
        <f>SUMIFS(g_paymentsuplier_sl[[total]:[total]],g_paymentsuplier_sl[[yyyymm]:[yyyymm]],T$1,g_paymentsuplier_sl[[supplier]:[supplier]],$G78)</f>
        <v>0</v>
      </c>
      <c r="U78" s="31">
        <f t="shared" si="65"/>
        <v>2538.48</v>
      </c>
    </row>
    <row r="79" spans="3:25" outlineLevel="1" x14ac:dyDescent="0.3">
      <c r="D79" s="361"/>
      <c r="E79" s="361"/>
      <c r="F79" s="361"/>
      <c r="G79" s="369" t="s">
        <v>73</v>
      </c>
      <c r="H79" s="361"/>
      <c r="I79" s="365">
        <f>SUMIFS(g_paymentsuplier_sl[[total]:[total]],g_paymentsuplier_sl[[yyyymm]:[yyyymm]],I$1,g_paymentsuplier_sl[[supplier]:[supplier]],$G79)</f>
        <v>10</v>
      </c>
      <c r="J79" s="365">
        <f>SUMIFS(g_paymentsuplier_sl[[total]:[total]],g_paymentsuplier_sl[[yyyymm]:[yyyymm]],J$1,g_paymentsuplier_sl[[supplier]:[supplier]],$G79)</f>
        <v>10</v>
      </c>
      <c r="K79" s="365">
        <f>SUMIFS(g_paymentsuplier_sl[[total]:[total]],g_paymentsuplier_sl[[yyyymm]:[yyyymm]],K$1,g_paymentsuplier_sl[[supplier]:[supplier]],$G79)</f>
        <v>0</v>
      </c>
      <c r="L79" s="365">
        <f>SUMIFS(g_paymentsuplier_sl[[total]:[total]],g_paymentsuplier_sl[[yyyymm]:[yyyymm]],L$1,g_paymentsuplier_sl[[supplier]:[supplier]],$G79)</f>
        <v>0</v>
      </c>
      <c r="M79" s="365">
        <f>SUMIFS(g_paymentsuplier_sl[[total]:[total]],g_paymentsuplier_sl[[yyyymm]:[yyyymm]],M$1,g_paymentsuplier_sl[[supplier]:[supplier]],$G79)</f>
        <v>0</v>
      </c>
      <c r="N79" s="365">
        <f>SUMIFS(g_paymentsuplier_sl[[total]:[total]],g_paymentsuplier_sl[[yyyymm]:[yyyymm]],N$1,g_paymentsuplier_sl[[supplier]:[supplier]],$G79)</f>
        <v>0</v>
      </c>
      <c r="O79" s="365">
        <f>SUMIFS(g_paymentsuplier_sl[[total]:[total]],g_paymentsuplier_sl[[yyyymm]:[yyyymm]],O$1,g_paymentsuplier_sl[[supplier]:[supplier]],$G79)</f>
        <v>0</v>
      </c>
      <c r="P79" s="365">
        <f>SUMIFS(g_paymentsuplier_sl[[total]:[total]],g_paymentsuplier_sl[[yyyymm]:[yyyymm]],P$1,g_paymentsuplier_sl[[supplier]:[supplier]],$G79)</f>
        <v>0</v>
      </c>
      <c r="Q79" s="365">
        <f>SUMIFS(g_paymentsuplier_sl[[total]:[total]],g_paymentsuplier_sl[[yyyymm]:[yyyymm]],Q$1,g_paymentsuplier_sl[[supplier]:[supplier]],$G79)</f>
        <v>0</v>
      </c>
      <c r="R79" s="365">
        <f>SUMIFS(g_paymentsuplier_sl[[total]:[total]],g_paymentsuplier_sl[[yyyymm]:[yyyymm]],R$1,g_paymentsuplier_sl[[supplier]:[supplier]],$G79)</f>
        <v>0</v>
      </c>
      <c r="S79" s="365">
        <f>SUMIFS(g_paymentsuplier_sl[[total]:[total]],g_paymentsuplier_sl[[yyyymm]:[yyyymm]],S$1,g_paymentsuplier_sl[[supplier]:[supplier]],$G79)</f>
        <v>0</v>
      </c>
      <c r="T79" s="365">
        <f>SUMIFS(g_paymentsuplier_sl[[total]:[total]],g_paymentsuplier_sl[[yyyymm]:[yyyymm]],T$1,g_paymentsuplier_sl[[supplier]:[supplier]],$G79)</f>
        <v>0</v>
      </c>
      <c r="U79" s="31"/>
    </row>
    <row r="80" spans="3:25" ht="15" outlineLevel="1" thickBot="1" x14ac:dyDescent="0.35">
      <c r="D80" s="361"/>
      <c r="E80" s="361"/>
      <c r="F80" s="361"/>
      <c r="G80" s="369"/>
      <c r="H80" s="361"/>
      <c r="I80" s="365"/>
      <c r="J80" s="365"/>
      <c r="K80" s="365"/>
      <c r="L80" s="365"/>
      <c r="M80" s="365"/>
      <c r="N80" s="365"/>
      <c r="O80" s="365"/>
      <c r="P80" s="365"/>
      <c r="Q80" s="365"/>
      <c r="R80" s="365"/>
      <c r="S80" s="365"/>
      <c r="T80" s="365"/>
      <c r="U80" s="31"/>
    </row>
    <row r="81" spans="1:21" ht="15" customHeight="1" outlineLevel="1" thickBot="1" x14ac:dyDescent="0.35">
      <c r="A81" s="411" t="s">
        <v>82</v>
      </c>
      <c r="B81" s="412"/>
      <c r="C81" s="412"/>
      <c r="D81" s="412"/>
      <c r="E81" s="412"/>
      <c r="F81" s="412"/>
      <c r="G81" s="412"/>
      <c r="H81" s="413"/>
      <c r="I81" s="51">
        <f t="shared" ref="I81:T81" si="66">1-(I55/(+I5+I16+I21+I23))</f>
        <v>0.57014606924236744</v>
      </c>
      <c r="J81" s="51">
        <f t="shared" si="66"/>
        <v>0.58072059650658781</v>
      </c>
      <c r="K81" s="51">
        <f t="shared" si="66"/>
        <v>0.98887605218857066</v>
      </c>
      <c r="L81" s="51" t="e">
        <f t="shared" si="66"/>
        <v>#DIV/0!</v>
      </c>
      <c r="M81" s="51" t="e">
        <f t="shared" si="66"/>
        <v>#DIV/0!</v>
      </c>
      <c r="N81" s="51" t="e">
        <f t="shared" si="66"/>
        <v>#DIV/0!</v>
      </c>
      <c r="O81" s="51" t="e">
        <f t="shared" si="66"/>
        <v>#DIV/0!</v>
      </c>
      <c r="P81" s="51" t="e">
        <f t="shared" si="66"/>
        <v>#DIV/0!</v>
      </c>
      <c r="Q81" s="51" t="e">
        <f t="shared" si="66"/>
        <v>#DIV/0!</v>
      </c>
      <c r="R81" s="51" t="e">
        <f t="shared" si="66"/>
        <v>#DIV/0!</v>
      </c>
      <c r="S81" s="51" t="e">
        <f t="shared" si="66"/>
        <v>#DIV/0!</v>
      </c>
      <c r="T81" s="51" t="e">
        <f t="shared" si="66"/>
        <v>#DIV/0!</v>
      </c>
      <c r="U81" s="52">
        <f ca="1">SUMIFS(
  INDIRECT("input_invoice[net]"),
  INDIRECT("input_invoice[yyyymm]"), 'P&amp;G-SL'!U$1,
  INDIRECT("input_invoice[concept/supplier]"), 'P&amp;G-SL'!$C81
)</f>
        <v>0</v>
      </c>
    </row>
    <row r="82" spans="1:21" ht="15" customHeight="1" outlineLevel="1" thickBot="1" x14ac:dyDescent="0.35">
      <c r="A82" s="409" t="s">
        <v>83</v>
      </c>
      <c r="B82" s="409"/>
      <c r="C82" s="409"/>
      <c r="D82" s="409"/>
      <c r="E82" s="409"/>
      <c r="F82" s="409"/>
      <c r="G82" s="409"/>
      <c r="H82" s="410"/>
      <c r="I82" s="370">
        <f t="shared" ref="I82:T82" si="67">+I4-I55</f>
        <v>75121.34</v>
      </c>
      <c r="J82" s="370">
        <f t="shared" si="67"/>
        <v>87926.65</v>
      </c>
      <c r="K82" s="370">
        <f t="shared" si="67"/>
        <v>112719.42</v>
      </c>
      <c r="L82" s="370">
        <f t="shared" si="67"/>
        <v>0</v>
      </c>
      <c r="M82" s="370">
        <f t="shared" si="67"/>
        <v>0</v>
      </c>
      <c r="N82" s="370">
        <f t="shared" si="67"/>
        <v>0</v>
      </c>
      <c r="O82" s="370">
        <f t="shared" si="67"/>
        <v>0</v>
      </c>
      <c r="P82" s="370">
        <f t="shared" si="67"/>
        <v>0</v>
      </c>
      <c r="Q82" s="370">
        <f t="shared" si="67"/>
        <v>0</v>
      </c>
      <c r="R82" s="370">
        <f t="shared" si="67"/>
        <v>0</v>
      </c>
      <c r="S82" s="370">
        <f t="shared" si="67"/>
        <v>0</v>
      </c>
      <c r="T82" s="370">
        <f t="shared" si="67"/>
        <v>0</v>
      </c>
      <c r="U82" s="52"/>
    </row>
    <row r="83" spans="1:21" ht="14.4" customHeight="1" x14ac:dyDescent="0.3">
      <c r="C83" s="24"/>
      <c r="D83" s="408" t="s">
        <v>84</v>
      </c>
      <c r="E83" s="409"/>
      <c r="F83" s="409"/>
      <c r="G83" s="409"/>
      <c r="H83" s="410"/>
      <c r="I83" s="51">
        <f t="shared" ref="I83:T83" si="68">1-((I53)/I3)</f>
        <v>0.40019312576799848</v>
      </c>
      <c r="J83" s="51">
        <f t="shared" si="68"/>
        <v>0.41748160361950537</v>
      </c>
      <c r="K83" s="51">
        <f t="shared" si="68"/>
        <v>0.98887605218857066</v>
      </c>
      <c r="L83" s="51" t="e">
        <f t="shared" si="68"/>
        <v>#DIV/0!</v>
      </c>
      <c r="M83" s="51" t="e">
        <f t="shared" si="68"/>
        <v>#DIV/0!</v>
      </c>
      <c r="N83" s="51" t="e">
        <f t="shared" si="68"/>
        <v>#DIV/0!</v>
      </c>
      <c r="O83" s="51" t="e">
        <f t="shared" si="68"/>
        <v>#DIV/0!</v>
      </c>
      <c r="P83" s="51" t="e">
        <f t="shared" si="68"/>
        <v>#DIV/0!</v>
      </c>
      <c r="Q83" s="51" t="e">
        <f t="shared" si="68"/>
        <v>#DIV/0!</v>
      </c>
      <c r="R83" s="51" t="e">
        <f t="shared" si="68"/>
        <v>#DIV/0!</v>
      </c>
      <c r="S83" s="51" t="e">
        <f t="shared" si="68"/>
        <v>#DIV/0!</v>
      </c>
      <c r="T83" s="51" t="e">
        <f t="shared" si="68"/>
        <v>#DIV/0!</v>
      </c>
      <c r="U83" s="52">
        <f ca="1">SUMIFS(
  INDIRECT("input_invoice[net]"),
  INDIRECT("input_invoice[yyyymm]"), 'P&amp;G-SL'!U$1,
  INDIRECT("input_invoice[concept/supplier]"), 'P&amp;G-SL'!$C83
)</f>
        <v>0</v>
      </c>
    </row>
    <row r="84" spans="1:21" ht="15" customHeight="1" thickBot="1" x14ac:dyDescent="0.35">
      <c r="C84" s="24"/>
      <c r="D84" s="377" t="s">
        <v>85</v>
      </c>
      <c r="E84" s="378"/>
      <c r="F84" s="378"/>
      <c r="G84" s="378"/>
      <c r="H84" s="379"/>
      <c r="I84" s="53">
        <f t="shared" ref="I84:T84" si="69">+I3-I53</f>
        <v>61100.569999999992</v>
      </c>
      <c r="J84" s="53">
        <f t="shared" si="69"/>
        <v>72696.939999999988</v>
      </c>
      <c r="K84" s="53">
        <f t="shared" si="69"/>
        <v>112719.42</v>
      </c>
      <c r="L84" s="53">
        <f t="shared" si="69"/>
        <v>0</v>
      </c>
      <c r="M84" s="53">
        <f t="shared" si="69"/>
        <v>0</v>
      </c>
      <c r="N84" s="53">
        <f t="shared" si="69"/>
        <v>0</v>
      </c>
      <c r="O84" s="53">
        <f t="shared" si="69"/>
        <v>0</v>
      </c>
      <c r="P84" s="53">
        <f t="shared" si="69"/>
        <v>0</v>
      </c>
      <c r="Q84" s="53">
        <f t="shared" si="69"/>
        <v>0</v>
      </c>
      <c r="R84" s="53">
        <f t="shared" si="69"/>
        <v>0</v>
      </c>
      <c r="S84" s="53">
        <f t="shared" si="69"/>
        <v>0</v>
      </c>
      <c r="T84" s="53">
        <f t="shared" si="69"/>
        <v>0</v>
      </c>
      <c r="U84" s="54">
        <f t="shared" si="28"/>
        <v>246516.93</v>
      </c>
    </row>
    <row r="85" spans="1:21" x14ac:dyDescent="0.3">
      <c r="D85" s="346"/>
      <c r="E85" s="347"/>
      <c r="F85" s="346"/>
      <c r="G85" s="346"/>
      <c r="H85" s="348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37"/>
    </row>
    <row r="86" spans="1:21" x14ac:dyDescent="0.3">
      <c r="D86" s="357"/>
      <c r="E86" s="358"/>
      <c r="F86" s="357"/>
      <c r="G86" s="357"/>
      <c r="H86" s="359"/>
      <c r="I86" s="356">
        <f ca="1">+I87/I3</f>
        <v>0.49836465388431622</v>
      </c>
      <c r="J86" s="356">
        <f t="shared" ref="J86:U86" ca="1" si="70">+J87/J3</f>
        <v>0.39868727584009939</v>
      </c>
      <c r="K86" s="356">
        <f t="shared" ca="1" si="70"/>
        <v>0</v>
      </c>
      <c r="L86" s="356" t="e">
        <f t="shared" ca="1" si="70"/>
        <v>#DIV/0!</v>
      </c>
      <c r="M86" s="356" t="e">
        <f t="shared" ca="1" si="70"/>
        <v>#DIV/0!</v>
      </c>
      <c r="N86" s="356" t="e">
        <f t="shared" ca="1" si="70"/>
        <v>#DIV/0!</v>
      </c>
      <c r="O86" s="356" t="e">
        <f t="shared" ca="1" si="70"/>
        <v>#DIV/0!</v>
      </c>
      <c r="P86" s="356" t="e">
        <f t="shared" ca="1" si="70"/>
        <v>#DIV/0!</v>
      </c>
      <c r="Q86" s="356" t="e">
        <f t="shared" ca="1" si="70"/>
        <v>#DIV/0!</v>
      </c>
      <c r="R86" s="356" t="e">
        <f t="shared" ca="1" si="70"/>
        <v>#DIV/0!</v>
      </c>
      <c r="S86" s="356" t="e">
        <f t="shared" ca="1" si="70"/>
        <v>#DIV/0!</v>
      </c>
      <c r="T86" s="356" t="e">
        <f t="shared" ca="1" si="70"/>
        <v>#DIV/0!</v>
      </c>
      <c r="U86" s="356">
        <f t="shared" ca="1" si="70"/>
        <v>0.33011420832884208</v>
      </c>
    </row>
    <row r="87" spans="1:21" ht="18" customHeight="1" x14ac:dyDescent="0.35">
      <c r="D87" s="406" t="s">
        <v>86</v>
      </c>
      <c r="E87" s="406"/>
      <c r="F87" s="406"/>
      <c r="G87" s="406"/>
      <c r="H87" s="407"/>
      <c r="I87" s="93">
        <f t="shared" ref="I87:T87" ca="1" si="71">+I89+I103+I113+I145</f>
        <v>76089.174100000004</v>
      </c>
      <c r="J87" s="93">
        <f t="shared" ca="1" si="71"/>
        <v>69424.244611570248</v>
      </c>
      <c r="K87" s="93">
        <f t="shared" ca="1" si="71"/>
        <v>0</v>
      </c>
      <c r="L87" s="93">
        <f t="shared" ca="1" si="71"/>
        <v>0</v>
      </c>
      <c r="M87" s="93">
        <f t="shared" ca="1" si="71"/>
        <v>0</v>
      </c>
      <c r="N87" s="93">
        <f t="shared" ca="1" si="71"/>
        <v>0</v>
      </c>
      <c r="O87" s="93">
        <f t="shared" ca="1" si="71"/>
        <v>0</v>
      </c>
      <c r="P87" s="93">
        <f t="shared" ca="1" si="71"/>
        <v>0</v>
      </c>
      <c r="Q87" s="93">
        <f t="shared" ca="1" si="71"/>
        <v>0</v>
      </c>
      <c r="R87" s="93">
        <f t="shared" ca="1" si="71"/>
        <v>0</v>
      </c>
      <c r="S87" s="93">
        <f t="shared" ca="1" si="71"/>
        <v>0</v>
      </c>
      <c r="T87" s="93">
        <f t="shared" ca="1" si="71"/>
        <v>0</v>
      </c>
      <c r="U87" s="31">
        <f t="shared" ca="1" si="28"/>
        <v>145513.41871157027</v>
      </c>
    </row>
    <row r="88" spans="1:21" outlineLevel="1" x14ac:dyDescent="0.3">
      <c r="D88" s="354"/>
      <c r="E88" s="349"/>
      <c r="F88" s="349"/>
      <c r="G88" s="349"/>
      <c r="H88" s="354"/>
      <c r="I88" s="356">
        <f>+I89/I$84</f>
        <v>0.89440278544046337</v>
      </c>
      <c r="J88" s="356">
        <f t="shared" ref="J88:T88" si="72">+J89/J$84</f>
        <v>0.65513211422654127</v>
      </c>
      <c r="K88" s="356">
        <f t="shared" si="72"/>
        <v>0</v>
      </c>
      <c r="L88" s="356" t="e">
        <f t="shared" si="72"/>
        <v>#DIV/0!</v>
      </c>
      <c r="M88" s="356" t="e">
        <f t="shared" si="72"/>
        <v>#DIV/0!</v>
      </c>
      <c r="N88" s="356" t="e">
        <f t="shared" si="72"/>
        <v>#DIV/0!</v>
      </c>
      <c r="O88" s="356" t="e">
        <f t="shared" si="72"/>
        <v>#DIV/0!</v>
      </c>
      <c r="P88" s="356" t="e">
        <f t="shared" si="72"/>
        <v>#DIV/0!</v>
      </c>
      <c r="Q88" s="356" t="e">
        <f t="shared" si="72"/>
        <v>#DIV/0!</v>
      </c>
      <c r="R88" s="356" t="e">
        <f t="shared" si="72"/>
        <v>#DIV/0!</v>
      </c>
      <c r="S88" s="356" t="e">
        <f t="shared" si="72"/>
        <v>#DIV/0!</v>
      </c>
      <c r="T88" s="356" t="e">
        <f t="shared" si="72"/>
        <v>#DIV/0!</v>
      </c>
      <c r="U88" s="31"/>
    </row>
    <row r="89" spans="1:21" x14ac:dyDescent="0.3">
      <c r="D89"/>
      <c r="E89" s="385" t="s">
        <v>87</v>
      </c>
      <c r="F89" s="385"/>
      <c r="G89" s="385"/>
      <c r="H89" s="386"/>
      <c r="I89" s="39">
        <f>+I90+I91</f>
        <v>54648.520000000004</v>
      </c>
      <c r="J89" s="39">
        <f>+J90+J91</f>
        <v>47626.100000000006</v>
      </c>
      <c r="K89" s="39">
        <f t="shared" ref="K89:T89" si="73">+K90+K91</f>
        <v>0</v>
      </c>
      <c r="L89" s="39">
        <f t="shared" si="73"/>
        <v>0</v>
      </c>
      <c r="M89" s="39">
        <f t="shared" si="73"/>
        <v>0</v>
      </c>
      <c r="N89" s="39">
        <f t="shared" si="73"/>
        <v>0</v>
      </c>
      <c r="O89" s="39">
        <f t="shared" si="73"/>
        <v>0</v>
      </c>
      <c r="P89" s="39">
        <f t="shared" si="73"/>
        <v>0</v>
      </c>
      <c r="Q89" s="39">
        <f t="shared" si="73"/>
        <v>0</v>
      </c>
      <c r="R89" s="39">
        <f t="shared" si="73"/>
        <v>0</v>
      </c>
      <c r="S89" s="39">
        <f t="shared" si="73"/>
        <v>0</v>
      </c>
      <c r="T89" s="39">
        <f t="shared" si="73"/>
        <v>0</v>
      </c>
      <c r="U89" s="31">
        <f t="shared" si="28"/>
        <v>102274.62000000001</v>
      </c>
    </row>
    <row r="90" spans="1:21" x14ac:dyDescent="0.3">
      <c r="D90" s="327"/>
      <c r="E90" s="322"/>
      <c r="F90" s="335" t="s">
        <v>1532</v>
      </c>
      <c r="G90" s="324"/>
      <c r="H90" s="323"/>
      <c r="I90" s="39">
        <v>29164.06</v>
      </c>
      <c r="J90" s="39">
        <v>27551.11</v>
      </c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1"/>
    </row>
    <row r="91" spans="1:21" x14ac:dyDescent="0.3">
      <c r="D91" s="327"/>
      <c r="E91" s="322"/>
      <c r="F91" s="335" t="s">
        <v>1533</v>
      </c>
      <c r="G91" s="324"/>
      <c r="H91" s="323"/>
      <c r="I91" s="39">
        <v>25484.46</v>
      </c>
      <c r="J91" s="39">
        <v>20074.990000000002</v>
      </c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1"/>
    </row>
    <row r="92" spans="1:21" outlineLevel="1" x14ac:dyDescent="0.3">
      <c r="D92" s="326"/>
      <c r="E92" s="13"/>
      <c r="F92" s="389" t="s">
        <v>59</v>
      </c>
      <c r="G92" s="389"/>
      <c r="H92" s="390"/>
      <c r="I92" s="336">
        <f t="shared" ref="I92:T92" ca="1" si="74">SUM(I93:I94)</f>
        <v>44184.2</v>
      </c>
      <c r="J92" s="336">
        <f t="shared" ca="1" si="74"/>
        <v>34583.83</v>
      </c>
      <c r="K92" s="336">
        <f t="shared" ca="1" si="74"/>
        <v>0</v>
      </c>
      <c r="L92" s="336">
        <f t="shared" ca="1" si="74"/>
        <v>0</v>
      </c>
      <c r="M92" s="336">
        <f t="shared" ca="1" si="74"/>
        <v>0</v>
      </c>
      <c r="N92" s="336">
        <f t="shared" ca="1" si="74"/>
        <v>0</v>
      </c>
      <c r="O92" s="336">
        <f t="shared" ca="1" si="74"/>
        <v>0</v>
      </c>
      <c r="P92" s="336">
        <f t="shared" ca="1" si="74"/>
        <v>0</v>
      </c>
      <c r="Q92" s="336">
        <f t="shared" ca="1" si="74"/>
        <v>0</v>
      </c>
      <c r="R92" s="336">
        <f t="shared" ca="1" si="74"/>
        <v>0</v>
      </c>
      <c r="S92" s="336">
        <f t="shared" ca="1" si="74"/>
        <v>0</v>
      </c>
      <c r="T92" s="336">
        <f t="shared" ca="1" si="74"/>
        <v>0</v>
      </c>
      <c r="U92" s="299">
        <f t="shared" ca="1" si="28"/>
        <v>78768.03</v>
      </c>
    </row>
    <row r="93" spans="1:21" outlineLevel="2" x14ac:dyDescent="0.3">
      <c r="C93" t="s">
        <v>88</v>
      </c>
      <c r="D93" s="326"/>
      <c r="E93" s="13"/>
      <c r="F93" s="337"/>
      <c r="G93" s="387" t="s">
        <v>89</v>
      </c>
      <c r="H93" s="388"/>
      <c r="I93" s="338">
        <f ca="1">SUMIFS(
  INDIRECT("input_provisions[import]"),
  INDIRECT("input_provisions[yyyymm]"), 'P&amp;G-SL'!I$1,
  INDIRECT("input_provisions[concept/supplier]"), 'P&amp;G-SL'!$C93
)</f>
        <v>23864.87</v>
      </c>
      <c r="J93" s="338">
        <f ca="1">SUMIFS(
  INDIRECT("input_provisions[import]"),
  INDIRECT("input_provisions[yyyymm]"), 'P&amp;G-SL'!J$1,
  INDIRECT("input_provisions[concept/supplier]"), 'P&amp;G-SL'!$C93
)</f>
        <v>18700.28</v>
      </c>
      <c r="K93" s="338">
        <f ca="1">SUMIFS(
  INDIRECT("input_provisions[import]"),
  INDIRECT("input_provisions[yyyymm]"), 'P&amp;G-SL'!K$1,
  INDIRECT("input_provisions[concept/supplier]"), 'P&amp;G-SL'!$C93
)</f>
        <v>0</v>
      </c>
      <c r="L93" s="338">
        <f ca="1">SUMIFS(
  INDIRECT("input_provisions[import]"),
  INDIRECT("input_provisions[yyyymm]"), 'P&amp;G-SL'!L$1,
  INDIRECT("input_provisions[concept/supplier]"), 'P&amp;G-SL'!$C93
)</f>
        <v>0</v>
      </c>
      <c r="M93" s="338">
        <f ca="1">SUMIFS(
  INDIRECT("input_provisions[import]"),
  INDIRECT("input_provisions[yyyymm]"), 'P&amp;G-SL'!M$1,
  INDIRECT("input_provisions[concept/supplier]"), 'P&amp;G-SL'!$C93
)</f>
        <v>0</v>
      </c>
      <c r="N93" s="338">
        <f ca="1">SUMIFS(
  INDIRECT("input_provisions[import]"),
  INDIRECT("input_provisions[yyyymm]"), 'P&amp;G-SL'!N$1,
  INDIRECT("input_provisions[concept/supplier]"), 'P&amp;G-SL'!$C93
)</f>
        <v>0</v>
      </c>
      <c r="O93" s="338">
        <f ca="1">SUMIFS(
  INDIRECT("input_provisions[import]"),
  INDIRECT("input_provisions[yyyymm]"), 'P&amp;G-SL'!O$1,
  INDIRECT("input_provisions[concept/supplier]"), 'P&amp;G-SL'!$C93
)</f>
        <v>0</v>
      </c>
      <c r="P93" s="338">
        <f ca="1">SUMIFS(
  INDIRECT("input_provisions[import]"),
  INDIRECT("input_provisions[yyyymm]"), 'P&amp;G-SL'!P$1,
  INDIRECT("input_provisions[concept/supplier]"), 'P&amp;G-SL'!$C93
)</f>
        <v>0</v>
      </c>
      <c r="Q93" s="338">
        <f ca="1">SUMIFS(
  INDIRECT("input_provisions[import]"),
  INDIRECT("input_provisions[yyyymm]"), 'P&amp;G-SL'!Q$1,
  INDIRECT("input_provisions[concept/supplier]"), 'P&amp;G-SL'!$C93
)</f>
        <v>0</v>
      </c>
      <c r="R93" s="338">
        <f ca="1">SUMIFS(
  INDIRECT("input_provisions[import]"),
  INDIRECT("input_provisions[yyyymm]"), 'P&amp;G-SL'!R$1,
  INDIRECT("input_provisions[concept/supplier]"), 'P&amp;G-SL'!$C93
)</f>
        <v>0</v>
      </c>
      <c r="S93" s="338">
        <f ca="1">SUMIFS(
  INDIRECT("input_provisions[import]"),
  INDIRECT("input_provisions[yyyymm]"), 'P&amp;G-SL'!S$1,
  INDIRECT("input_provisions[concept/supplier]"), 'P&amp;G-SL'!$C93
)</f>
        <v>0</v>
      </c>
      <c r="T93" s="338">
        <f ca="1">SUMIFS(
  INDIRECT("input_provisions[import]"),
  INDIRECT("input_provisions[yyyymm]"), 'P&amp;G-SL'!T$1,
  INDIRECT("input_provisions[concept/supplier]"), 'P&amp;G-SL'!$C93
)</f>
        <v>0</v>
      </c>
      <c r="U93" s="339">
        <f t="shared" ca="1" si="28"/>
        <v>42565.149999999994</v>
      </c>
    </row>
    <row r="94" spans="1:21" outlineLevel="2" x14ac:dyDescent="0.3">
      <c r="C94" t="s">
        <v>90</v>
      </c>
      <c r="D94" s="326"/>
      <c r="E94" s="13"/>
      <c r="F94" s="337"/>
      <c r="G94" s="387" t="s">
        <v>91</v>
      </c>
      <c r="H94" s="388"/>
      <c r="I94" s="338">
        <f ca="1">SUMIFS(
  INDIRECT("input_provisions[import]"),
  INDIRECT("input_provisions[yyyymm]"), 'P&amp;G-SL'!I$1,
  INDIRECT("input_provisions[concept/supplier]"), 'P&amp;G-SL'!$C94
)</f>
        <v>20319.330000000002</v>
      </c>
      <c r="J94" s="338">
        <f ca="1">SUMIFS(
  INDIRECT("input_provisions[import]"),
  INDIRECT("input_provisions[yyyymm]"), 'P&amp;G-SL'!J$1,
  INDIRECT("input_provisions[concept/supplier]"), 'P&amp;G-SL'!$C94
)</f>
        <v>15883.550000000001</v>
      </c>
      <c r="K94" s="338">
        <f ca="1">SUMIFS(
  INDIRECT("input_provisions[import]"),
  INDIRECT("input_provisions[yyyymm]"), 'P&amp;G-SL'!K$1,
  INDIRECT("input_provisions[concept/supplier]"), 'P&amp;G-SL'!$C94
)</f>
        <v>0</v>
      </c>
      <c r="L94" s="338">
        <f ca="1">SUMIFS(
  INDIRECT("input_provisions[import]"),
  INDIRECT("input_provisions[yyyymm]"), 'P&amp;G-SL'!L$1,
  INDIRECT("input_provisions[concept/supplier]"), 'P&amp;G-SL'!$C94
)</f>
        <v>0</v>
      </c>
      <c r="M94" s="338">
        <f ca="1">SUMIFS(
  INDIRECT("input_provisions[import]"),
  INDIRECT("input_provisions[yyyymm]"), 'P&amp;G-SL'!M$1,
  INDIRECT("input_provisions[concept/supplier]"), 'P&amp;G-SL'!$C94
)</f>
        <v>0</v>
      </c>
      <c r="N94" s="338">
        <f ca="1">SUMIFS(
  INDIRECT("input_provisions[import]"),
  INDIRECT("input_provisions[yyyymm]"), 'P&amp;G-SL'!N$1,
  INDIRECT("input_provisions[concept/supplier]"), 'P&amp;G-SL'!$C94
)</f>
        <v>0</v>
      </c>
      <c r="O94" s="338">
        <f ca="1">SUMIFS(
  INDIRECT("input_provisions[import]"),
  INDIRECT("input_provisions[yyyymm]"), 'P&amp;G-SL'!O$1,
  INDIRECT("input_provisions[concept/supplier]"), 'P&amp;G-SL'!$C94
)</f>
        <v>0</v>
      </c>
      <c r="P94" s="338">
        <f ca="1">SUMIFS(
  INDIRECT("input_provisions[import]"),
  INDIRECT("input_provisions[yyyymm]"), 'P&amp;G-SL'!P$1,
  INDIRECT("input_provisions[concept/supplier]"), 'P&amp;G-SL'!$C94
)</f>
        <v>0</v>
      </c>
      <c r="Q94" s="338">
        <f ca="1">SUMIFS(
  INDIRECT("input_provisions[import]"),
  INDIRECT("input_provisions[yyyymm]"), 'P&amp;G-SL'!Q$1,
  INDIRECT("input_provisions[concept/supplier]"), 'P&amp;G-SL'!$C94
)</f>
        <v>0</v>
      </c>
      <c r="R94" s="338">
        <f ca="1">SUMIFS(
  INDIRECT("input_provisions[import]"),
  INDIRECT("input_provisions[yyyymm]"), 'P&amp;G-SL'!R$1,
  INDIRECT("input_provisions[concept/supplier]"), 'P&amp;G-SL'!$C94
)</f>
        <v>0</v>
      </c>
      <c r="S94" s="338">
        <f ca="1">SUMIFS(
  INDIRECT("input_provisions[import]"),
  INDIRECT("input_provisions[yyyymm]"), 'P&amp;G-SL'!S$1,
  INDIRECT("input_provisions[concept/supplier]"), 'P&amp;G-SL'!$C94
)</f>
        <v>0</v>
      </c>
      <c r="T94" s="338">
        <f ca="1">SUMIFS(
  INDIRECT("input_provisions[import]"),
  INDIRECT("input_provisions[yyyymm]"), 'P&amp;G-SL'!T$1,
  INDIRECT("input_provisions[concept/supplier]"), 'P&amp;G-SL'!$C94
)</f>
        <v>0</v>
      </c>
      <c r="U94" s="339">
        <f t="shared" ca="1" si="28"/>
        <v>36202.880000000005</v>
      </c>
    </row>
    <row r="95" spans="1:21" outlineLevel="1" x14ac:dyDescent="0.3">
      <c r="D95" s="326"/>
      <c r="E95" s="13"/>
      <c r="F95" s="389" t="s">
        <v>61</v>
      </c>
      <c r="G95" s="389"/>
      <c r="H95" s="390"/>
      <c r="I95" s="336">
        <f t="shared" ref="I95:T95" ca="1" si="75">SUM(I96:I97)</f>
        <v>6005.65</v>
      </c>
      <c r="J95" s="336">
        <f t="shared" ca="1" si="75"/>
        <v>7802.34</v>
      </c>
      <c r="K95" s="336">
        <f t="shared" ca="1" si="75"/>
        <v>0</v>
      </c>
      <c r="L95" s="336">
        <f t="shared" ca="1" si="75"/>
        <v>0</v>
      </c>
      <c r="M95" s="336">
        <f t="shared" ca="1" si="75"/>
        <v>0</v>
      </c>
      <c r="N95" s="336">
        <f t="shared" ca="1" si="75"/>
        <v>0</v>
      </c>
      <c r="O95" s="336">
        <f t="shared" ca="1" si="75"/>
        <v>0</v>
      </c>
      <c r="P95" s="336">
        <f t="shared" ca="1" si="75"/>
        <v>0</v>
      </c>
      <c r="Q95" s="336">
        <f t="shared" ca="1" si="75"/>
        <v>0</v>
      </c>
      <c r="R95" s="336">
        <f t="shared" ca="1" si="75"/>
        <v>0</v>
      </c>
      <c r="S95" s="336">
        <f t="shared" ca="1" si="75"/>
        <v>0</v>
      </c>
      <c r="T95" s="336">
        <f t="shared" ca="1" si="75"/>
        <v>0</v>
      </c>
      <c r="U95" s="299">
        <f t="shared" ref="U95:U100" ca="1" si="76">SUM(I95:T95)</f>
        <v>13807.99</v>
      </c>
    </row>
    <row r="96" spans="1:21" outlineLevel="2" x14ac:dyDescent="0.3">
      <c r="C96" t="s">
        <v>94</v>
      </c>
      <c r="D96" s="326"/>
      <c r="E96" s="13"/>
      <c r="F96" s="337"/>
      <c r="G96" s="387" t="s">
        <v>89</v>
      </c>
      <c r="H96" s="388"/>
      <c r="I96" s="338">
        <f ca="1">SUMIFS(
  INDIRECT("input_provisions[import]"),
  INDIRECT("input_provisions[yyyymm]"), 'P&amp;G-SL'!I$1,
  INDIRECT("input_provisions[concept/supplier]"), 'P&amp;G-SL'!$C96
)</f>
        <v>2620.19</v>
      </c>
      <c r="J96" s="338">
        <f ca="1">SUMIFS(
  INDIRECT("input_provisions[import]"),
  INDIRECT("input_provisions[yyyymm]"), 'P&amp;G-SL'!J$1,
  INDIRECT("input_provisions[concept/supplier]"), 'P&amp;G-SL'!$C96
)</f>
        <v>5008.3</v>
      </c>
      <c r="K96" s="338">
        <f ca="1">SUMIFS(
  INDIRECT("input_provisions[import]"),
  INDIRECT("input_provisions[yyyymm]"), 'P&amp;G-SL'!K$1,
  INDIRECT("input_provisions[concept/supplier]"), 'P&amp;G-SL'!$C96
)</f>
        <v>0</v>
      </c>
      <c r="L96" s="338">
        <f ca="1">SUMIFS(
  INDIRECT("input_provisions[import]"),
  INDIRECT("input_provisions[yyyymm]"), 'P&amp;G-SL'!L$1,
  INDIRECT("input_provisions[concept/supplier]"), 'P&amp;G-SL'!$C96
)</f>
        <v>0</v>
      </c>
      <c r="M96" s="338">
        <f ca="1">SUMIFS(
  INDIRECT("input_provisions[import]"),
  INDIRECT("input_provisions[yyyymm]"), 'P&amp;G-SL'!M$1,
  INDIRECT("input_provisions[concept/supplier]"), 'P&amp;G-SL'!$C96
)</f>
        <v>0</v>
      </c>
      <c r="N96" s="338">
        <f ca="1">SUMIFS(
  INDIRECT("input_provisions[import]"),
  INDIRECT("input_provisions[yyyymm]"), 'P&amp;G-SL'!N$1,
  INDIRECT("input_provisions[concept/supplier]"), 'P&amp;G-SL'!$C96
)</f>
        <v>0</v>
      </c>
      <c r="O96" s="338">
        <f ca="1">SUMIFS(
  INDIRECT("input_provisions[import]"),
  INDIRECT("input_provisions[yyyymm]"), 'P&amp;G-SL'!O$1,
  INDIRECT("input_provisions[concept/supplier]"), 'P&amp;G-SL'!$C96
)</f>
        <v>0</v>
      </c>
      <c r="P96" s="338">
        <f ca="1">SUMIFS(
  INDIRECT("input_provisions[import]"),
  INDIRECT("input_provisions[yyyymm]"), 'P&amp;G-SL'!P$1,
  INDIRECT("input_provisions[concept/supplier]"), 'P&amp;G-SL'!$C96
)</f>
        <v>0</v>
      </c>
      <c r="Q96" s="338">
        <f ca="1">SUMIFS(
  INDIRECT("input_provisions[import]"),
  INDIRECT("input_provisions[yyyymm]"), 'P&amp;G-SL'!Q$1,
  INDIRECT("input_provisions[concept/supplier]"), 'P&amp;G-SL'!$C96
)</f>
        <v>0</v>
      </c>
      <c r="R96" s="338">
        <f ca="1">SUMIFS(
  INDIRECT("input_provisions[import]"),
  INDIRECT("input_provisions[yyyymm]"), 'P&amp;G-SL'!R$1,
  INDIRECT("input_provisions[concept/supplier]"), 'P&amp;G-SL'!$C96
)</f>
        <v>0</v>
      </c>
      <c r="S96" s="338">
        <f ca="1">SUMIFS(
  INDIRECT("input_provisions[import]"),
  INDIRECT("input_provisions[yyyymm]"), 'P&amp;G-SL'!S$1,
  INDIRECT("input_provisions[concept/supplier]"), 'P&amp;G-SL'!$C96
)</f>
        <v>0</v>
      </c>
      <c r="T96" s="338">
        <f ca="1">SUMIFS(
  INDIRECT("input_provisions[import]"),
  INDIRECT("input_provisions[yyyymm]"), 'P&amp;G-SL'!T$1,
  INDIRECT("input_provisions[concept/supplier]"), 'P&amp;G-SL'!$C96
)</f>
        <v>0</v>
      </c>
      <c r="U96" s="339">
        <f t="shared" ca="1" si="76"/>
        <v>7628.49</v>
      </c>
    </row>
    <row r="97" spans="3:25" outlineLevel="2" x14ac:dyDescent="0.3">
      <c r="C97" t="s">
        <v>95</v>
      </c>
      <c r="D97" s="326"/>
      <c r="E97" s="13"/>
      <c r="F97" s="337"/>
      <c r="G97" s="387" t="s">
        <v>91</v>
      </c>
      <c r="H97" s="388"/>
      <c r="I97" s="338">
        <f ca="1">SUMIFS(
  INDIRECT("input_provisions[import]"),
  INDIRECT("input_provisions[yyyymm]"), 'P&amp;G-SL'!I$1,
  INDIRECT("input_provisions[concept/supplier]"), 'P&amp;G-SL'!$C97
)</f>
        <v>3385.46</v>
      </c>
      <c r="J97" s="338">
        <f ca="1">SUMIFS(
  INDIRECT("input_provisions[import]"),
  INDIRECT("input_provisions[yyyymm]"), 'P&amp;G-SL'!J$1,
  INDIRECT("input_provisions[concept/supplier]"), 'P&amp;G-SL'!$C97
)</f>
        <v>2794.04</v>
      </c>
      <c r="K97" s="338">
        <f ca="1">SUMIFS(
  INDIRECT("input_provisions[import]"),
  INDIRECT("input_provisions[yyyymm]"), 'P&amp;G-SL'!K$1,
  INDIRECT("input_provisions[concept/supplier]"), 'P&amp;G-SL'!$C97
)</f>
        <v>0</v>
      </c>
      <c r="L97" s="338">
        <f ca="1">SUMIFS(
  INDIRECT("input_provisions[import]"),
  INDIRECT("input_provisions[yyyymm]"), 'P&amp;G-SL'!L$1,
  INDIRECT("input_provisions[concept/supplier]"), 'P&amp;G-SL'!$C97
)</f>
        <v>0</v>
      </c>
      <c r="M97" s="338">
        <f ca="1">SUMIFS(
  INDIRECT("input_provisions[import]"),
  INDIRECT("input_provisions[yyyymm]"), 'P&amp;G-SL'!M$1,
  INDIRECT("input_provisions[concept/supplier]"), 'P&amp;G-SL'!$C97
)</f>
        <v>0</v>
      </c>
      <c r="N97" s="338">
        <f ca="1">SUMIFS(
  INDIRECT("input_provisions[import]"),
  INDIRECT("input_provisions[yyyymm]"), 'P&amp;G-SL'!N$1,
  INDIRECT("input_provisions[concept/supplier]"), 'P&amp;G-SL'!$C97
)</f>
        <v>0</v>
      </c>
      <c r="O97" s="338">
        <f ca="1">SUMIFS(
  INDIRECT("input_provisions[import]"),
  INDIRECT("input_provisions[yyyymm]"), 'P&amp;G-SL'!O$1,
  INDIRECT("input_provisions[concept/supplier]"), 'P&amp;G-SL'!$C97
)</f>
        <v>0</v>
      </c>
      <c r="P97" s="338">
        <f ca="1">SUMIFS(
  INDIRECT("input_provisions[import]"),
  INDIRECT("input_provisions[yyyymm]"), 'P&amp;G-SL'!P$1,
  INDIRECT("input_provisions[concept/supplier]"), 'P&amp;G-SL'!$C97
)</f>
        <v>0</v>
      </c>
      <c r="Q97" s="338">
        <f ca="1">SUMIFS(
  INDIRECT("input_provisions[import]"),
  INDIRECT("input_provisions[yyyymm]"), 'P&amp;G-SL'!Q$1,
  INDIRECT("input_provisions[concept/supplier]"), 'P&amp;G-SL'!$C97
)</f>
        <v>0</v>
      </c>
      <c r="R97" s="338">
        <f ca="1">SUMIFS(
  INDIRECT("input_provisions[import]"),
  INDIRECT("input_provisions[yyyymm]"), 'P&amp;G-SL'!R$1,
  INDIRECT("input_provisions[concept/supplier]"), 'P&amp;G-SL'!$C97
)</f>
        <v>0</v>
      </c>
      <c r="S97" s="338">
        <f ca="1">SUMIFS(
  INDIRECT("input_provisions[import]"),
  INDIRECT("input_provisions[yyyymm]"), 'P&amp;G-SL'!S$1,
  INDIRECT("input_provisions[concept/supplier]"), 'P&amp;G-SL'!$C97
)</f>
        <v>0</v>
      </c>
      <c r="T97" s="338">
        <f ca="1">SUMIFS(
  INDIRECT("input_provisions[import]"),
  INDIRECT("input_provisions[yyyymm]"), 'P&amp;G-SL'!T$1,
  INDIRECT("input_provisions[concept/supplier]"), 'P&amp;G-SL'!$C97
)</f>
        <v>0</v>
      </c>
      <c r="U97" s="339">
        <f t="shared" ca="1" si="76"/>
        <v>6179.5</v>
      </c>
    </row>
    <row r="98" spans="3:25" outlineLevel="1" x14ac:dyDescent="0.3">
      <c r="D98" s="328"/>
      <c r="E98" s="9"/>
      <c r="F98" s="389" t="s">
        <v>63</v>
      </c>
      <c r="G98" s="389"/>
      <c r="H98" s="390"/>
      <c r="I98" s="336">
        <f t="shared" ref="I98:T98" ca="1" si="77">SUM(I99:I100)</f>
        <v>3899.8100000000004</v>
      </c>
      <c r="J98" s="336">
        <f t="shared" ca="1" si="77"/>
        <v>4744.08</v>
      </c>
      <c r="K98" s="336">
        <f t="shared" ca="1" si="77"/>
        <v>0</v>
      </c>
      <c r="L98" s="336">
        <f t="shared" ca="1" si="77"/>
        <v>0</v>
      </c>
      <c r="M98" s="336">
        <f t="shared" ca="1" si="77"/>
        <v>0</v>
      </c>
      <c r="N98" s="336">
        <f t="shared" ca="1" si="77"/>
        <v>0</v>
      </c>
      <c r="O98" s="336">
        <f t="shared" ca="1" si="77"/>
        <v>0</v>
      </c>
      <c r="P98" s="336">
        <f t="shared" ca="1" si="77"/>
        <v>0</v>
      </c>
      <c r="Q98" s="336">
        <f t="shared" ca="1" si="77"/>
        <v>0</v>
      </c>
      <c r="R98" s="336">
        <f t="shared" ca="1" si="77"/>
        <v>0</v>
      </c>
      <c r="S98" s="336">
        <f t="shared" ca="1" si="77"/>
        <v>0</v>
      </c>
      <c r="T98" s="336">
        <f t="shared" ca="1" si="77"/>
        <v>0</v>
      </c>
      <c r="U98" s="299">
        <f t="shared" ca="1" si="76"/>
        <v>8643.89</v>
      </c>
    </row>
    <row r="99" spans="3:25" outlineLevel="2" x14ac:dyDescent="0.3">
      <c r="C99" t="s">
        <v>98</v>
      </c>
      <c r="D99" s="328"/>
      <c r="E99" s="9"/>
      <c r="F99" s="340"/>
      <c r="G99" s="387" t="s">
        <v>89</v>
      </c>
      <c r="H99" s="388"/>
      <c r="I99" s="338">
        <f ca="1">SUMIFS(
  INDIRECT("input_provisions[import]"),
  INDIRECT("input_provisions[yyyymm]"), 'P&amp;G-SL'!I$1,
  INDIRECT("input_provisions[concept/supplier]"), 'P&amp;G-SL'!$C99
)</f>
        <v>2120.13</v>
      </c>
      <c r="J99" s="338">
        <f ca="1">SUMIFS(
  INDIRECT("input_provisions[import]"),
  INDIRECT("input_provisions[yyyymm]"), 'P&amp;G-SL'!J$1,
  INDIRECT("input_provisions[concept/supplier]"), 'P&amp;G-SL'!$C99
)</f>
        <v>3346.68</v>
      </c>
      <c r="K99" s="338">
        <f ca="1">SUMIFS(
  INDIRECT("input_provisions[import]"),
  INDIRECT("input_provisions[yyyymm]"), 'P&amp;G-SL'!K$1,
  INDIRECT("input_provisions[concept/supplier]"), 'P&amp;G-SL'!$C99
)</f>
        <v>0</v>
      </c>
      <c r="L99" s="338">
        <f ca="1">SUMIFS(
  INDIRECT("input_provisions[import]"),
  INDIRECT("input_provisions[yyyymm]"), 'P&amp;G-SL'!L$1,
  INDIRECT("input_provisions[concept/supplier]"), 'P&amp;G-SL'!$C99
)</f>
        <v>0</v>
      </c>
      <c r="M99" s="338">
        <f ca="1">SUMIFS(
  INDIRECT("input_provisions[import]"),
  INDIRECT("input_provisions[yyyymm]"), 'P&amp;G-SL'!M$1,
  INDIRECT("input_provisions[concept/supplier]"), 'P&amp;G-SL'!$C99
)</f>
        <v>0</v>
      </c>
      <c r="N99" s="338">
        <f ca="1">SUMIFS(
  INDIRECT("input_provisions[import]"),
  INDIRECT("input_provisions[yyyymm]"), 'P&amp;G-SL'!N$1,
  INDIRECT("input_provisions[concept/supplier]"), 'P&amp;G-SL'!$C99
)</f>
        <v>0</v>
      </c>
      <c r="O99" s="338">
        <f ca="1">SUMIFS(
  INDIRECT("input_provisions[import]"),
  INDIRECT("input_provisions[yyyymm]"), 'P&amp;G-SL'!O$1,
  INDIRECT("input_provisions[concept/supplier]"), 'P&amp;G-SL'!$C99
)</f>
        <v>0</v>
      </c>
      <c r="P99" s="338">
        <f ca="1">SUMIFS(
  INDIRECT("input_provisions[import]"),
  INDIRECT("input_provisions[yyyymm]"), 'P&amp;G-SL'!P$1,
  INDIRECT("input_provisions[concept/supplier]"), 'P&amp;G-SL'!$C99
)</f>
        <v>0</v>
      </c>
      <c r="Q99" s="338">
        <f ca="1">SUMIFS(
  INDIRECT("input_provisions[import]"),
  INDIRECT("input_provisions[yyyymm]"), 'P&amp;G-SL'!Q$1,
  INDIRECT("input_provisions[concept/supplier]"), 'P&amp;G-SL'!$C99
)</f>
        <v>0</v>
      </c>
      <c r="R99" s="338">
        <f ca="1">SUMIFS(
  INDIRECT("input_provisions[import]"),
  INDIRECT("input_provisions[yyyymm]"), 'P&amp;G-SL'!R$1,
  INDIRECT("input_provisions[concept/supplier]"), 'P&amp;G-SL'!$C99
)</f>
        <v>0</v>
      </c>
      <c r="S99" s="338">
        <f ca="1">SUMIFS(
  INDIRECT("input_provisions[import]"),
  INDIRECT("input_provisions[yyyymm]"), 'P&amp;G-SL'!S$1,
  INDIRECT("input_provisions[concept/supplier]"), 'P&amp;G-SL'!$C99
)</f>
        <v>0</v>
      </c>
      <c r="T99" s="338">
        <f ca="1">SUMIFS(
  INDIRECT("input_provisions[import]"),
  INDIRECT("input_provisions[yyyymm]"), 'P&amp;G-SL'!T$1,
  INDIRECT("input_provisions[concept/supplier]"), 'P&amp;G-SL'!$C99
)</f>
        <v>0</v>
      </c>
      <c r="U99" s="339">
        <f t="shared" ca="1" si="76"/>
        <v>5466.8099999999995</v>
      </c>
    </row>
    <row r="100" spans="3:25" outlineLevel="2" x14ac:dyDescent="0.3">
      <c r="C100" t="s">
        <v>99</v>
      </c>
      <c r="D100" s="328"/>
      <c r="E100" s="9"/>
      <c r="F100" s="340"/>
      <c r="G100" s="387" t="s">
        <v>91</v>
      </c>
      <c r="H100" s="388"/>
      <c r="I100" s="338">
        <f ca="1">SUMIFS(
  INDIRECT("input_provisions[import]"),
  INDIRECT("input_provisions[yyyymm]"), 'P&amp;G-SL'!I$1,
  INDIRECT("input_provisions[concept/supplier]"), 'P&amp;G-SL'!$C100
)</f>
        <v>1779.68</v>
      </c>
      <c r="J100" s="338">
        <f ca="1">SUMIFS(
  INDIRECT("input_provisions[import]"),
  INDIRECT("input_provisions[yyyymm]"), 'P&amp;G-SL'!J$1,
  INDIRECT("input_provisions[concept/supplier]"), 'P&amp;G-SL'!$C100
)</f>
        <v>1397.4</v>
      </c>
      <c r="K100" s="338">
        <f ca="1">SUMIFS(
  INDIRECT("input_provisions[import]"),
  INDIRECT("input_provisions[yyyymm]"), 'P&amp;G-SL'!K$1,
  INDIRECT("input_provisions[concept/supplier]"), 'P&amp;G-SL'!$C100
)</f>
        <v>0</v>
      </c>
      <c r="L100" s="338">
        <f ca="1">SUMIFS(
  INDIRECT("input_provisions[import]"),
  INDIRECT("input_provisions[yyyymm]"), 'P&amp;G-SL'!L$1,
  INDIRECT("input_provisions[concept/supplier]"), 'P&amp;G-SL'!$C100
)</f>
        <v>0</v>
      </c>
      <c r="M100" s="338">
        <f ca="1">SUMIFS(
  INDIRECT("input_provisions[import]"),
  INDIRECT("input_provisions[yyyymm]"), 'P&amp;G-SL'!M$1,
  INDIRECT("input_provisions[concept/supplier]"), 'P&amp;G-SL'!$C100
)</f>
        <v>0</v>
      </c>
      <c r="N100" s="338">
        <f ca="1">SUMIFS(
  INDIRECT("input_provisions[import]"),
  INDIRECT("input_provisions[yyyymm]"), 'P&amp;G-SL'!N$1,
  INDIRECT("input_provisions[concept/supplier]"), 'P&amp;G-SL'!$C100
)</f>
        <v>0</v>
      </c>
      <c r="O100" s="338">
        <f ca="1">SUMIFS(
  INDIRECT("input_provisions[import]"),
  INDIRECT("input_provisions[yyyymm]"), 'P&amp;G-SL'!O$1,
  INDIRECT("input_provisions[concept/supplier]"), 'P&amp;G-SL'!$C100
)</f>
        <v>0</v>
      </c>
      <c r="P100" s="338">
        <f ca="1">SUMIFS(
  INDIRECT("input_provisions[import]"),
  INDIRECT("input_provisions[yyyymm]"), 'P&amp;G-SL'!P$1,
  INDIRECT("input_provisions[concept/supplier]"), 'P&amp;G-SL'!$C100
)</f>
        <v>0</v>
      </c>
      <c r="Q100" s="338">
        <f ca="1">SUMIFS(
  INDIRECT("input_provisions[import]"),
  INDIRECT("input_provisions[yyyymm]"), 'P&amp;G-SL'!Q$1,
  INDIRECT("input_provisions[concept/supplier]"), 'P&amp;G-SL'!$C100
)</f>
        <v>0</v>
      </c>
      <c r="R100" s="338">
        <f ca="1">SUMIFS(
  INDIRECT("input_provisions[import]"),
  INDIRECT("input_provisions[yyyymm]"), 'P&amp;G-SL'!R$1,
  INDIRECT("input_provisions[concept/supplier]"), 'P&amp;G-SL'!$C100
)</f>
        <v>0</v>
      </c>
      <c r="S100" s="338">
        <f ca="1">SUMIFS(
  INDIRECT("input_provisions[import]"),
  INDIRECT("input_provisions[yyyymm]"), 'P&amp;G-SL'!S$1,
  INDIRECT("input_provisions[concept/supplier]"), 'P&amp;G-SL'!$C100
)</f>
        <v>0</v>
      </c>
      <c r="T100" s="338">
        <f ca="1">SUMIFS(
  INDIRECT("input_provisions[import]"),
  INDIRECT("input_provisions[yyyymm]"), 'P&amp;G-SL'!T$1,
  INDIRECT("input_provisions[concept/supplier]"), 'P&amp;G-SL'!$C100
)</f>
        <v>0</v>
      </c>
      <c r="U100" s="339">
        <f t="shared" ca="1" si="76"/>
        <v>3177.08</v>
      </c>
    </row>
    <row r="101" spans="3:25" outlineLevel="2" x14ac:dyDescent="0.3">
      <c r="D101" s="349"/>
      <c r="E101" s="349"/>
      <c r="F101" s="352"/>
      <c r="G101" s="352"/>
      <c r="H101" s="353"/>
      <c r="I101" s="338"/>
      <c r="J101" s="338"/>
      <c r="K101" s="338"/>
      <c r="L101" s="338"/>
      <c r="M101" s="338"/>
      <c r="N101" s="338"/>
      <c r="O101" s="338"/>
      <c r="P101" s="338"/>
      <c r="Q101" s="338"/>
      <c r="R101" s="338"/>
      <c r="S101" s="338"/>
      <c r="T101" s="338"/>
      <c r="U101" s="339"/>
    </row>
    <row r="102" spans="3:25" outlineLevel="1" x14ac:dyDescent="0.3">
      <c r="D102" s="329"/>
      <c r="E102" s="9"/>
      <c r="F102" s="9"/>
      <c r="G102" s="9"/>
      <c r="H102" s="1"/>
      <c r="I102" s="356">
        <f ca="1">+I103/I$84</f>
        <v>0.24110806167602039</v>
      </c>
      <c r="J102" s="356">
        <f t="shared" ref="J102" ca="1" si="78">+J103/J$84</f>
        <v>0.20517617385270967</v>
      </c>
      <c r="K102" s="356">
        <f t="shared" ref="K102" ca="1" si="79">+K103/K$84</f>
        <v>0</v>
      </c>
      <c r="L102" s="356" t="e">
        <f t="shared" ref="L102" ca="1" si="80">+L103/L$84</f>
        <v>#DIV/0!</v>
      </c>
      <c r="M102" s="356" t="e">
        <f t="shared" ref="M102" ca="1" si="81">+M103/M$84</f>
        <v>#DIV/0!</v>
      </c>
      <c r="N102" s="356" t="e">
        <f t="shared" ref="N102" ca="1" si="82">+N103/N$84</f>
        <v>#DIV/0!</v>
      </c>
      <c r="O102" s="356" t="e">
        <f t="shared" ref="O102" ca="1" si="83">+O103/O$84</f>
        <v>#DIV/0!</v>
      </c>
      <c r="P102" s="356" t="e">
        <f t="shared" ref="P102" ca="1" si="84">+P103/P$84</f>
        <v>#DIV/0!</v>
      </c>
      <c r="Q102" s="356" t="e">
        <f t="shared" ref="Q102" ca="1" si="85">+Q103/Q$84</f>
        <v>#DIV/0!</v>
      </c>
      <c r="R102" s="356" t="e">
        <f t="shared" ref="R102" ca="1" si="86">+R103/R$84</f>
        <v>#DIV/0!</v>
      </c>
      <c r="S102" s="356" t="e">
        <f t="shared" ref="S102" ca="1" si="87">+S103/S$84</f>
        <v>#DIV/0!</v>
      </c>
      <c r="T102" s="356" t="e">
        <f t="shared" ref="T102" ca="1" si="88">+T103/T$84</f>
        <v>#DIV/0!</v>
      </c>
      <c r="U102" s="31"/>
    </row>
    <row r="103" spans="3:25" x14ac:dyDescent="0.3">
      <c r="D103"/>
      <c r="E103" s="385" t="s">
        <v>102</v>
      </c>
      <c r="F103" s="385"/>
      <c r="G103" s="385"/>
      <c r="H103" s="386"/>
      <c r="I103" s="39">
        <f ca="1">SUM(I104:I107)</f>
        <v>14731.84</v>
      </c>
      <c r="J103" s="39">
        <f t="shared" ref="J103:T103" ca="1" si="89">SUM(J104:J107)</f>
        <v>14915.68</v>
      </c>
      <c r="K103" s="39">
        <f t="shared" ca="1" si="89"/>
        <v>0</v>
      </c>
      <c r="L103" s="39">
        <f t="shared" ca="1" si="89"/>
        <v>0</v>
      </c>
      <c r="M103" s="39">
        <f t="shared" ca="1" si="89"/>
        <v>0</v>
      </c>
      <c r="N103" s="39">
        <f t="shared" ca="1" si="89"/>
        <v>0</v>
      </c>
      <c r="O103" s="39">
        <f t="shared" ca="1" si="89"/>
        <v>0</v>
      </c>
      <c r="P103" s="39">
        <f t="shared" ca="1" si="89"/>
        <v>0</v>
      </c>
      <c r="Q103" s="39">
        <f t="shared" ca="1" si="89"/>
        <v>0</v>
      </c>
      <c r="R103" s="39">
        <f t="shared" ca="1" si="89"/>
        <v>0</v>
      </c>
      <c r="S103" s="39">
        <f t="shared" ca="1" si="89"/>
        <v>0</v>
      </c>
      <c r="T103" s="39">
        <f t="shared" ca="1" si="89"/>
        <v>0</v>
      </c>
      <c r="U103" s="31">
        <f t="shared" ca="1" si="28"/>
        <v>29647.52</v>
      </c>
    </row>
    <row r="104" spans="3:25" outlineLevel="1" x14ac:dyDescent="0.3">
      <c r="C104" t="s">
        <v>103</v>
      </c>
      <c r="D104" s="328"/>
      <c r="E104" s="9"/>
      <c r="F104" s="9"/>
      <c r="G104"/>
      <c r="H104" s="9" t="s">
        <v>104</v>
      </c>
      <c r="I104" s="49">
        <f ca="1">SUMIFS(
  INDIRECT("input_staff[import]"),
  INDIRECT("input_staff[yyyymm]"), 'P&amp;G-SL'!I$1,
  INDIRECT("input_staff[concept/supplier]"), 'P&amp;G-SL'!$C104
)</f>
        <v>6174.01</v>
      </c>
      <c r="J104" s="49">
        <f ca="1">SUMIFS(
  INDIRECT("input_staff[import]"),
  INDIRECT("input_staff[yyyymm]"), 'P&amp;G-SL'!J$1,
  INDIRECT("input_staff[concept/supplier]"), 'P&amp;G-SL'!$C104
)</f>
        <v>6174.01</v>
      </c>
      <c r="K104" s="49">
        <f ca="1">SUMIFS(
  INDIRECT("input_staff[import]"),
  INDIRECT("input_staff[yyyymm]"), 'P&amp;G-SL'!K$1,
  INDIRECT("input_staff[concept/supplier]"), 'P&amp;G-SL'!$C104
)</f>
        <v>0</v>
      </c>
      <c r="L104" s="49">
        <f ca="1">SUMIFS(
  INDIRECT("input_staff[import]"),
  INDIRECT("input_staff[yyyymm]"), 'P&amp;G-SL'!L$1,
  INDIRECT("input_staff[concept/supplier]"), 'P&amp;G-SL'!$C104
)</f>
        <v>0</v>
      </c>
      <c r="M104" s="49">
        <f ca="1">SUMIFS(
  INDIRECT("input_staff[import]"),
  INDIRECT("input_staff[yyyymm]"), 'P&amp;G-SL'!M$1,
  INDIRECT("input_staff[concept/supplier]"), 'P&amp;G-SL'!$C104
)</f>
        <v>0</v>
      </c>
      <c r="N104" s="49">
        <f ca="1">SUMIFS(
  INDIRECT("input_staff[import]"),
  INDIRECT("input_staff[yyyymm]"), 'P&amp;G-SL'!N$1,
  INDIRECT("input_staff[concept/supplier]"), 'P&amp;G-SL'!$C104
)</f>
        <v>0</v>
      </c>
      <c r="O104" s="49">
        <f ca="1">SUMIFS(
  INDIRECT("input_staff[import]"),
  INDIRECT("input_staff[yyyymm]"), 'P&amp;G-SL'!O$1,
  INDIRECT("input_staff[concept/supplier]"), 'P&amp;G-SL'!$C104
)</f>
        <v>0</v>
      </c>
      <c r="P104" s="49">
        <f ca="1">SUMIFS(
  INDIRECT("input_staff[import]"),
  INDIRECT("input_staff[yyyymm]"), 'P&amp;G-SL'!P$1,
  INDIRECT("input_staff[concept/supplier]"), 'P&amp;G-SL'!$C104
)</f>
        <v>0</v>
      </c>
      <c r="Q104" s="49">
        <f ca="1">SUMIFS(
  INDIRECT("input_staff[import]"),
  INDIRECT("input_staff[yyyymm]"), 'P&amp;G-SL'!Q$1,
  INDIRECT("input_staff[concept/supplier]"), 'P&amp;G-SL'!$C104
)</f>
        <v>0</v>
      </c>
      <c r="R104" s="49">
        <f ca="1">SUMIFS(
  INDIRECT("input_staff[import]"),
  INDIRECT("input_staff[yyyymm]"), 'P&amp;G-SL'!R$1,
  INDIRECT("input_staff[concept/supplier]"), 'P&amp;G-SL'!$C104
)</f>
        <v>0</v>
      </c>
      <c r="S104" s="49">
        <f ca="1">SUMIFS(
  INDIRECT("input_staff[import]"),
  INDIRECT("input_staff[yyyymm]"), 'P&amp;G-SL'!S$1,
  INDIRECT("input_staff[concept/supplier]"), 'P&amp;G-SL'!$C104
)</f>
        <v>0</v>
      </c>
      <c r="T104" s="49">
        <f ca="1">SUMIFS(
  INDIRECT("input_staff[import]"),
  INDIRECT("input_staff[yyyymm]"), 'P&amp;G-SL'!T$1,
  INDIRECT("input_staff[concept/supplier]"), 'P&amp;G-SL'!$C104
)</f>
        <v>0</v>
      </c>
      <c r="U104" s="31">
        <f t="shared" ca="1" si="28"/>
        <v>12348.02</v>
      </c>
      <c r="W104" s="59"/>
    </row>
    <row r="105" spans="3:25" outlineLevel="1" x14ac:dyDescent="0.3">
      <c r="C105" t="s">
        <v>105</v>
      </c>
      <c r="D105" s="328"/>
      <c r="E105" s="9"/>
      <c r="F105" s="9"/>
      <c r="G105"/>
      <c r="H105" s="9" t="s">
        <v>106</v>
      </c>
      <c r="I105" s="49">
        <f ca="1">SUMIFS(
  INDIRECT("input_staff[import]"),
  INDIRECT("input_staff[yyyymm]"), 'P&amp;G-SL'!I$1,
  INDIRECT("input_staff[concept/supplier]"), 'P&amp;G-SL'!$C105
)</f>
        <v>6174.01</v>
      </c>
      <c r="J105" s="49">
        <f ca="1">SUMIFS(
  INDIRECT("input_staff[import]"),
  INDIRECT("input_staff[yyyymm]"), 'P&amp;G-SL'!J$1,
  INDIRECT("input_staff[concept/supplier]"), 'P&amp;G-SL'!$C105
)</f>
        <v>6174.01</v>
      </c>
      <c r="K105" s="49">
        <f ca="1">SUMIFS(
  INDIRECT("input_staff[import]"),
  INDIRECT("input_staff[yyyymm]"), 'P&amp;G-SL'!K$1,
  INDIRECT("input_staff[concept/supplier]"), 'P&amp;G-SL'!$C105
)</f>
        <v>0</v>
      </c>
      <c r="L105" s="49">
        <f ca="1">SUMIFS(
  INDIRECT("input_staff[import]"),
  INDIRECT("input_staff[yyyymm]"), 'P&amp;G-SL'!L$1,
  INDIRECT("input_staff[concept/supplier]"), 'P&amp;G-SL'!$C105
)</f>
        <v>0</v>
      </c>
      <c r="M105" s="49">
        <f ca="1">SUMIFS(
  INDIRECT("input_staff[import]"),
  INDIRECT("input_staff[yyyymm]"), 'P&amp;G-SL'!M$1,
  INDIRECT("input_staff[concept/supplier]"), 'P&amp;G-SL'!$C105
)</f>
        <v>0</v>
      </c>
      <c r="N105" s="49">
        <f ca="1">SUMIFS(
  INDIRECT("input_staff[import]"),
  INDIRECT("input_staff[yyyymm]"), 'P&amp;G-SL'!N$1,
  INDIRECT("input_staff[concept/supplier]"), 'P&amp;G-SL'!$C105
)</f>
        <v>0</v>
      </c>
      <c r="O105" s="49">
        <f ca="1">SUMIFS(
  INDIRECT("input_staff[import]"),
  INDIRECT("input_staff[yyyymm]"), 'P&amp;G-SL'!O$1,
  INDIRECT("input_staff[concept/supplier]"), 'P&amp;G-SL'!$C105
)</f>
        <v>0</v>
      </c>
      <c r="P105" s="49">
        <f ca="1">SUMIFS(
  INDIRECT("input_staff[import]"),
  INDIRECT("input_staff[yyyymm]"), 'P&amp;G-SL'!P$1,
  INDIRECT("input_staff[concept/supplier]"), 'P&amp;G-SL'!$C105
)</f>
        <v>0</v>
      </c>
      <c r="Q105" s="49">
        <f ca="1">SUMIFS(
  INDIRECT("input_staff[import]"),
  INDIRECT("input_staff[yyyymm]"), 'P&amp;G-SL'!Q$1,
  INDIRECT("input_staff[concept/supplier]"), 'P&amp;G-SL'!$C105
)</f>
        <v>0</v>
      </c>
      <c r="R105" s="49">
        <f ca="1">SUMIFS(
  INDIRECT("input_staff[import]"),
  INDIRECT("input_staff[yyyymm]"), 'P&amp;G-SL'!R$1,
  INDIRECT("input_staff[concept/supplier]"), 'P&amp;G-SL'!$C105
)</f>
        <v>0</v>
      </c>
      <c r="S105" s="49">
        <f ca="1">SUMIFS(
  INDIRECT("input_staff[import]"),
  INDIRECT("input_staff[yyyymm]"), 'P&amp;G-SL'!S$1,
  INDIRECT("input_staff[concept/supplier]"), 'P&amp;G-SL'!$C105
)</f>
        <v>0</v>
      </c>
      <c r="T105" s="49">
        <f ca="1">SUMIFS(
  INDIRECT("input_staff[import]"),
  INDIRECT("input_staff[yyyymm]"), 'P&amp;G-SL'!T$1,
  INDIRECT("input_staff[concept/supplier]"), 'P&amp;G-SL'!$C105
)</f>
        <v>0</v>
      </c>
      <c r="U105" s="31">
        <f t="shared" ca="1" si="28"/>
        <v>12348.02</v>
      </c>
      <c r="W105" s="342">
        <v>-14731.84</v>
      </c>
      <c r="X105" s="342">
        <v>-14915.68</v>
      </c>
      <c r="Y105" s="55">
        <f>+X105-W105</f>
        <v>-183.84000000000015</v>
      </c>
    </row>
    <row r="106" spans="3:25" outlineLevel="1" x14ac:dyDescent="0.3">
      <c r="C106" t="s">
        <v>107</v>
      </c>
      <c r="D106" s="14"/>
      <c r="E106" s="11"/>
      <c r="F106" s="11"/>
      <c r="G106"/>
      <c r="H106" s="14" t="s">
        <v>108</v>
      </c>
      <c r="I106" s="49">
        <f ca="1">SUMIFS(
  INDIRECT("input_staff[import]"),
  INDIRECT("input_staff[yyyymm]"), 'P&amp;G-SL'!I$1,
  INDIRECT("input_staff[concept/supplier]"), 'P&amp;G-SL'!$C106
)</f>
        <v>2383.8200000000002</v>
      </c>
      <c r="J106" s="49">
        <f ca="1">SUMIFS(
  INDIRECT("input_staff[import]"),
  INDIRECT("input_staff[yyyymm]"), 'P&amp;G-SL'!J$1,
  INDIRECT("input_staff[concept/supplier]"), 'P&amp;G-SL'!$C106
)</f>
        <v>2383.8200000000002</v>
      </c>
      <c r="K106" s="49">
        <f ca="1">SUMIFS(
  INDIRECT("input_staff[import]"),
  INDIRECT("input_staff[yyyymm]"), 'P&amp;G-SL'!K$1,
  INDIRECT("input_staff[concept/supplier]"), 'P&amp;G-SL'!$C106
)</f>
        <v>0</v>
      </c>
      <c r="L106" s="49">
        <f ca="1">SUMIFS(
  INDIRECT("input_staff[import]"),
  INDIRECT("input_staff[yyyymm]"), 'P&amp;G-SL'!L$1,
  INDIRECT("input_staff[concept/supplier]"), 'P&amp;G-SL'!$C106
)</f>
        <v>0</v>
      </c>
      <c r="M106" s="49">
        <f ca="1">SUMIFS(
  INDIRECT("input_staff[import]"),
  INDIRECT("input_staff[yyyymm]"), 'P&amp;G-SL'!M$1,
  INDIRECT("input_staff[concept/supplier]"), 'P&amp;G-SL'!$C106
)</f>
        <v>0</v>
      </c>
      <c r="N106" s="49">
        <f ca="1">SUMIFS(
  INDIRECT("input_staff[import]"),
  INDIRECT("input_staff[yyyymm]"), 'P&amp;G-SL'!N$1,
  INDIRECT("input_staff[concept/supplier]"), 'P&amp;G-SL'!$C106
)</f>
        <v>0</v>
      </c>
      <c r="O106" s="49">
        <f ca="1">SUMIFS(
  INDIRECT("input_staff[import]"),
  INDIRECT("input_staff[yyyymm]"), 'P&amp;G-SL'!O$1,
  INDIRECT("input_staff[concept/supplier]"), 'P&amp;G-SL'!$C106
)</f>
        <v>0</v>
      </c>
      <c r="P106" s="49">
        <f ca="1">SUMIFS(
  INDIRECT("input_staff[import]"),
  INDIRECT("input_staff[yyyymm]"), 'P&amp;G-SL'!P$1,
  INDIRECT("input_staff[concept/supplier]"), 'P&amp;G-SL'!$C106
)</f>
        <v>0</v>
      </c>
      <c r="Q106" s="49">
        <f ca="1">SUMIFS(
  INDIRECT("input_staff[import]"),
  INDIRECT("input_staff[yyyymm]"), 'P&amp;G-SL'!Q$1,
  INDIRECT("input_staff[concept/supplier]"), 'P&amp;G-SL'!$C106
)</f>
        <v>0</v>
      </c>
      <c r="R106" s="49">
        <f ca="1">SUMIFS(
  INDIRECT("input_staff[import]"),
  INDIRECT("input_staff[yyyymm]"), 'P&amp;G-SL'!R$1,
  INDIRECT("input_staff[concept/supplier]"), 'P&amp;G-SL'!$C106
)</f>
        <v>0</v>
      </c>
      <c r="S106" s="49">
        <f ca="1">SUMIFS(
  INDIRECT("input_staff[import]"),
  INDIRECT("input_staff[yyyymm]"), 'P&amp;G-SL'!S$1,
  INDIRECT("input_staff[concept/supplier]"), 'P&amp;G-SL'!$C106
)</f>
        <v>0</v>
      </c>
      <c r="T106" s="49">
        <f ca="1">SUMIFS(
  INDIRECT("input_staff[import]"),
  INDIRECT("input_staff[yyyymm]"), 'P&amp;G-SL'!T$1,
  INDIRECT("input_staff[concept/supplier]"), 'P&amp;G-SL'!$C106
)</f>
        <v>0</v>
      </c>
      <c r="U106" s="31">
        <f t="shared" ca="1" si="28"/>
        <v>4767.6400000000003</v>
      </c>
      <c r="W106" s="59"/>
    </row>
    <row r="107" spans="3:25" outlineLevel="1" x14ac:dyDescent="0.3">
      <c r="C107" t="s">
        <v>1567</v>
      </c>
      <c r="D107" s="14"/>
      <c r="E107" s="324"/>
      <c r="F107" s="324"/>
      <c r="G107"/>
      <c r="H107" s="14" t="s">
        <v>1534</v>
      </c>
      <c r="I107" s="49">
        <f ca="1">SUMIFS(
  INDIRECT("input_staff[import]"),
  INDIRECT("input_staff[yyyymm]"), 'P&amp;G-SL'!I$1,
  INDIRECT("input_staff[concept/supplier]"), 'P&amp;G-SL'!$C107
)</f>
        <v>0</v>
      </c>
      <c r="J107" s="49">
        <f ca="1">SUMIFS(
  INDIRECT("input_staff[import]"),
  INDIRECT("input_staff[yyyymm]"), 'P&amp;G-SL'!J$1,
  INDIRECT("input_staff[concept/supplier]"), 'P&amp;G-SL'!$C107
)</f>
        <v>183.84</v>
      </c>
      <c r="K107" s="49">
        <f ca="1">SUMIFS(
  INDIRECT("input_staff[import]"),
  INDIRECT("input_staff[yyyymm]"), 'P&amp;G-SL'!K$1,
  INDIRECT("input_staff[concept/supplier]"), 'P&amp;G-SL'!$C107
)</f>
        <v>0</v>
      </c>
      <c r="L107" s="49">
        <f ca="1">SUMIFS(
  INDIRECT("input_staff[import]"),
  INDIRECT("input_staff[yyyymm]"), 'P&amp;G-SL'!L$1,
  INDIRECT("input_staff[concept/supplier]"), 'P&amp;G-SL'!$C107
)</f>
        <v>0</v>
      </c>
      <c r="M107" s="49">
        <f ca="1">SUMIFS(
  INDIRECT("input_staff[import]"),
  INDIRECT("input_staff[yyyymm]"), 'P&amp;G-SL'!M$1,
  INDIRECT("input_staff[concept/supplier]"), 'P&amp;G-SL'!$C107
)</f>
        <v>0</v>
      </c>
      <c r="N107" s="49">
        <f ca="1">SUMIFS(
  INDIRECT("input_staff[import]"),
  INDIRECT("input_staff[yyyymm]"), 'P&amp;G-SL'!N$1,
  INDIRECT("input_staff[concept/supplier]"), 'P&amp;G-SL'!$C107
)</f>
        <v>0</v>
      </c>
      <c r="O107" s="49">
        <f ca="1">SUMIFS(
  INDIRECT("input_staff[import]"),
  INDIRECT("input_staff[yyyymm]"), 'P&amp;G-SL'!O$1,
  INDIRECT("input_staff[concept/supplier]"), 'P&amp;G-SL'!$C107
)</f>
        <v>0</v>
      </c>
      <c r="P107" s="49">
        <f ca="1">SUMIFS(
  INDIRECT("input_staff[import]"),
  INDIRECT("input_staff[yyyymm]"), 'P&amp;G-SL'!P$1,
  INDIRECT("input_staff[concept/supplier]"), 'P&amp;G-SL'!$C107
)</f>
        <v>0</v>
      </c>
      <c r="Q107" s="49">
        <f ca="1">SUMIFS(
  INDIRECT("input_staff[import]"),
  INDIRECT("input_staff[yyyymm]"), 'P&amp;G-SL'!Q$1,
  INDIRECT("input_staff[concept/supplier]"), 'P&amp;G-SL'!$C107
)</f>
        <v>0</v>
      </c>
      <c r="R107" s="49">
        <f ca="1">SUMIFS(
  INDIRECT("input_staff[import]"),
  INDIRECT("input_staff[yyyymm]"), 'P&amp;G-SL'!R$1,
  INDIRECT("input_staff[concept/supplier]"), 'P&amp;G-SL'!$C107
)</f>
        <v>0</v>
      </c>
      <c r="S107" s="49">
        <f ca="1">SUMIFS(
  INDIRECT("input_staff[import]"),
  INDIRECT("input_staff[yyyymm]"), 'P&amp;G-SL'!S$1,
  INDIRECT("input_staff[concept/supplier]"), 'P&amp;G-SL'!$C107
)</f>
        <v>0</v>
      </c>
      <c r="T107" s="49">
        <f ca="1">SUMIFS(
  INDIRECT("input_staff[import]"),
  INDIRECT("input_staff[yyyymm]"), 'P&amp;G-SL'!T$1,
  INDIRECT("input_staff[concept/supplier]"), 'P&amp;G-SL'!$C107
)</f>
        <v>0</v>
      </c>
      <c r="U107" s="31">
        <f t="shared" ref="U107" ca="1" si="90">SUM(I107:T107)</f>
        <v>183.84</v>
      </c>
      <c r="W107" s="59"/>
    </row>
    <row r="108" spans="3:25" outlineLevel="1" x14ac:dyDescent="0.3">
      <c r="D108" s="14"/>
      <c r="E108" s="324"/>
      <c r="F108" s="324"/>
      <c r="G108"/>
      <c r="H108" s="14" t="s">
        <v>1535</v>
      </c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31"/>
      <c r="W108" s="59"/>
    </row>
    <row r="109" spans="3:25" x14ac:dyDescent="0.3">
      <c r="D109" s="330"/>
      <c r="E109" s="11"/>
      <c r="F109" s="11"/>
      <c r="G109" s="404" t="s">
        <v>61</v>
      </c>
      <c r="H109" s="405"/>
      <c r="I109" s="41">
        <f t="shared" ref="I109:T109" ca="1" si="91">+I103*0.2</f>
        <v>2946.3680000000004</v>
      </c>
      <c r="J109" s="41">
        <f t="shared" ca="1" si="91"/>
        <v>2983.1360000000004</v>
      </c>
      <c r="K109" s="41">
        <f t="shared" ca="1" si="91"/>
        <v>0</v>
      </c>
      <c r="L109" s="41">
        <f t="shared" ca="1" si="91"/>
        <v>0</v>
      </c>
      <c r="M109" s="41">
        <f t="shared" ca="1" si="91"/>
        <v>0</v>
      </c>
      <c r="N109" s="41">
        <f t="shared" ca="1" si="91"/>
        <v>0</v>
      </c>
      <c r="O109" s="41">
        <f t="shared" ca="1" si="91"/>
        <v>0</v>
      </c>
      <c r="P109" s="41">
        <f t="shared" ca="1" si="91"/>
        <v>0</v>
      </c>
      <c r="Q109" s="41">
        <f t="shared" ca="1" si="91"/>
        <v>0</v>
      </c>
      <c r="R109" s="41">
        <f t="shared" ca="1" si="91"/>
        <v>0</v>
      </c>
      <c r="S109" s="41">
        <f t="shared" ca="1" si="91"/>
        <v>0</v>
      </c>
      <c r="T109" s="41">
        <f t="shared" ca="1" si="91"/>
        <v>0</v>
      </c>
      <c r="U109" s="31">
        <f t="shared" ca="1" si="28"/>
        <v>5929.5040000000008</v>
      </c>
    </row>
    <row r="110" spans="3:25" x14ac:dyDescent="0.3">
      <c r="D110" s="328"/>
      <c r="E110" s="9"/>
      <c r="F110" s="9"/>
      <c r="G110" s="404" t="s">
        <v>63</v>
      </c>
      <c r="H110" s="405"/>
      <c r="I110" s="42">
        <f ca="1">+I103*0.2</f>
        <v>2946.3680000000004</v>
      </c>
      <c r="J110" s="42">
        <f ca="1">+J103*0.2</f>
        <v>2983.1360000000004</v>
      </c>
      <c r="K110" s="42">
        <f ca="1">+K103*0</f>
        <v>0</v>
      </c>
      <c r="L110" s="42">
        <f ca="1">+L103*0</f>
        <v>0</v>
      </c>
      <c r="M110" s="42">
        <f ca="1">+M103*0</f>
        <v>0</v>
      </c>
      <c r="N110" s="42">
        <f t="shared" ref="N110:T110" ca="1" si="92">+N103*0.2</f>
        <v>0</v>
      </c>
      <c r="O110" s="42">
        <f t="shared" ca="1" si="92"/>
        <v>0</v>
      </c>
      <c r="P110" s="42">
        <f t="shared" ca="1" si="92"/>
        <v>0</v>
      </c>
      <c r="Q110" s="42">
        <f t="shared" ca="1" si="92"/>
        <v>0</v>
      </c>
      <c r="R110" s="42">
        <f t="shared" ca="1" si="92"/>
        <v>0</v>
      </c>
      <c r="S110" s="42">
        <f t="shared" ca="1" si="92"/>
        <v>0</v>
      </c>
      <c r="T110" s="42">
        <f t="shared" ca="1" si="92"/>
        <v>0</v>
      </c>
      <c r="U110" s="31">
        <f t="shared" ca="1" si="28"/>
        <v>5929.5040000000008</v>
      </c>
    </row>
    <row r="111" spans="3:25" x14ac:dyDescent="0.3">
      <c r="D111" s="349"/>
      <c r="E111" s="349"/>
      <c r="F111" s="349"/>
      <c r="G111" s="350"/>
      <c r="H111" s="351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31"/>
    </row>
    <row r="112" spans="3:25" x14ac:dyDescent="0.3">
      <c r="D112" s="329"/>
      <c r="E112" s="9"/>
      <c r="F112" s="9"/>
      <c r="G112" s="9"/>
      <c r="H112" s="1"/>
      <c r="I112" s="356">
        <f ca="1">+I113/I$84</f>
        <v>0.10979953378503671</v>
      </c>
      <c r="J112" s="356">
        <f t="shared" ref="J112" ca="1" si="93">+J113/J$84</f>
        <v>9.4673374306679867E-2</v>
      </c>
      <c r="K112" s="356">
        <f t="shared" ref="K112" ca="1" si="94">+K113/K$84</f>
        <v>0</v>
      </c>
      <c r="L112" s="356" t="e">
        <f t="shared" ref="L112" ca="1" si="95">+L113/L$84</f>
        <v>#DIV/0!</v>
      </c>
      <c r="M112" s="356" t="e">
        <f t="shared" ref="M112" ca="1" si="96">+M113/M$84</f>
        <v>#DIV/0!</v>
      </c>
      <c r="N112" s="356" t="e">
        <f t="shared" ref="N112" ca="1" si="97">+N113/N$84</f>
        <v>#DIV/0!</v>
      </c>
      <c r="O112" s="356" t="e">
        <f t="shared" ref="O112" ca="1" si="98">+O113/O$84</f>
        <v>#DIV/0!</v>
      </c>
      <c r="P112" s="356" t="e">
        <f t="shared" ref="P112" ca="1" si="99">+P113/P$84</f>
        <v>#DIV/0!</v>
      </c>
      <c r="Q112" s="356" t="e">
        <f t="shared" ref="Q112" ca="1" si="100">+Q113/Q$84</f>
        <v>#DIV/0!</v>
      </c>
      <c r="R112" s="356" t="e">
        <f t="shared" ref="R112" ca="1" si="101">+R113/R$84</f>
        <v>#DIV/0!</v>
      </c>
      <c r="S112" s="356" t="e">
        <f t="shared" ref="S112" ca="1" si="102">+S113/S$84</f>
        <v>#DIV/0!</v>
      </c>
      <c r="T112" s="356" t="e">
        <f t="shared" ref="T112" ca="1" si="103">+T113/T$84</f>
        <v>#DIV/0!</v>
      </c>
      <c r="U112" s="31"/>
    </row>
    <row r="113" spans="3:21" x14ac:dyDescent="0.3">
      <c r="D113"/>
      <c r="E113" s="385" t="s">
        <v>109</v>
      </c>
      <c r="F113" s="385"/>
      <c r="G113" s="385"/>
      <c r="H113" s="386"/>
      <c r="I113" s="39">
        <f ca="1">+I114+I121</f>
        <v>6708.8140999999996</v>
      </c>
      <c r="J113" s="39">
        <f ca="1">+J114+J121</f>
        <v>6882.4646115702471</v>
      </c>
      <c r="K113" s="39">
        <f t="shared" ref="K113:T113" ca="1" si="104">+K114+K121</f>
        <v>0</v>
      </c>
      <c r="L113" s="39">
        <f t="shared" ca="1" si="104"/>
        <v>0</v>
      </c>
      <c r="M113" s="39">
        <f t="shared" ca="1" si="104"/>
        <v>0</v>
      </c>
      <c r="N113" s="39">
        <f t="shared" ca="1" si="104"/>
        <v>0</v>
      </c>
      <c r="O113" s="39">
        <f t="shared" ca="1" si="104"/>
        <v>0</v>
      </c>
      <c r="P113" s="39">
        <f ca="1">+P114+P121</f>
        <v>0</v>
      </c>
      <c r="Q113" s="39">
        <f ca="1">+Q114+Q121</f>
        <v>0</v>
      </c>
      <c r="R113" s="39">
        <f t="shared" ca="1" si="104"/>
        <v>0</v>
      </c>
      <c r="S113" s="39">
        <f ca="1">+S114+S121</f>
        <v>0</v>
      </c>
      <c r="T113" s="39">
        <f t="shared" ca="1" si="104"/>
        <v>0</v>
      </c>
      <c r="U113" s="31">
        <f t="shared" ca="1" si="28"/>
        <v>13591.278711570247</v>
      </c>
    </row>
    <row r="114" spans="3:21" x14ac:dyDescent="0.3">
      <c r="D114" s="330"/>
      <c r="E114" s="11"/>
      <c r="F114" s="11"/>
      <c r="G114" s="400" t="s">
        <v>110</v>
      </c>
      <c r="H114" s="401"/>
      <c r="I114" s="39">
        <f ca="1">SUM(I115:I120)</f>
        <v>2764.9041000000002</v>
      </c>
      <c r="J114" s="39">
        <f ca="1">SUM(J115:J120)</f>
        <v>2842.5479999999998</v>
      </c>
      <c r="K114" s="39">
        <f t="shared" ref="K114:T114" ca="1" si="105">SUM(K115:K120)</f>
        <v>0</v>
      </c>
      <c r="L114" s="39">
        <f t="shared" ca="1" si="105"/>
        <v>0</v>
      </c>
      <c r="M114" s="39">
        <f t="shared" ca="1" si="105"/>
        <v>0</v>
      </c>
      <c r="N114" s="39">
        <f t="shared" ca="1" si="105"/>
        <v>0</v>
      </c>
      <c r="O114" s="39">
        <f t="shared" ca="1" si="105"/>
        <v>0</v>
      </c>
      <c r="P114" s="39">
        <f t="shared" ca="1" si="105"/>
        <v>0</v>
      </c>
      <c r="Q114" s="39">
        <f t="shared" ca="1" si="105"/>
        <v>0</v>
      </c>
      <c r="R114" s="39">
        <f t="shared" ca="1" si="105"/>
        <v>0</v>
      </c>
      <c r="S114" s="39">
        <f t="shared" ca="1" si="105"/>
        <v>0</v>
      </c>
      <c r="T114" s="39">
        <f t="shared" ca="1" si="105"/>
        <v>0</v>
      </c>
      <c r="U114" s="31">
        <f t="shared" ca="1" si="28"/>
        <v>5607.4521000000004</v>
      </c>
    </row>
    <row r="115" spans="3:21" outlineLevel="1" x14ac:dyDescent="0.3">
      <c r="C115" t="s">
        <v>111</v>
      </c>
      <c r="D115" s="328"/>
      <c r="E115" s="9"/>
      <c r="F115" s="9"/>
      <c r="G115" s="9"/>
      <c r="H115" s="9" t="s">
        <v>112</v>
      </c>
      <c r="I115" s="49">
        <f ca="1">SUMIFS(
  INDIRECT("input_invoice[net]"),
  INDIRECT("input_invoice[yyyymm]"), 'P&amp;G-SL'!I$1,
  INDIRECT("input_invoice[concept/supplier]"), 'P&amp;G-SL'!$C115
)</f>
        <v>808.08</v>
      </c>
      <c r="J115" s="49">
        <f ca="1">SUMIFS(
  INDIRECT("input_invoice[net]"),
  INDIRECT("input_invoice[yyyymm]"), 'P&amp;G-SL'!J$1,
  INDIRECT("input_invoice[concept/supplier]"), 'P&amp;G-SL'!$C115
)</f>
        <v>808.08</v>
      </c>
      <c r="K115" s="49">
        <f ca="1">SUMIFS(
  INDIRECT("input_invoice[net]"),
  INDIRECT("input_invoice[yyyymm]"), 'P&amp;G-SL'!K$1,
  INDIRECT("input_invoice[concept/supplier]"), 'P&amp;G-SL'!$C115
)</f>
        <v>0</v>
      </c>
      <c r="L115" s="49">
        <f ca="1">SUMIFS(
  INDIRECT("input_invoice[net]"),
  INDIRECT("input_invoice[yyyymm]"), 'P&amp;G-SL'!L$1,
  INDIRECT("input_invoice[concept/supplier]"), 'P&amp;G-SL'!$C115
)</f>
        <v>0</v>
      </c>
      <c r="M115" s="49">
        <f ca="1">SUMIFS(
  INDIRECT("input_invoice[net]"),
  INDIRECT("input_invoice[yyyymm]"), 'P&amp;G-SL'!M$1,
  INDIRECT("input_invoice[concept/supplier]"), 'P&amp;G-SL'!$C115
)</f>
        <v>0</v>
      </c>
      <c r="N115" s="49">
        <f ca="1">SUMIFS(
  INDIRECT("input_invoice[net]"),
  INDIRECT("input_invoice[yyyymm]"), 'P&amp;G-SL'!N$1,
  INDIRECT("input_invoice[concept/supplier]"), 'P&amp;G-SL'!$C115
)</f>
        <v>0</v>
      </c>
      <c r="O115" s="49">
        <f ca="1">SUMIFS(
  INDIRECT("input_invoice[net]"),
  INDIRECT("input_invoice[yyyymm]"), 'P&amp;G-SL'!O$1,
  INDIRECT("input_invoice[concept/supplier]"), 'P&amp;G-SL'!$C115
)</f>
        <v>0</v>
      </c>
      <c r="P115" s="49">
        <f ca="1">SUMIFS(
  INDIRECT("input_invoice[net]"),
  INDIRECT("input_invoice[yyyymm]"), 'P&amp;G-SL'!P$1,
  INDIRECT("input_invoice[concept/supplier]"), 'P&amp;G-SL'!$C115
)</f>
        <v>0</v>
      </c>
      <c r="Q115" s="49">
        <f ca="1">SUMIFS(
  INDIRECT("input_invoice[net]"),
  INDIRECT("input_invoice[yyyymm]"), 'P&amp;G-SL'!Q$1,
  INDIRECT("input_invoice[concept/supplier]"), 'P&amp;G-SL'!$C115
)</f>
        <v>0</v>
      </c>
      <c r="R115" s="49">
        <f ca="1">SUMIFS(
  INDIRECT("input_invoice[net]"),
  INDIRECT("input_invoice[yyyymm]"), 'P&amp;G-SL'!R$1,
  INDIRECT("input_invoice[concept/supplier]"), 'P&amp;G-SL'!$C115
)</f>
        <v>0</v>
      </c>
      <c r="S115" s="49">
        <f ca="1">SUMIFS(
  INDIRECT("input_invoice[net]"),
  INDIRECT("input_invoice[yyyymm]"), 'P&amp;G-SL'!S$1,
  INDIRECT("input_invoice[concept/supplier]"), 'P&amp;G-SL'!$C115
)</f>
        <v>0</v>
      </c>
      <c r="T115" s="49">
        <f ca="1">SUMIFS(
  INDIRECT("input_invoice[net]"),
  INDIRECT("input_invoice[yyyymm]"), 'P&amp;G-SL'!T$1,
  INDIRECT("input_invoice[concept/supplier]"), 'P&amp;G-SL'!$C115
)</f>
        <v>0</v>
      </c>
      <c r="U115" s="31">
        <f t="shared" ca="1" si="28"/>
        <v>1616.16</v>
      </c>
    </row>
    <row r="116" spans="3:21" outlineLevel="1" x14ac:dyDescent="0.3">
      <c r="C116" t="s">
        <v>113</v>
      </c>
      <c r="D116" s="328"/>
      <c r="E116" s="9"/>
      <c r="F116" s="9"/>
      <c r="G116" s="9"/>
      <c r="H116" s="9" t="s">
        <v>114</v>
      </c>
      <c r="I116" s="49">
        <f ca="1">SUMIFS(
  INDIRECT("input_invoice[net]"),
  INDIRECT("input_invoice[yyyymm]"), 'P&amp;G-SL'!I$1,
  INDIRECT("input_invoice[concept/supplier]"), 'P&amp;G-SL'!$C116
)</f>
        <v>15</v>
      </c>
      <c r="J116" s="49">
        <f ca="1">SUMIFS(
  INDIRECT("input_invoice[net]"),
  INDIRECT("input_invoice[yyyymm]"), 'P&amp;G-SL'!J$1,
  INDIRECT("input_invoice[concept/supplier]"), 'P&amp;G-SL'!$C116
)</f>
        <v>15</v>
      </c>
      <c r="K116" s="49">
        <f ca="1">SUMIFS(
  INDIRECT("input_invoice[net]"),
  INDIRECT("input_invoice[yyyymm]"), 'P&amp;G-SL'!K$1,
  INDIRECT("input_invoice[concept/supplier]"), 'P&amp;G-SL'!$C116
)</f>
        <v>0</v>
      </c>
      <c r="L116" s="49">
        <f ca="1">SUMIFS(
  INDIRECT("input_invoice[net]"),
  INDIRECT("input_invoice[yyyymm]"), 'P&amp;G-SL'!L$1,
  INDIRECT("input_invoice[concept/supplier]"), 'P&amp;G-SL'!$C116
)</f>
        <v>0</v>
      </c>
      <c r="M116" s="49">
        <f ca="1">SUMIFS(
  INDIRECT("input_invoice[net]"),
  INDIRECT("input_invoice[yyyymm]"), 'P&amp;G-SL'!M$1,
  INDIRECT("input_invoice[concept/supplier]"), 'P&amp;G-SL'!$C116
)</f>
        <v>0</v>
      </c>
      <c r="N116" s="49">
        <f ca="1">SUMIFS(
  INDIRECT("input_invoice[net]"),
  INDIRECT("input_invoice[yyyymm]"), 'P&amp;G-SL'!N$1,
  INDIRECT("input_invoice[concept/supplier]"), 'P&amp;G-SL'!$C116
)</f>
        <v>0</v>
      </c>
      <c r="O116" s="49">
        <f ca="1">SUMIFS(
  INDIRECT("input_invoice[net]"),
  INDIRECT("input_invoice[yyyymm]"), 'P&amp;G-SL'!O$1,
  INDIRECT("input_invoice[concept/supplier]"), 'P&amp;G-SL'!$C116
)</f>
        <v>0</v>
      </c>
      <c r="P116" s="49">
        <f ca="1">SUMIFS(
  INDIRECT("input_invoice[net]"),
  INDIRECT("input_invoice[yyyymm]"), 'P&amp;G-SL'!P$1,
  INDIRECT("input_invoice[concept/supplier]"), 'P&amp;G-SL'!$C116
)</f>
        <v>0</v>
      </c>
      <c r="Q116" s="49">
        <f ca="1">SUMIFS(
  INDIRECT("input_invoice[net]"),
  INDIRECT("input_invoice[yyyymm]"), 'P&amp;G-SL'!Q$1,
  INDIRECT("input_invoice[concept/supplier]"), 'P&amp;G-SL'!$C116
)</f>
        <v>0</v>
      </c>
      <c r="R116" s="49">
        <f ca="1">SUMIFS(
  INDIRECT("input_invoice[net]"),
  INDIRECT("input_invoice[yyyymm]"), 'P&amp;G-SL'!R$1,
  INDIRECT("input_invoice[concept/supplier]"), 'P&amp;G-SL'!$C116
)</f>
        <v>0</v>
      </c>
      <c r="S116" s="49">
        <f ca="1">SUMIFS(
  INDIRECT("input_invoice[net]"),
  INDIRECT("input_invoice[yyyymm]"), 'P&amp;G-SL'!S$1,
  INDIRECT("input_invoice[concept/supplier]"), 'P&amp;G-SL'!$C116
)</f>
        <v>0</v>
      </c>
      <c r="T116" s="49">
        <f ca="1">SUMIFS(
  INDIRECT("input_invoice[net]"),
  INDIRECT("input_invoice[yyyymm]"), 'P&amp;G-SL'!T$1,
  INDIRECT("input_invoice[concept/supplier]"), 'P&amp;G-SL'!$C116
)</f>
        <v>0</v>
      </c>
      <c r="U116" s="31">
        <f t="shared" ca="1" si="28"/>
        <v>30</v>
      </c>
    </row>
    <row r="117" spans="3:21" outlineLevel="1" x14ac:dyDescent="0.3">
      <c r="C117" t="s">
        <v>115</v>
      </c>
      <c r="D117" s="328"/>
      <c r="E117" s="9"/>
      <c r="F117" s="9"/>
      <c r="G117" s="9"/>
      <c r="H117" s="9" t="s">
        <v>116</v>
      </c>
      <c r="I117" s="49">
        <f ca="1">SUMIFS(
  INDIRECT("input_invoice[net]"),
  INDIRECT("input_invoice[yyyymm]"), 'P&amp;G-SL'!I$1,
  INDIRECT("input_invoice[concept/supplier]"), 'P&amp;G-SL'!$C117
)</f>
        <v>0</v>
      </c>
      <c r="J117" s="49">
        <f ca="1">SUMIFS(
  INDIRECT("input_invoice[net]"),
  INDIRECT("input_invoice[yyyymm]"), 'P&amp;G-SL'!J$1,
  INDIRECT("input_invoice[concept/supplier]"), 'P&amp;G-SL'!$C117
)</f>
        <v>309.02</v>
      </c>
      <c r="K117" s="49">
        <f ca="1">SUMIFS(
  INDIRECT("input_invoice[net]"),
  INDIRECT("input_invoice[yyyymm]"), 'P&amp;G-SL'!K$1,
  INDIRECT("input_invoice[concept/supplier]"), 'P&amp;G-SL'!$C117
)</f>
        <v>0</v>
      </c>
      <c r="L117" s="49">
        <f ca="1">SUMIFS(
  INDIRECT("input_invoice[net]"),
  INDIRECT("input_invoice[yyyymm]"), 'P&amp;G-SL'!L$1,
  INDIRECT("input_invoice[concept/supplier]"), 'P&amp;G-SL'!$C117
)</f>
        <v>0</v>
      </c>
      <c r="M117" s="49">
        <f ca="1">SUMIFS(
  INDIRECT("input_invoice[net]"),
  INDIRECT("input_invoice[yyyymm]"), 'P&amp;G-SL'!M$1,
  INDIRECT("input_invoice[concept/supplier]"), 'P&amp;G-SL'!$C117
)</f>
        <v>0</v>
      </c>
      <c r="N117" s="49">
        <f ca="1">SUMIFS(
  INDIRECT("input_invoice[net]"),
  INDIRECT("input_invoice[yyyymm]"), 'P&amp;G-SL'!N$1,
  INDIRECT("input_invoice[concept/supplier]"), 'P&amp;G-SL'!$C117
)</f>
        <v>0</v>
      </c>
      <c r="O117" s="49">
        <f ca="1">SUMIFS(
  INDIRECT("input_invoice[net]"),
  INDIRECT("input_invoice[yyyymm]"), 'P&amp;G-SL'!O$1,
  INDIRECT("input_invoice[concept/supplier]"), 'P&amp;G-SL'!$C117
)</f>
        <v>0</v>
      </c>
      <c r="P117" s="49">
        <f ca="1">SUMIFS(
  INDIRECT("input_invoice[net]"),
  INDIRECT("input_invoice[yyyymm]"), 'P&amp;G-SL'!P$1,
  INDIRECT("input_invoice[concept/supplier]"), 'P&amp;G-SL'!$C117
)</f>
        <v>0</v>
      </c>
      <c r="Q117" s="49">
        <f ca="1">SUMIFS(
  INDIRECT("input_invoice[net]"),
  INDIRECT("input_invoice[yyyymm]"), 'P&amp;G-SL'!Q$1,
  INDIRECT("input_invoice[concept/supplier]"), 'P&amp;G-SL'!$C117
)</f>
        <v>0</v>
      </c>
      <c r="R117" s="49">
        <f ca="1">SUMIFS(
  INDIRECT("input_invoice[net]"),
  INDIRECT("input_invoice[yyyymm]"), 'P&amp;G-SL'!R$1,
  INDIRECT("input_invoice[concept/supplier]"), 'P&amp;G-SL'!$C117
)</f>
        <v>0</v>
      </c>
      <c r="S117" s="49">
        <f ca="1">SUMIFS(
  INDIRECT("input_invoice[net]"),
  INDIRECT("input_invoice[yyyymm]"), 'P&amp;G-SL'!S$1,
  INDIRECT("input_invoice[concept/supplier]"), 'P&amp;G-SL'!$C117
)</f>
        <v>0</v>
      </c>
      <c r="T117" s="49">
        <f ca="1">SUMIFS(
  INDIRECT("input_invoice[net]"),
  INDIRECT("input_invoice[yyyymm]"), 'P&amp;G-SL'!T$1,
  INDIRECT("input_invoice[concept/supplier]"), 'P&amp;G-SL'!$C117
)</f>
        <v>0</v>
      </c>
      <c r="U117" s="31">
        <f t="shared" ref="U117:U161" ca="1" si="106">SUM(I117:T117)</f>
        <v>309.02</v>
      </c>
    </row>
    <row r="118" spans="3:21" ht="27.6" outlineLevel="1" x14ac:dyDescent="0.3">
      <c r="C118" t="s">
        <v>117</v>
      </c>
      <c r="D118" s="328"/>
      <c r="E118" s="9"/>
      <c r="F118" s="9"/>
      <c r="G118" s="9"/>
      <c r="H118" s="9" t="s">
        <v>118</v>
      </c>
      <c r="I118" s="49">
        <f ca="1">SUMIFS(
  INDIRECT("input_invoice[net]"),
  INDIRECT("input_invoice[yyyymm]"), 'P&amp;G-SL'!I$1,
  INDIRECT("input_invoice[concept/supplier]"), 'P&amp;G-SL'!$C118
)*I168</f>
        <v>27.674099999999999</v>
      </c>
      <c r="J118" s="49">
        <f ca="1">SUMIFS(
  INDIRECT("input_invoice[net]"),
  INDIRECT("input_invoice[yyyymm]"), 'P&amp;G-SL'!J$1,
  INDIRECT("input_invoice[concept/supplier]"), 'P&amp;G-SL'!$C118
)*J168</f>
        <v>30.527999999999999</v>
      </c>
      <c r="K118" s="49">
        <f ca="1">SUMIFS(
  INDIRECT("input_invoice[net]"),
  INDIRECT("input_invoice[yyyymm]"), 'P&amp;G-SL'!K$1,
  INDIRECT("input_invoice[concept/supplier]"), 'P&amp;G-SL'!$C118
)*K168</f>
        <v>0</v>
      </c>
      <c r="L118" s="49">
        <f ca="1">SUMIFS(
  INDIRECT("input_invoice[net]"),
  INDIRECT("input_invoice[yyyymm]"), 'P&amp;G-SL'!L$1,
  INDIRECT("input_invoice[concept/supplier]"), 'P&amp;G-SL'!$C118
)*L168</f>
        <v>0</v>
      </c>
      <c r="M118" s="49">
        <f ca="1">SUMIFS(
  INDIRECT("input_invoice[net]"),
  INDIRECT("input_invoice[yyyymm]"), 'P&amp;G-SL'!M$1,
  INDIRECT("input_invoice[concept/supplier]"), 'P&amp;G-SL'!$C118
)*M168</f>
        <v>0</v>
      </c>
      <c r="N118" s="49">
        <f ca="1">SUMIFS(
  INDIRECT("input_invoice[net]"),
  INDIRECT("input_invoice[yyyymm]"), 'P&amp;G-SL'!N$1,
  INDIRECT("input_invoice[concept/supplier]"), 'P&amp;G-SL'!$C118
)*N168</f>
        <v>0</v>
      </c>
      <c r="O118" s="49">
        <f ca="1">SUMIFS(
  INDIRECT("input_invoice[net]"),
  INDIRECT("input_invoice[yyyymm]"), 'P&amp;G-SL'!O$1,
  INDIRECT("input_invoice[concept/supplier]"), 'P&amp;G-SL'!$C118
)*O168</f>
        <v>0</v>
      </c>
      <c r="P118" s="49">
        <f ca="1">SUMIFS(
  INDIRECT("input_invoice[net]"),
  INDIRECT("input_invoice[yyyymm]"), 'P&amp;G-SL'!P$1,
  INDIRECT("input_invoice[concept/supplier]"), 'P&amp;G-SL'!$C118
)*P168</f>
        <v>0</v>
      </c>
      <c r="Q118" s="49">
        <f ca="1">SUMIFS(
  INDIRECT("input_invoice[net]"),
  INDIRECT("input_invoice[yyyymm]"), 'P&amp;G-SL'!Q$1,
  INDIRECT("input_invoice[concept/supplier]"), 'P&amp;G-SL'!$C118
)*Q168</f>
        <v>0</v>
      </c>
      <c r="R118" s="49">
        <f ca="1">SUMIFS(
  INDIRECT("input_invoice[net]"),
  INDIRECT("input_invoice[yyyymm]"), 'P&amp;G-SL'!R$1,
  INDIRECT("input_invoice[concept/supplier]"), 'P&amp;G-SL'!$C118
)*R168</f>
        <v>0</v>
      </c>
      <c r="S118" s="49">
        <f ca="1">SUMIFS(
  INDIRECT("input_invoice[net]"),
  INDIRECT("input_invoice[yyyymm]"), 'P&amp;G-SL'!S$1,
  INDIRECT("input_invoice[concept/supplier]"), 'P&amp;G-SL'!$C118
)*S168</f>
        <v>0</v>
      </c>
      <c r="T118" s="49">
        <f ca="1">SUMIFS(
  INDIRECT("input_invoice[net]"),
  INDIRECT("input_invoice[yyyymm]"), 'P&amp;G-SL'!T$1,
  INDIRECT("input_invoice[concept/supplier]"), 'P&amp;G-SL'!$C118
)*T168</f>
        <v>0</v>
      </c>
      <c r="U118" s="31">
        <f ca="1">SUM(I118:T118)</f>
        <v>58.202100000000002</v>
      </c>
    </row>
    <row r="119" spans="3:21" outlineLevel="1" x14ac:dyDescent="0.3">
      <c r="C119" t="s">
        <v>1312</v>
      </c>
      <c r="D119" s="328"/>
      <c r="E119" s="9"/>
      <c r="F119" s="9"/>
      <c r="G119" s="9"/>
      <c r="H119" s="9" t="s">
        <v>2</v>
      </c>
      <c r="I119" s="274">
        <f ca="1">SUMIFS(
  INDIRECT("input_invoice[net]"),
  INDIRECT("input_invoice[yyyymm]"), 'P&amp;G-SL'!I$1,
  INDIRECT("input_invoice[concept/supplier]"), 'P&amp;G-SL'!$C119
)</f>
        <v>1679.92</v>
      </c>
      <c r="J119" s="274">
        <f ca="1">SUMIFS(
  INDIRECT("input_invoice[net]"),
  INDIRECT("input_invoice[yyyymm]"), 'P&amp;G-SL'!J$1,
  INDIRECT("input_invoice[concept/supplier]"), 'P&amp;G-SL'!$C119
)</f>
        <v>1679.92</v>
      </c>
      <c r="K119" s="274">
        <f ca="1">SUMIFS(
  INDIRECT("input_invoice[net]"),
  INDIRECT("input_invoice[yyyymm]"), 'P&amp;G-SL'!K$1,
  INDIRECT("input_invoice[concept/supplier]"), 'P&amp;G-SL'!$C119
)</f>
        <v>0</v>
      </c>
      <c r="L119" s="274">
        <f ca="1">SUMIFS(
  INDIRECT("input_invoice[net]"),
  INDIRECT("input_invoice[yyyymm]"), 'P&amp;G-SL'!L$1,
  INDIRECT("input_invoice[concept/supplier]"), 'P&amp;G-SL'!$C119
)</f>
        <v>0</v>
      </c>
      <c r="M119" s="274">
        <f ca="1">SUMIFS(
  INDIRECT("input_invoice[net]"),
  INDIRECT("input_invoice[yyyymm]"), 'P&amp;G-SL'!M$1,
  INDIRECT("input_invoice[concept/supplier]"), 'P&amp;G-SL'!$C119
)</f>
        <v>0</v>
      </c>
      <c r="N119" s="274">
        <f ca="1">SUMIFS(
  INDIRECT("input_invoice[net]"),
  INDIRECT("input_invoice[yyyymm]"), 'P&amp;G-SL'!N$1,
  INDIRECT("input_invoice[concept/supplier]"), 'P&amp;G-SL'!$C119
)</f>
        <v>0</v>
      </c>
      <c r="O119" s="274">
        <f ca="1">SUMIFS(
  INDIRECT("input_invoice[net]"),
  INDIRECT("input_invoice[yyyymm]"), 'P&amp;G-SL'!O$1,
  INDIRECT("input_invoice[concept/supplier]"), 'P&amp;G-SL'!$C119
)</f>
        <v>0</v>
      </c>
      <c r="P119" s="274">
        <f ca="1">SUMIFS(
  INDIRECT("input_invoice[net]"),
  INDIRECT("input_invoice[yyyymm]"), 'P&amp;G-SL'!P$1,
  INDIRECT("input_invoice[concept/supplier]"), 'P&amp;G-SL'!$C119
)</f>
        <v>0</v>
      </c>
      <c r="Q119" s="274">
        <f ca="1">SUMIFS(
  INDIRECT("input_invoice[net]"),
  INDIRECT("input_invoice[yyyymm]"), 'P&amp;G-SL'!Q$1,
  INDIRECT("input_invoice[concept/supplier]"), 'P&amp;G-SL'!$C119
)</f>
        <v>0</v>
      </c>
      <c r="R119" s="274">
        <f ca="1">SUMIFS(
  INDIRECT("input_invoice[net]"),
  INDIRECT("input_invoice[yyyymm]"), 'P&amp;G-SL'!R$1,
  INDIRECT("input_invoice[concept/supplier]"), 'P&amp;G-SL'!$C119
)</f>
        <v>0</v>
      </c>
      <c r="S119" s="274">
        <f ca="1">SUMIFS(
  INDIRECT("input_invoice[net]"),
  INDIRECT("input_invoice[yyyymm]"), 'P&amp;G-SL'!S$1,
  INDIRECT("input_invoice[concept/supplier]"), 'P&amp;G-SL'!$C119
)</f>
        <v>0</v>
      </c>
      <c r="T119" s="274">
        <f ca="1">SUMIFS(
  INDIRECT("input_invoice[net]"),
  INDIRECT("input_invoice[yyyymm]"), 'P&amp;G-SL'!T$1,
  INDIRECT("input_invoice[concept/supplier]"), 'P&amp;G-SL'!$C119
)</f>
        <v>0</v>
      </c>
      <c r="U119" s="31">
        <f t="shared" ref="U119" ca="1" si="107">SUM(I119:T119)</f>
        <v>3359.84</v>
      </c>
    </row>
    <row r="120" spans="3:21" outlineLevel="1" x14ac:dyDescent="0.3">
      <c r="C120" t="s">
        <v>119</v>
      </c>
      <c r="D120" s="328"/>
      <c r="E120" s="9"/>
      <c r="F120" s="9"/>
      <c r="G120" s="9"/>
      <c r="H120" s="9" t="s">
        <v>120</v>
      </c>
      <c r="I120" s="49">
        <f ca="1">SUMIFS(
  INDIRECT("input_invoice[net]"),
  INDIRECT("input_invoice[yyyymm]"), 'P&amp;G-SL'!I$1,
  INDIRECT("input_invoice[concept/supplier]"), 'P&amp;G-SL'!$C120
)</f>
        <v>234.23000000000002</v>
      </c>
      <c r="J120" s="49">
        <f ca="1">SUMIFS(
  INDIRECT("input_invoice[net]"),
  INDIRECT("input_invoice[yyyymm]"), 'P&amp;G-SL'!J$1,
  INDIRECT("input_invoice[concept/supplier]"), 'P&amp;G-SL'!$C120
)</f>
        <v>0</v>
      </c>
      <c r="K120" s="49">
        <f ca="1">SUMIFS(
  INDIRECT("input_invoice[net]"),
  INDIRECT("input_invoice[yyyymm]"), 'P&amp;G-SL'!K$1,
  INDIRECT("input_invoice[concept/supplier]"), 'P&amp;G-SL'!$C120
)</f>
        <v>0</v>
      </c>
      <c r="L120" s="49">
        <f ca="1">SUMIFS(
  INDIRECT("input_invoice[net]"),
  INDIRECT("input_invoice[yyyymm]"), 'P&amp;G-SL'!L$1,
  INDIRECT("input_invoice[concept/supplier]"), 'P&amp;G-SL'!$C120
)</f>
        <v>0</v>
      </c>
      <c r="M120" s="49">
        <f ca="1">SUMIFS(
  INDIRECT("input_invoice[net]"),
  INDIRECT("input_invoice[yyyymm]"), 'P&amp;G-SL'!M$1,
  INDIRECT("input_invoice[concept/supplier]"), 'P&amp;G-SL'!$C120
)</f>
        <v>0</v>
      </c>
      <c r="N120" s="49">
        <f ca="1">SUMIFS(
  INDIRECT("input_invoice[net]"),
  INDIRECT("input_invoice[yyyymm]"), 'P&amp;G-SL'!N$1,
  INDIRECT("input_invoice[concept/supplier]"), 'P&amp;G-SL'!$C120
)</f>
        <v>0</v>
      </c>
      <c r="O120" s="49">
        <f ca="1">SUMIFS(
  INDIRECT("input_invoice[net]"),
  INDIRECT("input_invoice[yyyymm]"), 'P&amp;G-SL'!O$1,
  INDIRECT("input_invoice[concept/supplier]"), 'P&amp;G-SL'!$C120
)</f>
        <v>0</v>
      </c>
      <c r="P120" s="49">
        <f ca="1">SUMIFS(
  INDIRECT("input_invoice[net]"),
  INDIRECT("input_invoice[yyyymm]"), 'P&amp;G-SL'!P$1,
  INDIRECT("input_invoice[concept/supplier]"), 'P&amp;G-SL'!$C120
)</f>
        <v>0</v>
      </c>
      <c r="Q120" s="49">
        <f ca="1">SUMIFS(
  INDIRECT("input_invoice[net]"),
  INDIRECT("input_invoice[yyyymm]"), 'P&amp;G-SL'!Q$1,
  INDIRECT("input_invoice[concept/supplier]"), 'P&amp;G-SL'!$C120
)</f>
        <v>0</v>
      </c>
      <c r="R120" s="49">
        <f ca="1">SUMIFS(
  INDIRECT("input_invoice[net]"),
  INDIRECT("input_invoice[yyyymm]"), 'P&amp;G-SL'!R$1,
  INDIRECT("input_invoice[concept/supplier]"), 'P&amp;G-SL'!$C120
)</f>
        <v>0</v>
      </c>
      <c r="S120" s="49">
        <f ca="1">SUMIFS(
  INDIRECT("input_invoice[net]"),
  INDIRECT("input_invoice[yyyymm]"), 'P&amp;G-SL'!S$1,
  INDIRECT("input_invoice[concept/supplier]"), 'P&amp;G-SL'!$C120
)</f>
        <v>0</v>
      </c>
      <c r="T120" s="49">
        <f ca="1">SUMIFS(
  INDIRECT("input_invoice[net]"),
  INDIRECT("input_invoice[yyyymm]"), 'P&amp;G-SL'!T$1,
  INDIRECT("input_invoice[concept/supplier]"), 'P&amp;G-SL'!$C120
)</f>
        <v>0</v>
      </c>
      <c r="U120" s="31">
        <f t="shared" ca="1" si="106"/>
        <v>234.23000000000002</v>
      </c>
    </row>
    <row r="121" spans="3:21" x14ac:dyDescent="0.3">
      <c r="D121" s="330"/>
      <c r="E121" s="11"/>
      <c r="F121" s="11"/>
      <c r="G121" s="400" t="s">
        <v>121</v>
      </c>
      <c r="H121" s="401"/>
      <c r="I121" s="39">
        <f ca="1">SUM(I122:I140)</f>
        <v>3943.9099999999989</v>
      </c>
      <c r="J121" s="39">
        <f t="shared" ref="J121:T121" ca="1" si="108">SUM(J122:J140)</f>
        <v>4039.9166115702478</v>
      </c>
      <c r="K121" s="39">
        <f t="shared" ca="1" si="108"/>
        <v>0</v>
      </c>
      <c r="L121" s="39">
        <f t="shared" ca="1" si="108"/>
        <v>0</v>
      </c>
      <c r="M121" s="39">
        <f t="shared" ca="1" si="108"/>
        <v>0</v>
      </c>
      <c r="N121" s="39">
        <f t="shared" ca="1" si="108"/>
        <v>0</v>
      </c>
      <c r="O121" s="39">
        <f t="shared" ca="1" si="108"/>
        <v>0</v>
      </c>
      <c r="P121" s="39">
        <f t="shared" ca="1" si="108"/>
        <v>0</v>
      </c>
      <c r="Q121" s="39">
        <f t="shared" ca="1" si="108"/>
        <v>0</v>
      </c>
      <c r="R121" s="39">
        <f t="shared" ca="1" si="108"/>
        <v>0</v>
      </c>
      <c r="S121" s="39">
        <f ca="1">SUM(S122:S140)</f>
        <v>0</v>
      </c>
      <c r="T121" s="39">
        <f t="shared" ca="1" si="108"/>
        <v>0</v>
      </c>
      <c r="U121" s="31">
        <f ca="1">SUM(I121:T121)</f>
        <v>7983.8266115702463</v>
      </c>
    </row>
    <row r="122" spans="3:21" outlineLevel="1" x14ac:dyDescent="0.3">
      <c r="C122" t="s">
        <v>122</v>
      </c>
      <c r="D122" s="328"/>
      <c r="E122" s="9"/>
      <c r="F122" s="9"/>
      <c r="G122" s="9"/>
      <c r="H122" s="9" t="s">
        <v>9</v>
      </c>
      <c r="I122" s="49">
        <f ca="1">SUMIFS(
  INDIRECT("input_invoice[net]"),
  INDIRECT("input_invoice[yyyymm]"), 'P&amp;G-SL'!I$1,
  INDIRECT("input_invoice[concept/supplier]"), 'P&amp;G-SL'!$C122
)</f>
        <v>2260.94</v>
      </c>
      <c r="J122" s="49">
        <f ca="1">SUMIFS(
  INDIRECT("input_invoice[net]"),
  INDIRECT("input_invoice[yyyymm]"), 'P&amp;G-SL'!J$1,
  INDIRECT("input_invoice[concept/supplier]"), 'P&amp;G-SL'!$C122
)</f>
        <v>2384.5100000000002</v>
      </c>
      <c r="K122" s="49">
        <f ca="1">SUMIFS(
  INDIRECT("input_invoice[net]"),
  INDIRECT("input_invoice[yyyymm]"), 'P&amp;G-SL'!K$1,
  INDIRECT("input_invoice[concept/supplier]"), 'P&amp;G-SL'!$C122
)</f>
        <v>0</v>
      </c>
      <c r="L122" s="49">
        <f ca="1">SUMIFS(
  INDIRECT("input_invoice[net]"),
  INDIRECT("input_invoice[yyyymm]"), 'P&amp;G-SL'!L$1,
  INDIRECT("input_invoice[concept/supplier]"), 'P&amp;G-SL'!$C122
)</f>
        <v>0</v>
      </c>
      <c r="M122" s="49">
        <f ca="1">SUMIFS(
  INDIRECT("input_invoice[net]"),
  INDIRECT("input_invoice[yyyymm]"), 'P&amp;G-SL'!M$1,
  INDIRECT("input_invoice[concept/supplier]"), 'P&amp;G-SL'!$C122
)</f>
        <v>0</v>
      </c>
      <c r="N122" s="49">
        <f ca="1">SUMIFS(
  INDIRECT("input_invoice[net]"),
  INDIRECT("input_invoice[yyyymm]"), 'P&amp;G-SL'!N$1,
  INDIRECT("input_invoice[concept/supplier]"), 'P&amp;G-SL'!$C122
)</f>
        <v>0</v>
      </c>
      <c r="O122" s="49">
        <f ca="1">SUMIFS(
  INDIRECT("input_invoice[net]"),
  INDIRECT("input_invoice[yyyymm]"), 'P&amp;G-SL'!O$1,
  INDIRECT("input_invoice[concept/supplier]"), 'P&amp;G-SL'!$C122
)</f>
        <v>0</v>
      </c>
      <c r="P122" s="49">
        <f ca="1">SUMIFS(
  INDIRECT("input_invoice[net]"),
  INDIRECT("input_invoice[yyyymm]"), 'P&amp;G-SL'!P$1,
  INDIRECT("input_invoice[concept/supplier]"), 'P&amp;G-SL'!$C122
)</f>
        <v>0</v>
      </c>
      <c r="Q122" s="49">
        <f ca="1">SUMIFS(
  INDIRECT("input_invoice[net]"),
  INDIRECT("input_invoice[yyyymm]"), 'P&amp;G-SL'!Q$1,
  INDIRECT("input_invoice[concept/supplier]"), 'P&amp;G-SL'!$C122
)</f>
        <v>0</v>
      </c>
      <c r="R122" s="49">
        <f ca="1">SUMIFS(
  INDIRECT("input_invoice[net]"),
  INDIRECT("input_invoice[yyyymm]"), 'P&amp;G-SL'!R$1,
  INDIRECT("input_invoice[concept/supplier]"), 'P&amp;G-SL'!$C122
)</f>
        <v>0</v>
      </c>
      <c r="S122" s="49">
        <f ca="1">SUMIFS(
  INDIRECT("input_invoice[net]"),
  INDIRECT("input_invoice[yyyymm]"), 'P&amp;G-SL'!S$1,
  INDIRECT("input_invoice[concept/supplier]"), 'P&amp;G-SL'!$C122
)</f>
        <v>0</v>
      </c>
      <c r="T122" s="49">
        <f ca="1">SUMIFS(
  INDIRECT("input_invoice[net]"),
  INDIRECT("input_invoice[yyyymm]"), 'P&amp;G-SL'!T$1,
  INDIRECT("input_invoice[concept/supplier]"), 'P&amp;G-SL'!$C122
)</f>
        <v>0</v>
      </c>
      <c r="U122" s="31">
        <f t="shared" ca="1" si="106"/>
        <v>4645.4500000000007</v>
      </c>
    </row>
    <row r="123" spans="3:21" outlineLevel="1" x14ac:dyDescent="0.3">
      <c r="C123" t="s">
        <v>123</v>
      </c>
      <c r="D123" s="328"/>
      <c r="E123" s="9"/>
      <c r="F123" s="9"/>
      <c r="G123" s="9"/>
      <c r="H123" s="9" t="s">
        <v>124</v>
      </c>
      <c r="I123" s="49">
        <f ca="1">SUMIFS(
  INDIRECT("input_invoice[net]"),
  INDIRECT("input_invoice[yyyymm]"), 'P&amp;G-SL'!I$1,
  INDIRECT("input_invoice[concept/supplier]"), 'P&amp;G-SL'!$C123
)</f>
        <v>0</v>
      </c>
      <c r="J123" s="49">
        <f ca="1">SUMIFS(
  INDIRECT("input_invoice[net]"),
  INDIRECT("input_invoice[yyyymm]"), 'P&amp;G-SL'!J$1,
  INDIRECT("input_invoice[concept/supplier]"), 'P&amp;G-SL'!$C123
)</f>
        <v>47.19</v>
      </c>
      <c r="K123" s="49">
        <f ca="1">SUMIFS(
  INDIRECT("input_invoice[net]"),
  INDIRECT("input_invoice[yyyymm]"), 'P&amp;G-SL'!K$1,
  INDIRECT("input_invoice[concept/supplier]"), 'P&amp;G-SL'!$C123
)</f>
        <v>0</v>
      </c>
      <c r="L123" s="49">
        <f ca="1">SUMIFS(
  INDIRECT("input_invoice[net]"),
  INDIRECT("input_invoice[yyyymm]"), 'P&amp;G-SL'!L$1,
  INDIRECT("input_invoice[concept/supplier]"), 'P&amp;G-SL'!$C123
)</f>
        <v>0</v>
      </c>
      <c r="M123" s="49">
        <f ca="1">SUMIFS(
  INDIRECT("input_invoice[net]"),
  INDIRECT("input_invoice[yyyymm]"), 'P&amp;G-SL'!M$1,
  INDIRECT("input_invoice[concept/supplier]"), 'P&amp;G-SL'!$C123
)</f>
        <v>0</v>
      </c>
      <c r="N123" s="49">
        <f ca="1">SUMIFS(
  INDIRECT("input_invoice[net]"),
  INDIRECT("input_invoice[yyyymm]"), 'P&amp;G-SL'!N$1,
  INDIRECT("input_invoice[concept/supplier]"), 'P&amp;G-SL'!$C123
)</f>
        <v>0</v>
      </c>
      <c r="O123" s="49">
        <f ca="1">SUMIFS(
  INDIRECT("input_invoice[net]"),
  INDIRECT("input_invoice[yyyymm]"), 'P&amp;G-SL'!O$1,
  INDIRECT("input_invoice[concept/supplier]"), 'P&amp;G-SL'!$C123
)</f>
        <v>0</v>
      </c>
      <c r="P123" s="49">
        <f ca="1">SUMIFS(
  INDIRECT("input_invoice[net]"),
  INDIRECT("input_invoice[yyyymm]"), 'P&amp;G-SL'!P$1,
  INDIRECT("input_invoice[concept/supplier]"), 'P&amp;G-SL'!$C123
)</f>
        <v>0</v>
      </c>
      <c r="Q123" s="49">
        <f ca="1">SUMIFS(
  INDIRECT("input_invoice[net]"),
  INDIRECT("input_invoice[yyyymm]"), 'P&amp;G-SL'!Q$1,
  INDIRECT("input_invoice[concept/supplier]"), 'P&amp;G-SL'!$C123
)</f>
        <v>0</v>
      </c>
      <c r="R123" s="49">
        <f ca="1">SUMIFS(
  INDIRECT("input_invoice[net]"),
  INDIRECT("input_invoice[yyyymm]"), 'P&amp;G-SL'!R$1,
  INDIRECT("input_invoice[concept/supplier]"), 'P&amp;G-SL'!$C123
)</f>
        <v>0</v>
      </c>
      <c r="S123" s="49">
        <f ca="1">SUMIFS(
  INDIRECT("input_invoice[net]"),
  INDIRECT("input_invoice[yyyymm]"), 'P&amp;G-SL'!S$1,
  INDIRECT("input_invoice[concept/supplier]"), 'P&amp;G-SL'!$C123
)</f>
        <v>0</v>
      </c>
      <c r="T123" s="49">
        <f ca="1">SUMIFS(
  INDIRECT("input_invoice[net]"),
  INDIRECT("input_invoice[yyyymm]"), 'P&amp;G-SL'!T$1,
  INDIRECT("input_invoice[concept/supplier]"), 'P&amp;G-SL'!$C123
)</f>
        <v>0</v>
      </c>
      <c r="U123" s="31">
        <f t="shared" ref="U123" ca="1" si="109">SUM(I123:T123)</f>
        <v>47.19</v>
      </c>
    </row>
    <row r="124" spans="3:21" outlineLevel="1" x14ac:dyDescent="0.3">
      <c r="C124" t="s">
        <v>125</v>
      </c>
      <c r="D124" s="328"/>
      <c r="E124" s="9"/>
      <c r="F124" s="9"/>
      <c r="G124" s="9"/>
      <c r="H124" s="9" t="s">
        <v>126</v>
      </c>
      <c r="I124" s="49">
        <f ca="1">SUMIFS(
  INDIRECT("input_invoice[net]"),
  INDIRECT("input_invoice[yyyymm]"), 'P&amp;G-SL'!I$1,
  INDIRECT("input_invoice[concept/supplier]"), 'P&amp;G-SL'!$C124
)</f>
        <v>34.229999999999997</v>
      </c>
      <c r="J124" s="49">
        <f ca="1">SUMIFS(
  INDIRECT("input_invoice[net]"),
  INDIRECT("input_invoice[yyyymm]"), 'P&amp;G-SL'!J$1,
  INDIRECT("input_invoice[concept/supplier]"), 'P&amp;G-SL'!$C124
)</f>
        <v>0</v>
      </c>
      <c r="K124" s="49">
        <f ca="1">SUMIFS(
  INDIRECT("input_invoice[net]"),
  INDIRECT("input_invoice[yyyymm]"), 'P&amp;G-SL'!K$1,
  INDIRECT("input_invoice[concept/supplier]"), 'P&amp;G-SL'!$C124
)</f>
        <v>0</v>
      </c>
      <c r="L124" s="49">
        <f ca="1">SUMIFS(
  INDIRECT("input_invoice[net]"),
  INDIRECT("input_invoice[yyyymm]"), 'P&amp;G-SL'!L$1,
  INDIRECT("input_invoice[concept/supplier]"), 'P&amp;G-SL'!$C124
)</f>
        <v>0</v>
      </c>
      <c r="M124" s="49">
        <f ca="1">SUMIFS(
  INDIRECT("input_invoice[net]"),
  INDIRECT("input_invoice[yyyymm]"), 'P&amp;G-SL'!M$1,
  INDIRECT("input_invoice[concept/supplier]"), 'P&amp;G-SL'!$C124
)</f>
        <v>0</v>
      </c>
      <c r="N124" s="49">
        <f ca="1">SUMIFS(
  INDIRECT("input_invoice[net]"),
  INDIRECT("input_invoice[yyyymm]"), 'P&amp;G-SL'!N$1,
  INDIRECT("input_invoice[concept/supplier]"), 'P&amp;G-SL'!$C124
)</f>
        <v>0</v>
      </c>
      <c r="O124" s="49">
        <f ca="1">SUMIFS(
  INDIRECT("input_invoice[net]"),
  INDIRECT("input_invoice[yyyymm]"), 'P&amp;G-SL'!O$1,
  INDIRECT("input_invoice[concept/supplier]"), 'P&amp;G-SL'!$C124
)</f>
        <v>0</v>
      </c>
      <c r="P124" s="49">
        <f ca="1">SUMIFS(
  INDIRECT("input_invoice[net]"),
  INDIRECT("input_invoice[yyyymm]"), 'P&amp;G-SL'!P$1,
  INDIRECT("input_invoice[concept/supplier]"), 'P&amp;G-SL'!$C124
)</f>
        <v>0</v>
      </c>
      <c r="Q124" s="97">
        <f ca="1">SUMIFS(
  INDIRECT("input_invoice[net]"),
  INDIRECT("input_invoice[yyyymm]"), 'P&amp;G-SL'!Q$1,
  INDIRECT("input_invoice[concept/supplier]"), 'P&amp;G-SL'!$C124
)</f>
        <v>0</v>
      </c>
      <c r="R124" s="49">
        <f ca="1">SUMIFS(
  INDIRECT("input_invoice[net]"),
  INDIRECT("input_invoice[yyyymm]"), 'P&amp;G-SL'!R$1,
  INDIRECT("input_invoice[concept/supplier]"), 'P&amp;G-SL'!$C124
)</f>
        <v>0</v>
      </c>
      <c r="S124" s="49">
        <f ca="1">SUMIFS(
  INDIRECT("input_invoice[net]"),
  INDIRECT("input_invoice[yyyymm]"), 'P&amp;G-SL'!S$1,
  INDIRECT("input_invoice[concept/supplier]"), 'P&amp;G-SL'!$C124
)</f>
        <v>0</v>
      </c>
      <c r="T124" s="49">
        <f ca="1">SUMIFS(
  INDIRECT("input_invoice[net]"),
  INDIRECT("input_invoice[yyyymm]"), 'P&amp;G-SL'!T$1,
  INDIRECT("input_invoice[concept/supplier]"), 'P&amp;G-SL'!$C124
)</f>
        <v>0</v>
      </c>
      <c r="U124" s="31">
        <f t="shared" ca="1" si="106"/>
        <v>34.229999999999997</v>
      </c>
    </row>
    <row r="125" spans="3:21" outlineLevel="1" x14ac:dyDescent="0.3">
      <c r="C125" t="s">
        <v>127</v>
      </c>
      <c r="D125" s="328"/>
      <c r="E125" s="9"/>
      <c r="F125" s="9"/>
      <c r="G125" s="9"/>
      <c r="H125" s="9" t="s">
        <v>128</v>
      </c>
      <c r="I125" s="49">
        <f ca="1">SUMIFS(
  INDIRECT("input_invoice[net]"),
  INDIRECT("input_invoice[yyyymm]"), 'P&amp;G-SL'!I$1,
  INDIRECT("input_invoice[concept/supplier]"), 'P&amp;G-SL'!$C125
)</f>
        <v>13.19</v>
      </c>
      <c r="J125" s="49">
        <f ca="1">SUMIFS(
  INDIRECT("input_invoice[net]"),
  INDIRECT("input_invoice[yyyymm]"), 'P&amp;G-SL'!J$1,
  INDIRECT("input_invoice[concept/supplier]"), 'P&amp;G-SL'!$C125
)</f>
        <v>10.9</v>
      </c>
      <c r="K125" s="49">
        <f ca="1">SUMIFS(
  INDIRECT("input_invoice[net]"),
  INDIRECT("input_invoice[yyyymm]"), 'P&amp;G-SL'!K$1,
  INDIRECT("input_invoice[concept/supplier]"), 'P&amp;G-SL'!$C125
)</f>
        <v>0</v>
      </c>
      <c r="L125" s="49">
        <f ca="1">SUMIFS(
  INDIRECT("input_invoice[net]"),
  INDIRECT("input_invoice[yyyymm]"), 'P&amp;G-SL'!L$1,
  INDIRECT("input_invoice[concept/supplier]"), 'P&amp;G-SL'!$C125
)</f>
        <v>0</v>
      </c>
      <c r="M125" s="49">
        <f ca="1">SUMIFS(
  INDIRECT("input_invoice[net]"),
  INDIRECT("input_invoice[yyyymm]"), 'P&amp;G-SL'!M$1,
  INDIRECT("input_invoice[concept/supplier]"), 'P&amp;G-SL'!$C125
)</f>
        <v>0</v>
      </c>
      <c r="N125" s="49">
        <f ca="1">SUMIFS(
  INDIRECT("input_invoice[net]"),
  INDIRECT("input_invoice[yyyymm]"), 'P&amp;G-SL'!N$1,
  INDIRECT("input_invoice[concept/supplier]"), 'P&amp;G-SL'!$C125
)</f>
        <v>0</v>
      </c>
      <c r="O125" s="49">
        <f ca="1">SUMIFS(
  INDIRECT("input_invoice[net]"),
  INDIRECT("input_invoice[yyyymm]"), 'P&amp;G-SL'!O$1,
  INDIRECT("input_invoice[concept/supplier]"), 'P&amp;G-SL'!$C125
)</f>
        <v>0</v>
      </c>
      <c r="P125" s="49">
        <f ca="1">SUMIFS(
  INDIRECT("input_invoice[net]"),
  INDIRECT("input_invoice[yyyymm]"), 'P&amp;G-SL'!P$1,
  INDIRECT("input_invoice[concept/supplier]"), 'P&amp;G-SL'!$C125
)</f>
        <v>0</v>
      </c>
      <c r="Q125" s="97">
        <f ca="1">SUMIFS(
  INDIRECT("input_invoice[net]"),
  INDIRECT("input_invoice[yyyymm]"), 'P&amp;G-SL'!Q$1,
  INDIRECT("input_invoice[concept/supplier]"), 'P&amp;G-SL'!$C125
)</f>
        <v>0</v>
      </c>
      <c r="R125" s="49">
        <f ca="1">SUMIFS(
  INDIRECT("input_invoice[net]"),
  INDIRECT("input_invoice[yyyymm]"), 'P&amp;G-SL'!R$1,
  INDIRECT("input_invoice[concept/supplier]"), 'P&amp;G-SL'!$C125
)</f>
        <v>0</v>
      </c>
      <c r="S125" s="49">
        <f ca="1">SUMIFS(
  INDIRECT("input_invoice[net]"),
  INDIRECT("input_invoice[yyyymm]"), 'P&amp;G-SL'!S$1,
  INDIRECT("input_invoice[concept/supplier]"), 'P&amp;G-SL'!$C125
)</f>
        <v>0</v>
      </c>
      <c r="T125" s="49">
        <f ca="1">SUMIFS(
  INDIRECT("input_invoice[net]"),
  INDIRECT("input_invoice[yyyymm]"), 'P&amp;G-SL'!T$1,
  INDIRECT("input_invoice[concept/supplier]"), 'P&amp;G-SL'!$C125
)</f>
        <v>0</v>
      </c>
      <c r="U125" s="31">
        <f t="shared" ca="1" si="106"/>
        <v>24.09</v>
      </c>
    </row>
    <row r="126" spans="3:21" outlineLevel="1" x14ac:dyDescent="0.3">
      <c r="C126" t="s">
        <v>129</v>
      </c>
      <c r="D126" s="328"/>
      <c r="E126" s="9"/>
      <c r="F126" s="9"/>
      <c r="G126" s="9"/>
      <c r="H126" s="9" t="s">
        <v>130</v>
      </c>
      <c r="I126" s="49">
        <f ca="1">SUMIFS(
  INDIRECT("input_invoice[net]"),
  INDIRECT("input_invoice[yyyymm]"), 'P&amp;G-SL'!I$1,
  INDIRECT("input_invoice[concept/supplier]"), 'P&amp;G-SL'!$C126
)</f>
        <v>68.47</v>
      </c>
      <c r="J126" s="49">
        <f ca="1">SUMIFS(
  INDIRECT("input_invoice[net]"),
  INDIRECT("input_invoice[yyyymm]"), 'P&amp;G-SL'!J$1,
  INDIRECT("input_invoice[concept/supplier]"), 'P&amp;G-SL'!$C126
)</f>
        <v>77.87</v>
      </c>
      <c r="K126" s="49">
        <f ca="1">SUMIFS(
  INDIRECT("input_invoice[net]"),
  INDIRECT("input_invoice[yyyymm]"), 'P&amp;G-SL'!K$1,
  INDIRECT("input_invoice[concept/supplier]"), 'P&amp;G-SL'!$C126
)</f>
        <v>0</v>
      </c>
      <c r="L126" s="49">
        <f ca="1">SUMIFS(
  INDIRECT("input_invoice[net]"),
  INDIRECT("input_invoice[yyyymm]"), 'P&amp;G-SL'!L$1,
  INDIRECT("input_invoice[concept/supplier]"), 'P&amp;G-SL'!$C126
)</f>
        <v>0</v>
      </c>
      <c r="M126" s="49">
        <f ca="1">SUMIFS(
  INDIRECT("input_invoice[net]"),
  INDIRECT("input_invoice[yyyymm]"), 'P&amp;G-SL'!M$1,
  INDIRECT("input_invoice[concept/supplier]"), 'P&amp;G-SL'!$C126
)</f>
        <v>0</v>
      </c>
      <c r="N126" s="49">
        <f ca="1">SUMIFS(
  INDIRECT("input_invoice[net]"),
  INDIRECT("input_invoice[yyyymm]"), 'P&amp;G-SL'!N$1,
  INDIRECT("input_invoice[concept/supplier]"), 'P&amp;G-SL'!$C126
)</f>
        <v>0</v>
      </c>
      <c r="O126" s="49">
        <f ca="1">SUMIFS(
  INDIRECT("input_invoice[net]"),
  INDIRECT("input_invoice[yyyymm]"), 'P&amp;G-SL'!O$1,
  INDIRECT("input_invoice[concept/supplier]"), 'P&amp;G-SL'!$C126
)</f>
        <v>0</v>
      </c>
      <c r="P126" s="49">
        <f ca="1">SUMIFS(
  INDIRECT("input_invoice[net]"),
  INDIRECT("input_invoice[yyyymm]"), 'P&amp;G-SL'!P$1,
  INDIRECT("input_invoice[concept/supplier]"), 'P&amp;G-SL'!$C126
)</f>
        <v>0</v>
      </c>
      <c r="Q126" s="97">
        <f ca="1">SUMIFS(
  INDIRECT("input_invoice[net]"),
  INDIRECT("input_invoice[yyyymm]"), 'P&amp;G-SL'!Q$1,
  INDIRECT("input_invoice[concept/supplier]"), 'P&amp;G-SL'!$C126
)</f>
        <v>0</v>
      </c>
      <c r="R126" s="49">
        <f ca="1">SUMIFS(
  INDIRECT("input_invoice[net]"),
  INDIRECT("input_invoice[yyyymm]"), 'P&amp;G-SL'!R$1,
  INDIRECT("input_invoice[concept/supplier]"), 'P&amp;G-SL'!$C126
)</f>
        <v>0</v>
      </c>
      <c r="S126" s="49">
        <f ca="1">SUMIFS(
  INDIRECT("input_invoice[net]"),
  INDIRECT("input_invoice[yyyymm]"), 'P&amp;G-SL'!S$1,
  INDIRECT("input_invoice[concept/supplier]"), 'P&amp;G-SL'!$C126
)</f>
        <v>0</v>
      </c>
      <c r="T126" s="49">
        <f ca="1">SUMIFS(
  INDIRECT("input_invoice[net]"),
  INDIRECT("input_invoice[yyyymm]"), 'P&amp;G-SL'!T$1,
  INDIRECT("input_invoice[concept/supplier]"), 'P&amp;G-SL'!$C126
)</f>
        <v>0</v>
      </c>
      <c r="U126" s="31">
        <f t="shared" ca="1" si="106"/>
        <v>146.34</v>
      </c>
    </row>
    <row r="127" spans="3:21" outlineLevel="1" x14ac:dyDescent="0.3">
      <c r="C127" t="s">
        <v>131</v>
      </c>
      <c r="D127" s="328"/>
      <c r="E127" s="9"/>
      <c r="F127" s="9"/>
      <c r="G127" s="9"/>
      <c r="H127" s="9" t="s">
        <v>132</v>
      </c>
      <c r="I127" s="49">
        <f ca="1">SUMIFS(
  INDIRECT("input_invoice[net]"),
  INDIRECT("input_invoice[yyyymm]"), 'P&amp;G-SL'!I$1,
  INDIRECT("input_invoice[concept/supplier]"), 'P&amp;G-SL'!$C127
)</f>
        <v>134</v>
      </c>
      <c r="J127" s="49">
        <f ca="1">SUMIFS(
  INDIRECT("input_invoice[net]"),
  INDIRECT("input_invoice[yyyymm]"), 'P&amp;G-SL'!J$1,
  INDIRECT("input_invoice[concept/supplier]"), 'P&amp;G-SL'!$C127
)</f>
        <v>134</v>
      </c>
      <c r="K127" s="49">
        <f ca="1">SUMIFS(
  INDIRECT("input_invoice[net]"),
  INDIRECT("input_invoice[yyyymm]"), 'P&amp;G-SL'!K$1,
  INDIRECT("input_invoice[concept/supplier]"), 'P&amp;G-SL'!$C127
)</f>
        <v>0</v>
      </c>
      <c r="L127" s="49">
        <f ca="1">SUMIFS(
  INDIRECT("input_invoice[net]"),
  INDIRECT("input_invoice[yyyymm]"), 'P&amp;G-SL'!L$1,
  INDIRECT("input_invoice[concept/supplier]"), 'P&amp;G-SL'!$C127
)</f>
        <v>0</v>
      </c>
      <c r="M127" s="49">
        <f ca="1">SUMIFS(
  INDIRECT("input_invoice[net]"),
  INDIRECT("input_invoice[yyyymm]"), 'P&amp;G-SL'!M$1,
  INDIRECT("input_invoice[concept/supplier]"), 'P&amp;G-SL'!$C127
)</f>
        <v>0</v>
      </c>
      <c r="N127" s="49">
        <f ca="1">SUMIFS(
  INDIRECT("input_invoice[net]"),
  INDIRECT("input_invoice[yyyymm]"), 'P&amp;G-SL'!N$1,
  INDIRECT("input_invoice[concept/supplier]"), 'P&amp;G-SL'!$C127
)</f>
        <v>0</v>
      </c>
      <c r="O127" s="49">
        <f ca="1">SUMIFS(
  INDIRECT("input_invoice[net]"),
  INDIRECT("input_invoice[yyyymm]"), 'P&amp;G-SL'!O$1,
  INDIRECT("input_invoice[concept/supplier]"), 'P&amp;G-SL'!$C127
)</f>
        <v>0</v>
      </c>
      <c r="P127" s="49">
        <f ca="1">SUMIFS(
  INDIRECT("input_invoice[net]"),
  INDIRECT("input_invoice[yyyymm]"), 'P&amp;G-SL'!P$1,
  INDIRECT("input_invoice[concept/supplier]"), 'P&amp;G-SL'!$C127
)</f>
        <v>0</v>
      </c>
      <c r="Q127" s="97">
        <f ca="1">SUMIFS(
  INDIRECT("input_invoice[net]"),
  INDIRECT("input_invoice[yyyymm]"), 'P&amp;G-SL'!Q$1,
  INDIRECT("input_invoice[concept/supplier]"), 'P&amp;G-SL'!$C127
)</f>
        <v>0</v>
      </c>
      <c r="R127" s="49">
        <f ca="1">SUMIFS(
  INDIRECT("input_invoice[net]"),
  INDIRECT("input_invoice[yyyymm]"), 'P&amp;G-SL'!R$1,
  INDIRECT("input_invoice[concept/supplier]"), 'P&amp;G-SL'!$C127
)</f>
        <v>0</v>
      </c>
      <c r="S127" s="49">
        <f ca="1">SUMIFS(
  INDIRECT("input_invoice[net]"),
  INDIRECT("input_invoice[yyyymm]"), 'P&amp;G-SL'!S$1,
  INDIRECT("input_invoice[concept/supplier]"), 'P&amp;G-SL'!$C127
)</f>
        <v>0</v>
      </c>
      <c r="T127" s="49">
        <f ca="1">SUMIFS(
  INDIRECT("input_invoice[net]"),
  INDIRECT("input_invoice[yyyymm]"), 'P&amp;G-SL'!T$1,
  INDIRECT("input_invoice[concept/supplier]"), 'P&amp;G-SL'!$C127
)</f>
        <v>0</v>
      </c>
      <c r="U127" s="31">
        <f t="shared" ca="1" si="106"/>
        <v>268</v>
      </c>
    </row>
    <row r="128" spans="3:21" outlineLevel="1" x14ac:dyDescent="0.3">
      <c r="C128" t="s">
        <v>133</v>
      </c>
      <c r="D128" s="14"/>
      <c r="E128" s="14"/>
      <c r="F128" s="14"/>
      <c r="G128" s="14"/>
      <c r="H128" s="14" t="s">
        <v>134</v>
      </c>
      <c r="I128" s="49">
        <f ca="1">SUMIFS(
  INDIRECT("input_invoice[net]"),
  INDIRECT("input_invoice[yyyymm]"), 'P&amp;G-SL'!I$1,
  INDIRECT("input_invoice[concept/supplier]"), 'P&amp;G-SL'!$C128
)</f>
        <v>194.4</v>
      </c>
      <c r="J128" s="49">
        <f ca="1">SUMIFS(
  INDIRECT("input_invoice[net]"),
  INDIRECT("input_invoice[yyyymm]"), 'P&amp;G-SL'!J$1,
  INDIRECT("input_invoice[concept/supplier]"), 'P&amp;G-SL'!$C128
)</f>
        <v>201.91</v>
      </c>
      <c r="K128" s="49">
        <f ca="1">SUMIFS(
  INDIRECT("input_invoice[net]"),
  INDIRECT("input_invoice[yyyymm]"), 'P&amp;G-SL'!K$1,
  INDIRECT("input_invoice[concept/supplier]"), 'P&amp;G-SL'!$C128
)</f>
        <v>0</v>
      </c>
      <c r="L128" s="49">
        <f ca="1">SUMIFS(
  INDIRECT("input_invoice[net]"),
  INDIRECT("input_invoice[yyyymm]"), 'P&amp;G-SL'!L$1,
  INDIRECT("input_invoice[concept/supplier]"), 'P&amp;G-SL'!$C128
)</f>
        <v>0</v>
      </c>
      <c r="M128" s="49">
        <f ca="1">SUMIFS(
  INDIRECT("input_invoice[net]"),
  INDIRECT("input_invoice[yyyymm]"), 'P&amp;G-SL'!M$1,
  INDIRECT("input_invoice[concept/supplier]"), 'P&amp;G-SL'!$C128
)</f>
        <v>0</v>
      </c>
      <c r="N128" s="49">
        <f ca="1">SUMIFS(
  INDIRECT("input_invoice[net]"),
  INDIRECT("input_invoice[yyyymm]"), 'P&amp;G-SL'!N$1,
  INDIRECT("input_invoice[concept/supplier]"), 'P&amp;G-SL'!$C128
)</f>
        <v>0</v>
      </c>
      <c r="O128" s="49">
        <f ca="1">SUMIFS(
  INDIRECT("input_invoice[net]"),
  INDIRECT("input_invoice[yyyymm]"), 'P&amp;G-SL'!O$1,
  INDIRECT("input_invoice[concept/supplier]"), 'P&amp;G-SL'!$C128
)</f>
        <v>0</v>
      </c>
      <c r="P128" s="49">
        <f ca="1">SUMIFS(
  INDIRECT("input_invoice[net]"),
  INDIRECT("input_invoice[yyyymm]"), 'P&amp;G-SL'!P$1,
  INDIRECT("input_invoice[concept/supplier]"), 'P&amp;G-SL'!$C128
)</f>
        <v>0</v>
      </c>
      <c r="Q128" s="97">
        <f ca="1">SUMIFS(
  INDIRECT("input_invoice[net]"),
  INDIRECT("input_invoice[yyyymm]"), 'P&amp;G-SL'!Q$1,
  INDIRECT("input_invoice[concept/supplier]"), 'P&amp;G-SL'!$C128
)</f>
        <v>0</v>
      </c>
      <c r="R128" s="49">
        <f ca="1">SUMIFS(
  INDIRECT("input_invoice[net]"),
  INDIRECT("input_invoice[yyyymm]"), 'P&amp;G-SL'!R$1,
  INDIRECT("input_invoice[concept/supplier]"), 'P&amp;G-SL'!$C128
)</f>
        <v>0</v>
      </c>
      <c r="S128" s="49">
        <f ca="1">SUMIFS(
  INDIRECT("input_invoice[net]"),
  INDIRECT("input_invoice[yyyymm]"), 'P&amp;G-SL'!S$1,
  INDIRECT("input_invoice[concept/supplier]"), 'P&amp;G-SL'!$C128
)</f>
        <v>0</v>
      </c>
      <c r="T128" s="49">
        <f ca="1">SUMIFS(
  INDIRECT("input_invoice[net]"),
  INDIRECT("input_invoice[yyyymm]"), 'P&amp;G-SL'!T$1,
  INDIRECT("input_invoice[concept/supplier]"), 'P&amp;G-SL'!$C128
)</f>
        <v>0</v>
      </c>
      <c r="U128" s="31">
        <f t="shared" ca="1" si="106"/>
        <v>396.31</v>
      </c>
    </row>
    <row r="129" spans="3:21" outlineLevel="1" x14ac:dyDescent="0.3">
      <c r="C129" t="s">
        <v>135</v>
      </c>
      <c r="D129" s="328"/>
      <c r="E129" s="9"/>
      <c r="F129" s="9"/>
      <c r="G129" s="9"/>
      <c r="H129" s="9" t="s">
        <v>136</v>
      </c>
      <c r="I129" s="49">
        <f ca="1">SUMIFS(
  INDIRECT("input_invoice[net]"),
  INDIRECT("input_invoice[yyyymm]"), 'P&amp;G-SL'!I$1,
  INDIRECT("input_invoice[concept/supplier]"), 'P&amp;G-SL'!$C129
)</f>
        <v>0</v>
      </c>
      <c r="J129" s="49">
        <f ca="1">SUMIFS(
  INDIRECT("input_invoice[net]"),
  INDIRECT("input_invoice[yyyymm]"), 'P&amp;G-SL'!J$1,
  INDIRECT("input_invoice[concept/supplier]"), 'P&amp;G-SL'!$C129
)</f>
        <v>0</v>
      </c>
      <c r="K129" s="49">
        <f ca="1">SUMIFS(
  INDIRECT("input_invoice[net]"),
  INDIRECT("input_invoice[yyyymm]"), 'P&amp;G-SL'!K$1,
  INDIRECT("input_invoice[concept/supplier]"), 'P&amp;G-SL'!$C129
)</f>
        <v>0</v>
      </c>
      <c r="L129" s="49">
        <f ca="1">SUMIFS(
  INDIRECT("input_invoice[net]"),
  INDIRECT("input_invoice[yyyymm]"), 'P&amp;G-SL'!L$1,
  INDIRECT("input_invoice[concept/supplier]"), 'P&amp;G-SL'!$C129
)</f>
        <v>0</v>
      </c>
      <c r="M129" s="49">
        <f ca="1">SUMIFS(
  INDIRECT("input_invoice[net]"),
  INDIRECT("input_invoice[yyyymm]"), 'P&amp;G-SL'!M$1,
  INDIRECT("input_invoice[concept/supplier]"), 'P&amp;G-SL'!$C129
)</f>
        <v>0</v>
      </c>
      <c r="N129" s="49">
        <f ca="1">SUMIFS(
  INDIRECT("input_invoice[net]"),
  INDIRECT("input_invoice[yyyymm]"), 'P&amp;G-SL'!N$1,
  INDIRECT("input_invoice[concept/supplier]"), 'P&amp;G-SL'!$C129
)</f>
        <v>0</v>
      </c>
      <c r="O129" s="49">
        <f ca="1">SUMIFS(
  INDIRECT("input_invoice[net]"),
  INDIRECT("input_invoice[yyyymm]"), 'P&amp;G-SL'!O$1,
  INDIRECT("input_invoice[concept/supplier]"), 'P&amp;G-SL'!$C129
)</f>
        <v>0</v>
      </c>
      <c r="P129" s="49">
        <f ca="1">SUMIFS(
  INDIRECT("input_invoice[net]"),
  INDIRECT("input_invoice[yyyymm]"), 'P&amp;G-SL'!P$1,
  INDIRECT("input_invoice[concept/supplier]"), 'P&amp;G-SL'!$C129
)</f>
        <v>0</v>
      </c>
      <c r="Q129" s="97">
        <f ca="1">SUMIFS(
  INDIRECT("input_invoice[net]"),
  INDIRECT("input_invoice[yyyymm]"), 'P&amp;G-SL'!Q$1,
  INDIRECT("input_invoice[concept/supplier]"), 'P&amp;G-SL'!$C129
)</f>
        <v>0</v>
      </c>
      <c r="R129" s="49">
        <f ca="1">SUMIFS(
  INDIRECT("input_invoice[net]"),
  INDIRECT("input_invoice[yyyymm]"), 'P&amp;G-SL'!R$1,
  INDIRECT("input_invoice[concept/supplier]"), 'P&amp;G-SL'!$C129
)</f>
        <v>0</v>
      </c>
      <c r="S129" s="49">
        <f ca="1">SUMIFS(
  INDIRECT("input_invoice[net]"),
  INDIRECT("input_invoice[yyyymm]"), 'P&amp;G-SL'!S$1,
  INDIRECT("input_invoice[concept/supplier]"), 'P&amp;G-SL'!$C129
)</f>
        <v>0</v>
      </c>
      <c r="T129" s="49">
        <f ca="1">SUMIFS(
  INDIRECT("input_invoice[net]"),
  INDIRECT("input_invoice[yyyymm]"), 'P&amp;G-SL'!T$1,
  INDIRECT("input_invoice[concept/supplier]"), 'P&amp;G-SL'!$C129
)</f>
        <v>0</v>
      </c>
      <c r="U129" s="31">
        <f t="shared" ca="1" si="106"/>
        <v>0</v>
      </c>
    </row>
    <row r="130" spans="3:21" outlineLevel="1" x14ac:dyDescent="0.3">
      <c r="C130" t="s">
        <v>137</v>
      </c>
      <c r="D130" s="328"/>
      <c r="E130" s="9"/>
      <c r="F130" s="9"/>
      <c r="G130" s="9"/>
      <c r="H130" s="9" t="s">
        <v>138</v>
      </c>
      <c r="I130" s="49">
        <f ca="1">SUMIFS(
  INDIRECT("input_invoice[net]"),
  INDIRECT("input_invoice[yyyymm]"), 'P&amp;G-SL'!I$1,
  INDIRECT("input_invoice[concept/supplier]"), 'P&amp;G-SL'!$C130
)</f>
        <v>0</v>
      </c>
      <c r="J130" s="49">
        <f ca="1">SUMIFS(
  INDIRECT("input_invoice[net]"),
  INDIRECT("input_invoice[yyyymm]"), 'P&amp;G-SL'!J$1,
  INDIRECT("input_invoice[concept/supplier]"), 'P&amp;G-SL'!$C130
)</f>
        <v>42.67</v>
      </c>
      <c r="K130" s="49">
        <f ca="1">SUMIFS(
  INDIRECT("input_invoice[net]"),
  INDIRECT("input_invoice[yyyymm]"), 'P&amp;G-SL'!K$1,
  INDIRECT("input_invoice[concept/supplier]"), 'P&amp;G-SL'!$C130
)</f>
        <v>0</v>
      </c>
      <c r="L130" s="49">
        <f ca="1">SUMIFS(
  INDIRECT("input_invoice[net]"),
  INDIRECT("input_invoice[yyyymm]"), 'P&amp;G-SL'!L$1,
  INDIRECT("input_invoice[concept/supplier]"), 'P&amp;G-SL'!$C130
)</f>
        <v>0</v>
      </c>
      <c r="M130" s="49">
        <f ca="1">SUMIFS(
  INDIRECT("input_invoice[net]"),
  INDIRECT("input_invoice[yyyymm]"), 'P&amp;G-SL'!M$1,
  INDIRECT("input_invoice[concept/supplier]"), 'P&amp;G-SL'!$C130
)</f>
        <v>0</v>
      </c>
      <c r="N130" s="49">
        <f ca="1">SUMIFS(
  INDIRECT("input_invoice[net]"),
  INDIRECT("input_invoice[yyyymm]"), 'P&amp;G-SL'!N$1,
  INDIRECT("input_invoice[concept/supplier]"), 'P&amp;G-SL'!$C130
)</f>
        <v>0</v>
      </c>
      <c r="O130" s="49">
        <f ca="1">SUMIFS(
  INDIRECT("input_invoice[net]"),
  INDIRECT("input_invoice[yyyymm]"), 'P&amp;G-SL'!O$1,
  INDIRECT("input_invoice[concept/supplier]"), 'P&amp;G-SL'!$C130
)</f>
        <v>0</v>
      </c>
      <c r="P130" s="49">
        <f ca="1">SUMIFS(
  INDIRECT("input_invoice[net]"),
  INDIRECT("input_invoice[yyyymm]"), 'P&amp;G-SL'!P$1,
  INDIRECT("input_invoice[concept/supplier]"), 'P&amp;G-SL'!$C130
)</f>
        <v>0</v>
      </c>
      <c r="Q130" s="97">
        <f ca="1">SUMIFS(
  INDIRECT("input_invoice[net]"),
  INDIRECT("input_invoice[yyyymm]"), 'P&amp;G-SL'!Q$1,
  INDIRECT("input_invoice[concept/supplier]"), 'P&amp;G-SL'!$C130
)</f>
        <v>0</v>
      </c>
      <c r="R130" s="49">
        <f ca="1">SUMIFS(
  INDIRECT("input_invoice[net]"),
  INDIRECT("input_invoice[yyyymm]"), 'P&amp;G-SL'!R$1,
  INDIRECT("input_invoice[concept/supplier]"), 'P&amp;G-SL'!$C130
)</f>
        <v>0</v>
      </c>
      <c r="S130" s="49">
        <f ca="1">SUMIFS(
  INDIRECT("input_invoice[net]"),
  INDIRECT("input_invoice[yyyymm]"), 'P&amp;G-SL'!S$1,
  INDIRECT("input_invoice[concept/supplier]"), 'P&amp;G-SL'!$C130
)</f>
        <v>0</v>
      </c>
      <c r="T130" s="49">
        <f ca="1">SUMIFS(
  INDIRECT("input_invoice[net]"),
  INDIRECT("input_invoice[yyyymm]"), 'P&amp;G-SL'!T$1,
  INDIRECT("input_invoice[concept/supplier]"), 'P&amp;G-SL'!$C130
)</f>
        <v>0</v>
      </c>
      <c r="U130" s="31">
        <f t="shared" ca="1" si="106"/>
        <v>42.67</v>
      </c>
    </row>
    <row r="131" spans="3:21" outlineLevel="1" x14ac:dyDescent="0.3">
      <c r="C131" t="s">
        <v>139</v>
      </c>
      <c r="D131" s="328"/>
      <c r="E131" s="9"/>
      <c r="F131" s="9"/>
      <c r="G131" s="9"/>
      <c r="H131" s="9" t="s">
        <v>140</v>
      </c>
      <c r="I131" s="49">
        <f ca="1">SUMIFS(
  INDIRECT("input_invoice[net]"),
  INDIRECT("input_invoice[yyyymm]"), 'P&amp;G-SL'!I$1,
  INDIRECT("input_invoice[concept/supplier]"), 'P&amp;G-SL'!$C131
)</f>
        <v>5</v>
      </c>
      <c r="J131" s="49">
        <f ca="1">SUMIFS(
  INDIRECT("input_invoice[net]"),
  INDIRECT("input_invoice[yyyymm]"), 'P&amp;G-SL'!J$1,
  INDIRECT("input_invoice[concept/supplier]"), 'P&amp;G-SL'!$C131
)</f>
        <v>5</v>
      </c>
      <c r="K131" s="49">
        <f ca="1">SUMIFS(
  INDIRECT("input_invoice[net]"),
  INDIRECT("input_invoice[yyyymm]"), 'P&amp;G-SL'!K$1,
  INDIRECT("input_invoice[concept/supplier]"), 'P&amp;G-SL'!$C131
)</f>
        <v>0</v>
      </c>
      <c r="L131" s="49">
        <f ca="1">SUMIFS(
  INDIRECT("input_invoice[net]"),
  INDIRECT("input_invoice[yyyymm]"), 'P&amp;G-SL'!L$1,
  INDIRECT("input_invoice[concept/supplier]"), 'P&amp;G-SL'!$C131
)</f>
        <v>0</v>
      </c>
      <c r="M131" s="49">
        <f ca="1">SUMIFS(
  INDIRECT("input_invoice[net]"),
  INDIRECT("input_invoice[yyyymm]"), 'P&amp;G-SL'!M$1,
  INDIRECT("input_invoice[concept/supplier]"), 'P&amp;G-SL'!$C131
)</f>
        <v>0</v>
      </c>
      <c r="N131" s="49">
        <f ca="1">SUMIFS(
  INDIRECT("input_invoice[net]"),
  INDIRECT("input_invoice[yyyymm]"), 'P&amp;G-SL'!N$1,
  INDIRECT("input_invoice[concept/supplier]"), 'P&amp;G-SL'!$C131
)</f>
        <v>0</v>
      </c>
      <c r="O131" s="49">
        <f ca="1">SUMIFS(
  INDIRECT("input_invoice[net]"),
  INDIRECT("input_invoice[yyyymm]"), 'P&amp;G-SL'!O$1,
  INDIRECT("input_invoice[concept/supplier]"), 'P&amp;G-SL'!$C131
)</f>
        <v>0</v>
      </c>
      <c r="P131" s="49">
        <f ca="1">SUMIFS(
  INDIRECT("input_invoice[net]"),
  INDIRECT("input_invoice[yyyymm]"), 'P&amp;G-SL'!P$1,
  INDIRECT("input_invoice[concept/supplier]"), 'P&amp;G-SL'!$C131
)</f>
        <v>0</v>
      </c>
      <c r="Q131" s="97">
        <f ca="1">SUMIFS(
  INDIRECT("input_invoice[net]"),
  INDIRECT("input_invoice[yyyymm]"), 'P&amp;G-SL'!Q$1,
  INDIRECT("input_invoice[concept/supplier]"), 'P&amp;G-SL'!$C131
)</f>
        <v>0</v>
      </c>
      <c r="R131" s="49">
        <f ca="1">SUMIFS(
  INDIRECT("input_invoice[net]"),
  INDIRECT("input_invoice[yyyymm]"), 'P&amp;G-SL'!R$1,
  INDIRECT("input_invoice[concept/supplier]"), 'P&amp;G-SL'!$C131
)</f>
        <v>0</v>
      </c>
      <c r="S131" s="49">
        <f ca="1">SUMIFS(
  INDIRECT("input_invoice[net]"),
  INDIRECT("input_invoice[yyyymm]"), 'P&amp;G-SL'!S$1,
  INDIRECT("input_invoice[concept/supplier]"), 'P&amp;G-SL'!$C131
)</f>
        <v>0</v>
      </c>
      <c r="T131" s="49">
        <f ca="1">SUMIFS(
  INDIRECT("input_invoice[net]"),
  INDIRECT("input_invoice[yyyymm]"), 'P&amp;G-SL'!T$1,
  INDIRECT("input_invoice[concept/supplier]"), 'P&amp;G-SL'!$C131
)</f>
        <v>0</v>
      </c>
      <c r="U131" s="31">
        <f t="shared" ca="1" si="106"/>
        <v>10</v>
      </c>
    </row>
    <row r="132" spans="3:21" outlineLevel="1" x14ac:dyDescent="0.3">
      <c r="C132" t="s">
        <v>141</v>
      </c>
      <c r="D132" s="328"/>
      <c r="E132" s="9"/>
      <c r="F132" s="9"/>
      <c r="G132" s="9"/>
      <c r="H132" s="9" t="s">
        <v>142</v>
      </c>
      <c r="I132" s="49">
        <f ca="1">SUMIFS(
  INDIRECT("input_invoice[net]"),
  INDIRECT("input_invoice[yyyymm]"), 'P&amp;G-SL'!I$1,
  INDIRECT("input_invoice[concept/supplier]"), 'P&amp;G-SL'!$C132
)</f>
        <v>0</v>
      </c>
      <c r="J132" s="49">
        <f ca="1">SUMIFS(
  INDIRECT("input_invoice[net]"),
  INDIRECT("input_invoice[yyyymm]"), 'P&amp;G-SL'!J$1,
  INDIRECT("input_invoice[concept/supplier]"), 'P&amp;G-SL'!$C132
)</f>
        <v>0</v>
      </c>
      <c r="K132" s="49">
        <f ca="1">SUMIFS(
  INDIRECT("input_invoice[net]"),
  INDIRECT("input_invoice[yyyymm]"), 'P&amp;G-SL'!K$1,
  INDIRECT("input_invoice[concept/supplier]"), 'P&amp;G-SL'!$C132
)</f>
        <v>0</v>
      </c>
      <c r="L132" s="49">
        <f ca="1">SUMIFS(
  INDIRECT("input_invoice[net]"),
  INDIRECT("input_invoice[yyyymm]"), 'P&amp;G-SL'!L$1,
  INDIRECT("input_invoice[concept/supplier]"), 'P&amp;G-SL'!$C132
)</f>
        <v>0</v>
      </c>
      <c r="M132" s="49">
        <f ca="1">SUMIFS(
  INDIRECT("input_invoice[net]"),
  INDIRECT("input_invoice[yyyymm]"), 'P&amp;G-SL'!M$1,
  INDIRECT("input_invoice[concept/supplier]"), 'P&amp;G-SL'!$C132
)</f>
        <v>0</v>
      </c>
      <c r="N132" s="49">
        <f ca="1">SUMIFS(
  INDIRECT("input_invoice[net]"),
  INDIRECT("input_invoice[yyyymm]"), 'P&amp;G-SL'!N$1,
  INDIRECT("input_invoice[concept/supplier]"), 'P&amp;G-SL'!$C132
)</f>
        <v>0</v>
      </c>
      <c r="O132" s="49">
        <f ca="1">SUMIFS(
  INDIRECT("input_invoice[net]"),
  INDIRECT("input_invoice[yyyymm]"), 'P&amp;G-SL'!O$1,
  INDIRECT("input_invoice[concept/supplier]"), 'P&amp;G-SL'!$C132
)</f>
        <v>0</v>
      </c>
      <c r="P132" s="49">
        <f ca="1">SUMIFS(
  INDIRECT("input_invoice[net]"),
  INDIRECT("input_invoice[yyyymm]"), 'P&amp;G-SL'!P$1,
  INDIRECT("input_invoice[concept/supplier]"), 'P&amp;G-SL'!$C132
)</f>
        <v>0</v>
      </c>
      <c r="Q132" s="49">
        <f ca="1">SUMIFS(
  INDIRECT("input_invoice[net]"),
  INDIRECT("input_invoice[yyyymm]"), 'P&amp;G-SL'!Q$1,
  INDIRECT("input_invoice[concept/supplier]"), 'P&amp;G-SL'!$C132
)</f>
        <v>0</v>
      </c>
      <c r="R132" s="49">
        <f ca="1">SUMIFS(
  INDIRECT("input_invoice[net]"),
  INDIRECT("input_invoice[yyyymm]"), 'P&amp;G-SL'!R$1,
  INDIRECT("input_invoice[concept/supplier]"), 'P&amp;G-SL'!$C132
)</f>
        <v>0</v>
      </c>
      <c r="S132" s="49">
        <f ca="1">SUMIFS(
  INDIRECT("input_invoice[net]"),
  INDIRECT("input_invoice[yyyymm]"), 'P&amp;G-SL'!S$1,
  INDIRECT("input_invoice[concept/supplier]"), 'P&amp;G-SL'!$C132
)</f>
        <v>0</v>
      </c>
      <c r="T132" s="49">
        <f ca="1">SUMIFS(
  INDIRECT("input_invoice[net]"),
  INDIRECT("input_invoice[yyyymm]"), 'P&amp;G-SL'!T$1,
  INDIRECT("input_invoice[concept/supplier]"), 'P&amp;G-SL'!$C132
)</f>
        <v>0</v>
      </c>
      <c r="U132" s="31">
        <f t="shared" ref="U132:U139" ca="1" si="110">SUM(I132:T132)</f>
        <v>0</v>
      </c>
    </row>
    <row r="133" spans="3:21" outlineLevel="1" x14ac:dyDescent="0.3">
      <c r="C133" t="s">
        <v>143</v>
      </c>
      <c r="D133" s="328"/>
      <c r="E133" s="9"/>
      <c r="F133" s="9"/>
      <c r="G133" s="9"/>
      <c r="H133" s="9" t="s">
        <v>144</v>
      </c>
      <c r="I133" s="49">
        <f ca="1">SUMIFS(
  INDIRECT("input_invoice[net]"),
  INDIRECT("input_invoice[yyyymm]"), 'P&amp;G-SL'!I$1,
  INDIRECT("input_invoice[concept/supplier]"), 'P&amp;G-SL'!$C133
)</f>
        <v>9.91</v>
      </c>
      <c r="J133" s="49">
        <f ca="1">SUMIFS(
  INDIRECT("input_invoice[net]"),
  INDIRECT("input_invoice[yyyymm]"), 'P&amp;G-SL'!J$1,
  INDIRECT("input_invoice[concept/supplier]"), 'P&amp;G-SL'!$C133
)</f>
        <v>9.9</v>
      </c>
      <c r="K133" s="49">
        <f ca="1">SUMIFS(
  INDIRECT("input_invoice[net]"),
  INDIRECT("input_invoice[yyyymm]"), 'P&amp;G-SL'!K$1,
  INDIRECT("input_invoice[concept/supplier]"), 'P&amp;G-SL'!$C133
)</f>
        <v>0</v>
      </c>
      <c r="L133" s="49">
        <f ca="1">SUMIFS(
  INDIRECT("input_invoice[net]"),
  INDIRECT("input_invoice[yyyymm]"), 'P&amp;G-SL'!L$1,
  INDIRECT("input_invoice[concept/supplier]"), 'P&amp;G-SL'!$C133
)</f>
        <v>0</v>
      </c>
      <c r="M133" s="49">
        <f ca="1">SUMIFS(
  INDIRECT("input_invoice[net]"),
  INDIRECT("input_invoice[yyyymm]"), 'P&amp;G-SL'!M$1,
  INDIRECT("input_invoice[concept/supplier]"), 'P&amp;G-SL'!$C133
)</f>
        <v>0</v>
      </c>
      <c r="N133" s="49">
        <f ca="1">SUMIFS(
  INDIRECT("input_invoice[net]"),
  INDIRECT("input_invoice[yyyymm]"), 'P&amp;G-SL'!N$1,
  INDIRECT("input_invoice[concept/supplier]"), 'P&amp;G-SL'!$C133
)</f>
        <v>0</v>
      </c>
      <c r="O133" s="49">
        <f ca="1">SUMIFS(
  INDIRECT("input_invoice[net]"),
  INDIRECT("input_invoice[yyyymm]"), 'P&amp;G-SL'!O$1,
  INDIRECT("input_invoice[concept/supplier]"), 'P&amp;G-SL'!$C133
)</f>
        <v>0</v>
      </c>
      <c r="P133" s="49">
        <f ca="1">SUMIFS(
  INDIRECT("input_invoice[net]"),
  INDIRECT("input_invoice[yyyymm]"), 'P&amp;G-SL'!P$1,
  INDIRECT("input_invoice[concept/supplier]"), 'P&amp;G-SL'!$C133
)</f>
        <v>0</v>
      </c>
      <c r="Q133" s="97">
        <f ca="1">SUMIFS(
  INDIRECT("input_invoice[net]"),
  INDIRECT("input_invoice[yyyymm]"), 'P&amp;G-SL'!Q$1,
  INDIRECT("input_invoice[concept/supplier]"), 'P&amp;G-SL'!$C133
)</f>
        <v>0</v>
      </c>
      <c r="R133" s="49">
        <f ca="1">SUMIFS(
  INDIRECT("input_invoice[net]"),
  INDIRECT("input_invoice[yyyymm]"), 'P&amp;G-SL'!R$1,
  INDIRECT("input_invoice[concept/supplier]"), 'P&amp;G-SL'!$C133
)</f>
        <v>0</v>
      </c>
      <c r="S133" s="49">
        <f ca="1">SUMIFS(
  INDIRECT("input_invoice[net]"),
  INDIRECT("input_invoice[yyyymm]"), 'P&amp;G-SL'!S$1,
  INDIRECT("input_invoice[concept/supplier]"), 'P&amp;G-SL'!$C133
)</f>
        <v>0</v>
      </c>
      <c r="T133" s="49">
        <f ca="1">SUMIFS(
  INDIRECT("input_invoice[net]"),
  INDIRECT("input_invoice[yyyymm]"), 'P&amp;G-SL'!T$1,
  INDIRECT("input_invoice[concept/supplier]"), 'P&amp;G-SL'!$C133
)</f>
        <v>0</v>
      </c>
      <c r="U133" s="31">
        <f t="shared" ca="1" si="110"/>
        <v>19.810000000000002</v>
      </c>
    </row>
    <row r="134" spans="3:21" outlineLevel="1" x14ac:dyDescent="0.3">
      <c r="C134" t="s">
        <v>145</v>
      </c>
      <c r="D134" s="328"/>
      <c r="E134" s="9"/>
      <c r="F134" s="9"/>
      <c r="G134" s="9"/>
      <c r="H134" s="9" t="s">
        <v>146</v>
      </c>
      <c r="I134" s="49">
        <f ca="1">SUMIFS(
  INDIRECT("input_invoice[net]"),
  INDIRECT("input_invoice[yyyymm]"), 'P&amp;G-SL'!I$1,
  INDIRECT("input_invoice[concept/supplier]"), 'P&amp;G-SL'!$C134
)</f>
        <v>201.2</v>
      </c>
      <c r="J134" s="49">
        <f ca="1">SUMIFS(
  INDIRECT("input_invoice[net]"),
  INDIRECT("input_invoice[yyyymm]"), 'P&amp;G-SL'!J$1,
  INDIRECT("input_invoice[concept/supplier]"), 'P&amp;G-SL'!$C134
)</f>
        <v>105.31</v>
      </c>
      <c r="K134" s="49">
        <f ca="1">SUMIFS(
  INDIRECT("input_invoice[net]"),
  INDIRECT("input_invoice[yyyymm]"), 'P&amp;G-SL'!K$1,
  INDIRECT("input_invoice[concept/supplier]"), 'P&amp;G-SL'!$C134
)</f>
        <v>0</v>
      </c>
      <c r="L134" s="49">
        <f ca="1">SUMIFS(
  INDIRECT("input_invoice[net]"),
  INDIRECT("input_invoice[yyyymm]"), 'P&amp;G-SL'!L$1,
  INDIRECT("input_invoice[concept/supplier]"), 'P&amp;G-SL'!$C134
)</f>
        <v>0</v>
      </c>
      <c r="M134" s="49">
        <f ca="1">SUMIFS(
  INDIRECT("input_invoice[net]"),
  INDIRECT("input_invoice[yyyymm]"), 'P&amp;G-SL'!M$1,
  INDIRECT("input_invoice[concept/supplier]"), 'P&amp;G-SL'!$C134
)</f>
        <v>0</v>
      </c>
      <c r="N134" s="49">
        <f ca="1">SUMIFS(
  INDIRECT("input_invoice[net]"),
  INDIRECT("input_invoice[yyyymm]"), 'P&amp;G-SL'!N$1,
  INDIRECT("input_invoice[concept/supplier]"), 'P&amp;G-SL'!$C134
)</f>
        <v>0</v>
      </c>
      <c r="O134" s="49">
        <f ca="1">SUMIFS(
  INDIRECT("input_invoice[net]"),
  INDIRECT("input_invoice[yyyymm]"), 'P&amp;G-SL'!O$1,
  INDIRECT("input_invoice[concept/supplier]"), 'P&amp;G-SL'!$C134
)</f>
        <v>0</v>
      </c>
      <c r="P134" s="49">
        <f ca="1">SUMIFS(
  INDIRECT("input_invoice[net]"),
  INDIRECT("input_invoice[yyyymm]"), 'P&amp;G-SL'!P$1,
  INDIRECT("input_invoice[concept/supplier]"), 'P&amp;G-SL'!$C134
)</f>
        <v>0</v>
      </c>
      <c r="Q134" s="97">
        <f ca="1">SUMIFS(
  INDIRECT("input_invoice[net]"),
  INDIRECT("input_invoice[yyyymm]"), 'P&amp;G-SL'!Q$1,
  INDIRECT("input_invoice[concept/supplier]"), 'P&amp;G-SL'!$C134
)</f>
        <v>0</v>
      </c>
      <c r="R134" s="49">
        <f ca="1">SUMIFS(
  INDIRECT("input_invoice[net]"),
  INDIRECT("input_invoice[yyyymm]"), 'P&amp;G-SL'!R$1,
  INDIRECT("input_invoice[concept/supplier]"), 'P&amp;G-SL'!$C134
)</f>
        <v>0</v>
      </c>
      <c r="S134" s="49">
        <f ca="1">SUMIFS(
  INDIRECT("input_invoice[net]"),
  INDIRECT("input_invoice[yyyymm]"), 'P&amp;G-SL'!S$1,
  INDIRECT("input_invoice[concept/supplier]"), 'P&amp;G-SL'!$C134
)</f>
        <v>0</v>
      </c>
      <c r="T134" s="49">
        <f ca="1">SUMIFS(
  INDIRECT("input_invoice[net]"),
  INDIRECT("input_invoice[yyyymm]"), 'P&amp;G-SL'!T$1,
  INDIRECT("input_invoice[concept/supplier]"), 'P&amp;G-SL'!$C134
)</f>
        <v>0</v>
      </c>
      <c r="U134" s="31">
        <f t="shared" ca="1" si="110"/>
        <v>306.51</v>
      </c>
    </row>
    <row r="135" spans="3:21" outlineLevel="1" x14ac:dyDescent="0.3">
      <c r="C135" t="s">
        <v>354</v>
      </c>
      <c r="D135" s="328"/>
      <c r="E135" s="9"/>
      <c r="F135" s="9"/>
      <c r="G135" s="9"/>
      <c r="H135" s="9" t="s">
        <v>147</v>
      </c>
      <c r="I135" s="49">
        <f ca="1">SUMIFS(
  INDIRECT("input_invoice[net]"),
  INDIRECT("input_invoice[yyyymm]"), 'P&amp;G-SL'!I$1,
  INDIRECT("input_invoice[concept/supplier]"), 'P&amp;G-SL'!$C135
)</f>
        <v>0</v>
      </c>
      <c r="J135" s="49">
        <f ca="1">SUMIFS(
  INDIRECT("input_invoice[net]"),
  INDIRECT("input_invoice[yyyymm]"), 'P&amp;G-SL'!J$1,
  INDIRECT("input_invoice[concept/supplier]"), 'P&amp;G-SL'!$C135
)</f>
        <v>0</v>
      </c>
      <c r="K135" s="49">
        <f ca="1">SUMIFS(
  INDIRECT("input_invoice[net]"),
  INDIRECT("input_invoice[yyyymm]"), 'P&amp;G-SL'!K$1,
  INDIRECT("input_invoice[concept/supplier]"), 'P&amp;G-SL'!$C135
)</f>
        <v>0</v>
      </c>
      <c r="L135" s="49">
        <f ca="1">SUMIFS(
  INDIRECT("input_invoice[net]"),
  INDIRECT("input_invoice[yyyymm]"), 'P&amp;G-SL'!L$1,
  INDIRECT("input_invoice[concept/supplier]"), 'P&amp;G-SL'!$C135
)</f>
        <v>0</v>
      </c>
      <c r="M135" s="49">
        <f ca="1">SUMIFS(
  INDIRECT("input_invoice[net]"),
  INDIRECT("input_invoice[yyyymm]"), 'P&amp;G-SL'!M$1,
  INDIRECT("input_invoice[concept/supplier]"), 'P&amp;G-SL'!$C135
)</f>
        <v>0</v>
      </c>
      <c r="N135" s="49">
        <f ca="1">SUMIFS(
  INDIRECT("input_invoice[net]"),
  INDIRECT("input_invoice[yyyymm]"), 'P&amp;G-SL'!N$1,
  INDIRECT("input_invoice[concept/supplier]"), 'P&amp;G-SL'!$C135
)</f>
        <v>0</v>
      </c>
      <c r="O135" s="49">
        <f ca="1">SUMIFS(
  INDIRECT("input_invoice[net]"),
  INDIRECT("input_invoice[yyyymm]"), 'P&amp;G-SL'!O$1,
  INDIRECT("input_invoice[concept/supplier]"), 'P&amp;G-SL'!$C135
)</f>
        <v>0</v>
      </c>
      <c r="P135" s="49">
        <f ca="1">SUMIFS(
  INDIRECT("input_invoice[net]"),
  INDIRECT("input_invoice[yyyymm]"), 'P&amp;G-SL'!P$1,
  INDIRECT("input_invoice[concept/supplier]"), 'P&amp;G-SL'!$C135
)</f>
        <v>0</v>
      </c>
      <c r="Q135" s="97">
        <f ca="1">SUMIFS(
  INDIRECT("input_invoice[net]"),
  INDIRECT("input_invoice[yyyymm]"), 'P&amp;G-SL'!Q$1,
  INDIRECT("input_invoice[concept/supplier]"), 'P&amp;G-SL'!$C135
)</f>
        <v>0</v>
      </c>
      <c r="R135" s="49">
        <f ca="1">SUMIFS(
  INDIRECT("input_invoice[net]"),
  INDIRECT("input_invoice[yyyymm]"), 'P&amp;G-SL'!R$1,
  INDIRECT("input_invoice[concept/supplier]"), 'P&amp;G-SL'!$C135
)</f>
        <v>0</v>
      </c>
      <c r="S135" s="49">
        <f ca="1">SUMIFS(
  INDIRECT("input_invoice[net]"),
  INDIRECT("input_invoice[yyyymm]"), 'P&amp;G-SL'!S$1,
  INDIRECT("input_invoice[concept/supplier]"), 'P&amp;G-SL'!$C135
)</f>
        <v>0</v>
      </c>
      <c r="T135" s="49">
        <f ca="1">SUMIFS(
  INDIRECT("input_invoice[net]"),
  INDIRECT("input_invoice[yyyymm]"), 'P&amp;G-SL'!T$1,
  INDIRECT("input_invoice[concept/supplier]"), 'P&amp;G-SL'!$C135
)</f>
        <v>0</v>
      </c>
      <c r="U135" s="31">
        <f t="shared" ca="1" si="110"/>
        <v>0</v>
      </c>
    </row>
    <row r="136" spans="3:21" outlineLevel="1" x14ac:dyDescent="0.3">
      <c r="C136" t="s">
        <v>148</v>
      </c>
      <c r="D136" s="328"/>
      <c r="E136" s="9"/>
      <c r="F136" s="9"/>
      <c r="G136" s="9"/>
      <c r="H136" s="9" t="s">
        <v>149</v>
      </c>
      <c r="I136" s="49">
        <f ca="1">SUMIFS(
  INDIRECT("input_invoice[net]"),
  INDIRECT("input_invoice[yyyymm]"), 'P&amp;G-SL'!I$1,
  INDIRECT("input_invoice[concept/supplier]"), 'P&amp;G-SL'!$C136
)</f>
        <v>507.2</v>
      </c>
      <c r="J136" s="49">
        <f ca="1">SUMIFS(
  INDIRECT("input_invoice[net]"),
  INDIRECT("input_invoice[yyyymm]"), 'P&amp;G-SL'!J$1,
  INDIRECT("input_invoice[concept/supplier]"), 'P&amp;G-SL'!$C136
)</f>
        <v>440</v>
      </c>
      <c r="K136" s="49">
        <f ca="1">SUMIFS(
  INDIRECT("input_invoice[net]"),
  INDIRECT("input_invoice[yyyymm]"), 'P&amp;G-SL'!K$1,
  INDIRECT("input_invoice[concept/supplier]"), 'P&amp;G-SL'!$C136
)</f>
        <v>0</v>
      </c>
      <c r="L136" s="49">
        <f ca="1">SUMIFS(
  INDIRECT("input_invoice[net]"),
  INDIRECT("input_invoice[yyyymm]"), 'P&amp;G-SL'!L$1,
  INDIRECT("input_invoice[concept/supplier]"), 'P&amp;G-SL'!$C136
)</f>
        <v>0</v>
      </c>
      <c r="M136" s="49">
        <f ca="1">SUMIFS(
  INDIRECT("input_invoice[net]"),
  INDIRECT("input_invoice[yyyymm]"), 'P&amp;G-SL'!M$1,
  INDIRECT("input_invoice[concept/supplier]"), 'P&amp;G-SL'!$C136
)</f>
        <v>0</v>
      </c>
      <c r="N136" s="49">
        <f ca="1">SUMIFS(
  INDIRECT("input_invoice[net]"),
  INDIRECT("input_invoice[yyyymm]"), 'P&amp;G-SL'!N$1,
  INDIRECT("input_invoice[concept/supplier]"), 'P&amp;G-SL'!$C136
)</f>
        <v>0</v>
      </c>
      <c r="O136" s="49">
        <f ca="1">SUMIFS(
  INDIRECT("input_invoice[net]"),
  INDIRECT("input_invoice[yyyymm]"), 'P&amp;G-SL'!O$1,
  INDIRECT("input_invoice[concept/supplier]"), 'P&amp;G-SL'!$C136
)</f>
        <v>0</v>
      </c>
      <c r="P136" s="49">
        <f ca="1">SUMIFS(
  INDIRECT("input_invoice[net]"),
  INDIRECT("input_invoice[yyyymm]"), 'P&amp;G-SL'!P$1,
  INDIRECT("input_invoice[concept/supplier]"), 'P&amp;G-SL'!$C136
)</f>
        <v>0</v>
      </c>
      <c r="Q136" s="97">
        <f ca="1">SUMIFS(
  INDIRECT("input_invoice[net]"),
  INDIRECT("input_invoice[yyyymm]"), 'P&amp;G-SL'!Q$1,
  INDIRECT("input_invoice[concept/supplier]"), 'P&amp;G-SL'!$C136
)</f>
        <v>0</v>
      </c>
      <c r="R136" s="49">
        <f ca="1">SUMIFS(
  INDIRECT("input_invoice[net]"),
  INDIRECT("input_invoice[yyyymm]"), 'P&amp;G-SL'!R$1,
  INDIRECT("input_invoice[concept/supplier]"), 'P&amp;G-SL'!$C136
)</f>
        <v>0</v>
      </c>
      <c r="S136" s="49">
        <f ca="1">SUMIFS(
  INDIRECT("input_invoice[net]"),
  INDIRECT("input_invoice[yyyymm]"), 'P&amp;G-SL'!S$1,
  INDIRECT("input_invoice[concept/supplier]"), 'P&amp;G-SL'!$C136
)</f>
        <v>0</v>
      </c>
      <c r="T136" s="49">
        <f ca="1">SUMIFS(
  INDIRECT("input_invoice[net]"),
  INDIRECT("input_invoice[yyyymm]"), 'P&amp;G-SL'!T$1,
  INDIRECT("input_invoice[concept/supplier]"), 'P&amp;G-SL'!$C136
)</f>
        <v>0</v>
      </c>
      <c r="U136" s="31">
        <f t="shared" ca="1" si="110"/>
        <v>947.2</v>
      </c>
    </row>
    <row r="137" spans="3:21" outlineLevel="1" x14ac:dyDescent="0.3">
      <c r="C137" t="s">
        <v>150</v>
      </c>
      <c r="D137" s="328"/>
      <c r="E137" s="9"/>
      <c r="F137" s="9"/>
      <c r="G137" s="9"/>
      <c r="H137" s="9" t="s">
        <v>151</v>
      </c>
      <c r="I137" s="49">
        <f ca="1">SUMIFS(
  INDIRECT("input_invoice[net]"),
  INDIRECT("input_invoice[yyyymm]"), 'P&amp;G-SL'!I$1,
  INDIRECT("input_invoice[concept/supplier]"), 'P&amp;G-SL'!$C137
)</f>
        <v>33.49</v>
      </c>
      <c r="J137" s="49">
        <f ca="1">SUMIFS(
  INDIRECT("input_invoice[net]"),
  INDIRECT("input_invoice[yyyymm]"), 'P&amp;G-SL'!J$1,
  INDIRECT("input_invoice[concept/supplier]"), 'P&amp;G-SL'!$C137
)</f>
        <v>33.49</v>
      </c>
      <c r="K137" s="49">
        <f ca="1">SUMIFS(
  INDIRECT("input_invoice[net]"),
  INDIRECT("input_invoice[yyyymm]"), 'P&amp;G-SL'!K$1,
  INDIRECT("input_invoice[concept/supplier]"), 'P&amp;G-SL'!$C137
)</f>
        <v>0</v>
      </c>
      <c r="L137" s="49">
        <f ca="1">SUMIFS(
  INDIRECT("input_invoice[net]"),
  INDIRECT("input_invoice[yyyymm]"), 'P&amp;G-SL'!L$1,
  INDIRECT("input_invoice[concept/supplier]"), 'P&amp;G-SL'!$C137
)</f>
        <v>0</v>
      </c>
      <c r="M137" s="49">
        <f ca="1">SUMIFS(
  INDIRECT("input_invoice[net]"),
  INDIRECT("input_invoice[yyyymm]"), 'P&amp;G-SL'!M$1,
  INDIRECT("input_invoice[concept/supplier]"), 'P&amp;G-SL'!$C137
)</f>
        <v>0</v>
      </c>
      <c r="N137" s="49">
        <f ca="1">SUMIFS(
  INDIRECT("input_invoice[net]"),
  INDIRECT("input_invoice[yyyymm]"), 'P&amp;G-SL'!N$1,
  INDIRECT("input_invoice[concept/supplier]"), 'P&amp;G-SL'!$C137
)</f>
        <v>0</v>
      </c>
      <c r="O137" s="49">
        <f ca="1">SUMIFS(
  INDIRECT("input_invoice[net]"),
  INDIRECT("input_invoice[yyyymm]"), 'P&amp;G-SL'!O$1,
  INDIRECT("input_invoice[concept/supplier]"), 'P&amp;G-SL'!$C137
)</f>
        <v>0</v>
      </c>
      <c r="P137" s="49">
        <f ca="1">SUMIFS(
  INDIRECT("input_invoice[net]"),
  INDIRECT("input_invoice[yyyymm]"), 'P&amp;G-SL'!P$1,
  INDIRECT("input_invoice[concept/supplier]"), 'P&amp;G-SL'!$C137
)</f>
        <v>0</v>
      </c>
      <c r="Q137" s="49">
        <f ca="1">SUMIFS(
  INDIRECT("input_invoice[net]"),
  INDIRECT("input_invoice[yyyymm]"), 'P&amp;G-SL'!Q$1,
  INDIRECT("input_invoice[concept/supplier]"), 'P&amp;G-SL'!$C137
)</f>
        <v>0</v>
      </c>
      <c r="R137" s="49">
        <f ca="1">SUMIFS(
  INDIRECT("input_invoice[net]"),
  INDIRECT("input_invoice[yyyymm]"), 'P&amp;G-SL'!R$1,
  INDIRECT("input_invoice[concept/supplier]"), 'P&amp;G-SL'!$C137
)</f>
        <v>0</v>
      </c>
      <c r="S137" s="49">
        <f ca="1">SUMIFS(
  INDIRECT("input_invoice[net]"),
  INDIRECT("input_invoice[yyyymm]"), 'P&amp;G-SL'!S$1,
  INDIRECT("input_invoice[concept/supplier]"), 'P&amp;G-SL'!$C137
)</f>
        <v>0</v>
      </c>
      <c r="T137" s="49">
        <f ca="1">SUMIFS(
  INDIRECT("input_invoice[net]"),
  INDIRECT("input_invoice[yyyymm]"), 'P&amp;G-SL'!T$1,
  INDIRECT("input_invoice[concept/supplier]"), 'P&amp;G-SL'!$C137
)</f>
        <v>0</v>
      </c>
      <c r="U137" s="31">
        <f t="shared" ca="1" si="110"/>
        <v>66.98</v>
      </c>
    </row>
    <row r="138" spans="3:21" outlineLevel="1" x14ac:dyDescent="0.3">
      <c r="C138" t="s">
        <v>923</v>
      </c>
      <c r="D138" s="328"/>
      <c r="E138" s="9"/>
      <c r="F138" s="9"/>
      <c r="G138" s="9"/>
      <c r="H138" s="9" t="s">
        <v>443</v>
      </c>
      <c r="I138" s="49">
        <f ca="1">SUMIFS(
  INDIRECT("input_invoice[net]"),
  INDIRECT("input_invoice[yyyymm]"), 'P&amp;G-SL'!I$1,
  INDIRECT("input_invoice[concept/supplier]"), 'P&amp;G-SL'!$C138
)</f>
        <v>453.89</v>
      </c>
      <c r="J138" s="49">
        <f ca="1">SUMIFS(
  INDIRECT("input_invoice[net]"),
  INDIRECT("input_invoice[yyyymm]"), 'P&amp;G-SL'!J$1,
  INDIRECT("input_invoice[concept/supplier]"), 'P&amp;G-SL'!$C138
)</f>
        <v>475.96000000000004</v>
      </c>
      <c r="K138" s="49">
        <f ca="1">SUMIFS(
  INDIRECT("input_invoice[net]"),
  INDIRECT("input_invoice[yyyymm]"), 'P&amp;G-SL'!K$1,
  INDIRECT("input_invoice[concept/supplier]"), 'P&amp;G-SL'!$C138
)</f>
        <v>0</v>
      </c>
      <c r="L138" s="49">
        <f ca="1">SUMIFS(
  INDIRECT("input_invoice[net]"),
  INDIRECT("input_invoice[yyyymm]"), 'P&amp;G-SL'!L$1,
  INDIRECT("input_invoice[concept/supplier]"), 'P&amp;G-SL'!$C138
)</f>
        <v>0</v>
      </c>
      <c r="M138" s="49">
        <f ca="1">SUMIFS(
  INDIRECT("input_invoice[net]"),
  INDIRECT("input_invoice[yyyymm]"), 'P&amp;G-SL'!M$1,
  INDIRECT("input_invoice[concept/supplier]"), 'P&amp;G-SL'!$C138
)</f>
        <v>0</v>
      </c>
      <c r="N138" s="49">
        <f ca="1">SUMIFS(
  INDIRECT("input_invoice[net]"),
  INDIRECT("input_invoice[yyyymm]"), 'P&amp;G-SL'!N$1,
  INDIRECT("input_invoice[concept/supplier]"), 'P&amp;G-SL'!$C138
)</f>
        <v>0</v>
      </c>
      <c r="O138" s="49">
        <f ca="1">SUMIFS(
  INDIRECT("input_invoice[net]"),
  INDIRECT("input_invoice[yyyymm]"), 'P&amp;G-SL'!O$1,
  INDIRECT("input_invoice[concept/supplier]"), 'P&amp;G-SL'!$C138
)</f>
        <v>0</v>
      </c>
      <c r="P138" s="49">
        <f ca="1">SUMIFS(
  INDIRECT("input_invoice[net]"),
  INDIRECT("input_invoice[yyyymm]"), 'P&amp;G-SL'!P$1,
  INDIRECT("input_invoice[concept/supplier]"), 'P&amp;G-SL'!$C138
)</f>
        <v>0</v>
      </c>
      <c r="Q138" s="49">
        <f ca="1">SUMIFS(
  INDIRECT("input_invoice[net]"),
  INDIRECT("input_invoice[yyyymm]"), 'P&amp;G-SL'!Q$1,
  INDIRECT("input_invoice[concept/supplier]"), 'P&amp;G-SL'!$C138
)</f>
        <v>0</v>
      </c>
      <c r="R138" s="49">
        <f ca="1">SUMIFS(
  INDIRECT("input_invoice[net]"),
  INDIRECT("input_invoice[yyyymm]"), 'P&amp;G-SL'!R$1,
  INDIRECT("input_invoice[concept/supplier]"), 'P&amp;G-SL'!$C138
)</f>
        <v>0</v>
      </c>
      <c r="S138" s="49">
        <f ca="1">SUMIFS(
  INDIRECT("input_invoice[net]"),
  INDIRECT("input_invoice[yyyymm]"), 'P&amp;G-SL'!S$1,
  INDIRECT("input_invoice[concept/supplier]"), 'P&amp;G-SL'!$C138
)</f>
        <v>0</v>
      </c>
      <c r="T138" s="49">
        <f ca="1">SUMIFS(
  INDIRECT("input_invoice[net]"),
  INDIRECT("input_invoice[yyyymm]"), 'P&amp;G-SL'!T$1,
  INDIRECT("input_invoice[concept/supplier]"), 'P&amp;G-SL'!$C138
)</f>
        <v>0</v>
      </c>
      <c r="U138" s="31">
        <f ca="1">SUM(I138:T138)</f>
        <v>929.85</v>
      </c>
    </row>
    <row r="139" spans="3:21" outlineLevel="1" x14ac:dyDescent="0.3">
      <c r="C139" t="s">
        <v>152</v>
      </c>
      <c r="D139" s="328"/>
      <c r="E139" s="9"/>
      <c r="F139" s="9"/>
      <c r="G139" s="9"/>
      <c r="H139" s="9" t="s">
        <v>153</v>
      </c>
      <c r="I139" s="49">
        <f ca="1">SUMIFS(
  INDIRECT("input_invoice[net]"),
  INDIRECT("input_invoice[yyyymm]"), 'P&amp;G-SL'!I$1,
  INDIRECT("input_invoice[concept/supplier]"), 'P&amp;G-SL'!$C139
)</f>
        <v>27.990000000000002</v>
      </c>
      <c r="J139" s="49">
        <f ca="1">SUMIFS(
  INDIRECT("input_invoice[net]"),
  INDIRECT("input_invoice[yyyymm]"), 'P&amp;G-SL'!J$1,
  INDIRECT("input_invoice[concept/supplier]"), 'P&amp;G-SL'!$C139
)</f>
        <v>71.206611570247929</v>
      </c>
      <c r="K139" s="49">
        <f ca="1">SUMIFS(
  INDIRECT("input_invoice[net]"),
  INDIRECT("input_invoice[yyyymm]"), 'P&amp;G-SL'!K$1,
  INDIRECT("input_invoice[concept/supplier]"), 'P&amp;G-SL'!$C139
)</f>
        <v>0</v>
      </c>
      <c r="L139" s="49">
        <f ca="1">SUMIFS(
  INDIRECT("input_invoice[net]"),
  INDIRECT("input_invoice[yyyymm]"), 'P&amp;G-SL'!L$1,
  INDIRECT("input_invoice[concept/supplier]"), 'P&amp;G-SL'!$C139
)</f>
        <v>0</v>
      </c>
      <c r="M139" s="49">
        <f ca="1">SUMIFS(
  INDIRECT("input_invoice[net]"),
  INDIRECT("input_invoice[yyyymm]"), 'P&amp;G-SL'!M$1,
  INDIRECT("input_invoice[concept/supplier]"), 'P&amp;G-SL'!$C139
)</f>
        <v>0</v>
      </c>
      <c r="N139" s="49">
        <f ca="1">SUMIFS(
  INDIRECT("input_invoice[net]"),
  INDIRECT("input_invoice[yyyymm]"), 'P&amp;G-SL'!N$1,
  INDIRECT("input_invoice[concept/supplier]"), 'P&amp;G-SL'!$C139
)</f>
        <v>0</v>
      </c>
      <c r="O139" s="49">
        <f ca="1">SUMIFS(
  INDIRECT("input_invoice[net]"),
  INDIRECT("input_invoice[yyyymm]"), 'P&amp;G-SL'!O$1,
  INDIRECT("input_invoice[concept/supplier]"), 'P&amp;G-SL'!$C139
)</f>
        <v>0</v>
      </c>
      <c r="P139" s="49">
        <f ca="1">SUMIFS(
  INDIRECT("input_invoice[net]"),
  INDIRECT("input_invoice[yyyymm]"), 'P&amp;G-SL'!P$1,
  INDIRECT("input_invoice[concept/supplier]"), 'P&amp;G-SL'!$C139
)</f>
        <v>0</v>
      </c>
      <c r="Q139" s="49">
        <f ca="1">SUMIFS(
  INDIRECT("input_invoice[net]"),
  INDIRECT("input_invoice[yyyymm]"), 'P&amp;G-SL'!Q$1,
  INDIRECT("input_invoice[concept/supplier]"), 'P&amp;G-SL'!$C139
)</f>
        <v>0</v>
      </c>
      <c r="R139" s="49">
        <f ca="1">SUMIFS(
  INDIRECT("input_invoice[net]"),
  INDIRECT("input_invoice[yyyymm]"), 'P&amp;G-SL'!R$1,
  INDIRECT("input_invoice[concept/supplier]"), 'P&amp;G-SL'!$C139
)</f>
        <v>0</v>
      </c>
      <c r="S139" s="49">
        <f ca="1">SUMIFS(
  INDIRECT("input_invoice[net]"),
  INDIRECT("input_invoice[yyyymm]"), 'P&amp;G-SL'!S$1,
  INDIRECT("input_invoice[concept/supplier]"), 'P&amp;G-SL'!$C139
)</f>
        <v>0</v>
      </c>
      <c r="T139" s="49">
        <f ca="1">SUMIFS(
  INDIRECT("input_invoice[net]"),
  INDIRECT("input_invoice[yyyymm]"), 'P&amp;G-SL'!T$1,
  INDIRECT("input_invoice[concept/supplier]"), 'P&amp;G-SL'!$C139
)</f>
        <v>0</v>
      </c>
      <c r="U139" s="31">
        <f t="shared" ca="1" si="110"/>
        <v>99.196611570247939</v>
      </c>
    </row>
    <row r="140" spans="3:21" outlineLevel="1" x14ac:dyDescent="0.3">
      <c r="C140" t="s">
        <v>1083</v>
      </c>
      <c r="D140" s="328"/>
      <c r="E140" s="9"/>
      <c r="F140" s="9"/>
      <c r="G140" s="9"/>
      <c r="H140" s="9" t="s">
        <v>3</v>
      </c>
      <c r="I140" s="49">
        <f ca="1">SUMIFS(
  INDIRECT("input_invoice[net]"),
  INDIRECT("input_invoice[yyyymm]"), 'P&amp;G-SL'!I$1,
  INDIRECT("input_invoice[concept/supplier]"), 'P&amp;G-SL'!$C140
)</f>
        <v>0</v>
      </c>
      <c r="J140" s="49">
        <f ca="1">SUMIFS(
  INDIRECT("input_invoice[net]"),
  INDIRECT("input_invoice[yyyymm]"), 'P&amp;G-SL'!J$1,
  INDIRECT("input_invoice[concept/supplier]"), 'P&amp;G-SL'!$C140
)</f>
        <v>0</v>
      </c>
      <c r="K140" s="49">
        <f ca="1">SUMIFS(
  INDIRECT("input_invoice[net]"),
  INDIRECT("input_invoice[yyyymm]"), 'P&amp;G-SL'!K$1,
  INDIRECT("input_invoice[concept/supplier]"), 'P&amp;G-SL'!$C140
)</f>
        <v>0</v>
      </c>
      <c r="L140" s="49">
        <f ca="1">SUMIFS(
  INDIRECT("input_invoice[net]"),
  INDIRECT("input_invoice[yyyymm]"), 'P&amp;G-SL'!L$1,
  INDIRECT("input_invoice[concept/supplier]"), 'P&amp;G-SL'!$C140
)</f>
        <v>0</v>
      </c>
      <c r="M140" s="49">
        <f ca="1">SUMIFS(
  INDIRECT("input_invoice[net]"),
  INDIRECT("input_invoice[yyyymm]"), 'P&amp;G-SL'!M$1,
  INDIRECT("input_invoice[concept/supplier]"), 'P&amp;G-SL'!$C140
)</f>
        <v>0</v>
      </c>
      <c r="N140" s="49">
        <f ca="1">SUMIFS(
  INDIRECT("input_invoice[net]"),
  INDIRECT("input_invoice[yyyymm]"), 'P&amp;G-SL'!N$1,
  INDIRECT("input_invoice[concept/supplier]"), 'P&amp;G-SL'!$C140
)</f>
        <v>0</v>
      </c>
      <c r="O140" s="49">
        <f ca="1">SUMIFS(
  INDIRECT("input_invoice[net]"),
  INDIRECT("input_invoice[yyyymm]"), 'P&amp;G-SL'!O$1,
  INDIRECT("input_invoice[concept/supplier]"), 'P&amp;G-SL'!$C140
)</f>
        <v>0</v>
      </c>
      <c r="P140" s="49">
        <f ca="1">SUMIFS(
  INDIRECT("input_invoice[net]"),
  INDIRECT("input_invoice[yyyymm]"), 'P&amp;G-SL'!P$1,
  INDIRECT("input_invoice[concept/supplier]"), 'P&amp;G-SL'!$C140
)</f>
        <v>0</v>
      </c>
      <c r="Q140" s="49">
        <f ca="1">SUMIFS(
  INDIRECT("input_invoice[net]"),
  INDIRECT("input_invoice[yyyymm]"), 'P&amp;G-SL'!Q$1,
  INDIRECT("input_invoice[concept/supplier]"), 'P&amp;G-SL'!$C140
)</f>
        <v>0</v>
      </c>
      <c r="R140" s="49">
        <f ca="1">SUMIFS(
  INDIRECT("input_invoice[net]"),
  INDIRECT("input_invoice[yyyymm]"), 'P&amp;G-SL'!R$1,
  INDIRECT("input_invoice[concept/supplier]"), 'P&amp;G-SL'!$C140
)</f>
        <v>0</v>
      </c>
      <c r="S140" s="49">
        <f ca="1">SUMIFS(
  INDIRECT("input_invoice[net]"),
  INDIRECT("input_invoice[yyyymm]"), 'P&amp;G-SL'!S$1,
  INDIRECT("input_invoice[concept/supplier]"), 'P&amp;G-SL'!$C140
)</f>
        <v>0</v>
      </c>
      <c r="T140" s="49">
        <f ca="1">SUMIFS(
  INDIRECT("input_invoice[net]"),
  INDIRECT("input_invoice[yyyymm]"), 'P&amp;G-SL'!T$1,
  INDIRECT("input_invoice[concept/supplier]"), 'P&amp;G-SL'!$C140
)</f>
        <v>0</v>
      </c>
      <c r="U140" s="31">
        <f t="shared" ref="U140" ca="1" si="111">SUM(I140:T140)</f>
        <v>0</v>
      </c>
    </row>
    <row r="141" spans="3:21" ht="15" customHeight="1" outlineLevel="1" x14ac:dyDescent="0.3">
      <c r="D141" s="330"/>
      <c r="E141" s="11"/>
      <c r="F141" s="11"/>
      <c r="G141" s="402" t="s">
        <v>154</v>
      </c>
      <c r="H141" s="403"/>
      <c r="I141" s="39"/>
      <c r="J141" s="39"/>
      <c r="K141" s="39"/>
      <c r="L141" s="39"/>
      <c r="M141" s="39"/>
      <c r="N141" s="39"/>
      <c r="O141" s="39"/>
      <c r="P141" s="40"/>
      <c r="Q141" s="40"/>
      <c r="R141" s="40"/>
      <c r="S141" s="40"/>
      <c r="T141" s="40"/>
      <c r="U141" s="31">
        <f t="shared" si="106"/>
        <v>0</v>
      </c>
    </row>
    <row r="142" spans="3:21" outlineLevel="1" x14ac:dyDescent="0.3">
      <c r="D142" s="331"/>
      <c r="E142" s="9"/>
      <c r="F142" s="9"/>
      <c r="G142" s="21"/>
      <c r="H142" s="21" t="s">
        <v>155</v>
      </c>
      <c r="I142" s="41">
        <f t="shared" ref="I142:T142" ca="1" si="112">(+I113-I118)*0.2</f>
        <v>1336.2280000000001</v>
      </c>
      <c r="J142" s="41">
        <f t="shared" ca="1" si="112"/>
        <v>1370.3873223140495</v>
      </c>
      <c r="K142" s="41">
        <f t="shared" ca="1" si="112"/>
        <v>0</v>
      </c>
      <c r="L142" s="41">
        <f t="shared" ca="1" si="112"/>
        <v>0</v>
      </c>
      <c r="M142" s="41">
        <f t="shared" ca="1" si="112"/>
        <v>0</v>
      </c>
      <c r="N142" s="41">
        <f t="shared" ca="1" si="112"/>
        <v>0</v>
      </c>
      <c r="O142" s="41">
        <f t="shared" ca="1" si="112"/>
        <v>0</v>
      </c>
      <c r="P142" s="41">
        <f t="shared" ca="1" si="112"/>
        <v>0</v>
      </c>
      <c r="Q142" s="41">
        <f t="shared" ca="1" si="112"/>
        <v>0</v>
      </c>
      <c r="R142" s="41">
        <f t="shared" ca="1" si="112"/>
        <v>0</v>
      </c>
      <c r="S142" s="41">
        <f t="shared" ca="1" si="112"/>
        <v>0</v>
      </c>
      <c r="T142" s="41">
        <f t="shared" ca="1" si="112"/>
        <v>0</v>
      </c>
      <c r="U142" s="31">
        <f t="shared" ca="1" si="106"/>
        <v>2706.6153223140495</v>
      </c>
    </row>
    <row r="143" spans="3:21" outlineLevel="1" x14ac:dyDescent="0.3">
      <c r="D143" s="331"/>
      <c r="E143" s="9"/>
      <c r="F143" s="9"/>
      <c r="G143" s="21"/>
      <c r="H143" s="21" t="s">
        <v>156</v>
      </c>
      <c r="I143" s="42">
        <f t="shared" ref="I143:N143" ca="1" si="113">((+I113-I118)*0)+I118</f>
        <v>27.674099999999999</v>
      </c>
      <c r="J143" s="42">
        <f t="shared" ca="1" si="113"/>
        <v>30.527999999999999</v>
      </c>
      <c r="K143" s="42">
        <f t="shared" ca="1" si="113"/>
        <v>0</v>
      </c>
      <c r="L143" s="42">
        <f t="shared" ca="1" si="113"/>
        <v>0</v>
      </c>
      <c r="M143" s="42">
        <f t="shared" ca="1" si="113"/>
        <v>0</v>
      </c>
      <c r="N143" s="42">
        <f t="shared" ca="1" si="113"/>
        <v>0</v>
      </c>
      <c r="O143" s="42">
        <f t="shared" ref="O143:T143" ca="1" si="114">((+O113-O118)*0.2)+O118</f>
        <v>0</v>
      </c>
      <c r="P143" s="42">
        <f t="shared" ca="1" si="114"/>
        <v>0</v>
      </c>
      <c r="Q143" s="42">
        <f t="shared" ca="1" si="114"/>
        <v>0</v>
      </c>
      <c r="R143" s="42">
        <f t="shared" ca="1" si="114"/>
        <v>0</v>
      </c>
      <c r="S143" s="42">
        <f t="shared" ca="1" si="114"/>
        <v>0</v>
      </c>
      <c r="T143" s="42">
        <f t="shared" ca="1" si="114"/>
        <v>0</v>
      </c>
      <c r="U143" s="31">
        <f t="shared" ca="1" si="106"/>
        <v>58.202100000000002</v>
      </c>
    </row>
    <row r="144" spans="3:21" outlineLevel="1" x14ac:dyDescent="0.3">
      <c r="D144" s="328"/>
      <c r="E144" s="9"/>
      <c r="F144" s="9"/>
      <c r="G144" s="9"/>
      <c r="H144" s="9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1">
        <f t="shared" si="106"/>
        <v>0</v>
      </c>
    </row>
    <row r="145" spans="3:21" x14ac:dyDescent="0.3">
      <c r="D145"/>
      <c r="E145" s="385" t="s">
        <v>157</v>
      </c>
      <c r="F145" s="385"/>
      <c r="G145" s="385"/>
      <c r="H145" s="386"/>
      <c r="I145" s="39">
        <f ca="1">SUM(I146:I152)</f>
        <v>0</v>
      </c>
      <c r="J145" s="39">
        <f t="shared" ref="J145:T145" ca="1" si="115">SUM(J146:J152)</f>
        <v>0</v>
      </c>
      <c r="K145" s="39">
        <f t="shared" ca="1" si="115"/>
        <v>0</v>
      </c>
      <c r="L145" s="39">
        <f t="shared" ca="1" si="115"/>
        <v>0</v>
      </c>
      <c r="M145" s="39">
        <f t="shared" ca="1" si="115"/>
        <v>0</v>
      </c>
      <c r="N145" s="39">
        <f t="shared" ca="1" si="115"/>
        <v>0</v>
      </c>
      <c r="O145" s="39">
        <f t="shared" ca="1" si="115"/>
        <v>0</v>
      </c>
      <c r="P145" s="39">
        <f t="shared" ca="1" si="115"/>
        <v>0</v>
      </c>
      <c r="Q145" s="39">
        <f t="shared" ca="1" si="115"/>
        <v>0</v>
      </c>
      <c r="R145" s="39">
        <f t="shared" ca="1" si="115"/>
        <v>0</v>
      </c>
      <c r="S145" s="39">
        <f t="shared" ca="1" si="115"/>
        <v>0</v>
      </c>
      <c r="T145" s="39">
        <f t="shared" ca="1" si="115"/>
        <v>0</v>
      </c>
      <c r="U145" s="31">
        <f t="shared" ca="1" si="106"/>
        <v>0</v>
      </c>
    </row>
    <row r="146" spans="3:21" ht="14.25" customHeight="1" outlineLevel="1" x14ac:dyDescent="0.3">
      <c r="C146" t="s">
        <v>158</v>
      </c>
      <c r="D146" s="326"/>
      <c r="E146" s="13"/>
      <c r="F146" s="13"/>
      <c r="G146" s="13"/>
      <c r="H146" s="13" t="s">
        <v>159</v>
      </c>
      <c r="I146" s="36">
        <f ca="1">SUMIFS(
  INDIRECT("input_tributos[net]"),
  INDIRECT("input_tributos[yyyymm]"), 'P&amp;G-SL'!I$1,
  INDIRECT("input_tributos[concept/supplier]"), 'P&amp;G-SL'!$C146
)</f>
        <v>0</v>
      </c>
      <c r="J146" s="36">
        <f ca="1">SUMIFS(
  INDIRECT("input_tributos[net]"),
  INDIRECT("input_tributos[yyyymm]"), 'P&amp;G-SL'!J$1,
  INDIRECT("input_tributos[concept/supplier]"), 'P&amp;G-SL'!$C146
)</f>
        <v>0</v>
      </c>
      <c r="K146" s="36">
        <f ca="1">SUMIFS(
  INDIRECT("input_tributos[net]"),
  INDIRECT("input_tributos[yyyymm]"), 'P&amp;G-SL'!K$1,
  INDIRECT("input_tributos[concept/supplier]"), 'P&amp;G-SL'!$C146
)</f>
        <v>0</v>
      </c>
      <c r="L146" s="36">
        <f ca="1">SUMIFS(
  INDIRECT("input_tributos[net]"),
  INDIRECT("input_tributos[yyyymm]"), 'P&amp;G-SL'!L$1,
  INDIRECT("input_tributos[concept/supplier]"), 'P&amp;G-SL'!$C146
)</f>
        <v>0</v>
      </c>
      <c r="M146" s="36">
        <f ca="1">SUMIFS(
  INDIRECT("input_tributos[net]"),
  INDIRECT("input_tributos[yyyymm]"), 'P&amp;G-SL'!M$1,
  INDIRECT("input_tributos[concept/supplier]"), 'P&amp;G-SL'!$C146
)</f>
        <v>0</v>
      </c>
      <c r="N146" s="36">
        <f ca="1">SUMIFS(
  INDIRECT("input_tributos[net]"),
  INDIRECT("input_tributos[yyyymm]"), 'P&amp;G-SL'!N$1,
  INDIRECT("input_tributos[concept/supplier]"), 'P&amp;G-SL'!$C146
)</f>
        <v>0</v>
      </c>
      <c r="O146" s="36">
        <f ca="1">SUMIFS(
  INDIRECT("input_tributos[net]"),
  INDIRECT("input_tributos[yyyymm]"), 'P&amp;G-SL'!O$1,
  INDIRECT("input_tributos[concept/supplier]"), 'P&amp;G-SL'!$C146
)</f>
        <v>0</v>
      </c>
      <c r="P146" s="36">
        <f ca="1">SUMIFS(
  INDIRECT("input_tributos[net]"),
  INDIRECT("input_tributos[yyyymm]"), 'P&amp;G-SL'!P$1,
  INDIRECT("input_tributos[concept/supplier]"), 'P&amp;G-SL'!$C146
)</f>
        <v>0</v>
      </c>
      <c r="Q146" s="36">
        <f ca="1">SUMIFS(
  INDIRECT("input_tributos[net]"),
  INDIRECT("input_tributos[yyyymm]"), 'P&amp;G-SL'!Q$1,
  INDIRECT("input_tributos[concept/supplier]"), 'P&amp;G-SL'!$C146
)</f>
        <v>0</v>
      </c>
      <c r="R146" s="36">
        <f ca="1">SUMIFS(
  INDIRECT("input_tributos[net]"),
  INDIRECT("input_tributos[yyyymm]"), 'P&amp;G-SL'!R$1,
  INDIRECT("input_tributos[concept/supplier]"), 'P&amp;G-SL'!$C146
)</f>
        <v>0</v>
      </c>
      <c r="S146" s="36">
        <f ca="1">SUMIFS(
  INDIRECT("input_tributos[net]"),
  INDIRECT("input_tributos[yyyymm]"), 'P&amp;G-SL'!S$1,
  INDIRECT("input_tributos[concept/supplier]"), 'P&amp;G-SL'!$C146
)</f>
        <v>0</v>
      </c>
      <c r="T146" s="36">
        <f ca="1">SUMIFS(
  INDIRECT("input_tributos[net]"),
  INDIRECT("input_tributos[yyyymm]"), 'P&amp;G-SL'!T$1,
  INDIRECT("input_tributos[concept/supplier]"), 'P&amp;G-SL'!$C146
)</f>
        <v>0</v>
      </c>
      <c r="U146" s="31">
        <f t="shared" ca="1" si="106"/>
        <v>0</v>
      </c>
    </row>
    <row r="147" spans="3:21" ht="14.25" customHeight="1" outlineLevel="1" x14ac:dyDescent="0.3">
      <c r="C147" t="s">
        <v>160</v>
      </c>
      <c r="D147" s="326"/>
      <c r="E147" s="13"/>
      <c r="F147" s="13"/>
      <c r="G147" s="13"/>
      <c r="H147" s="13" t="s">
        <v>161</v>
      </c>
      <c r="I147" s="36">
        <f ca="1">SUMIFS(
  INDIRECT("input_tributos[net]"),
  INDIRECT("input_tributos[yyyymm]"), 'P&amp;G-SL'!I$1,
  INDIRECT("input_tributos[concept/supplier]"), 'P&amp;G-SL'!$C147
)</f>
        <v>0</v>
      </c>
      <c r="J147" s="36">
        <f ca="1">SUMIFS(
  INDIRECT("input_tributos[net]"),
  INDIRECT("input_tributos[yyyymm]"), 'P&amp;G-SL'!J$1,
  INDIRECT("input_tributos[concept/supplier]"), 'P&amp;G-SL'!$C147
)</f>
        <v>0</v>
      </c>
      <c r="K147" s="36">
        <f ca="1">SUMIFS(
  INDIRECT("input_tributos[net]"),
  INDIRECT("input_tributos[yyyymm]"), 'P&amp;G-SL'!K$1,
  INDIRECT("input_tributos[concept/supplier]"), 'P&amp;G-SL'!$C147
)</f>
        <v>0</v>
      </c>
      <c r="L147" s="36">
        <f ca="1">SUMIFS(
  INDIRECT("input_tributos[net]"),
  INDIRECT("input_tributos[yyyymm]"), 'P&amp;G-SL'!L$1,
  INDIRECT("input_tributos[concept/supplier]"), 'P&amp;G-SL'!$C147
)</f>
        <v>0</v>
      </c>
      <c r="M147" s="36">
        <f ca="1">SUMIFS(
  INDIRECT("input_tributos[net]"),
  INDIRECT("input_tributos[yyyymm]"), 'P&amp;G-SL'!M$1,
  INDIRECT("input_tributos[concept/supplier]"), 'P&amp;G-SL'!$C147
)</f>
        <v>0</v>
      </c>
      <c r="N147" s="36">
        <f ca="1">SUMIFS(
  INDIRECT("input_tributos[net]"),
  INDIRECT("input_tributos[yyyymm]"), 'P&amp;G-SL'!N$1,
  INDIRECT("input_tributos[concept/supplier]"), 'P&amp;G-SL'!$C147
)</f>
        <v>0</v>
      </c>
      <c r="O147" s="36">
        <f ca="1">SUMIFS(
  INDIRECT("input_tributos[net]"),
  INDIRECT("input_tributos[yyyymm]"), 'P&amp;G-SL'!O$1,
  INDIRECT("input_tributos[concept/supplier]"), 'P&amp;G-SL'!$C147
)</f>
        <v>0</v>
      </c>
      <c r="P147" s="36">
        <f ca="1">SUMIFS(
  INDIRECT("input_tributos[net]"),
  INDIRECT("input_tributos[yyyymm]"), 'P&amp;G-SL'!P$1,
  INDIRECT("input_tributos[concept/supplier]"), 'P&amp;G-SL'!$C147
)</f>
        <v>0</v>
      </c>
      <c r="Q147" s="36">
        <f ca="1">SUMIFS(
  INDIRECT("input_tributos[net]"),
  INDIRECT("input_tributos[yyyymm]"), 'P&amp;G-SL'!Q$1,
  INDIRECT("input_tributos[concept/supplier]"), 'P&amp;G-SL'!$C147
)</f>
        <v>0</v>
      </c>
      <c r="R147" s="36">
        <f ca="1">SUMIFS(
  INDIRECT("input_tributos[net]"),
  INDIRECT("input_tributos[yyyymm]"), 'P&amp;G-SL'!R$1,
  INDIRECT("input_tributos[concept/supplier]"), 'P&amp;G-SL'!$C147
)</f>
        <v>0</v>
      </c>
      <c r="S147" s="36">
        <f ca="1">SUMIFS(
  INDIRECT("input_tributos[net]"),
  INDIRECT("input_tributos[yyyymm]"), 'P&amp;G-SL'!S$1,
  INDIRECT("input_tributos[concept/supplier]"), 'P&amp;G-SL'!$C147
)</f>
        <v>0</v>
      </c>
      <c r="T147" s="36">
        <f ca="1">SUMIFS(
  INDIRECT("input_tributos[net]"),
  INDIRECT("input_tributos[yyyymm]"), 'P&amp;G-SL'!T$1,
  INDIRECT("input_tributos[concept/supplier]"), 'P&amp;G-SL'!$C147
)</f>
        <v>0</v>
      </c>
      <c r="U147" s="31">
        <f t="shared" ca="1" si="106"/>
        <v>0</v>
      </c>
    </row>
    <row r="148" spans="3:21" ht="14.25" customHeight="1" outlineLevel="1" x14ac:dyDescent="0.3">
      <c r="C148" t="s">
        <v>162</v>
      </c>
      <c r="D148" s="326"/>
      <c r="E148" s="13"/>
      <c r="F148" s="13"/>
      <c r="G148" s="13"/>
      <c r="H148" s="13" t="s">
        <v>163</v>
      </c>
      <c r="I148" s="36">
        <f ca="1">SUMIFS(
  INDIRECT("input_tributos[net]"),
  INDIRECT("input_tributos[yyyymm]"), 'P&amp;G-SL'!I$1,
  INDIRECT("input_tributos[concept/supplier]"), 'P&amp;G-SL'!$C148
)</f>
        <v>0</v>
      </c>
      <c r="J148" s="36">
        <f ca="1">SUMIFS(
  INDIRECT("input_tributos[net]"),
  INDIRECT("input_tributos[yyyymm]"), 'P&amp;G-SL'!J$1,
  INDIRECT("input_tributos[concept/supplier]"), 'P&amp;G-SL'!$C148
)</f>
        <v>0</v>
      </c>
      <c r="K148" s="36">
        <f ca="1">SUMIFS(
  INDIRECT("input_tributos[net]"),
  INDIRECT("input_tributos[yyyymm]"), 'P&amp;G-SL'!K$1,
  INDIRECT("input_tributos[concept/supplier]"), 'P&amp;G-SL'!$C148
)</f>
        <v>0</v>
      </c>
      <c r="L148" s="36">
        <f ca="1">SUMIFS(
  INDIRECT("input_tributos[net]"),
  INDIRECT("input_tributos[yyyymm]"), 'P&amp;G-SL'!L$1,
  INDIRECT("input_tributos[concept/supplier]"), 'P&amp;G-SL'!$C148
)</f>
        <v>0</v>
      </c>
      <c r="M148" s="36">
        <f ca="1">SUMIFS(
  INDIRECT("input_tributos[net]"),
  INDIRECT("input_tributos[yyyymm]"), 'P&amp;G-SL'!M$1,
  INDIRECT("input_tributos[concept/supplier]"), 'P&amp;G-SL'!$C148
)</f>
        <v>0</v>
      </c>
      <c r="N148" s="36">
        <f ca="1">SUMIFS(
  INDIRECT("input_tributos[net]"),
  INDIRECT("input_tributos[yyyymm]"), 'P&amp;G-SL'!N$1,
  INDIRECT("input_tributos[concept/supplier]"), 'P&amp;G-SL'!$C148
)</f>
        <v>0</v>
      </c>
      <c r="O148" s="36">
        <f ca="1">SUMIFS(
  INDIRECT("input_tributos[net]"),
  INDIRECT("input_tributos[yyyymm]"), 'P&amp;G-SL'!O$1,
  INDIRECT("input_tributos[concept/supplier]"), 'P&amp;G-SL'!$C148
)</f>
        <v>0</v>
      </c>
      <c r="P148" s="36">
        <f ca="1">SUMIFS(
  INDIRECT("input_tributos[net]"),
  INDIRECT("input_tributos[yyyymm]"), 'P&amp;G-SL'!P$1,
  INDIRECT("input_tributos[concept/supplier]"), 'P&amp;G-SL'!$C148
)</f>
        <v>0</v>
      </c>
      <c r="Q148" s="36">
        <f ca="1">SUMIFS(
  INDIRECT("input_tributos[net]"),
  INDIRECT("input_tributos[yyyymm]"), 'P&amp;G-SL'!Q$1,
  INDIRECT("input_tributos[concept/supplier]"), 'P&amp;G-SL'!$C148
)</f>
        <v>0</v>
      </c>
      <c r="R148" s="36">
        <f ca="1">SUMIFS(
  INDIRECT("input_tributos[net]"),
  INDIRECT("input_tributos[yyyymm]"), 'P&amp;G-SL'!R$1,
  INDIRECT("input_tributos[concept/supplier]"), 'P&amp;G-SL'!$C148
)</f>
        <v>0</v>
      </c>
      <c r="S148" s="36">
        <f ca="1">SUMIFS(
  INDIRECT("input_tributos[net]"),
  INDIRECT("input_tributos[yyyymm]"), 'P&amp;G-SL'!S$1,
  INDIRECT("input_tributos[concept/supplier]"), 'P&amp;G-SL'!$C148
)</f>
        <v>0</v>
      </c>
      <c r="T148" s="36">
        <f ca="1">SUMIFS(
  INDIRECT("input_tributos[net]"),
  INDIRECT("input_tributos[yyyymm]"), 'P&amp;G-SL'!T$1,
  INDIRECT("input_tributos[concept/supplier]"), 'P&amp;G-SL'!$C148
)</f>
        <v>0</v>
      </c>
      <c r="U148" s="31">
        <f t="shared" ca="1" si="106"/>
        <v>0</v>
      </c>
    </row>
    <row r="149" spans="3:21" ht="14.25" customHeight="1" outlineLevel="1" x14ac:dyDescent="0.3">
      <c r="C149" t="s">
        <v>164</v>
      </c>
      <c r="D149" s="326"/>
      <c r="E149" s="13"/>
      <c r="F149" s="13"/>
      <c r="G149" s="13"/>
      <c r="H149" s="13" t="s">
        <v>165</v>
      </c>
      <c r="I149" s="36">
        <f ca="1">SUMIFS(
  INDIRECT("input_tributos[net]"),
  INDIRECT("input_tributos[yyyymm]"), 'P&amp;G-SL'!I$1,
  INDIRECT("input_tributos[concept/supplier]"), 'P&amp;G-SL'!$C149
)</f>
        <v>0</v>
      </c>
      <c r="J149" s="36">
        <f ca="1">SUMIFS(
  INDIRECT("input_tributos[net]"),
  INDIRECT("input_tributos[yyyymm]"), 'P&amp;G-SL'!J$1,
  INDIRECT("input_tributos[concept/supplier]"), 'P&amp;G-SL'!$C149
)</f>
        <v>0</v>
      </c>
      <c r="K149" s="36">
        <f ca="1">SUMIFS(
  INDIRECT("input_tributos[net]"),
  INDIRECT("input_tributos[yyyymm]"), 'P&amp;G-SL'!K$1,
  INDIRECT("input_tributos[concept/supplier]"), 'P&amp;G-SL'!$C149
)</f>
        <v>0</v>
      </c>
      <c r="L149" s="36">
        <f ca="1">SUMIFS(
  INDIRECT("input_tributos[net]"),
  INDIRECT("input_tributos[yyyymm]"), 'P&amp;G-SL'!L$1,
  INDIRECT("input_tributos[concept/supplier]"), 'P&amp;G-SL'!$C149
)</f>
        <v>0</v>
      </c>
      <c r="M149" s="36">
        <f ca="1">SUMIFS(
  INDIRECT("input_tributos[net]"),
  INDIRECT("input_tributos[yyyymm]"), 'P&amp;G-SL'!M$1,
  INDIRECT("input_tributos[concept/supplier]"), 'P&amp;G-SL'!$C149
)</f>
        <v>0</v>
      </c>
      <c r="N149" s="36">
        <f ca="1">SUMIFS(
  INDIRECT("input_tributos[net]"),
  INDIRECT("input_tributos[yyyymm]"), 'P&amp;G-SL'!N$1,
  INDIRECT("input_tributos[concept/supplier]"), 'P&amp;G-SL'!$C149
)</f>
        <v>0</v>
      </c>
      <c r="O149" s="36">
        <f ca="1">SUMIFS(
  INDIRECT("input_tributos[net]"),
  INDIRECT("input_tributos[yyyymm]"), 'P&amp;G-SL'!O$1,
  INDIRECT("input_tributos[concept/supplier]"), 'P&amp;G-SL'!$C149
)</f>
        <v>0</v>
      </c>
      <c r="P149" s="36">
        <f ca="1">SUMIFS(
  INDIRECT("input_tributos[net]"),
  INDIRECT("input_tributos[yyyymm]"), 'P&amp;G-SL'!P$1,
  INDIRECT("input_tributos[concept/supplier]"), 'P&amp;G-SL'!$C149
)</f>
        <v>0</v>
      </c>
      <c r="Q149" s="36">
        <f ca="1">SUMIFS(
  INDIRECT("input_tributos[net]"),
  INDIRECT("input_tributos[yyyymm]"), 'P&amp;G-SL'!Q$1,
  INDIRECT("input_tributos[concept/supplier]"), 'P&amp;G-SL'!$C149
)</f>
        <v>0</v>
      </c>
      <c r="R149" s="36">
        <f ca="1">SUMIFS(
  INDIRECT("input_tributos[net]"),
  INDIRECT("input_tributos[yyyymm]"), 'P&amp;G-SL'!R$1,
  INDIRECT("input_tributos[concept/supplier]"), 'P&amp;G-SL'!$C149
)</f>
        <v>0</v>
      </c>
      <c r="S149" s="36">
        <f ca="1">SUMIFS(
  INDIRECT("input_tributos[net]"),
  INDIRECT("input_tributos[yyyymm]"), 'P&amp;G-SL'!S$1,
  INDIRECT("input_tributos[concept/supplier]"), 'P&amp;G-SL'!$C149
)</f>
        <v>0</v>
      </c>
      <c r="T149" s="36">
        <f ca="1">SUMIFS(
  INDIRECT("input_tributos[net]"),
  INDIRECT("input_tributos[yyyymm]"), 'P&amp;G-SL'!T$1,
  INDIRECT("input_tributos[concept/supplier]"), 'P&amp;G-SL'!$C149
)</f>
        <v>0</v>
      </c>
      <c r="U149" s="31">
        <f t="shared" ca="1" si="106"/>
        <v>0</v>
      </c>
    </row>
    <row r="150" spans="3:21" ht="14.25" customHeight="1" outlineLevel="1" x14ac:dyDescent="0.3">
      <c r="C150" t="s">
        <v>166</v>
      </c>
      <c r="D150" s="326"/>
      <c r="E150" s="13"/>
      <c r="F150" s="13"/>
      <c r="G150" s="13"/>
      <c r="H150" s="13" t="s">
        <v>167</v>
      </c>
      <c r="I150" s="36">
        <f ca="1">SUMIFS(
  INDIRECT("input_tributos[net]"),
  INDIRECT("input_tributos[yyyymm]"), 'P&amp;G-SL'!I$1,
  INDIRECT("input_tributos[concept/supplier]"), 'P&amp;G-SL'!$C150
)</f>
        <v>0</v>
      </c>
      <c r="J150" s="36">
        <f ca="1">SUMIFS(
  INDIRECT("input_tributos[net]"),
  INDIRECT("input_tributos[yyyymm]"), 'P&amp;G-SL'!J$1,
  INDIRECT("input_tributos[concept/supplier]"), 'P&amp;G-SL'!$C150
)</f>
        <v>0</v>
      </c>
      <c r="K150" s="36">
        <f ca="1">SUMIFS(
  INDIRECT("input_tributos[net]"),
  INDIRECT("input_tributos[yyyymm]"), 'P&amp;G-SL'!K$1,
  INDIRECT("input_tributos[concept/supplier]"), 'P&amp;G-SL'!$C150
)</f>
        <v>0</v>
      </c>
      <c r="L150" s="36">
        <f ca="1">SUMIFS(
  INDIRECT("input_tributos[net]"),
  INDIRECT("input_tributos[yyyymm]"), 'P&amp;G-SL'!L$1,
  INDIRECT("input_tributos[concept/supplier]"), 'P&amp;G-SL'!$C150
)</f>
        <v>0</v>
      </c>
      <c r="M150" s="36">
        <f ca="1">SUMIFS(
  INDIRECT("input_tributos[net]"),
  INDIRECT("input_tributos[yyyymm]"), 'P&amp;G-SL'!M$1,
  INDIRECT("input_tributos[concept/supplier]"), 'P&amp;G-SL'!$C150
)</f>
        <v>0</v>
      </c>
      <c r="N150" s="36">
        <f ca="1">SUMIFS(
  INDIRECT("input_tributos[net]"),
  INDIRECT("input_tributos[yyyymm]"), 'P&amp;G-SL'!N$1,
  INDIRECT("input_tributos[concept/supplier]"), 'P&amp;G-SL'!$C150
)</f>
        <v>0</v>
      </c>
      <c r="O150" s="36">
        <f ca="1">SUMIFS(
  INDIRECT("input_tributos[net]"),
  INDIRECT("input_tributos[yyyymm]"), 'P&amp;G-SL'!O$1,
  INDIRECT("input_tributos[concept/supplier]"), 'P&amp;G-SL'!$C150
)</f>
        <v>0</v>
      </c>
      <c r="P150" s="36">
        <f ca="1">SUMIFS(
  INDIRECT("input_tributos[net]"),
  INDIRECT("input_tributos[yyyymm]"), 'P&amp;G-SL'!P$1,
  INDIRECT("input_tributos[concept/supplier]"), 'P&amp;G-SL'!$C150
)</f>
        <v>0</v>
      </c>
      <c r="Q150" s="36">
        <f ca="1">SUMIFS(
  INDIRECT("input_tributos[net]"),
  INDIRECT("input_tributos[yyyymm]"), 'P&amp;G-SL'!Q$1,
  INDIRECT("input_tributos[concept/supplier]"), 'P&amp;G-SL'!$C150
)</f>
        <v>0</v>
      </c>
      <c r="R150" s="36">
        <f ca="1">SUMIFS(
  INDIRECT("input_tributos[net]"),
  INDIRECT("input_tributos[yyyymm]"), 'P&amp;G-SL'!R$1,
  INDIRECT("input_tributos[concept/supplier]"), 'P&amp;G-SL'!$C150
)</f>
        <v>0</v>
      </c>
      <c r="S150" s="36">
        <f ca="1">SUMIFS(
  INDIRECT("input_tributos[net]"),
  INDIRECT("input_tributos[yyyymm]"), 'P&amp;G-SL'!S$1,
  INDIRECT("input_tributos[concept/supplier]"), 'P&amp;G-SL'!$C150
)</f>
        <v>0</v>
      </c>
      <c r="T150" s="36">
        <f ca="1">SUMIFS(
  INDIRECT("input_tributos[net]"),
  INDIRECT("input_tributos[yyyymm]"), 'P&amp;G-SL'!T$1,
  INDIRECT("input_tributos[concept/supplier]"), 'P&amp;G-SL'!$C150
)</f>
        <v>0</v>
      </c>
      <c r="U150" s="31">
        <f t="shared" ca="1" si="106"/>
        <v>0</v>
      </c>
    </row>
    <row r="151" spans="3:21" ht="14.25" customHeight="1" outlineLevel="1" x14ac:dyDescent="0.3">
      <c r="C151" t="s">
        <v>168</v>
      </c>
      <c r="D151" s="326"/>
      <c r="E151" s="13"/>
      <c r="F151" s="13"/>
      <c r="G151" s="13"/>
      <c r="H151" s="13" t="s">
        <v>169</v>
      </c>
      <c r="I151" s="36">
        <f ca="1">SUMIFS(
  INDIRECT("input_tributos[net]"),
  INDIRECT("input_tributos[yyyymm]"), 'P&amp;G-SL'!I$1,
  INDIRECT("input_tributos[concept/supplier]"), 'P&amp;G-SL'!$C151
)</f>
        <v>0</v>
      </c>
      <c r="J151" s="36">
        <f ca="1">SUMIFS(
  INDIRECT("input_tributos[net]"),
  INDIRECT("input_tributos[yyyymm]"), 'P&amp;G-SL'!J$1,
  INDIRECT("input_tributos[concept/supplier]"), 'P&amp;G-SL'!$C151
)</f>
        <v>0</v>
      </c>
      <c r="K151" s="36">
        <f ca="1">SUMIFS(
  INDIRECT("input_tributos[net]"),
  INDIRECT("input_tributos[yyyymm]"), 'P&amp;G-SL'!K$1,
  INDIRECT("input_tributos[concept/supplier]"), 'P&amp;G-SL'!$C151
)</f>
        <v>0</v>
      </c>
      <c r="L151" s="36">
        <f ca="1">SUMIFS(
  INDIRECT("input_tributos[net]"),
  INDIRECT("input_tributos[yyyymm]"), 'P&amp;G-SL'!L$1,
  INDIRECT("input_tributos[concept/supplier]"), 'P&amp;G-SL'!$C151
)</f>
        <v>0</v>
      </c>
      <c r="M151" s="36">
        <f ca="1">SUMIFS(
  INDIRECT("input_tributos[net]"),
  INDIRECT("input_tributos[yyyymm]"), 'P&amp;G-SL'!M$1,
  INDIRECT("input_tributos[concept/supplier]"), 'P&amp;G-SL'!$C151
)</f>
        <v>0</v>
      </c>
      <c r="N151" s="36">
        <f ca="1">SUMIFS(
  INDIRECT("input_tributos[net]"),
  INDIRECT("input_tributos[yyyymm]"), 'P&amp;G-SL'!N$1,
  INDIRECT("input_tributos[concept/supplier]"), 'P&amp;G-SL'!$C151
)</f>
        <v>0</v>
      </c>
      <c r="O151" s="36">
        <f ca="1">SUMIFS(
  INDIRECT("input_tributos[net]"),
  INDIRECT("input_tributos[yyyymm]"), 'P&amp;G-SL'!O$1,
  INDIRECT("input_tributos[concept/supplier]"), 'P&amp;G-SL'!$C151
)</f>
        <v>0</v>
      </c>
      <c r="P151" s="36">
        <f ca="1">SUMIFS(
  INDIRECT("input_tributos[net]"),
  INDIRECT("input_tributos[yyyymm]"), 'P&amp;G-SL'!P$1,
  INDIRECT("input_tributos[concept/supplier]"), 'P&amp;G-SL'!$C151
)</f>
        <v>0</v>
      </c>
      <c r="Q151" s="36">
        <f ca="1">SUMIFS(
  INDIRECT("input_tributos[net]"),
  INDIRECT("input_tributos[yyyymm]"), 'P&amp;G-SL'!Q$1,
  INDIRECT("input_tributos[concept/supplier]"), 'P&amp;G-SL'!$C151
)</f>
        <v>0</v>
      </c>
      <c r="R151" s="36">
        <f ca="1">SUMIFS(
  INDIRECT("input_tributos[net]"),
  INDIRECT("input_tributos[yyyymm]"), 'P&amp;G-SL'!R$1,
  INDIRECT("input_tributos[concept/supplier]"), 'P&amp;G-SL'!$C151
)</f>
        <v>0</v>
      </c>
      <c r="S151" s="36">
        <f ca="1">SUMIFS(
  INDIRECT("input_tributos[net]"),
  INDIRECT("input_tributos[yyyymm]"), 'P&amp;G-SL'!S$1,
  INDIRECT("input_tributos[concept/supplier]"), 'P&amp;G-SL'!$C151
)</f>
        <v>0</v>
      </c>
      <c r="T151" s="36">
        <f ca="1">SUMIFS(
  INDIRECT("input_tributos[net]"),
  INDIRECT("input_tributos[yyyymm]"), 'P&amp;G-SL'!T$1,
  INDIRECT("input_tributos[concept/supplier]"), 'P&amp;G-SL'!$C151
)</f>
        <v>0</v>
      </c>
      <c r="U151" s="31">
        <f t="shared" ca="1" si="106"/>
        <v>0</v>
      </c>
    </row>
    <row r="152" spans="3:21" ht="14.25" customHeight="1" outlineLevel="1" x14ac:dyDescent="0.3">
      <c r="C152" t="s">
        <v>170</v>
      </c>
      <c r="D152" s="326"/>
      <c r="E152" s="13"/>
      <c r="F152" s="13"/>
      <c r="G152" s="13"/>
      <c r="H152" s="13" t="s">
        <v>171</v>
      </c>
      <c r="I152" s="36">
        <f ca="1">SUMIFS(
  INDIRECT("input_tributos[net]"),
  INDIRECT("input_tributos[yyyymm]"), 'P&amp;G-SL'!I$1,
  INDIRECT("input_tributos[concept/supplier]"), 'P&amp;G-SL'!$C152
)</f>
        <v>0</v>
      </c>
      <c r="J152" s="36">
        <f ca="1">SUMIFS(
  INDIRECT("input_tributos[net]"),
  INDIRECT("input_tributos[yyyymm]"), 'P&amp;G-SL'!J$1,
  INDIRECT("input_tributos[concept/supplier]"), 'P&amp;G-SL'!$C152
)</f>
        <v>0</v>
      </c>
      <c r="K152" s="36">
        <f ca="1">SUMIFS(
  INDIRECT("input_tributos[net]"),
  INDIRECT("input_tributos[yyyymm]"), 'P&amp;G-SL'!K$1,
  INDIRECT("input_tributos[concept/supplier]"), 'P&amp;G-SL'!$C152
)</f>
        <v>0</v>
      </c>
      <c r="L152" s="36">
        <f ca="1">SUMIFS(
  INDIRECT("input_tributos[net]"),
  INDIRECT("input_tributos[yyyymm]"), 'P&amp;G-SL'!L$1,
  INDIRECT("input_tributos[concept/supplier]"), 'P&amp;G-SL'!$C152
)</f>
        <v>0</v>
      </c>
      <c r="M152" s="36">
        <f ca="1">SUMIFS(
  INDIRECT("input_tributos[net]"),
  INDIRECT("input_tributos[yyyymm]"), 'P&amp;G-SL'!M$1,
  INDIRECT("input_tributos[concept/supplier]"), 'P&amp;G-SL'!$C152
)</f>
        <v>0</v>
      </c>
      <c r="N152" s="36">
        <f ca="1">SUMIFS(
  INDIRECT("input_tributos[net]"),
  INDIRECT("input_tributos[yyyymm]"), 'P&amp;G-SL'!N$1,
  INDIRECT("input_tributos[concept/supplier]"), 'P&amp;G-SL'!$C152
)</f>
        <v>0</v>
      </c>
      <c r="O152" s="36">
        <f ca="1">SUMIFS(
  INDIRECT("input_tributos[net]"),
  INDIRECT("input_tributos[yyyymm]"), 'P&amp;G-SL'!O$1,
  INDIRECT("input_tributos[concept/supplier]"), 'P&amp;G-SL'!$C152
)</f>
        <v>0</v>
      </c>
      <c r="P152" s="36">
        <f ca="1">SUMIFS(
  INDIRECT("input_tributos[net]"),
  INDIRECT("input_tributos[yyyymm]"), 'P&amp;G-SL'!P$1,
  INDIRECT("input_tributos[concept/supplier]"), 'P&amp;G-SL'!$C152
)</f>
        <v>0</v>
      </c>
      <c r="Q152" s="36">
        <f ca="1">SUMIFS(
  INDIRECT("input_tributos[net]"),
  INDIRECT("input_tributos[yyyymm]"), 'P&amp;G-SL'!Q$1,
  INDIRECT("input_tributos[concept/supplier]"), 'P&amp;G-SL'!$C152
)</f>
        <v>0</v>
      </c>
      <c r="R152" s="36">
        <f ca="1">SUMIFS(
  INDIRECT("input_tributos[net]"),
  INDIRECT("input_tributos[yyyymm]"), 'P&amp;G-SL'!R$1,
  INDIRECT("input_tributos[concept/supplier]"), 'P&amp;G-SL'!$C152
)</f>
        <v>0</v>
      </c>
      <c r="S152" s="36">
        <f ca="1">SUMIFS(
  INDIRECT("input_tributos[net]"),
  INDIRECT("input_tributos[yyyymm]"), 'P&amp;G-SL'!S$1,
  INDIRECT("input_tributos[concept/supplier]"), 'P&amp;G-SL'!$C152
)</f>
        <v>0</v>
      </c>
      <c r="T152" s="36">
        <f ca="1">SUMIFS(
  INDIRECT("input_tributos[net]"),
  INDIRECT("input_tributos[yyyymm]"), 'P&amp;G-SL'!T$1,
  INDIRECT("input_tributos[concept/supplier]"), 'P&amp;G-SL'!$C152
)</f>
        <v>0</v>
      </c>
      <c r="U152" s="31">
        <f t="shared" ca="1" si="106"/>
        <v>0</v>
      </c>
    </row>
    <row r="153" spans="3:21" x14ac:dyDescent="0.3">
      <c r="D153" s="12"/>
      <c r="E153" s="12"/>
      <c r="F153" s="12"/>
      <c r="G153" s="12"/>
      <c r="H153" s="12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1">
        <f t="shared" si="106"/>
        <v>0</v>
      </c>
    </row>
    <row r="154" spans="3:21" ht="18" x14ac:dyDescent="0.35">
      <c r="D154" s="373" t="s">
        <v>172</v>
      </c>
      <c r="E154" s="373"/>
      <c r="F154" s="373"/>
      <c r="G154" s="373"/>
      <c r="H154" s="374"/>
      <c r="I154" s="102">
        <f t="shared" ref="I154:T154" ca="1" si="116">+I84-I87</f>
        <v>-14988.604100000011</v>
      </c>
      <c r="J154" s="102">
        <f t="shared" ca="1" si="116"/>
        <v>3272.69538842974</v>
      </c>
      <c r="K154" s="102">
        <f t="shared" ca="1" si="116"/>
        <v>112719.42</v>
      </c>
      <c r="L154" s="102">
        <f t="shared" ca="1" si="116"/>
        <v>0</v>
      </c>
      <c r="M154" s="102">
        <f t="shared" ca="1" si="116"/>
        <v>0</v>
      </c>
      <c r="N154" s="102">
        <f t="shared" ca="1" si="116"/>
        <v>0</v>
      </c>
      <c r="O154" s="102">
        <f t="shared" ca="1" si="116"/>
        <v>0</v>
      </c>
      <c r="P154" s="102">
        <f t="shared" ca="1" si="116"/>
        <v>0</v>
      </c>
      <c r="Q154" s="102">
        <f t="shared" ca="1" si="116"/>
        <v>0</v>
      </c>
      <c r="R154" s="102">
        <f t="shared" ca="1" si="116"/>
        <v>0</v>
      </c>
      <c r="S154" s="102">
        <f t="shared" ca="1" si="116"/>
        <v>0</v>
      </c>
      <c r="T154" s="102">
        <f t="shared" ca="1" si="116"/>
        <v>0</v>
      </c>
      <c r="U154" s="31">
        <f ca="1">SUM(I154:T154)</f>
        <v>101003.51128842973</v>
      </c>
    </row>
    <row r="155" spans="3:21" x14ac:dyDescent="0.3">
      <c r="D155" s="328"/>
      <c r="E155" s="9"/>
      <c r="F155" s="9"/>
      <c r="G155" s="9"/>
      <c r="H155" s="9" t="s">
        <v>173</v>
      </c>
      <c r="I155" s="258"/>
      <c r="J155" s="258"/>
      <c r="K155" s="258"/>
      <c r="L155" s="258"/>
      <c r="M155" s="258"/>
      <c r="N155" s="258"/>
      <c r="O155" s="258"/>
      <c r="P155" s="258"/>
      <c r="Q155" s="258"/>
      <c r="R155" s="258"/>
      <c r="S155" s="40"/>
      <c r="T155" s="40"/>
      <c r="U155" s="31">
        <f>SUM(I155:T155)</f>
        <v>0</v>
      </c>
    </row>
    <row r="156" spans="3:21" x14ac:dyDescent="0.3">
      <c r="D156" s="328"/>
      <c r="E156" s="9"/>
      <c r="F156" s="9"/>
      <c r="G156" s="9"/>
      <c r="H156" s="9" t="s">
        <v>174</v>
      </c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31">
        <f t="shared" si="106"/>
        <v>0</v>
      </c>
    </row>
    <row r="157" spans="3:21" x14ac:dyDescent="0.3">
      <c r="D157"/>
      <c r="E157" s="398" t="s">
        <v>175</v>
      </c>
      <c r="F157" s="398"/>
      <c r="G157" s="398"/>
      <c r="H157" s="399" t="s">
        <v>175</v>
      </c>
      <c r="I157" s="103">
        <f t="shared" ref="I157:T157" ca="1" si="117">+I154-I155-I156</f>
        <v>-14988.604100000011</v>
      </c>
      <c r="J157" s="103">
        <f t="shared" ca="1" si="117"/>
        <v>3272.69538842974</v>
      </c>
      <c r="K157" s="103">
        <f t="shared" ca="1" si="117"/>
        <v>112719.42</v>
      </c>
      <c r="L157" s="103">
        <f t="shared" ca="1" si="117"/>
        <v>0</v>
      </c>
      <c r="M157" s="103">
        <f t="shared" ca="1" si="117"/>
        <v>0</v>
      </c>
      <c r="N157" s="103">
        <f t="shared" ca="1" si="117"/>
        <v>0</v>
      </c>
      <c r="O157" s="103">
        <f t="shared" ca="1" si="117"/>
        <v>0</v>
      </c>
      <c r="P157" s="103">
        <f t="shared" ca="1" si="117"/>
        <v>0</v>
      </c>
      <c r="Q157" s="103">
        <f t="shared" ca="1" si="117"/>
        <v>0</v>
      </c>
      <c r="R157" s="103">
        <f t="shared" ca="1" si="117"/>
        <v>0</v>
      </c>
      <c r="S157" s="103">
        <f t="shared" ca="1" si="117"/>
        <v>0</v>
      </c>
      <c r="T157" s="103">
        <f t="shared" ca="1" si="117"/>
        <v>0</v>
      </c>
      <c r="U157" s="31">
        <f t="shared" ca="1" si="106"/>
        <v>101003.51128842973</v>
      </c>
    </row>
    <row r="158" spans="3:21" x14ac:dyDescent="0.3">
      <c r="D158" s="14"/>
      <c r="E158" s="14"/>
      <c r="F158" s="14"/>
      <c r="G158" s="14"/>
      <c r="H158" s="14" t="s">
        <v>176</v>
      </c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31">
        <f t="shared" si="106"/>
        <v>0</v>
      </c>
    </row>
    <row r="159" spans="3:21" x14ac:dyDescent="0.3">
      <c r="D159" s="12"/>
      <c r="E159" s="12"/>
      <c r="F159" s="12"/>
      <c r="G159" s="12"/>
      <c r="H159" s="12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1">
        <f t="shared" si="106"/>
        <v>0</v>
      </c>
    </row>
    <row r="160" spans="3:21" x14ac:dyDescent="0.3">
      <c r="D160"/>
      <c r="E160" s="398" t="s">
        <v>177</v>
      </c>
      <c r="F160" s="398"/>
      <c r="G160" s="398"/>
      <c r="H160" s="399" t="s">
        <v>177</v>
      </c>
      <c r="I160" s="103">
        <f ca="1">+I157-I158</f>
        <v>-14988.604100000011</v>
      </c>
      <c r="J160" s="103">
        <f t="shared" ref="J160:T160" ca="1" si="118">+J157-J158</f>
        <v>3272.69538842974</v>
      </c>
      <c r="K160" s="103">
        <f t="shared" ca="1" si="118"/>
        <v>112719.42</v>
      </c>
      <c r="L160" s="103">
        <f t="shared" ca="1" si="118"/>
        <v>0</v>
      </c>
      <c r="M160" s="103">
        <f t="shared" ca="1" si="118"/>
        <v>0</v>
      </c>
      <c r="N160" s="103">
        <f t="shared" ca="1" si="118"/>
        <v>0</v>
      </c>
      <c r="O160" s="103">
        <f t="shared" ca="1" si="118"/>
        <v>0</v>
      </c>
      <c r="P160" s="103">
        <f t="shared" ca="1" si="118"/>
        <v>0</v>
      </c>
      <c r="Q160" s="103">
        <f t="shared" ca="1" si="118"/>
        <v>0</v>
      </c>
      <c r="R160" s="103">
        <f t="shared" ca="1" si="118"/>
        <v>0</v>
      </c>
      <c r="S160" s="103">
        <f t="shared" ca="1" si="118"/>
        <v>0</v>
      </c>
      <c r="T160" s="103">
        <f t="shared" ca="1" si="118"/>
        <v>0</v>
      </c>
      <c r="U160" s="31">
        <f t="shared" ca="1" si="106"/>
        <v>101003.51128842973</v>
      </c>
    </row>
    <row r="161" spans="4:21" x14ac:dyDescent="0.3">
      <c r="D161" s="12"/>
      <c r="E161" s="12"/>
      <c r="F161" s="12"/>
      <c r="G161" s="12"/>
      <c r="H161" s="12"/>
      <c r="I161" s="282">
        <f ca="1">+I160/(I16+I5)</f>
        <v>-0.11098273965119157</v>
      </c>
      <c r="J161" s="282">
        <f ca="1">+J160/(J16+J5)</f>
        <v>2.1540513087291886E-2</v>
      </c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1">
        <f t="shared" ca="1" si="106"/>
        <v>-8.9442226563899691E-2</v>
      </c>
    </row>
    <row r="162" spans="4:21" x14ac:dyDescent="0.3">
      <c r="D162" s="12"/>
      <c r="E162" s="12"/>
      <c r="F162" s="12"/>
      <c r="G162" s="12"/>
      <c r="H162" s="12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1"/>
    </row>
    <row r="163" spans="4:21" x14ac:dyDescent="0.3">
      <c r="D163" s="12"/>
      <c r="E163" s="12"/>
      <c r="F163" s="12"/>
      <c r="G163" s="12"/>
      <c r="H163" s="12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1"/>
    </row>
    <row r="164" spans="4:21" x14ac:dyDescent="0.3">
      <c r="D164" s="12"/>
      <c r="E164" s="12"/>
      <c r="F164" s="12"/>
      <c r="G164" s="12"/>
      <c r="H164" s="12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1"/>
    </row>
    <row r="165" spans="4:21" x14ac:dyDescent="0.3">
      <c r="D165" s="12"/>
      <c r="E165" s="12"/>
      <c r="F165" s="12"/>
      <c r="G165" s="12"/>
      <c r="H165" s="12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1"/>
    </row>
    <row r="166" spans="4:21" x14ac:dyDescent="0.3">
      <c r="D166" s="12"/>
      <c r="E166" s="12"/>
      <c r="F166" s="12"/>
      <c r="G166" s="12"/>
      <c r="H166" s="12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1"/>
    </row>
    <row r="167" spans="4:21" x14ac:dyDescent="0.3">
      <c r="D167" s="330"/>
      <c r="E167" s="11"/>
      <c r="F167" s="11"/>
      <c r="G167" s="11"/>
      <c r="H167" s="11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31"/>
    </row>
    <row r="168" spans="4:21" x14ac:dyDescent="0.3">
      <c r="D168" s="330"/>
      <c r="E168" s="12"/>
      <c r="F168" s="12"/>
      <c r="G168" s="12"/>
      <c r="H168" s="11" t="s">
        <v>179</v>
      </c>
      <c r="I168" s="35">
        <f>+'input-divisas'!B7</f>
        <v>0.97</v>
      </c>
      <c r="J168" s="35">
        <f>+'input-divisas'!C7</f>
        <v>0.96</v>
      </c>
      <c r="K168" s="35">
        <f>+'input-divisas'!D7</f>
        <v>0.92</v>
      </c>
      <c r="L168" s="35">
        <f>+'input-divisas'!E7</f>
        <v>0.88</v>
      </c>
      <c r="M168" s="35">
        <f>+'input-divisas'!F7</f>
        <v>0.89</v>
      </c>
      <c r="N168" s="35">
        <f>+'input-divisas'!G7</f>
        <v>0.87</v>
      </c>
      <c r="O168" s="35">
        <f>+'input-divisas'!H7</f>
        <v>0.85</v>
      </c>
      <c r="P168" s="35">
        <f>+'input-divisas'!I7</f>
        <v>0.86</v>
      </c>
      <c r="Q168" s="35">
        <f>+'input-divisas'!J7</f>
        <v>0.85</v>
      </c>
      <c r="R168" s="35">
        <f>+'input-divisas'!K7</f>
        <v>0.85</v>
      </c>
      <c r="S168" s="35">
        <f>+'input-divisas'!L7</f>
        <v>0.85</v>
      </c>
      <c r="T168" s="35">
        <f>+'input-divisas'!M7</f>
        <v>0.85</v>
      </c>
      <c r="U168" s="31"/>
    </row>
  </sheetData>
  <mergeCells count="64">
    <mergeCell ref="F92:H92"/>
    <mergeCell ref="D87:H87"/>
    <mergeCell ref="D83:H83"/>
    <mergeCell ref="D70:H70"/>
    <mergeCell ref="G64:H64"/>
    <mergeCell ref="G65:H65"/>
    <mergeCell ref="G67:H67"/>
    <mergeCell ref="G66:H66"/>
    <mergeCell ref="A81:H81"/>
    <mergeCell ref="A82:H82"/>
    <mergeCell ref="E160:H160"/>
    <mergeCell ref="G77:H77"/>
    <mergeCell ref="G78:H78"/>
    <mergeCell ref="E145:H145"/>
    <mergeCell ref="G121:H121"/>
    <mergeCell ref="G114:H114"/>
    <mergeCell ref="E113:H113"/>
    <mergeCell ref="G141:H141"/>
    <mergeCell ref="G109:H109"/>
    <mergeCell ref="E103:H103"/>
    <mergeCell ref="G110:H110"/>
    <mergeCell ref="E157:H157"/>
    <mergeCell ref="G100:H100"/>
    <mergeCell ref="G96:H96"/>
    <mergeCell ref="G94:H94"/>
    <mergeCell ref="G93:H93"/>
    <mergeCell ref="E16:H16"/>
    <mergeCell ref="D30:H30"/>
    <mergeCell ref="E2:H2"/>
    <mergeCell ref="E5:H5"/>
    <mergeCell ref="F6:H6"/>
    <mergeCell ref="F14:H14"/>
    <mergeCell ref="F12:H12"/>
    <mergeCell ref="F11:H11"/>
    <mergeCell ref="F13:H13"/>
    <mergeCell ref="F10:H10"/>
    <mergeCell ref="F8:H8"/>
    <mergeCell ref="F9:H9"/>
    <mergeCell ref="F7:H7"/>
    <mergeCell ref="D4:H4"/>
    <mergeCell ref="D3:H3"/>
    <mergeCell ref="E21:H21"/>
    <mergeCell ref="G58:H58"/>
    <mergeCell ref="G56:H56"/>
    <mergeCell ref="G59:H59"/>
    <mergeCell ref="E23:H23"/>
    <mergeCell ref="E25:H25"/>
    <mergeCell ref="E31:H31"/>
    <mergeCell ref="D154:H154"/>
    <mergeCell ref="D76:H76"/>
    <mergeCell ref="D84:H84"/>
    <mergeCell ref="D53:H53"/>
    <mergeCell ref="D55:H55"/>
    <mergeCell ref="D63:H63"/>
    <mergeCell ref="G60:H60"/>
    <mergeCell ref="G72:H72"/>
    <mergeCell ref="G71:H71"/>
    <mergeCell ref="E89:H89"/>
    <mergeCell ref="G99:H99"/>
    <mergeCell ref="G97:H97"/>
    <mergeCell ref="G73:H73"/>
    <mergeCell ref="F98:H98"/>
    <mergeCell ref="F95:H95"/>
    <mergeCell ref="G57:H57"/>
  </mergeCells>
  <conditionalFormatting sqref="I4:T50">
    <cfRule type="cellIs" dxfId="10" priority="6" operator="equal">
      <formula>0</formula>
    </cfRule>
  </conditionalFormatting>
  <conditionalFormatting sqref="I52:T52">
    <cfRule type="containsErrors" dxfId="9" priority="1">
      <formula>ISERROR(I52)</formula>
    </cfRule>
  </conditionalFormatting>
  <conditionalFormatting sqref="I53:T53">
    <cfRule type="cellIs" dxfId="8" priority="2" operator="equal">
      <formula>0</formula>
    </cfRule>
  </conditionalFormatting>
  <conditionalFormatting sqref="I54:T80">
    <cfRule type="containsErrors" dxfId="7" priority="3">
      <formula>ISERROR(I54)</formula>
    </cfRule>
    <cfRule type="cellIs" dxfId="6" priority="4" operator="equal">
      <formula>0</formula>
    </cfRule>
  </conditionalFormatting>
  <hyperlinks>
    <hyperlink ref="E5:H5" location="'i-sales'!A1" display="Sales" xr:uid="{90E29B35-6242-4A04-AC10-1C6C526C97A8}"/>
    <hyperlink ref="E16:H16" location="'i-marketplaces-sl'!A1" display="Marketplaces" xr:uid="{4A521D15-A5FB-47CF-AE31-733ABB8B1E04}"/>
    <hyperlink ref="E23:H23" location="'i-rapels-sl'!A1" display="Sales Rappels (B2B)" xr:uid="{86B18FA5-DABE-4FA8-9E69-748E2F71BF2E}"/>
    <hyperlink ref="E31:H31" location="'i-sharedservices-sl'!A1" display="Shared Services" xr:uid="{23A3CADD-C470-4272-8DA2-01F708120DE4}"/>
    <hyperlink ref="E25:H25" location="'i-adjustments-sl'!A1" display="Sales Adjustments" xr:uid="{4CB27160-1D1B-4CF1-9A91-8A26D4574D03}"/>
    <hyperlink ref="D55" location="'g-manufacturing-sl'!A1" display="Manufacturing" xr:uid="{A0086DB8-E8C1-4F4B-A69D-E2B2FBBD4A7E}"/>
    <hyperlink ref="D63:F63" location="'g-shipping-sl'!A1" display="Shipping" xr:uid="{EAD9910E-421C-418B-855A-F5298988194F}"/>
    <hyperlink ref="E21:H21" location="'i-suplidos-sl'!A1" display="Rever Supplies" xr:uid="{C932C31E-E2A6-4D96-B2CE-CA3FB82EC4CE}"/>
    <hyperlink ref="D70:H70" location="'g-royalties-sl'!A1" display="Royalties" xr:uid="{0D32FA4D-09C3-4C2B-B9CD-6E0753E51266}"/>
    <hyperlink ref="D76:H76" location="'g-paymentsuplier-sl'!A1" display="Payments suppliers" xr:uid="{92A13134-4435-4551-A0ED-A695CCDCB241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AAA4-0216-4DC0-B1BC-9DC98A3D8C98}">
  <sheetPr>
    <tabColor theme="1"/>
  </sheetPr>
  <dimension ref="A1:T103"/>
  <sheetViews>
    <sheetView topLeftCell="E6" zoomScaleNormal="80" workbookViewId="0">
      <selection activeCell="I18" sqref="I18:I20"/>
    </sheetView>
  </sheetViews>
  <sheetFormatPr baseColWidth="10" defaultColWidth="11.44140625" defaultRowHeight="14.4" outlineLevelRow="2" outlineLevelCol="1" x14ac:dyDescent="0.3"/>
  <cols>
    <col min="1" max="1" width="2.44140625" customWidth="1" outlineLevel="1"/>
    <col min="2" max="2" width="7.44140625" customWidth="1" outlineLevel="1"/>
    <col min="3" max="3" width="43.44140625" customWidth="1" outlineLevel="1"/>
    <col min="4" max="4" width="5.33203125" style="15" customWidth="1"/>
    <col min="5" max="5" width="4.33203125" style="15" customWidth="1"/>
    <col min="6" max="6" width="8.33203125" style="15" customWidth="1"/>
    <col min="7" max="7" width="21.6640625" style="15" customWidth="1"/>
    <col min="8" max="19" width="11.44140625" style="125" customWidth="1"/>
    <col min="20" max="20" width="11.44140625" style="126" customWidth="1"/>
    <col min="21" max="26" width="11.44140625" customWidth="1"/>
  </cols>
  <sheetData>
    <row r="1" spans="1:20" s="154" customFormat="1" outlineLevel="1" x14ac:dyDescent="0.3">
      <c r="D1" s="155"/>
      <c r="E1" s="155"/>
      <c r="F1" s="155"/>
      <c r="G1" s="155"/>
      <c r="H1" s="269" t="s">
        <v>1178</v>
      </c>
      <c r="I1" s="269">
        <v>202602</v>
      </c>
      <c r="J1" s="269">
        <v>202603</v>
      </c>
      <c r="K1" s="269">
        <v>202604</v>
      </c>
      <c r="L1" s="269">
        <v>202605</v>
      </c>
      <c r="M1" s="269">
        <v>202606</v>
      </c>
      <c r="N1" s="269">
        <v>202607</v>
      </c>
      <c r="O1" s="269">
        <v>202608</v>
      </c>
      <c r="P1" s="269">
        <v>202609</v>
      </c>
      <c r="Q1" s="269">
        <v>202610</v>
      </c>
      <c r="R1" s="269">
        <v>202611</v>
      </c>
      <c r="S1" s="269">
        <v>202612</v>
      </c>
      <c r="T1" s="156"/>
    </row>
    <row r="2" spans="1:20" s="22" customFormat="1" ht="23.4" x14ac:dyDescent="0.45">
      <c r="D2" s="395" t="e">
        <f>+#REF!&amp;"-"&amp;#REF!</f>
        <v>#REF!</v>
      </c>
      <c r="E2" s="395"/>
      <c r="F2" s="395"/>
      <c r="G2" s="395"/>
      <c r="H2" s="16" t="s">
        <v>1429</v>
      </c>
      <c r="I2" s="16" t="s">
        <v>1430</v>
      </c>
      <c r="J2" s="16" t="s">
        <v>1431</v>
      </c>
      <c r="K2" s="16" t="s">
        <v>1432</v>
      </c>
      <c r="L2" s="16" t="s">
        <v>1433</v>
      </c>
      <c r="M2" s="16" t="s">
        <v>1434</v>
      </c>
      <c r="N2" s="16" t="s">
        <v>1435</v>
      </c>
      <c r="O2" s="16" t="s">
        <v>1436</v>
      </c>
      <c r="P2" s="16" t="s">
        <v>1437</v>
      </c>
      <c r="Q2" s="16" t="s">
        <v>1438</v>
      </c>
      <c r="R2" s="16" t="s">
        <v>1439</v>
      </c>
      <c r="S2" s="16" t="s">
        <v>1440</v>
      </c>
      <c r="T2" s="2" t="s">
        <v>0</v>
      </c>
    </row>
    <row r="3" spans="1:20" ht="15" customHeight="1" x14ac:dyDescent="0.3">
      <c r="D3" s="428" t="s">
        <v>1</v>
      </c>
      <c r="E3" s="428"/>
      <c r="F3" s="428"/>
      <c r="G3" s="428"/>
      <c r="H3" s="128">
        <f t="shared" ref="H3:S4" si="0">+H4</f>
        <v>15702.66</v>
      </c>
      <c r="I3" s="128">
        <f t="shared" si="0"/>
        <v>19429.25</v>
      </c>
      <c r="J3" s="128">
        <f t="shared" si="0"/>
        <v>13642.640000000001</v>
      </c>
      <c r="K3" s="128">
        <f t="shared" si="0"/>
        <v>0</v>
      </c>
      <c r="L3" s="128">
        <f t="shared" si="0"/>
        <v>0</v>
      </c>
      <c r="M3" s="128">
        <f t="shared" si="0"/>
        <v>0</v>
      </c>
      <c r="N3" s="128">
        <f t="shared" si="0"/>
        <v>0</v>
      </c>
      <c r="O3" s="128">
        <f t="shared" si="0"/>
        <v>0</v>
      </c>
      <c r="P3" s="128">
        <f t="shared" si="0"/>
        <v>0</v>
      </c>
      <c r="Q3" s="128">
        <f t="shared" si="0"/>
        <v>0</v>
      </c>
      <c r="R3" s="128">
        <f t="shared" si="0"/>
        <v>0</v>
      </c>
      <c r="S3" s="128">
        <f t="shared" si="0"/>
        <v>0</v>
      </c>
      <c r="T3" s="129">
        <f t="shared" ref="T3:T14" si="1">SUM(H3:S3)</f>
        <v>48774.55</v>
      </c>
    </row>
    <row r="4" spans="1:20" x14ac:dyDescent="0.3">
      <c r="A4" t="s">
        <v>2</v>
      </c>
      <c r="B4" t="s">
        <v>3</v>
      </c>
      <c r="C4" t="s">
        <v>4</v>
      </c>
      <c r="D4" s="429" t="s">
        <v>5</v>
      </c>
      <c r="E4" s="429"/>
      <c r="F4" s="429"/>
      <c r="G4" s="429"/>
      <c r="H4" s="130">
        <f t="shared" si="0"/>
        <v>15702.66</v>
      </c>
      <c r="I4" s="130">
        <f t="shared" si="0"/>
        <v>19429.25</v>
      </c>
      <c r="J4" s="130">
        <f t="shared" si="0"/>
        <v>13642.640000000001</v>
      </c>
      <c r="K4" s="130">
        <f t="shared" si="0"/>
        <v>0</v>
      </c>
      <c r="L4" s="130">
        <f t="shared" si="0"/>
        <v>0</v>
      </c>
      <c r="M4" s="130">
        <f t="shared" si="0"/>
        <v>0</v>
      </c>
      <c r="N4" s="130">
        <f t="shared" si="0"/>
        <v>0</v>
      </c>
      <c r="O4" s="130">
        <f t="shared" si="0"/>
        <v>0</v>
      </c>
      <c r="P4" s="130">
        <f t="shared" si="0"/>
        <v>0</v>
      </c>
      <c r="Q4" s="130">
        <f t="shared" si="0"/>
        <v>0</v>
      </c>
      <c r="R4" s="130">
        <f t="shared" si="0"/>
        <v>0</v>
      </c>
      <c r="S4" s="130">
        <f t="shared" si="0"/>
        <v>0</v>
      </c>
      <c r="T4" s="131">
        <f t="shared" si="1"/>
        <v>48774.55</v>
      </c>
    </row>
    <row r="5" spans="1:20" ht="15" customHeight="1" x14ac:dyDescent="0.3">
      <c r="D5" s="104" t="e" vm="10">
        <v>#VALUE!</v>
      </c>
      <c r="E5" s="430" t="s">
        <v>180</v>
      </c>
      <c r="F5" s="430"/>
      <c r="G5" s="430"/>
      <c r="H5" s="130">
        <f>+H7+H8</f>
        <v>15702.66</v>
      </c>
      <c r="I5" s="130">
        <f t="shared" ref="I5:S5" si="2">+I7+I8</f>
        <v>19429.25</v>
      </c>
      <c r="J5" s="130">
        <f t="shared" si="2"/>
        <v>13642.640000000001</v>
      </c>
      <c r="K5" s="130">
        <f t="shared" si="2"/>
        <v>0</v>
      </c>
      <c r="L5" s="130">
        <f t="shared" si="2"/>
        <v>0</v>
      </c>
      <c r="M5" s="130">
        <f t="shared" si="2"/>
        <v>0</v>
      </c>
      <c r="N5" s="130">
        <f t="shared" si="2"/>
        <v>0</v>
      </c>
      <c r="O5" s="130">
        <f t="shared" si="2"/>
        <v>0</v>
      </c>
      <c r="P5" s="130">
        <f t="shared" si="2"/>
        <v>0</v>
      </c>
      <c r="Q5" s="130">
        <f t="shared" si="2"/>
        <v>0</v>
      </c>
      <c r="R5" s="130">
        <f t="shared" si="2"/>
        <v>0</v>
      </c>
      <c r="S5" s="130">
        <f t="shared" si="2"/>
        <v>0</v>
      </c>
      <c r="T5" s="131">
        <f t="shared" si="1"/>
        <v>48774.55</v>
      </c>
    </row>
    <row r="6" spans="1:20" x14ac:dyDescent="0.3">
      <c r="D6" s="105"/>
      <c r="E6" s="106"/>
      <c r="F6" s="106"/>
      <c r="G6" s="106" t="s">
        <v>7</v>
      </c>
      <c r="H6" s="157">
        <f>IFERROR(+H5/H$4,0)</f>
        <v>1</v>
      </c>
      <c r="I6" s="157">
        <f t="shared" ref="I6:S6" si="3">IFERROR(+I5/I$4,0)</f>
        <v>1</v>
      </c>
      <c r="J6" s="157">
        <f t="shared" si="3"/>
        <v>1</v>
      </c>
      <c r="K6" s="157">
        <f t="shared" si="3"/>
        <v>0</v>
      </c>
      <c r="L6" s="157">
        <f t="shared" si="3"/>
        <v>0</v>
      </c>
      <c r="M6" s="157">
        <f t="shared" si="3"/>
        <v>0</v>
      </c>
      <c r="N6" s="157">
        <f t="shared" si="3"/>
        <v>0</v>
      </c>
      <c r="O6" s="157">
        <f t="shared" si="3"/>
        <v>0</v>
      </c>
      <c r="P6" s="157">
        <f t="shared" si="3"/>
        <v>0</v>
      </c>
      <c r="Q6" s="157">
        <f t="shared" si="3"/>
        <v>0</v>
      </c>
      <c r="R6" s="157">
        <f t="shared" si="3"/>
        <v>0</v>
      </c>
      <c r="S6" s="157">
        <f t="shared" si="3"/>
        <v>0</v>
      </c>
      <c r="T6" s="181">
        <f t="shared" ref="T6" si="4">IFERROR(+T5/T$4,0)</f>
        <v>1</v>
      </c>
    </row>
    <row r="7" spans="1:20" outlineLevel="1" x14ac:dyDescent="0.3">
      <c r="A7">
        <v>0</v>
      </c>
      <c r="B7">
        <v>0</v>
      </c>
      <c r="C7" t="s">
        <v>181</v>
      </c>
      <c r="D7" s="107"/>
      <c r="E7" s="108"/>
      <c r="F7" s="427" t="s">
        <v>9</v>
      </c>
      <c r="G7" s="427"/>
      <c r="H7" s="132">
        <f>SUMIFS('i-sales'!$K:$K,
'i-sales'!$C:$C,'P&amp;G-Ltd'!H$1,
'i-sales'!$D:$D,'P&amp;G-Ltd'!$C7,
'i-sales'!$G:$G,'P&amp;G-Ltd'!$A7,
'i-sales'!$H:$H,'P&amp;G-Ltd'!$B7
)</f>
        <v>15702.66</v>
      </c>
      <c r="I7" s="132">
        <f>SUMIFS('i-sales'!$K:$K,
'i-sales'!$C:$C,'P&amp;G-Ltd'!I$1,
'i-sales'!$D:$D,'P&amp;G-Ltd'!$C7,
'i-sales'!$G:$G,'P&amp;G-Ltd'!$A7,
'i-sales'!$H:$H,'P&amp;G-Ltd'!$B7
)</f>
        <v>19429.25</v>
      </c>
      <c r="J7" s="132">
        <f>SUMIFS('i-sales'!$K:$K,
'i-sales'!$C:$C,'P&amp;G-Ltd'!J$1,
'i-sales'!$D:$D,'P&amp;G-Ltd'!$C7,
'i-sales'!$G:$G,'P&amp;G-Ltd'!$A7,
'i-sales'!$H:$H,'P&amp;G-Ltd'!$B7
)</f>
        <v>13642.640000000001</v>
      </c>
      <c r="K7" s="132">
        <f>SUMIFS('i-sales'!$K:$K,
'i-sales'!$C:$C,'P&amp;G-Ltd'!K$1,
'i-sales'!$D:$D,'P&amp;G-Ltd'!$C7,
'i-sales'!$G:$G,'P&amp;G-Ltd'!$A7,
'i-sales'!$H:$H,'P&amp;G-Ltd'!$B7
)</f>
        <v>0</v>
      </c>
      <c r="L7" s="132">
        <f>SUMIFS('i-sales'!$K:$K,
'i-sales'!$C:$C,'P&amp;G-Ltd'!L$1,
'i-sales'!$D:$D,'P&amp;G-Ltd'!$C7,
'i-sales'!$G:$G,'P&amp;G-Ltd'!$A7,
'i-sales'!$H:$H,'P&amp;G-Ltd'!$B7
)</f>
        <v>0</v>
      </c>
      <c r="M7" s="132">
        <f>SUMIFS('i-sales'!$K:$K,
'i-sales'!$C:$C,'P&amp;G-Ltd'!M$1,
'i-sales'!$D:$D,'P&amp;G-Ltd'!$C7,
'i-sales'!$G:$G,'P&amp;G-Ltd'!$A7,
'i-sales'!$H:$H,'P&amp;G-Ltd'!$B7
)</f>
        <v>0</v>
      </c>
      <c r="N7" s="132">
        <f>SUMIFS('i-sales'!$K:$K,
'i-sales'!$C:$C,'P&amp;G-Ltd'!N$1,
'i-sales'!$D:$D,'P&amp;G-Ltd'!$C7,
'i-sales'!$G:$G,'P&amp;G-Ltd'!$A7,
'i-sales'!$H:$H,'P&amp;G-Ltd'!$B7
)</f>
        <v>0</v>
      </c>
      <c r="O7" s="132">
        <f>SUMIFS('i-sales'!$K:$K,
'i-sales'!$C:$C,'P&amp;G-Ltd'!O$1,
'i-sales'!$D:$D,'P&amp;G-Ltd'!$C7,
'i-sales'!$G:$G,'P&amp;G-Ltd'!$A7,
'i-sales'!$H:$H,'P&amp;G-Ltd'!$B7
)</f>
        <v>0</v>
      </c>
      <c r="P7" s="132">
        <f>SUMIFS('i-sales'!$K:$K,
'i-sales'!$C:$C,'P&amp;G-Ltd'!P$1,
'i-sales'!$D:$D,'P&amp;G-Ltd'!$C7,
'i-sales'!$G:$G,'P&amp;G-Ltd'!$A7,
'i-sales'!$H:$H,'P&amp;G-Ltd'!$B7
)</f>
        <v>0</v>
      </c>
      <c r="Q7" s="132">
        <f>SUMIFS('i-sales'!$K:$K,
'i-sales'!$C:$C,'P&amp;G-Ltd'!Q$1,
'i-sales'!$D:$D,'P&amp;G-Ltd'!$C7,
'i-sales'!$G:$G,'P&amp;G-Ltd'!$A7,
'i-sales'!$H:$H,'P&amp;G-Ltd'!$B7
)</f>
        <v>0</v>
      </c>
      <c r="R7" s="132">
        <f>SUMIFS('i-sales'!$K:$K,
'i-sales'!$C:$C,'P&amp;G-Ltd'!R$1,
'i-sales'!$D:$D,'P&amp;G-Ltd'!$C7,
'i-sales'!$G:$G,'P&amp;G-Ltd'!$A7,
'i-sales'!$H:$H,'P&amp;G-Ltd'!$B7
)</f>
        <v>0</v>
      </c>
      <c r="S7" s="132">
        <f>SUMIFS('i-sales'!$K:$K,
'i-sales'!$C:$C,'P&amp;G-Ltd'!S$1,
'i-sales'!$D:$D,'P&amp;G-Ltd'!$C7,
'i-sales'!$G:$G,'P&amp;G-Ltd'!$A7,
'i-sales'!$H:$H,'P&amp;G-Ltd'!$B7
)</f>
        <v>0</v>
      </c>
      <c r="T7" s="131">
        <f t="shared" si="1"/>
        <v>48774.55</v>
      </c>
    </row>
    <row r="8" spans="1:20" outlineLevel="1" x14ac:dyDescent="0.3">
      <c r="D8" s="107"/>
      <c r="E8" s="108"/>
      <c r="F8" s="427" t="s">
        <v>10</v>
      </c>
      <c r="G8" s="427"/>
      <c r="H8" s="132">
        <f t="shared" ref="H8" si="5">SUM(H9:H14)</f>
        <v>0</v>
      </c>
      <c r="I8" s="132">
        <f t="shared" ref="I8:S8" si="6">SUM(I9:I14)</f>
        <v>0</v>
      </c>
      <c r="J8" s="132">
        <f t="shared" si="6"/>
        <v>0</v>
      </c>
      <c r="K8" s="132">
        <f t="shared" si="6"/>
        <v>0</v>
      </c>
      <c r="L8" s="132">
        <f t="shared" si="6"/>
        <v>0</v>
      </c>
      <c r="M8" s="132">
        <f t="shared" si="6"/>
        <v>0</v>
      </c>
      <c r="N8" s="132">
        <f t="shared" si="6"/>
        <v>0</v>
      </c>
      <c r="O8" s="132">
        <f t="shared" si="6"/>
        <v>0</v>
      </c>
      <c r="P8" s="132">
        <f t="shared" si="6"/>
        <v>0</v>
      </c>
      <c r="Q8" s="132">
        <f t="shared" si="6"/>
        <v>0</v>
      </c>
      <c r="R8" s="132">
        <f t="shared" si="6"/>
        <v>0</v>
      </c>
      <c r="S8" s="132">
        <f t="shared" si="6"/>
        <v>0</v>
      </c>
      <c r="T8" s="131">
        <f t="shared" si="1"/>
        <v>0</v>
      </c>
    </row>
    <row r="9" spans="1:20" outlineLevel="1" x14ac:dyDescent="0.3">
      <c r="D9" s="105"/>
      <c r="E9" s="106"/>
      <c r="F9" s="106"/>
      <c r="G9" s="106" t="s">
        <v>12</v>
      </c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1">
        <f t="shared" si="1"/>
        <v>0</v>
      </c>
    </row>
    <row r="10" spans="1:20" outlineLevel="1" x14ac:dyDescent="0.3">
      <c r="D10" s="105"/>
      <c r="E10" s="106"/>
      <c r="F10" s="106"/>
      <c r="G10" s="106" t="s">
        <v>13</v>
      </c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1">
        <f t="shared" si="1"/>
        <v>0</v>
      </c>
    </row>
    <row r="11" spans="1:20" outlineLevel="1" x14ac:dyDescent="0.3">
      <c r="A11">
        <v>1</v>
      </c>
      <c r="B11">
        <v>0</v>
      </c>
      <c r="C11" t="s">
        <v>181</v>
      </c>
      <c r="D11" s="105"/>
      <c r="E11" s="106"/>
      <c r="F11" s="106"/>
      <c r="G11" s="106" t="s">
        <v>2</v>
      </c>
      <c r="H11" s="132">
        <f>SUMIFS('i-sales'!$K:$K,
'i-sales'!$C:$C,'P&amp;G-Ltd'!H$1,
'i-sales'!$D:$D,'P&amp;G-Ltd'!$C11,
'i-sales'!$G:$G,'P&amp;G-Ltd'!$A11,
'i-sales'!$H:$H,'P&amp;G-Ltd'!$B11
)</f>
        <v>0</v>
      </c>
      <c r="I11" s="132">
        <f>SUMIFS('i-sales'!$K:$K,
'i-sales'!$C:$C,'P&amp;G-Ltd'!I$1,
'i-sales'!$D:$D,'P&amp;G-Ltd'!$C11,
'i-sales'!$G:$G,'P&amp;G-Ltd'!$A11,
'i-sales'!$H:$H,'P&amp;G-Ltd'!$B11
)</f>
        <v>0</v>
      </c>
      <c r="J11" s="132">
        <f>SUMIFS('i-sales'!$K:$K,
'i-sales'!$C:$C,'P&amp;G-Ltd'!J$1,
'i-sales'!$D:$D,'P&amp;G-Ltd'!$C11,
'i-sales'!$G:$G,'P&amp;G-Ltd'!$A11,
'i-sales'!$H:$H,'P&amp;G-Ltd'!$B11
)</f>
        <v>0</v>
      </c>
      <c r="K11" s="132">
        <f>SUMIFS('i-sales'!$K:$K,
'i-sales'!$C:$C,'P&amp;G-Ltd'!K$1,
'i-sales'!$D:$D,'P&amp;G-Ltd'!$C11,
'i-sales'!$G:$G,'P&amp;G-Ltd'!$A11,
'i-sales'!$H:$H,'P&amp;G-Ltd'!$B11
)</f>
        <v>0</v>
      </c>
      <c r="L11" s="132">
        <f>SUMIFS('i-sales'!$K:$K,
'i-sales'!$C:$C,'P&amp;G-Ltd'!L$1,
'i-sales'!$D:$D,'P&amp;G-Ltd'!$C11,
'i-sales'!$G:$G,'P&amp;G-Ltd'!$A11,
'i-sales'!$H:$H,'P&amp;G-Ltd'!$B11
)</f>
        <v>0</v>
      </c>
      <c r="M11" s="132">
        <f>SUMIFS('i-sales'!$K:$K,
'i-sales'!$C:$C,'P&amp;G-Ltd'!M$1,
'i-sales'!$D:$D,'P&amp;G-Ltd'!$C11,
'i-sales'!$G:$G,'P&amp;G-Ltd'!$A11,
'i-sales'!$H:$H,'P&amp;G-Ltd'!$B11
)</f>
        <v>0</v>
      </c>
      <c r="N11" s="132">
        <f>SUMIFS('i-sales'!$K:$K,
'i-sales'!$C:$C,'P&amp;G-Ltd'!N$1,
'i-sales'!$D:$D,'P&amp;G-Ltd'!$C11,
'i-sales'!$G:$G,'P&amp;G-Ltd'!$A11,
'i-sales'!$H:$H,'P&amp;G-Ltd'!$B11
)</f>
        <v>0</v>
      </c>
      <c r="O11" s="132">
        <f>SUMIFS('i-sales'!$K:$K,
'i-sales'!$C:$C,'P&amp;G-Ltd'!O$1,
'i-sales'!$D:$D,'P&amp;G-Ltd'!$C11,
'i-sales'!$G:$G,'P&amp;G-Ltd'!$A11,
'i-sales'!$H:$H,'P&amp;G-Ltd'!$B11
)</f>
        <v>0</v>
      </c>
      <c r="P11" s="132">
        <f>SUMIFS('i-sales'!$K:$K,
'i-sales'!$C:$C,'P&amp;G-Ltd'!P$1,
'i-sales'!$D:$D,'P&amp;G-Ltd'!$C11,
'i-sales'!$G:$G,'P&amp;G-Ltd'!$A11,
'i-sales'!$H:$H,'P&amp;G-Ltd'!$B11
)</f>
        <v>0</v>
      </c>
      <c r="Q11" s="132">
        <f>SUMIFS('i-sales'!$K:$K,
'i-sales'!$C:$C,'P&amp;G-Ltd'!Q$1,
'i-sales'!$D:$D,'P&amp;G-Ltd'!$C11,
'i-sales'!$G:$G,'P&amp;G-Ltd'!$A11,
'i-sales'!$H:$H,'P&amp;G-Ltd'!$B11
)</f>
        <v>0</v>
      </c>
      <c r="R11" s="132">
        <f>SUMIFS('i-sales'!$K:$K,
'i-sales'!$C:$C,'P&amp;G-Ltd'!R$1,
'i-sales'!$D:$D,'P&amp;G-Ltd'!$C11,
'i-sales'!$G:$G,'P&amp;G-Ltd'!$A11,
'i-sales'!$H:$H,'P&amp;G-Ltd'!$B11
)</f>
        <v>0</v>
      </c>
      <c r="S11" s="132">
        <f>SUMIFS('i-sales'!$K:$K,
'i-sales'!$C:$C,'P&amp;G-Ltd'!S$1,
'i-sales'!$D:$D,'P&amp;G-Ltd'!$C11,
'i-sales'!$G:$G,'P&amp;G-Ltd'!$A11,
'i-sales'!$H:$H,'P&amp;G-Ltd'!$B11
)</f>
        <v>0</v>
      </c>
      <c r="T11" s="131">
        <f t="shared" si="1"/>
        <v>0</v>
      </c>
    </row>
    <row r="12" spans="1:20" outlineLevel="1" x14ac:dyDescent="0.3">
      <c r="D12" s="105"/>
      <c r="E12" s="106"/>
      <c r="F12" s="106"/>
      <c r="G12" s="106" t="s">
        <v>14</v>
      </c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1">
        <f t="shared" si="1"/>
        <v>0</v>
      </c>
    </row>
    <row r="13" spans="1:20" outlineLevel="1" x14ac:dyDescent="0.3">
      <c r="D13" s="105"/>
      <c r="E13" s="106"/>
      <c r="F13" s="106"/>
      <c r="G13" s="106" t="s">
        <v>15</v>
      </c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1">
        <f t="shared" si="1"/>
        <v>0</v>
      </c>
    </row>
    <row r="14" spans="1:20" outlineLevel="1" x14ac:dyDescent="0.3">
      <c r="A14">
        <v>0</v>
      </c>
      <c r="B14">
        <v>1</v>
      </c>
      <c r="C14" t="s">
        <v>181</v>
      </c>
      <c r="D14" s="105"/>
      <c r="E14" s="106"/>
      <c r="F14" s="106"/>
      <c r="G14" s="106" t="s">
        <v>16</v>
      </c>
      <c r="H14" s="132">
        <f>SUMIFS('i-sales'!$K:$K,
'i-sales'!$C:$C,'P&amp;G-Ltd'!H$1,
'i-sales'!$D:$D,'P&amp;G-Ltd'!$C14,
'i-sales'!$G:$G,'P&amp;G-Ltd'!$A14,
'i-sales'!$H:$H,'P&amp;G-Ltd'!$B14
)/1.21</f>
        <v>0</v>
      </c>
      <c r="I14" s="132">
        <f>SUMIFS('i-sales'!$K:$K,
'i-sales'!$C:$C,'P&amp;G-Ltd'!I$1,
'i-sales'!$D:$D,'P&amp;G-Ltd'!$C14,
'i-sales'!$G:$G,'P&amp;G-Ltd'!$A14,
'i-sales'!$H:$H,'P&amp;G-Ltd'!$B14
)/1.21</f>
        <v>0</v>
      </c>
      <c r="J14" s="132">
        <f>SUMIFS('i-sales'!$K:$K,
'i-sales'!$C:$C,'P&amp;G-Ltd'!J$1,
'i-sales'!$D:$D,'P&amp;G-Ltd'!$C14,
'i-sales'!$G:$G,'P&amp;G-Ltd'!$A14,
'i-sales'!$H:$H,'P&amp;G-Ltd'!$B14
)/1.21</f>
        <v>0</v>
      </c>
      <c r="K14" s="132">
        <f>SUMIFS('i-sales'!$K:$K,
'i-sales'!$C:$C,'P&amp;G-Ltd'!K$1,
'i-sales'!$D:$D,'P&amp;G-Ltd'!$C14,
'i-sales'!$G:$G,'P&amp;G-Ltd'!$A14,
'i-sales'!$H:$H,'P&amp;G-Ltd'!$B14
)/1.21</f>
        <v>0</v>
      </c>
      <c r="L14" s="132">
        <f>SUMIFS('i-sales'!$K:$K,
'i-sales'!$C:$C,'P&amp;G-Ltd'!L$1,
'i-sales'!$D:$D,'P&amp;G-Ltd'!$C14,
'i-sales'!$G:$G,'P&amp;G-Ltd'!$A14,
'i-sales'!$H:$H,'P&amp;G-Ltd'!$B14
)/1.21</f>
        <v>0</v>
      </c>
      <c r="M14" s="132">
        <f>SUMIFS('i-sales'!$K:$K,
'i-sales'!$C:$C,'P&amp;G-Ltd'!M$1,
'i-sales'!$D:$D,'P&amp;G-Ltd'!$C14,
'i-sales'!$G:$G,'P&amp;G-Ltd'!$A14,
'i-sales'!$H:$H,'P&amp;G-Ltd'!$B14
)/1.21</f>
        <v>0</v>
      </c>
      <c r="N14" s="132">
        <f>SUMIFS('i-sales'!$K:$K,
'i-sales'!$C:$C,'P&amp;G-Ltd'!N$1,
'i-sales'!$D:$D,'P&amp;G-Ltd'!$C14,
'i-sales'!$G:$G,'P&amp;G-Ltd'!$A14,
'i-sales'!$H:$H,'P&amp;G-Ltd'!$B14
)/1.21</f>
        <v>0</v>
      </c>
      <c r="O14" s="132">
        <f>SUMIFS('i-sales'!$K:$K,
'i-sales'!$C:$C,'P&amp;G-Ltd'!O$1,
'i-sales'!$D:$D,'P&amp;G-Ltd'!$C14,
'i-sales'!$G:$G,'P&amp;G-Ltd'!$A14,
'i-sales'!$H:$H,'P&amp;G-Ltd'!$B14
)/1.21</f>
        <v>0</v>
      </c>
      <c r="P14" s="132">
        <f>SUMIFS('i-sales'!$K:$K,
'i-sales'!$C:$C,'P&amp;G-Ltd'!P$1,
'i-sales'!$D:$D,'P&amp;G-Ltd'!$C14,
'i-sales'!$G:$G,'P&amp;G-Ltd'!$A14,
'i-sales'!$H:$H,'P&amp;G-Ltd'!$B14
)/1.21</f>
        <v>0</v>
      </c>
      <c r="Q14" s="132">
        <f>SUMIFS('i-sales'!$K:$K,
'i-sales'!$C:$C,'P&amp;G-Ltd'!Q$1,
'i-sales'!$D:$D,'P&amp;G-Ltd'!$C14,
'i-sales'!$G:$G,'P&amp;G-Ltd'!$A14,
'i-sales'!$H:$H,'P&amp;G-Ltd'!$B14
)/1.21</f>
        <v>0</v>
      </c>
      <c r="R14" s="132">
        <f>SUMIFS('i-sales'!$K:$K,
'i-sales'!$C:$C,'P&amp;G-Ltd'!R$1,
'i-sales'!$D:$D,'P&amp;G-Ltd'!$C14,
'i-sales'!$G:$G,'P&amp;G-Ltd'!$A14,
'i-sales'!$H:$H,'P&amp;G-Ltd'!$B14
)/1.21</f>
        <v>0</v>
      </c>
      <c r="S14" s="132">
        <f>SUMIFS('i-sales'!$K:$K,
'i-sales'!$C:$C,'P&amp;G-Ltd'!S$1,
'i-sales'!$D:$D,'P&amp;G-Ltd'!$C14,
'i-sales'!$G:$G,'P&amp;G-Ltd'!$A14,
'i-sales'!$H:$H,'P&amp;G-Ltd'!$B14
)/1.21</f>
        <v>0</v>
      </c>
      <c r="T14" s="131">
        <f t="shared" si="1"/>
        <v>0</v>
      </c>
    </row>
    <row r="15" spans="1:20" x14ac:dyDescent="0.3">
      <c r="D15" s="109"/>
      <c r="E15" s="110"/>
      <c r="F15" s="110"/>
      <c r="G15" s="110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5"/>
    </row>
    <row r="16" spans="1:20" ht="15" customHeight="1" x14ac:dyDescent="0.3">
      <c r="D16" s="433" t="s">
        <v>35</v>
      </c>
      <c r="E16" s="433"/>
      <c r="F16" s="433"/>
      <c r="G16" s="433"/>
      <c r="H16" s="136" t="e">
        <f t="shared" ref="H16:S16" ca="1" si="7">+H17+H26+H31+H34+H41</f>
        <v>#REF!</v>
      </c>
      <c r="I16" s="136" t="e">
        <f t="shared" ca="1" si="7"/>
        <v>#REF!</v>
      </c>
      <c r="J16" s="136" t="e">
        <f t="shared" ca="1" si="7"/>
        <v>#REF!</v>
      </c>
      <c r="K16" s="136" t="e">
        <f t="shared" ca="1" si="7"/>
        <v>#REF!</v>
      </c>
      <c r="L16" s="136" t="e">
        <f t="shared" ca="1" si="7"/>
        <v>#REF!</v>
      </c>
      <c r="M16" s="136" t="e">
        <f t="shared" ca="1" si="7"/>
        <v>#REF!</v>
      </c>
      <c r="N16" s="136" t="e">
        <f t="shared" ca="1" si="7"/>
        <v>#REF!</v>
      </c>
      <c r="O16" s="136" t="e">
        <f t="shared" ca="1" si="7"/>
        <v>#REF!</v>
      </c>
      <c r="P16" s="136" t="e">
        <f t="shared" ca="1" si="7"/>
        <v>#REF!</v>
      </c>
      <c r="Q16" s="136" t="e">
        <f t="shared" ca="1" si="7"/>
        <v>#REF!</v>
      </c>
      <c r="R16" s="136" t="e">
        <f t="shared" ca="1" si="7"/>
        <v>#REF!</v>
      </c>
      <c r="S16" s="136" t="e">
        <f t="shared" ca="1" si="7"/>
        <v>#REF!</v>
      </c>
      <c r="T16" s="129" t="e">
        <f t="shared" ref="T16:T24" ca="1" si="8">SUM(H16:S16)</f>
        <v>#REF!</v>
      </c>
    </row>
    <row r="17" spans="3:20" x14ac:dyDescent="0.3">
      <c r="D17" s="111" t="s">
        <v>36</v>
      </c>
      <c r="E17" s="112"/>
      <c r="F17" s="113"/>
      <c r="G17" s="114"/>
      <c r="H17" s="137">
        <f ca="1">SUM(H18:H24)</f>
        <v>4754.1900000000005</v>
      </c>
      <c r="I17" s="137">
        <f t="shared" ref="I17:S17" ca="1" si="9">SUM(I18:I24)</f>
        <v>4593.8</v>
      </c>
      <c r="J17" s="137">
        <f t="shared" ca="1" si="9"/>
        <v>0</v>
      </c>
      <c r="K17" s="137">
        <f t="shared" ca="1" si="9"/>
        <v>0</v>
      </c>
      <c r="L17" s="137">
        <f t="shared" ca="1" si="9"/>
        <v>0</v>
      </c>
      <c r="M17" s="137">
        <f t="shared" ca="1" si="9"/>
        <v>0</v>
      </c>
      <c r="N17" s="137">
        <f t="shared" ca="1" si="9"/>
        <v>0</v>
      </c>
      <c r="O17" s="137">
        <f t="shared" ca="1" si="9"/>
        <v>0</v>
      </c>
      <c r="P17" s="137">
        <f t="shared" ca="1" si="9"/>
        <v>0</v>
      </c>
      <c r="Q17" s="137">
        <f t="shared" ca="1" si="9"/>
        <v>0</v>
      </c>
      <c r="R17" s="137">
        <f t="shared" ca="1" si="9"/>
        <v>0</v>
      </c>
      <c r="S17" s="137">
        <f t="shared" ca="1" si="9"/>
        <v>0</v>
      </c>
      <c r="T17" s="131">
        <f t="shared" ca="1" si="8"/>
        <v>9347.9900000000016</v>
      </c>
    </row>
    <row r="18" spans="3:20" ht="15" customHeight="1" outlineLevel="1" x14ac:dyDescent="0.3">
      <c r="C18" t="s">
        <v>182</v>
      </c>
      <c r="D18" s="115"/>
      <c r="E18" s="124" t="e" vm="10">
        <v>#VALUE!</v>
      </c>
      <c r="F18" s="422" t="s">
        <v>183</v>
      </c>
      <c r="G18" s="422"/>
      <c r="H18" s="134">
        <f ca="1">SUMIFS(
  INDIRECT("input_invoice[net]"),
  INDIRECT("input_invoice[yyyymm]"), 'P&amp;G-Ltd'!H$1,
  INDIRECT("input_invoice[concept/supplier]"), 'P&amp;G-Ltd'!$C18
)</f>
        <v>964.48</v>
      </c>
      <c r="I18" s="134">
        <f ca="1">SUMIFS(
  INDIRECT("input_invoice[net]"),
  INDIRECT("input_invoice[yyyymm]"), 'P&amp;G-Ltd'!I$1,
  INDIRECT("input_invoice[concept/supplier]"), 'P&amp;G-Ltd'!$C18
)</f>
        <v>1235.8399999999999</v>
      </c>
      <c r="J18" s="134">
        <f ca="1">SUMIFS(
  INDIRECT("input_invoice[net]"),
  INDIRECT("input_invoice[yyyymm]"), 'P&amp;G-Ltd'!J$1,
  INDIRECT("input_invoice[concept/supplier]"), 'P&amp;G-Ltd'!$C18
)</f>
        <v>0</v>
      </c>
      <c r="K18" s="134">
        <f ca="1">SUMIFS(
  INDIRECT("input_invoice[net]"),
  INDIRECT("input_invoice[yyyymm]"), 'P&amp;G-Ltd'!K$1,
  INDIRECT("input_invoice[concept/supplier]"), 'P&amp;G-Ltd'!$C18
)</f>
        <v>0</v>
      </c>
      <c r="L18" s="134">
        <f ca="1">SUMIFS(
  INDIRECT("input_invoice[net]"),
  INDIRECT("input_invoice[yyyymm]"), 'P&amp;G-Ltd'!L$1,
  INDIRECT("input_invoice[concept/supplier]"), 'P&amp;G-Ltd'!$C18
)</f>
        <v>0</v>
      </c>
      <c r="M18" s="134">
        <f ca="1">SUMIFS(
  INDIRECT("input_invoice[net]"),
  INDIRECT("input_invoice[yyyymm]"), 'P&amp;G-Ltd'!M$1,
  INDIRECT("input_invoice[concept/supplier]"), 'P&amp;G-Ltd'!$C18
)</f>
        <v>0</v>
      </c>
      <c r="N18" s="134">
        <f ca="1">SUMIFS(
  INDIRECT("input_invoice[net]"),
  INDIRECT("input_invoice[yyyymm]"), 'P&amp;G-Ltd'!N$1,
  INDIRECT("input_invoice[concept/supplier]"), 'P&amp;G-Ltd'!$C18
)</f>
        <v>0</v>
      </c>
      <c r="O18" s="134">
        <f ca="1">SUMIFS(
  INDIRECT("input_invoice[net]"),
  INDIRECT("input_invoice[yyyymm]"), 'P&amp;G-Ltd'!O$1,
  INDIRECT("input_invoice[concept/supplier]"), 'P&amp;G-Ltd'!$C18
)</f>
        <v>0</v>
      </c>
      <c r="P18" s="134">
        <f ca="1">SUMIFS(
  INDIRECT("input_invoice[net]"),
  INDIRECT("input_invoice[yyyymm]"), 'P&amp;G-Ltd'!P$1,
  INDIRECT("input_invoice[concept/supplier]"), 'P&amp;G-Ltd'!$C18
)</f>
        <v>0</v>
      </c>
      <c r="Q18" s="134">
        <f ca="1">SUMIFS(
  INDIRECT("input_invoice[net]"),
  INDIRECT("input_invoice[yyyymm]"), 'P&amp;G-Ltd'!Q$1,
  INDIRECT("input_invoice[concept/supplier]"), 'P&amp;G-Ltd'!$C18
)</f>
        <v>0</v>
      </c>
      <c r="R18" s="134">
        <f ca="1">SUMIFS(
  INDIRECT("input_invoice[net]"),
  INDIRECT("input_invoice[yyyymm]"), 'P&amp;G-Ltd'!R$1,
  INDIRECT("input_invoice[concept/supplier]"), 'P&amp;G-Ltd'!$C18
)</f>
        <v>0</v>
      </c>
      <c r="S18" s="134">
        <f ca="1">SUMIFS(
  INDIRECT("input_invoice[net]"),
  INDIRECT("input_invoice[yyyymm]"), 'P&amp;G-Ltd'!S$1,
  INDIRECT("input_invoice[concept/supplier]"), 'P&amp;G-Ltd'!$C18
)</f>
        <v>0</v>
      </c>
      <c r="T18" s="131">
        <f t="shared" ca="1" si="8"/>
        <v>2200.3199999999997</v>
      </c>
    </row>
    <row r="19" spans="3:20" ht="15" customHeight="1" outlineLevel="1" x14ac:dyDescent="0.3">
      <c r="C19" t="s">
        <v>184</v>
      </c>
      <c r="D19" s="115"/>
      <c r="E19" s="124" t="e" vm="10">
        <v>#VALUE!</v>
      </c>
      <c r="F19" s="123" t="s">
        <v>185</v>
      </c>
      <c r="G19" s="115"/>
      <c r="H19" s="134">
        <f ca="1">SUMIFS(
  INDIRECT("input_invoice[net]"),
  INDIRECT("input_invoice[yyyymm]"), 'P&amp;G-Ltd'!H$1,
  INDIRECT("input_invoice[concept/supplier]"), 'P&amp;G-Ltd'!$C19
)</f>
        <v>3092.21</v>
      </c>
      <c r="I19" s="134">
        <f ca="1">SUMIFS(
  INDIRECT("input_invoice[net]"),
  INDIRECT("input_invoice[yyyymm]"), 'P&amp;G-Ltd'!I$1,
  INDIRECT("input_invoice[concept/supplier]"), 'P&amp;G-Ltd'!$C19
)</f>
        <v>2737.96</v>
      </c>
      <c r="J19" s="134">
        <f ca="1">SUMIFS(
  INDIRECT("input_invoice[net]"),
  INDIRECT("input_invoice[yyyymm]"), 'P&amp;G-Ltd'!J$1,
  INDIRECT("input_invoice[concept/supplier]"), 'P&amp;G-Ltd'!$C19
)</f>
        <v>0</v>
      </c>
      <c r="K19" s="134">
        <f ca="1">SUMIFS(
  INDIRECT("input_invoice[net]"),
  INDIRECT("input_invoice[yyyymm]"), 'P&amp;G-Ltd'!K$1,
  INDIRECT("input_invoice[concept/supplier]"), 'P&amp;G-Ltd'!$C19
)</f>
        <v>0</v>
      </c>
      <c r="L19" s="134">
        <f ca="1">SUMIFS(
  INDIRECT("input_invoice[net]"),
  INDIRECT("input_invoice[yyyymm]"), 'P&amp;G-Ltd'!L$1,
  INDIRECT("input_invoice[concept/supplier]"), 'P&amp;G-Ltd'!$C19
)</f>
        <v>0</v>
      </c>
      <c r="M19" s="134">
        <f ca="1">SUMIFS(
  INDIRECT("input_invoice[net]"),
  INDIRECT("input_invoice[yyyymm]"), 'P&amp;G-Ltd'!M$1,
  INDIRECT("input_invoice[concept/supplier]"), 'P&amp;G-Ltd'!$C19
)</f>
        <v>0</v>
      </c>
      <c r="N19" s="134">
        <f ca="1">SUMIFS(
  INDIRECT("input_invoice[net]"),
  INDIRECT("input_invoice[yyyymm]"), 'P&amp;G-Ltd'!N$1,
  INDIRECT("input_invoice[concept/supplier]"), 'P&amp;G-Ltd'!$C19
)</f>
        <v>0</v>
      </c>
      <c r="O19" s="134">
        <f ca="1">SUMIFS(
  INDIRECT("input_invoice[net]"),
  INDIRECT("input_invoice[yyyymm]"), 'P&amp;G-Ltd'!O$1,
  INDIRECT("input_invoice[concept/supplier]"), 'P&amp;G-Ltd'!$C19
)</f>
        <v>0</v>
      </c>
      <c r="P19" s="134">
        <f ca="1">SUMIFS(
  INDIRECT("input_invoice[net]"),
  INDIRECT("input_invoice[yyyymm]"), 'P&amp;G-Ltd'!P$1,
  INDIRECT("input_invoice[concept/supplier]"), 'P&amp;G-Ltd'!$C19
)</f>
        <v>0</v>
      </c>
      <c r="Q19" s="134">
        <f ca="1">SUMIFS(
  INDIRECT("input_invoice[net]"),
  INDIRECT("input_invoice[yyyymm]"), 'P&amp;G-Ltd'!Q$1,
  INDIRECT("input_invoice[concept/supplier]"), 'P&amp;G-Ltd'!$C19
)</f>
        <v>0</v>
      </c>
      <c r="R19" s="134">
        <f ca="1">SUMIFS(
  INDIRECT("input_invoice[net]"),
  INDIRECT("input_invoice[yyyymm]"), 'P&amp;G-Ltd'!R$1,
  INDIRECT("input_invoice[concept/supplier]"), 'P&amp;G-Ltd'!$C19
)</f>
        <v>0</v>
      </c>
      <c r="S19" s="134">
        <f ca="1">SUMIFS(
  INDIRECT("input_invoice[net]"),
  INDIRECT("input_invoice[yyyymm]"), 'P&amp;G-Ltd'!S$1,
  INDIRECT("input_invoice[concept/supplier]"), 'P&amp;G-Ltd'!$C19
)</f>
        <v>0</v>
      </c>
      <c r="T19" s="131">
        <f t="shared" ca="1" si="8"/>
        <v>5830.17</v>
      </c>
    </row>
    <row r="20" spans="3:20" ht="15" customHeight="1" outlineLevel="1" x14ac:dyDescent="0.3">
      <c r="C20" t="s">
        <v>186</v>
      </c>
      <c r="D20" s="115"/>
      <c r="E20" s="124" t="e" vm="10">
        <v>#VALUE!</v>
      </c>
      <c r="F20" s="123" t="s">
        <v>187</v>
      </c>
      <c r="G20" s="115"/>
      <c r="H20" s="134">
        <f ca="1">SUMIFS(
  INDIRECT("input_invoice[net]"),
  INDIRECT("input_invoice[yyyymm]"), 'P&amp;G-Ltd'!H$1,
  INDIRECT("input_invoice[concept/supplier]"), 'P&amp;G-Ltd'!$C20
)</f>
        <v>697.5</v>
      </c>
      <c r="I20" s="134">
        <f ca="1">SUMIFS(
  INDIRECT("input_invoice[net]"),
  INDIRECT("input_invoice[yyyymm]"), 'P&amp;G-Ltd'!I$1,
  INDIRECT("input_invoice[concept/supplier]"), 'P&amp;G-Ltd'!$C20
)</f>
        <v>620</v>
      </c>
      <c r="J20" s="134">
        <f ca="1">SUMIFS(
  INDIRECT("input_invoice[net]"),
  INDIRECT("input_invoice[yyyymm]"), 'P&amp;G-Ltd'!J$1,
  INDIRECT("input_invoice[concept/supplier]"), 'P&amp;G-Ltd'!$C20
)</f>
        <v>0</v>
      </c>
      <c r="K20" s="134">
        <f ca="1">SUMIFS(
  INDIRECT("input_invoice[net]"),
  INDIRECT("input_invoice[yyyymm]"), 'P&amp;G-Ltd'!K$1,
  INDIRECT("input_invoice[concept/supplier]"), 'P&amp;G-Ltd'!$C20
)</f>
        <v>0</v>
      </c>
      <c r="L20" s="134">
        <f ca="1">SUMIFS(
  INDIRECT("input_invoice[net]"),
  INDIRECT("input_invoice[yyyymm]"), 'P&amp;G-Ltd'!L$1,
  INDIRECT("input_invoice[concept/supplier]"), 'P&amp;G-Ltd'!$C20
)</f>
        <v>0</v>
      </c>
      <c r="M20" s="134">
        <f ca="1">SUMIFS(
  INDIRECT("input_invoice[net]"),
  INDIRECT("input_invoice[yyyymm]"), 'P&amp;G-Ltd'!M$1,
  INDIRECT("input_invoice[concept/supplier]"), 'P&amp;G-Ltd'!$C20
)</f>
        <v>0</v>
      </c>
      <c r="N20" s="134">
        <f ca="1">SUMIFS(
  INDIRECT("input_invoice[net]"),
  INDIRECT("input_invoice[yyyymm]"), 'P&amp;G-Ltd'!N$1,
  INDIRECT("input_invoice[concept/supplier]"), 'P&amp;G-Ltd'!$C20
)</f>
        <v>0</v>
      </c>
      <c r="O20" s="134">
        <f ca="1">SUMIFS(
  INDIRECT("input_invoice[net]"),
  INDIRECT("input_invoice[yyyymm]"), 'P&amp;G-Ltd'!O$1,
  INDIRECT("input_invoice[concept/supplier]"), 'P&amp;G-Ltd'!$C20
)</f>
        <v>0</v>
      </c>
      <c r="P20" s="134">
        <f ca="1">SUMIFS(
  INDIRECT("input_invoice[net]"),
  INDIRECT("input_invoice[yyyymm]"), 'P&amp;G-Ltd'!P$1,
  INDIRECT("input_invoice[concept/supplier]"), 'P&amp;G-Ltd'!$C20
)</f>
        <v>0</v>
      </c>
      <c r="Q20" s="134">
        <f ca="1">SUMIFS(
  INDIRECT("input_invoice[net]"),
  INDIRECT("input_invoice[yyyymm]"), 'P&amp;G-Ltd'!Q$1,
  INDIRECT("input_invoice[concept/supplier]"), 'P&amp;G-Ltd'!$C20
)</f>
        <v>0</v>
      </c>
      <c r="R20" s="134">
        <f ca="1">SUMIFS(
  INDIRECT("input_invoice[net]"),
  INDIRECT("input_invoice[yyyymm]"), 'P&amp;G-Ltd'!R$1,
  INDIRECT("input_invoice[concept/supplier]"), 'P&amp;G-Ltd'!$C20
)</f>
        <v>0</v>
      </c>
      <c r="S20" s="134">
        <f ca="1">SUMIFS(
  INDIRECT("input_invoice[net]"),
  INDIRECT("input_invoice[yyyymm]"), 'P&amp;G-Ltd'!S$1,
  INDIRECT("input_invoice[concept/supplier]"), 'P&amp;G-Ltd'!$C20
)</f>
        <v>0</v>
      </c>
      <c r="T20" s="131">
        <f t="shared" ca="1" si="8"/>
        <v>1317.5</v>
      </c>
    </row>
    <row r="21" spans="3:20" ht="15" customHeight="1" outlineLevel="1" x14ac:dyDescent="0.3">
      <c r="C21" t="s">
        <v>188</v>
      </c>
      <c r="D21" s="115"/>
      <c r="E21" s="124" t="e" vm="10">
        <v>#VALUE!</v>
      </c>
      <c r="F21" s="422" t="s">
        <v>189</v>
      </c>
      <c r="G21" s="422"/>
      <c r="H21" s="134">
        <f ca="1">SUMIFS(
  INDIRECT("input_invoice[net]"),
  INDIRECT("input_invoice[yyyymm]"), 'P&amp;G-Ltd'!H$1,
  INDIRECT("input_invoice[concept/supplier]"), 'P&amp;G-Ltd'!$C21
)</f>
        <v>0</v>
      </c>
      <c r="I21" s="134">
        <f ca="1">SUMIFS(
  INDIRECT("input_invoice[net]"),
  INDIRECT("input_invoice[yyyymm]"), 'P&amp;G-Ltd'!I$1,
  INDIRECT("input_invoice[concept/supplier]"), 'P&amp;G-Ltd'!$C21
)</f>
        <v>0</v>
      </c>
      <c r="J21" s="134">
        <f ca="1">SUMIFS(
  INDIRECT("input_invoice[net]"),
  INDIRECT("input_invoice[yyyymm]"), 'P&amp;G-Ltd'!J$1,
  INDIRECT("input_invoice[concept/supplier]"), 'P&amp;G-Ltd'!$C21
)</f>
        <v>0</v>
      </c>
      <c r="K21" s="134">
        <f ca="1">SUMIFS(
  INDIRECT("input_invoice[net]"),
  INDIRECT("input_invoice[yyyymm]"), 'P&amp;G-Ltd'!K$1,
  INDIRECT("input_invoice[concept/supplier]"), 'P&amp;G-Ltd'!$C21
)</f>
        <v>0</v>
      </c>
      <c r="L21" s="134">
        <f ca="1">SUMIFS(
  INDIRECT("input_invoice[net]"),
  INDIRECT("input_invoice[yyyymm]"), 'P&amp;G-Ltd'!L$1,
  INDIRECT("input_invoice[concept/supplier]"), 'P&amp;G-Ltd'!$C21
)</f>
        <v>0</v>
      </c>
      <c r="M21" s="134">
        <f ca="1">SUMIFS(
  INDIRECT("input_invoice[net]"),
  INDIRECT("input_invoice[yyyymm]"), 'P&amp;G-Ltd'!M$1,
  INDIRECT("input_invoice[concept/supplier]"), 'P&amp;G-Ltd'!$C21
)</f>
        <v>0</v>
      </c>
      <c r="N21" s="134">
        <f ca="1">SUMIFS(
  INDIRECT("input_invoice[net]"),
  INDIRECT("input_invoice[yyyymm]"), 'P&amp;G-Ltd'!N$1,
  INDIRECT("input_invoice[concept/supplier]"), 'P&amp;G-Ltd'!$C21
)</f>
        <v>0</v>
      </c>
      <c r="O21" s="134">
        <f ca="1">SUMIFS(
  INDIRECT("input_invoice[net]"),
  INDIRECT("input_invoice[yyyymm]"), 'P&amp;G-Ltd'!O$1,
  INDIRECT("input_invoice[concept/supplier]"), 'P&amp;G-Ltd'!$C21
)</f>
        <v>0</v>
      </c>
      <c r="P21" s="134">
        <f ca="1">SUMIFS(
  INDIRECT("input_invoice[net]"),
  INDIRECT("input_invoice[yyyymm]"), 'P&amp;G-Ltd'!P$1,
  INDIRECT("input_invoice[concept/supplier]"), 'P&amp;G-Ltd'!$C21
)</f>
        <v>0</v>
      </c>
      <c r="Q21" s="134">
        <f ca="1">SUMIFS(
  INDIRECT("input_invoice[net]"),
  INDIRECT("input_invoice[yyyymm]"), 'P&amp;G-Ltd'!Q$1,
  INDIRECT("input_invoice[concept/supplier]"), 'P&amp;G-Ltd'!$C21
)</f>
        <v>0</v>
      </c>
      <c r="R21" s="134">
        <f ca="1">SUMIFS(
  INDIRECT("input_invoice[net]"),
  INDIRECT("input_invoice[yyyymm]"), 'P&amp;G-Ltd'!R$1,
  INDIRECT("input_invoice[concept/supplier]"), 'P&amp;G-Ltd'!$C21
)</f>
        <v>0</v>
      </c>
      <c r="S21" s="134">
        <f ca="1">SUMIFS(
  INDIRECT("input_invoice[net]"),
  INDIRECT("input_invoice[yyyymm]"), 'P&amp;G-Ltd'!S$1,
  INDIRECT("input_invoice[concept/supplier]"), 'P&amp;G-Ltd'!$C21
)</f>
        <v>0</v>
      </c>
      <c r="T21" s="131">
        <f t="shared" ca="1" si="8"/>
        <v>0</v>
      </c>
    </row>
    <row r="22" spans="3:20" ht="15" customHeight="1" outlineLevel="1" x14ac:dyDescent="0.3">
      <c r="C22" t="s">
        <v>190</v>
      </c>
      <c r="D22" s="115"/>
      <c r="E22" s="124" t="e" vm="10">
        <v>#VALUE!</v>
      </c>
      <c r="F22" s="431" t="s">
        <v>1044</v>
      </c>
      <c r="G22" s="422"/>
      <c r="H22" s="134">
        <f ca="1">SUMIFS(
  INDIRECT("input_invoice[net]"),
  INDIRECT("input_invoice[yyyymm]"), 'P&amp;G-Ltd'!H$1,
  INDIRECT("input_invoice[concept/supplier]"), 'P&amp;G-Ltd'!$C22
)</f>
        <v>0</v>
      </c>
      <c r="I22" s="134">
        <f ca="1">SUMIFS(
  INDIRECT("input_invoice[net]"),
  INDIRECT("input_invoice[yyyymm]"), 'P&amp;G-Ltd'!I$1,
  INDIRECT("input_invoice[concept/supplier]"), 'P&amp;G-Ltd'!$C22
)</f>
        <v>0</v>
      </c>
      <c r="J22" s="134">
        <f ca="1">SUMIFS(
  INDIRECT("input_invoice[net]"),
  INDIRECT("input_invoice[yyyymm]"), 'P&amp;G-Ltd'!J$1,
  INDIRECT("input_invoice[concept/supplier]"), 'P&amp;G-Ltd'!$C22
)</f>
        <v>0</v>
      </c>
      <c r="K22" s="134">
        <f ca="1">SUMIFS(
  INDIRECT("input_invoice[net]"),
  INDIRECT("input_invoice[yyyymm]"), 'P&amp;G-Ltd'!K$1,
  INDIRECT("input_invoice[concept/supplier]"), 'P&amp;G-Ltd'!$C22
)</f>
        <v>0</v>
      </c>
      <c r="L22" s="134">
        <f ca="1">SUMIFS(
  INDIRECT("input_invoice[net]"),
  INDIRECT("input_invoice[yyyymm]"), 'P&amp;G-Ltd'!L$1,
  INDIRECT("input_invoice[concept/supplier]"), 'P&amp;G-Ltd'!$C22
)</f>
        <v>0</v>
      </c>
      <c r="M22" s="134">
        <f ca="1">SUMIFS(
  INDIRECT("input_invoice[net]"),
  INDIRECT("input_invoice[yyyymm]"), 'P&amp;G-Ltd'!M$1,
  INDIRECT("input_invoice[concept/supplier]"), 'P&amp;G-Ltd'!$C22
)</f>
        <v>0</v>
      </c>
      <c r="N22" s="134">
        <f ca="1">SUMIFS(
  INDIRECT("input_invoice[net]"),
  INDIRECT("input_invoice[yyyymm]"), 'P&amp;G-Ltd'!N$1,
  INDIRECT("input_invoice[concept/supplier]"), 'P&amp;G-Ltd'!$C22
)</f>
        <v>0</v>
      </c>
      <c r="O22" s="134">
        <f ca="1">SUMIFS(
  INDIRECT("input_invoice[net]"),
  INDIRECT("input_invoice[yyyymm]"), 'P&amp;G-Ltd'!O$1,
  INDIRECT("input_invoice[concept/supplier]"), 'P&amp;G-Ltd'!$C22
)</f>
        <v>0</v>
      </c>
      <c r="P22" s="134">
        <f ca="1">SUMIFS(
  INDIRECT("input_invoice[net]"),
  INDIRECT("input_invoice[yyyymm]"), 'P&amp;G-Ltd'!P$1,
  INDIRECT("input_invoice[concept/supplier]"), 'P&amp;G-Ltd'!$C22
)</f>
        <v>0</v>
      </c>
      <c r="Q22" s="134">
        <f ca="1">SUMIFS(
  INDIRECT("input_invoice[net]"),
  INDIRECT("input_invoice[yyyymm]"), 'P&amp;G-Ltd'!Q$1,
  INDIRECT("input_invoice[concept/supplier]"), 'P&amp;G-Ltd'!$C22
)</f>
        <v>0</v>
      </c>
      <c r="R22" s="134">
        <f ca="1">SUMIFS(
  INDIRECT("input_invoice[net]"),
  INDIRECT("input_invoice[yyyymm]"), 'P&amp;G-Ltd'!R$1,
  INDIRECT("input_invoice[concept/supplier]"), 'P&amp;G-Ltd'!$C22
)</f>
        <v>0</v>
      </c>
      <c r="S22" s="134">
        <f ca="1">SUMIFS(
  INDIRECT("input_invoice[net]"),
  INDIRECT("input_invoice[yyyymm]"), 'P&amp;G-Ltd'!S$1,
  INDIRECT("input_invoice[concept/supplier]"), 'P&amp;G-Ltd'!$C22
)</f>
        <v>0</v>
      </c>
      <c r="T22" s="131">
        <f t="shared" ca="1" si="8"/>
        <v>0</v>
      </c>
    </row>
    <row r="23" spans="3:20" ht="15" customHeight="1" outlineLevel="1" x14ac:dyDescent="0.3">
      <c r="C23" t="s">
        <v>1040</v>
      </c>
      <c r="D23" s="115"/>
      <c r="E23" s="124" t="e" vm="10">
        <v>#VALUE!</v>
      </c>
      <c r="F23" s="431" t="s">
        <v>1043</v>
      </c>
      <c r="G23" s="422"/>
      <c r="H23" s="134">
        <f ca="1">SUMIFS(
  INDIRECT("input_invoice[net]"),
  INDIRECT("input_invoice[yyyymm]"), 'P&amp;G-Ltd'!H$1,
  INDIRECT("input_invoice[concept/supplier]"), 'P&amp;G-Ltd'!$C23
)</f>
        <v>0</v>
      </c>
      <c r="I23" s="134">
        <f ca="1">SUMIFS(
  INDIRECT("input_invoice[net]"),
  INDIRECT("input_invoice[yyyymm]"), 'P&amp;G-Ltd'!I$1,
  INDIRECT("input_invoice[concept/supplier]"), 'P&amp;G-Ltd'!$C23
)</f>
        <v>0</v>
      </c>
      <c r="J23" s="134">
        <f ca="1">SUMIFS(
  INDIRECT("input_invoice[net]"),
  INDIRECT("input_invoice[yyyymm]"), 'P&amp;G-Ltd'!J$1,
  INDIRECT("input_invoice[concept/supplier]"), 'P&amp;G-Ltd'!$C23
)</f>
        <v>0</v>
      </c>
      <c r="K23" s="134">
        <f ca="1">SUMIFS(
  INDIRECT("input_invoice[net]"),
  INDIRECT("input_invoice[yyyymm]"), 'P&amp;G-Ltd'!K$1,
  INDIRECT("input_invoice[concept/supplier]"), 'P&amp;G-Ltd'!$C23
)</f>
        <v>0</v>
      </c>
      <c r="L23" s="134">
        <f ca="1">SUMIFS(
  INDIRECT("input_invoice[net]"),
  INDIRECT("input_invoice[yyyymm]"), 'P&amp;G-Ltd'!L$1,
  INDIRECT("input_invoice[concept/supplier]"), 'P&amp;G-Ltd'!$C23
)</f>
        <v>0</v>
      </c>
      <c r="M23" s="134">
        <f ca="1">SUMIFS(
  INDIRECT("input_invoice[net]"),
  INDIRECT("input_invoice[yyyymm]"), 'P&amp;G-Ltd'!M$1,
  INDIRECT("input_invoice[concept/supplier]"), 'P&amp;G-Ltd'!$C23
)</f>
        <v>0</v>
      </c>
      <c r="N23" s="134">
        <f ca="1">SUMIFS(
  INDIRECT("input_invoice[net]"),
  INDIRECT("input_invoice[yyyymm]"), 'P&amp;G-Ltd'!N$1,
  INDIRECT("input_invoice[concept/supplier]"), 'P&amp;G-Ltd'!$C23
)</f>
        <v>0</v>
      </c>
      <c r="O23" s="134">
        <f ca="1">SUMIFS(
  INDIRECT("input_invoice[net]"),
  INDIRECT("input_invoice[yyyymm]"), 'P&amp;G-Ltd'!O$1,
  INDIRECT("input_invoice[concept/supplier]"), 'P&amp;G-Ltd'!$C23
)</f>
        <v>0</v>
      </c>
      <c r="P23" s="134">
        <f ca="1">SUMIFS(
  INDIRECT("input_invoice[net]"),
  INDIRECT("input_invoice[yyyymm]"), 'P&amp;G-Ltd'!P$1,
  INDIRECT("input_invoice[concept/supplier]"), 'P&amp;G-Ltd'!$C23
)</f>
        <v>0</v>
      </c>
      <c r="Q23" s="134">
        <f ca="1">SUMIFS(
  INDIRECT("input_invoice[net]"),
  INDIRECT("input_invoice[yyyymm]"), 'P&amp;G-Ltd'!Q$1,
  INDIRECT("input_invoice[concept/supplier]"), 'P&amp;G-Ltd'!$C23
)</f>
        <v>0</v>
      </c>
      <c r="R23" s="134">
        <f ca="1">SUMIFS(
  INDIRECT("input_invoice[net]"),
  INDIRECT("input_invoice[yyyymm]"), 'P&amp;G-Ltd'!R$1,
  INDIRECT("input_invoice[concept/supplier]"), 'P&amp;G-Ltd'!$C23
)</f>
        <v>0</v>
      </c>
      <c r="S23" s="134">
        <f ca="1">SUMIFS(
  INDIRECT("input_invoice[net]"),
  INDIRECT("input_invoice[yyyymm]"), 'P&amp;G-Ltd'!S$1,
  INDIRECT("input_invoice[concept/supplier]"), 'P&amp;G-Ltd'!$C23
)</f>
        <v>0</v>
      </c>
      <c r="T23" s="131">
        <f t="shared" ref="T23" ca="1" si="10">SUM(H23:S23)</f>
        <v>0</v>
      </c>
    </row>
    <row r="24" spans="3:20" ht="15" customHeight="1" outlineLevel="1" x14ac:dyDescent="0.3">
      <c r="C24" t="s">
        <v>192</v>
      </c>
      <c r="D24" s="115"/>
      <c r="E24" s="124" t="e" vm="10">
        <v>#VALUE!</v>
      </c>
      <c r="F24" s="123" t="s">
        <v>193</v>
      </c>
      <c r="G24" s="115"/>
      <c r="H24" s="134">
        <f ca="1">SUMIFS(
  INDIRECT("input_invoice[net]"),
  INDIRECT("input_invoice[yyyymm]"), 'P&amp;G-Ltd'!H$1,
  INDIRECT("input_invoice[concept/supplier]"), 'P&amp;G-Ltd'!$C24
)</f>
        <v>0</v>
      </c>
      <c r="I24" s="134">
        <f ca="1">SUMIFS(
  INDIRECT("input_invoice[net]"),
  INDIRECT("input_invoice[yyyymm]"), 'P&amp;G-Ltd'!I$1,
  INDIRECT("input_invoice[concept/supplier]"), 'P&amp;G-Ltd'!$C24
)</f>
        <v>0</v>
      </c>
      <c r="J24" s="134">
        <f ca="1">SUMIFS(
  INDIRECT("input_invoice[net]"),
  INDIRECT("input_invoice[yyyymm]"), 'P&amp;G-Ltd'!J$1,
  INDIRECT("input_invoice[concept/supplier]"), 'P&amp;G-Ltd'!$C24
)</f>
        <v>0</v>
      </c>
      <c r="K24" s="134">
        <f ca="1">SUMIFS(
  INDIRECT("input_invoice[net]"),
  INDIRECT("input_invoice[yyyymm]"), 'P&amp;G-Ltd'!K$1,
  INDIRECT("input_invoice[concept/supplier]"), 'P&amp;G-Ltd'!$C24
)</f>
        <v>0</v>
      </c>
      <c r="L24" s="134">
        <f ca="1">SUMIFS(
  INDIRECT("input_invoice[net]"),
  INDIRECT("input_invoice[yyyymm]"), 'P&amp;G-Ltd'!L$1,
  INDIRECT("input_invoice[concept/supplier]"), 'P&amp;G-Ltd'!$C24
)</f>
        <v>0</v>
      </c>
      <c r="M24" s="134">
        <f ca="1">SUMIFS(
  INDIRECT("input_invoice[net]"),
  INDIRECT("input_invoice[yyyymm]"), 'P&amp;G-Ltd'!M$1,
  INDIRECT("input_invoice[concept/supplier]"), 'P&amp;G-Ltd'!$C24
)</f>
        <v>0</v>
      </c>
      <c r="N24" s="134">
        <f ca="1">SUMIFS(
  INDIRECT("input_invoice[net]"),
  INDIRECT("input_invoice[yyyymm]"), 'P&amp;G-Ltd'!N$1,
  INDIRECT("input_invoice[concept/supplier]"), 'P&amp;G-Ltd'!$C24
)</f>
        <v>0</v>
      </c>
      <c r="O24" s="134">
        <f ca="1">SUMIFS(
  INDIRECT("input_invoice[net]"),
  INDIRECT("input_invoice[yyyymm]"), 'P&amp;G-Ltd'!O$1,
  INDIRECT("input_invoice[concept/supplier]"), 'P&amp;G-Ltd'!$C24
)</f>
        <v>0</v>
      </c>
      <c r="P24" s="134">
        <f ca="1">SUMIFS(
  INDIRECT("input_invoice[net]"),
  INDIRECT("input_invoice[yyyymm]"), 'P&amp;G-Ltd'!P$1,
  INDIRECT("input_invoice[concept/supplier]"), 'P&amp;G-Ltd'!$C24
)</f>
        <v>0</v>
      </c>
      <c r="Q24" s="134">
        <f ca="1">SUMIFS(
  INDIRECT("input_invoice[net]"),
  INDIRECT("input_invoice[yyyymm]"), 'P&amp;G-Ltd'!Q$1,
  INDIRECT("input_invoice[concept/supplier]"), 'P&amp;G-Ltd'!$C24
)</f>
        <v>0</v>
      </c>
      <c r="R24" s="134">
        <f ca="1">SUMIFS(
  INDIRECT("input_invoice[net]"),
  INDIRECT("input_invoice[yyyymm]"), 'P&amp;G-Ltd'!R$1,
  INDIRECT("input_invoice[concept/supplier]"), 'P&amp;G-Ltd'!$C24
)</f>
        <v>0</v>
      </c>
      <c r="S24" s="134">
        <f ca="1">SUMIFS(
  INDIRECT("input_invoice[net]"),
  INDIRECT("input_invoice[yyyymm]"), 'P&amp;G-Ltd'!S$1,
  INDIRECT("input_invoice[concept/supplier]"), 'P&amp;G-Ltd'!$C24
)</f>
        <v>0</v>
      </c>
      <c r="T24" s="131">
        <f t="shared" ca="1" si="8"/>
        <v>0</v>
      </c>
    </row>
    <row r="25" spans="3:20" outlineLevel="1" x14ac:dyDescent="0.3">
      <c r="D25" s="115"/>
      <c r="E25" s="115"/>
      <c r="F25" s="115"/>
      <c r="G25" s="115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1">
        <f t="shared" ref="T25:T32" si="11">SUM(H25:S25)</f>
        <v>0</v>
      </c>
    </row>
    <row r="26" spans="3:20" x14ac:dyDescent="0.3">
      <c r="D26" s="432" t="s">
        <v>50</v>
      </c>
      <c r="E26" s="432"/>
      <c r="F26" s="112"/>
      <c r="G26" s="112"/>
      <c r="H26" s="137">
        <f ca="1">SUM(H27:H29)</f>
        <v>1609.1100000000001</v>
      </c>
      <c r="I26" s="137">
        <f t="shared" ref="I26:S26" ca="1" si="12">SUM(I27:I29)</f>
        <v>3518.5699999999997</v>
      </c>
      <c r="J26" s="137">
        <f t="shared" ca="1" si="12"/>
        <v>0</v>
      </c>
      <c r="K26" s="137">
        <f t="shared" ca="1" si="12"/>
        <v>0</v>
      </c>
      <c r="L26" s="137">
        <f t="shared" ca="1" si="12"/>
        <v>0</v>
      </c>
      <c r="M26" s="137">
        <f t="shared" ca="1" si="12"/>
        <v>0</v>
      </c>
      <c r="N26" s="137">
        <f t="shared" ca="1" si="12"/>
        <v>0</v>
      </c>
      <c r="O26" s="137">
        <f t="shared" ca="1" si="12"/>
        <v>0</v>
      </c>
      <c r="P26" s="137">
        <f t="shared" ca="1" si="12"/>
        <v>0</v>
      </c>
      <c r="Q26" s="137">
        <f t="shared" ca="1" si="12"/>
        <v>0</v>
      </c>
      <c r="R26" s="137">
        <f t="shared" ca="1" si="12"/>
        <v>0</v>
      </c>
      <c r="S26" s="137">
        <f t="shared" ca="1" si="12"/>
        <v>0</v>
      </c>
      <c r="T26" s="131">
        <f t="shared" ca="1" si="11"/>
        <v>5127.68</v>
      </c>
    </row>
    <row r="27" spans="3:20" ht="15" customHeight="1" outlineLevel="2" x14ac:dyDescent="0.3">
      <c r="C27" t="s">
        <v>194</v>
      </c>
      <c r="D27" s="115"/>
      <c r="E27" s="115"/>
      <c r="F27" s="422" t="s">
        <v>195</v>
      </c>
      <c r="G27" s="422"/>
      <c r="H27" s="134">
        <f ca="1">SUMIFS(
  INDIRECT("input_invoice[net]"),
  INDIRECT("input_invoice[yyyymm]"), 'P&amp;G-Ltd'!H$1,
  INDIRECT("input_invoice[concept/supplier]"), 'P&amp;G-Ltd'!$C27
)</f>
        <v>691.2</v>
      </c>
      <c r="I27" s="134">
        <f ca="1">SUMIFS(
  INDIRECT("input_invoice[net]"),
  INDIRECT("input_invoice[yyyymm]"), 'P&amp;G-Ltd'!I$1,
  INDIRECT("input_invoice[concept/supplier]"), 'P&amp;G-Ltd'!$C27
)</f>
        <v>1008</v>
      </c>
      <c r="J27" s="134">
        <f ca="1">SUMIFS(
  INDIRECT("input_invoice[net]"),
  INDIRECT("input_invoice[yyyymm]"), 'P&amp;G-Ltd'!J$1,
  INDIRECT("input_invoice[concept/supplier]"), 'P&amp;G-Ltd'!$C27
)</f>
        <v>0</v>
      </c>
      <c r="K27" s="134">
        <f ca="1">SUMIFS(
  INDIRECT("input_invoice[net]"),
  INDIRECT("input_invoice[yyyymm]"), 'P&amp;G-Ltd'!K$1,
  INDIRECT("input_invoice[concept/supplier]"), 'P&amp;G-Ltd'!$C27
)</f>
        <v>0</v>
      </c>
      <c r="L27" s="134">
        <f ca="1">SUMIFS(
  INDIRECT("input_invoice[net]"),
  INDIRECT("input_invoice[yyyymm]"), 'P&amp;G-Ltd'!L$1,
  INDIRECT("input_invoice[concept/supplier]"), 'P&amp;G-Ltd'!$C27
)</f>
        <v>0</v>
      </c>
      <c r="M27" s="134">
        <f ca="1">SUMIFS(
  INDIRECT("input_invoice[net]"),
  INDIRECT("input_invoice[yyyymm]"), 'P&amp;G-Ltd'!M$1,
  INDIRECT("input_invoice[concept/supplier]"), 'P&amp;G-Ltd'!$C27
)</f>
        <v>0</v>
      </c>
      <c r="N27" s="134">
        <f ca="1">SUMIFS(
  INDIRECT("input_invoice[net]"),
  INDIRECT("input_invoice[yyyymm]"), 'P&amp;G-Ltd'!N$1,
  INDIRECT("input_invoice[concept/supplier]"), 'P&amp;G-Ltd'!$C27
)</f>
        <v>0</v>
      </c>
      <c r="O27" s="134">
        <f ca="1">SUMIFS(
  INDIRECT("input_invoice[net]"),
  INDIRECT("input_invoice[yyyymm]"), 'P&amp;G-Ltd'!O$1,
  INDIRECT("input_invoice[concept/supplier]"), 'P&amp;G-Ltd'!$C27
)</f>
        <v>0</v>
      </c>
      <c r="P27" s="134">
        <f ca="1">SUMIFS(
  INDIRECT("input_invoice[net]"),
  INDIRECT("input_invoice[yyyymm]"), 'P&amp;G-Ltd'!P$1,
  INDIRECT("input_invoice[concept/supplier]"), 'P&amp;G-Ltd'!$C27
)</f>
        <v>0</v>
      </c>
      <c r="Q27" s="134">
        <f ca="1">SUMIFS(
  INDIRECT("input_invoice[net]"),
  INDIRECT("input_invoice[yyyymm]"), 'P&amp;G-Ltd'!Q$1,
  INDIRECT("input_invoice[concept/supplier]"), 'P&amp;G-Ltd'!$C27
)</f>
        <v>0</v>
      </c>
      <c r="R27" s="134">
        <f ca="1">SUMIFS(
  INDIRECT("input_invoice[net]"),
  INDIRECT("input_invoice[yyyymm]"), 'P&amp;G-Ltd'!R$1,
  INDIRECT("input_invoice[concept/supplier]"), 'P&amp;G-Ltd'!$C27
)</f>
        <v>0</v>
      </c>
      <c r="S27" s="134">
        <f ca="1">SUMIFS(
  INDIRECT("input_invoice[net]"),
  INDIRECT("input_invoice[yyyymm]"), 'P&amp;G-Ltd'!S$1,
  INDIRECT("input_invoice[concept/supplier]"), 'P&amp;G-Ltd'!$C27
)</f>
        <v>0</v>
      </c>
      <c r="T27" s="131">
        <f t="shared" ca="1" si="11"/>
        <v>1699.2</v>
      </c>
    </row>
    <row r="28" spans="3:20" ht="15" customHeight="1" outlineLevel="2" x14ac:dyDescent="0.3">
      <c r="C28" t="s">
        <v>196</v>
      </c>
      <c r="D28" s="115"/>
      <c r="E28" s="115"/>
      <c r="F28" s="422" t="s">
        <v>197</v>
      </c>
      <c r="G28" s="422"/>
      <c r="H28" s="134">
        <f ca="1">SUMIFS(
  INDIRECT("input_invoice[net]"),
  INDIRECT("input_invoice[yyyymm]"), 'P&amp;G-Ltd'!H$1,
  INDIRECT("input_invoice[concept/supplier]"), 'P&amp;G-Ltd'!$C28
)</f>
        <v>563.85</v>
      </c>
      <c r="I28" s="134">
        <f ca="1">SUMIFS(
  INDIRECT("input_invoice[net]"),
  INDIRECT("input_invoice[yyyymm]"), 'P&amp;G-Ltd'!I$1,
  INDIRECT("input_invoice[concept/supplier]"), 'P&amp;G-Ltd'!$C28
)</f>
        <v>662.3</v>
      </c>
      <c r="J28" s="134">
        <f ca="1">SUMIFS(
  INDIRECT("input_invoice[net]"),
  INDIRECT("input_invoice[yyyymm]"), 'P&amp;G-Ltd'!J$1,
  INDIRECT("input_invoice[concept/supplier]"), 'P&amp;G-Ltd'!$C28
)</f>
        <v>0</v>
      </c>
      <c r="K28" s="134">
        <f ca="1">SUMIFS(
  INDIRECT("input_invoice[net]"),
  INDIRECT("input_invoice[yyyymm]"), 'P&amp;G-Ltd'!K$1,
  INDIRECT("input_invoice[concept/supplier]"), 'P&amp;G-Ltd'!$C28
)</f>
        <v>0</v>
      </c>
      <c r="L28" s="134">
        <f ca="1">SUMIFS(
  INDIRECT("input_invoice[net]"),
  INDIRECT("input_invoice[yyyymm]"), 'P&amp;G-Ltd'!L$1,
  INDIRECT("input_invoice[concept/supplier]"), 'P&amp;G-Ltd'!$C28
)</f>
        <v>0</v>
      </c>
      <c r="M28" s="134">
        <f ca="1">SUMIFS(
  INDIRECT("input_invoice[net]"),
  INDIRECT("input_invoice[yyyymm]"), 'P&amp;G-Ltd'!M$1,
  INDIRECT("input_invoice[concept/supplier]"), 'P&amp;G-Ltd'!$C28
)</f>
        <v>0</v>
      </c>
      <c r="N28" s="134">
        <f ca="1">SUMIFS(
  INDIRECT("input_invoice[net]"),
  INDIRECT("input_invoice[yyyymm]"), 'P&amp;G-Ltd'!N$1,
  INDIRECT("input_invoice[concept/supplier]"), 'P&amp;G-Ltd'!$C28
)</f>
        <v>0</v>
      </c>
      <c r="O28" s="134">
        <f ca="1">SUMIFS(
  INDIRECT("input_invoice[net]"),
  INDIRECT("input_invoice[yyyymm]"), 'P&amp;G-Ltd'!O$1,
  INDIRECT("input_invoice[concept/supplier]"), 'P&amp;G-Ltd'!$C28
)</f>
        <v>0</v>
      </c>
      <c r="P28" s="134">
        <f ca="1">SUMIFS(
  INDIRECT("input_invoice[net]"),
  INDIRECT("input_invoice[yyyymm]"), 'P&amp;G-Ltd'!P$1,
  INDIRECT("input_invoice[concept/supplier]"), 'P&amp;G-Ltd'!$C28
)</f>
        <v>0</v>
      </c>
      <c r="Q28" s="134">
        <f ca="1">SUMIFS(
  INDIRECT("input_invoice[net]"),
  INDIRECT("input_invoice[yyyymm]"), 'P&amp;G-Ltd'!Q$1,
  INDIRECT("input_invoice[concept/supplier]"), 'P&amp;G-Ltd'!$C28
)</f>
        <v>0</v>
      </c>
      <c r="R28" s="134">
        <f ca="1">SUMIFS(
  INDIRECT("input_invoice[net]"),
  INDIRECT("input_invoice[yyyymm]"), 'P&amp;G-Ltd'!R$1,
  INDIRECT("input_invoice[concept/supplier]"), 'P&amp;G-Ltd'!$C28
)</f>
        <v>0</v>
      </c>
      <c r="S28" s="134">
        <f ca="1">SUMIFS(
  INDIRECT("input_invoice[net]"),
  INDIRECT("input_invoice[yyyymm]"), 'P&amp;G-Ltd'!S$1,
  INDIRECT("input_invoice[concept/supplier]"), 'P&amp;G-Ltd'!$C28
)</f>
        <v>0</v>
      </c>
      <c r="T28" s="131">
        <f t="shared" ca="1" si="11"/>
        <v>1226.1500000000001</v>
      </c>
    </row>
    <row r="29" spans="3:20" ht="15" customHeight="1" outlineLevel="2" x14ac:dyDescent="0.3">
      <c r="C29" t="s">
        <v>198</v>
      </c>
      <c r="D29" s="115"/>
      <c r="E29" s="115"/>
      <c r="F29" s="422" t="s">
        <v>193</v>
      </c>
      <c r="G29" s="422"/>
      <c r="H29" s="134">
        <f ca="1">SUMIFS(
  INDIRECT("input_invoice[net]"),
  INDIRECT("input_invoice[yyyymm]"), 'P&amp;G-Ltd'!H$1,
  INDIRECT("input_invoice[concept/supplier]"), 'P&amp;G-Ltd'!$C29
)</f>
        <v>354.06</v>
      </c>
      <c r="I29" s="134">
        <f ca="1">SUMIFS(
  INDIRECT("input_invoice[net]"),
  INDIRECT("input_invoice[yyyymm]"), 'P&amp;G-Ltd'!I$1,
  INDIRECT("input_invoice[concept/supplier]"), 'P&amp;G-Ltd'!$C29
)</f>
        <v>1848.27</v>
      </c>
      <c r="J29" s="134">
        <f ca="1">SUMIFS(
  INDIRECT("input_invoice[net]"),
  INDIRECT("input_invoice[yyyymm]"), 'P&amp;G-Ltd'!J$1,
  INDIRECT("input_invoice[concept/supplier]"), 'P&amp;G-Ltd'!$C29
)</f>
        <v>0</v>
      </c>
      <c r="K29" s="134">
        <f ca="1">SUMIFS(
  INDIRECT("input_invoice[net]"),
  INDIRECT("input_invoice[yyyymm]"), 'P&amp;G-Ltd'!K$1,
  INDIRECT("input_invoice[concept/supplier]"), 'P&amp;G-Ltd'!$C29
)</f>
        <v>0</v>
      </c>
      <c r="L29" s="134">
        <f ca="1">SUMIFS(
  INDIRECT("input_invoice[net]"),
  INDIRECT("input_invoice[yyyymm]"), 'P&amp;G-Ltd'!L$1,
  INDIRECT("input_invoice[concept/supplier]"), 'P&amp;G-Ltd'!$C29
)</f>
        <v>0</v>
      </c>
      <c r="M29" s="134">
        <f ca="1">SUMIFS(
  INDIRECT("input_invoice[net]"),
  INDIRECT("input_invoice[yyyymm]"), 'P&amp;G-Ltd'!M$1,
  INDIRECT("input_invoice[concept/supplier]"), 'P&amp;G-Ltd'!$C29
)</f>
        <v>0</v>
      </c>
      <c r="N29" s="134">
        <f ca="1">SUMIFS(
  INDIRECT("input_invoice[net]"),
  INDIRECT("input_invoice[yyyymm]"), 'P&amp;G-Ltd'!N$1,
  INDIRECT("input_invoice[concept/supplier]"), 'P&amp;G-Ltd'!$C29
)</f>
        <v>0</v>
      </c>
      <c r="O29" s="134">
        <f ca="1">SUMIFS(
  INDIRECT("input_invoice[net]"),
  INDIRECT("input_invoice[yyyymm]"), 'P&amp;G-Ltd'!O$1,
  INDIRECT("input_invoice[concept/supplier]"), 'P&amp;G-Ltd'!$C29
)</f>
        <v>0</v>
      </c>
      <c r="P29" s="134">
        <f ca="1">SUMIFS(
  INDIRECT("input_invoice[net]"),
  INDIRECT("input_invoice[yyyymm]"), 'P&amp;G-Ltd'!P$1,
  INDIRECT("input_invoice[concept/supplier]"), 'P&amp;G-Ltd'!$C29
)</f>
        <v>0</v>
      </c>
      <c r="Q29" s="134">
        <f ca="1">SUMIFS(
  INDIRECT("input_invoice[net]"),
  INDIRECT("input_invoice[yyyymm]"), 'P&amp;G-Ltd'!Q$1,
  INDIRECT("input_invoice[concept/supplier]"), 'P&amp;G-Ltd'!$C29
)</f>
        <v>0</v>
      </c>
      <c r="R29" s="134">
        <f ca="1">SUMIFS(
  INDIRECT("input_invoice[net]"),
  INDIRECT("input_invoice[yyyymm]"), 'P&amp;G-Ltd'!R$1,
  INDIRECT("input_invoice[concept/supplier]"), 'P&amp;G-Ltd'!$C29
)</f>
        <v>0</v>
      </c>
      <c r="S29" s="134">
        <f ca="1">SUMIFS(
  INDIRECT("input_invoice[net]"),
  INDIRECT("input_invoice[yyyymm]"), 'P&amp;G-Ltd'!S$1,
  INDIRECT("input_invoice[concept/supplier]"), 'P&amp;G-Ltd'!$C29
)</f>
        <v>0</v>
      </c>
      <c r="T29" s="131">
        <f t="shared" ca="1" si="11"/>
        <v>2202.33</v>
      </c>
    </row>
    <row r="30" spans="3:20" outlineLevel="2" x14ac:dyDescent="0.3">
      <c r="D30" s="115"/>
      <c r="E30" s="115"/>
      <c r="F30" s="115"/>
      <c r="G30" s="115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1"/>
    </row>
    <row r="31" spans="3:20" ht="15" customHeight="1" x14ac:dyDescent="0.3">
      <c r="D31" s="417" t="s">
        <v>57</v>
      </c>
      <c r="E31" s="417"/>
      <c r="F31" s="417"/>
      <c r="G31" s="417"/>
      <c r="H31" s="137" t="e">
        <f ca="1">SUM(H32:H32)</f>
        <v>#REF!</v>
      </c>
      <c r="I31" s="137" t="e">
        <f t="shared" ref="I31:S31" ca="1" si="13">SUM(I32:I32)</f>
        <v>#REF!</v>
      </c>
      <c r="J31" s="137" t="e">
        <f t="shared" ca="1" si="13"/>
        <v>#REF!</v>
      </c>
      <c r="K31" s="137" t="e">
        <f t="shared" ca="1" si="13"/>
        <v>#REF!</v>
      </c>
      <c r="L31" s="137" t="e">
        <f t="shared" ca="1" si="13"/>
        <v>#REF!</v>
      </c>
      <c r="M31" s="137" t="e">
        <f t="shared" ca="1" si="13"/>
        <v>#REF!</v>
      </c>
      <c r="N31" s="137" t="e">
        <f t="shared" ca="1" si="13"/>
        <v>#REF!</v>
      </c>
      <c r="O31" s="137" t="e">
        <f t="shared" ca="1" si="13"/>
        <v>#REF!</v>
      </c>
      <c r="P31" s="137" t="e">
        <f t="shared" ca="1" si="13"/>
        <v>#REF!</v>
      </c>
      <c r="Q31" s="137" t="e">
        <f t="shared" ca="1" si="13"/>
        <v>#REF!</v>
      </c>
      <c r="R31" s="137" t="e">
        <f t="shared" ca="1" si="13"/>
        <v>#REF!</v>
      </c>
      <c r="S31" s="137" t="e">
        <f t="shared" ca="1" si="13"/>
        <v>#REF!</v>
      </c>
      <c r="T31" s="131" t="e">
        <f t="shared" ca="1" si="11"/>
        <v>#REF!</v>
      </c>
    </row>
    <row r="32" spans="3:20" outlineLevel="1" x14ac:dyDescent="0.3">
      <c r="C32" t="s">
        <v>60</v>
      </c>
      <c r="D32" s="113"/>
      <c r="E32" s="113"/>
      <c r="F32" s="422" t="s">
        <v>61</v>
      </c>
      <c r="G32" s="422"/>
      <c r="H32" s="134" t="e">
        <f ca="1">SUMIFS(
  INDIRECT("input_roy[net]"),
  INDIRECT("input_roy[yyyymm]"), 'P&amp;G-Ltd'!H$1,
  INDIRECT("input_roy[concept/supplier]"), 'P&amp;G-Ltd'!$C32
)*H82</f>
        <v>#REF!</v>
      </c>
      <c r="I32" s="134" t="e">
        <f ca="1">SUMIFS(
  INDIRECT("input_roy[net]"),
  INDIRECT("input_roy[yyyymm]"), 'P&amp;G-Ltd'!I$1,
  INDIRECT("input_roy[concept/supplier]"), 'P&amp;G-Ltd'!$C32
)*I82</f>
        <v>#REF!</v>
      </c>
      <c r="J32" s="134" t="e">
        <f ca="1">SUMIFS(
  INDIRECT("input_roy[net]"),
  INDIRECT("input_roy[yyyymm]"), 'P&amp;G-Ltd'!J$1,
  INDIRECT("input_roy[concept/supplier]"), 'P&amp;G-Ltd'!$C32
)*J82</f>
        <v>#REF!</v>
      </c>
      <c r="K32" s="134" t="e">
        <f ca="1">SUMIFS(
  INDIRECT("input_roy[net]"),
  INDIRECT("input_roy[yyyymm]"), 'P&amp;G-Ltd'!K$1,
  INDIRECT("input_roy[concept/supplier]"), 'P&amp;G-Ltd'!$C32
)*K82</f>
        <v>#REF!</v>
      </c>
      <c r="L32" s="134" t="e">
        <f ca="1">SUMIFS(
  INDIRECT("input_roy[net]"),
  INDIRECT("input_roy[yyyymm]"), 'P&amp;G-Ltd'!L$1,
  INDIRECT("input_roy[concept/supplier]"), 'P&amp;G-Ltd'!$C32
)*L82</f>
        <v>#REF!</v>
      </c>
      <c r="M32" s="134" t="e">
        <f ca="1">SUMIFS(
  INDIRECT("input_roy[net]"),
  INDIRECT("input_roy[yyyymm]"), 'P&amp;G-Ltd'!M$1,
  INDIRECT("input_roy[concept/supplier]"), 'P&amp;G-Ltd'!$C32
)*M82</f>
        <v>#REF!</v>
      </c>
      <c r="N32" s="134" t="e">
        <f ca="1">SUMIFS(
  INDIRECT("input_roy[net]"),
  INDIRECT("input_roy[yyyymm]"), 'P&amp;G-Ltd'!N$1,
  INDIRECT("input_roy[concept/supplier]"), 'P&amp;G-Ltd'!$C32
)*N82</f>
        <v>#REF!</v>
      </c>
      <c r="O32" s="134" t="e">
        <f ca="1">SUMIFS(
  INDIRECT("input_roy[net]"),
  INDIRECT("input_roy[yyyymm]"), 'P&amp;G-Ltd'!O$1,
  INDIRECT("input_roy[concept/supplier]"), 'P&amp;G-Ltd'!$C32
)*O82</f>
        <v>#REF!</v>
      </c>
      <c r="P32" s="134" t="e">
        <f ca="1">SUMIFS(
  INDIRECT("input_roy[net]"),
  INDIRECT("input_roy[yyyymm]"), 'P&amp;G-Ltd'!P$1,
  INDIRECT("input_roy[concept/supplier]"), 'P&amp;G-Ltd'!$C32
)*P82</f>
        <v>#REF!</v>
      </c>
      <c r="Q32" s="134" t="e">
        <f ca="1">SUMIFS(
  INDIRECT("input_roy[net]"),
  INDIRECT("input_roy[yyyymm]"), 'P&amp;G-Ltd'!Q$1,
  INDIRECT("input_roy[concept/supplier]"), 'P&amp;G-Ltd'!$C32
)*Q82</f>
        <v>#REF!</v>
      </c>
      <c r="R32" s="134" t="e">
        <f ca="1">SUMIFS(
  INDIRECT("input_roy[net]"),
  INDIRECT("input_roy[yyyymm]"), 'P&amp;G-Ltd'!R$1,
  INDIRECT("input_roy[concept/supplier]"), 'P&amp;G-Ltd'!$C32
)*R82</f>
        <v>#REF!</v>
      </c>
      <c r="S32" s="134" t="e">
        <f ca="1">SUMIFS(
  INDIRECT("input_roy[net]"),
  INDIRECT("input_roy[yyyymm]"), 'P&amp;G-Ltd'!S$1,
  INDIRECT("input_roy[concept/supplier]"), 'P&amp;G-Ltd'!$C32
)*S82</f>
        <v>#REF!</v>
      </c>
      <c r="T32" s="131" t="e">
        <f t="shared" ca="1" si="11"/>
        <v>#REF!</v>
      </c>
    </row>
    <row r="33" spans="3:20" outlineLevel="1" x14ac:dyDescent="0.3">
      <c r="D33" s="113"/>
      <c r="E33" s="113"/>
      <c r="F33" s="115"/>
      <c r="G33" s="115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1"/>
    </row>
    <row r="34" spans="3:20" ht="15" customHeight="1" x14ac:dyDescent="0.3">
      <c r="D34" s="417" t="s">
        <v>64</v>
      </c>
      <c r="E34" s="417"/>
      <c r="F34" s="417"/>
      <c r="G34" s="417"/>
      <c r="H34" s="137">
        <f ca="1">SUM(H35:H40)</f>
        <v>0</v>
      </c>
      <c r="I34" s="137">
        <f t="shared" ref="I34:S34" ca="1" si="14">SUM(I35:I40)</f>
        <v>0</v>
      </c>
      <c r="J34" s="137">
        <f t="shared" ca="1" si="14"/>
        <v>0</v>
      </c>
      <c r="K34" s="137">
        <f t="shared" ca="1" si="14"/>
        <v>0</v>
      </c>
      <c r="L34" s="137">
        <f t="shared" ca="1" si="14"/>
        <v>0</v>
      </c>
      <c r="M34" s="137">
        <f t="shared" ca="1" si="14"/>
        <v>0</v>
      </c>
      <c r="N34" s="137">
        <f t="shared" ca="1" si="14"/>
        <v>0</v>
      </c>
      <c r="O34" s="137">
        <f t="shared" ca="1" si="14"/>
        <v>0</v>
      </c>
      <c r="P34" s="137">
        <f t="shared" ca="1" si="14"/>
        <v>0</v>
      </c>
      <c r="Q34" s="137">
        <f t="shared" ca="1" si="14"/>
        <v>0</v>
      </c>
      <c r="R34" s="137">
        <f t="shared" ca="1" si="14"/>
        <v>0</v>
      </c>
      <c r="S34" s="137">
        <f t="shared" ca="1" si="14"/>
        <v>0</v>
      </c>
      <c r="T34" s="131">
        <f t="shared" ref="T34:T42" ca="1" si="15">SUM(H34:S34)</f>
        <v>0</v>
      </c>
    </row>
    <row r="35" spans="3:20" outlineLevel="1" x14ac:dyDescent="0.3">
      <c r="C35" t="s">
        <v>199</v>
      </c>
      <c r="D35" s="115"/>
      <c r="E35" s="115"/>
      <c r="F35" s="422" t="s">
        <v>9</v>
      </c>
      <c r="G35" s="422"/>
      <c r="H35" s="134">
        <f ca="1">SUMIFS(
  INDIRECT("input_invoice[net]"),
  INDIRECT("input_invoice[yyyymm]"), 'P&amp;G-Ltd'!H$1,
  INDIRECT("input_invoice[concept/supplier]"), 'P&amp;G-Ltd'!$C35
)</f>
        <v>0</v>
      </c>
      <c r="I35" s="134">
        <f ca="1">SUMIFS(
  INDIRECT("input_invoice[net]"),
  INDIRECT("input_invoice[yyyymm]"), 'P&amp;G-Ltd'!I$1,
  INDIRECT("input_invoice[concept/supplier]"), 'P&amp;G-Ltd'!$C35
)</f>
        <v>0</v>
      </c>
      <c r="J35" s="134">
        <f ca="1">SUMIFS(
  INDIRECT("input_invoice[net]"),
  INDIRECT("input_invoice[yyyymm]"), 'P&amp;G-Ltd'!J$1,
  INDIRECT("input_invoice[concept/supplier]"), 'P&amp;G-Ltd'!$C35
)</f>
        <v>0</v>
      </c>
      <c r="K35" s="134">
        <f ca="1">SUMIFS(
  INDIRECT("input_invoice[net]"),
  INDIRECT("input_invoice[yyyymm]"), 'P&amp;G-Ltd'!K$1,
  INDIRECT("input_invoice[concept/supplier]"), 'P&amp;G-Ltd'!$C35
)</f>
        <v>0</v>
      </c>
      <c r="L35" s="134">
        <f ca="1">SUMIFS(
  INDIRECT("input_invoice[net]"),
  INDIRECT("input_invoice[yyyymm]"), 'P&amp;G-Ltd'!L$1,
  INDIRECT("input_invoice[concept/supplier]"), 'P&amp;G-Ltd'!$C35
)</f>
        <v>0</v>
      </c>
      <c r="M35" s="134">
        <f ca="1">SUMIFS(
  INDIRECT("input_invoice[net]"),
  INDIRECT("input_invoice[yyyymm]"), 'P&amp;G-Ltd'!M$1,
  INDIRECT("input_invoice[concept/supplier]"), 'P&amp;G-Ltd'!$C35
)</f>
        <v>0</v>
      </c>
      <c r="N35" s="134">
        <f ca="1">SUMIFS(
  INDIRECT("input_invoice[net]"),
  INDIRECT("input_invoice[yyyymm]"), 'P&amp;G-Ltd'!N$1,
  INDIRECT("input_invoice[concept/supplier]"), 'P&amp;G-Ltd'!$C35
)</f>
        <v>0</v>
      </c>
      <c r="O35" s="134">
        <f ca="1">SUMIFS(
  INDIRECT("input_invoice[net]"),
  INDIRECT("input_invoice[yyyymm]"), 'P&amp;G-Ltd'!O$1,
  INDIRECT("input_invoice[concept/supplier]"), 'P&amp;G-Ltd'!$C35
)</f>
        <v>0</v>
      </c>
      <c r="P35" s="134">
        <f ca="1">SUMIFS(
  INDIRECT("input_invoice[net]"),
  INDIRECT("input_invoice[yyyymm]"), 'P&amp;G-Ltd'!P$1,
  INDIRECT("input_invoice[concept/supplier]"), 'P&amp;G-Ltd'!$C35
)</f>
        <v>0</v>
      </c>
      <c r="Q35" s="134">
        <f ca="1">SUMIFS(
  INDIRECT("input_invoice[net]"),
  INDIRECT("input_invoice[yyyymm]"), 'P&amp;G-Ltd'!Q$1,
  INDIRECT("input_invoice[concept/supplier]"), 'P&amp;G-Ltd'!$C35
)</f>
        <v>0</v>
      </c>
      <c r="R35" s="134">
        <f ca="1">SUMIFS(
  INDIRECT("input_invoice[net]"),
  INDIRECT("input_invoice[yyyymm]"), 'P&amp;G-Ltd'!R$1,
  INDIRECT("input_invoice[concept/supplier]"), 'P&amp;G-Ltd'!$C35
)</f>
        <v>0</v>
      </c>
      <c r="S35" s="134">
        <f ca="1">SUMIFS(
  INDIRECT("input_invoice[net]"),
  INDIRECT("input_invoice[yyyymm]"), 'P&amp;G-Ltd'!S$1,
  INDIRECT("input_invoice[concept/supplier]"), 'P&amp;G-Ltd'!$C35
)</f>
        <v>0</v>
      </c>
      <c r="T35" s="131">
        <f t="shared" ca="1" si="15"/>
        <v>0</v>
      </c>
    </row>
    <row r="36" spans="3:20" outlineLevel="1" x14ac:dyDescent="0.3">
      <c r="C36" t="s">
        <v>200</v>
      </c>
      <c r="D36" s="115"/>
      <c r="E36" s="115"/>
      <c r="F36" s="422" t="s">
        <v>67</v>
      </c>
      <c r="G36" s="422"/>
      <c r="H36" s="134">
        <f ca="1">SUMIFS(
  INDIRECT("input_invoice[net]"),
  INDIRECT("input_invoice[yyyymm]"), 'P&amp;G-Ltd'!H$1,
  INDIRECT("input_invoice[concept/supplier]"), 'P&amp;G-Ltd'!$C36
)</f>
        <v>0</v>
      </c>
      <c r="I36" s="134">
        <f ca="1">SUMIFS(
  INDIRECT("input_invoice[net]"),
  INDIRECT("input_invoice[yyyymm]"), 'P&amp;G-Ltd'!I$1,
  INDIRECT("input_invoice[concept/supplier]"), 'P&amp;G-Ltd'!$C36
)</f>
        <v>0</v>
      </c>
      <c r="J36" s="134">
        <f ca="1">SUMIFS(
  INDIRECT("input_invoice[net]"),
  INDIRECT("input_invoice[yyyymm]"), 'P&amp;G-Ltd'!J$1,
  INDIRECT("input_invoice[concept/supplier]"), 'P&amp;G-Ltd'!$C36
)</f>
        <v>0</v>
      </c>
      <c r="K36" s="134">
        <f ca="1">SUMIFS(
  INDIRECT("input_invoice[net]"),
  INDIRECT("input_invoice[yyyymm]"), 'P&amp;G-Ltd'!K$1,
  INDIRECT("input_invoice[concept/supplier]"), 'P&amp;G-Ltd'!$C36
)</f>
        <v>0</v>
      </c>
      <c r="L36" s="134">
        <f ca="1">SUMIFS(
  INDIRECT("input_invoice[net]"),
  INDIRECT("input_invoice[yyyymm]"), 'P&amp;G-Ltd'!L$1,
  INDIRECT("input_invoice[concept/supplier]"), 'P&amp;G-Ltd'!$C36
)</f>
        <v>0</v>
      </c>
      <c r="M36" s="134">
        <f ca="1">SUMIFS(
  INDIRECT("input_invoice[net]"),
  INDIRECT("input_invoice[yyyymm]"), 'P&amp;G-Ltd'!M$1,
  INDIRECT("input_invoice[concept/supplier]"), 'P&amp;G-Ltd'!$C36
)</f>
        <v>0</v>
      </c>
      <c r="N36" s="134">
        <f ca="1">SUMIFS(
  INDIRECT("input_invoice[net]"),
  INDIRECT("input_invoice[yyyymm]"), 'P&amp;G-Ltd'!N$1,
  INDIRECT("input_invoice[concept/supplier]"), 'P&amp;G-Ltd'!$C36
)</f>
        <v>0</v>
      </c>
      <c r="O36" s="134">
        <f ca="1">SUMIFS(
  INDIRECT("input_invoice[net]"),
  INDIRECT("input_invoice[yyyymm]"), 'P&amp;G-Ltd'!O$1,
  INDIRECT("input_invoice[concept/supplier]"), 'P&amp;G-Ltd'!$C36
)</f>
        <v>0</v>
      </c>
      <c r="P36" s="134">
        <f ca="1">SUMIFS(
  INDIRECT("input_invoice[net]"),
  INDIRECT("input_invoice[yyyymm]"), 'P&amp;G-Ltd'!P$1,
  INDIRECT("input_invoice[concept/supplier]"), 'P&amp;G-Ltd'!$C36
)</f>
        <v>0</v>
      </c>
      <c r="Q36" s="134">
        <f ca="1">SUMIFS(
  INDIRECT("input_invoice[net]"),
  INDIRECT("input_invoice[yyyymm]"), 'P&amp;G-Ltd'!Q$1,
  INDIRECT("input_invoice[concept/supplier]"), 'P&amp;G-Ltd'!$C36
)</f>
        <v>0</v>
      </c>
      <c r="R36" s="134">
        <f ca="1">SUMIFS(
  INDIRECT("input_invoice[net]"),
  INDIRECT("input_invoice[yyyymm]"), 'P&amp;G-Ltd'!R$1,
  INDIRECT("input_invoice[concept/supplier]"), 'P&amp;G-Ltd'!$C36
)</f>
        <v>0</v>
      </c>
      <c r="S36" s="134">
        <f ca="1">SUMIFS(
  INDIRECT("input_invoice[net]"),
  INDIRECT("input_invoice[yyyymm]"), 'P&amp;G-Ltd'!S$1,
  INDIRECT("input_invoice[concept/supplier]"), 'P&amp;G-Ltd'!$C36
)</f>
        <v>0</v>
      </c>
      <c r="T36" s="131">
        <f t="shared" ca="1" si="15"/>
        <v>0</v>
      </c>
    </row>
    <row r="37" spans="3:20" outlineLevel="1" x14ac:dyDescent="0.3">
      <c r="C37" t="s">
        <v>201</v>
      </c>
      <c r="D37" s="115"/>
      <c r="E37" s="115"/>
      <c r="F37" s="422" t="s">
        <v>69</v>
      </c>
      <c r="G37" s="422"/>
      <c r="H37" s="134">
        <f ca="1">SUMIFS(
  INDIRECT("input_invoice[net]"),
  INDIRECT("input_invoice[yyyymm]"), 'P&amp;G-Ltd'!H$1,
  INDIRECT("input_invoice[concept/supplier]"), 'P&amp;G-Ltd'!$C37
)</f>
        <v>0</v>
      </c>
      <c r="I37" s="134">
        <f ca="1">SUMIFS(
  INDIRECT("input_invoice[net]"),
  INDIRECT("input_invoice[yyyymm]"), 'P&amp;G-Ltd'!I$1,
  INDIRECT("input_invoice[concept/supplier]"), 'P&amp;G-Ltd'!$C37
)</f>
        <v>0</v>
      </c>
      <c r="J37" s="134">
        <f ca="1">SUMIFS(
  INDIRECT("input_invoice[net]"),
  INDIRECT("input_invoice[yyyymm]"), 'P&amp;G-Ltd'!J$1,
  INDIRECT("input_invoice[concept/supplier]"), 'P&amp;G-Ltd'!$C37
)</f>
        <v>0</v>
      </c>
      <c r="K37" s="134">
        <f ca="1">SUMIFS(
  INDIRECT("input_invoice[net]"),
  INDIRECT("input_invoice[yyyymm]"), 'P&amp;G-Ltd'!K$1,
  INDIRECT("input_invoice[concept/supplier]"), 'P&amp;G-Ltd'!$C37
)</f>
        <v>0</v>
      </c>
      <c r="L37" s="134">
        <f ca="1">SUMIFS(
  INDIRECT("input_invoice[net]"),
  INDIRECT("input_invoice[yyyymm]"), 'P&amp;G-Ltd'!L$1,
  INDIRECT("input_invoice[concept/supplier]"), 'P&amp;G-Ltd'!$C37
)</f>
        <v>0</v>
      </c>
      <c r="M37" s="134">
        <f ca="1">SUMIFS(
  INDIRECT("input_invoice[net]"),
  INDIRECT("input_invoice[yyyymm]"), 'P&amp;G-Ltd'!M$1,
  INDIRECT("input_invoice[concept/supplier]"), 'P&amp;G-Ltd'!$C37
)</f>
        <v>0</v>
      </c>
      <c r="N37" s="134">
        <f ca="1">SUMIFS(
  INDIRECT("input_invoice[net]"),
  INDIRECT("input_invoice[yyyymm]"), 'P&amp;G-Ltd'!N$1,
  INDIRECT("input_invoice[concept/supplier]"), 'P&amp;G-Ltd'!$C37
)</f>
        <v>0</v>
      </c>
      <c r="O37" s="134">
        <f ca="1">SUMIFS(
  INDIRECT("input_invoice[net]"),
  INDIRECT("input_invoice[yyyymm]"), 'P&amp;G-Ltd'!O$1,
  INDIRECT("input_invoice[concept/supplier]"), 'P&amp;G-Ltd'!$C37
)</f>
        <v>0</v>
      </c>
      <c r="P37" s="134">
        <f ca="1">SUMIFS(
  INDIRECT("input_invoice[net]"),
  INDIRECT("input_invoice[yyyymm]"), 'P&amp;G-Ltd'!P$1,
  INDIRECT("input_invoice[concept/supplier]"), 'P&amp;G-Ltd'!$C37
)</f>
        <v>0</v>
      </c>
      <c r="Q37" s="134">
        <f ca="1">SUMIFS(
  INDIRECT("input_invoice[net]"),
  INDIRECT("input_invoice[yyyymm]"), 'P&amp;G-Ltd'!Q$1,
  INDIRECT("input_invoice[concept/supplier]"), 'P&amp;G-Ltd'!$C37
)</f>
        <v>0</v>
      </c>
      <c r="R37" s="134">
        <f ca="1">SUMIFS(
  INDIRECT("input_invoice[net]"),
  INDIRECT("input_invoice[yyyymm]"), 'P&amp;G-Ltd'!R$1,
  INDIRECT("input_invoice[concept/supplier]"), 'P&amp;G-Ltd'!$C37
)</f>
        <v>0</v>
      </c>
      <c r="S37" s="134">
        <f ca="1">SUMIFS(
  INDIRECT("input_invoice[net]"),
  INDIRECT("input_invoice[yyyymm]"), 'P&amp;G-Ltd'!S$1,
  INDIRECT("input_invoice[concept/supplier]"), 'P&amp;G-Ltd'!$C37
)</f>
        <v>0</v>
      </c>
      <c r="T37" s="131">
        <f t="shared" ca="1" si="15"/>
        <v>0</v>
      </c>
    </row>
    <row r="38" spans="3:20" outlineLevel="1" x14ac:dyDescent="0.3">
      <c r="C38" t="s">
        <v>202</v>
      </c>
      <c r="D38" s="115"/>
      <c r="E38" s="115"/>
      <c r="F38" s="422" t="s">
        <v>71</v>
      </c>
      <c r="G38" s="422"/>
      <c r="H38" s="134">
        <f ca="1">SUMIFS(
  INDIRECT("input_invoice[net]"),
  INDIRECT("input_invoice[yyyymm]"), 'P&amp;G-Ltd'!H$1,
  INDIRECT("input_invoice[concept/supplier]"), 'P&amp;G-Ltd'!$C38
)</f>
        <v>0</v>
      </c>
      <c r="I38" s="134">
        <f ca="1">SUMIFS(
  INDIRECT("input_invoice[net]"),
  INDIRECT("input_invoice[yyyymm]"), 'P&amp;G-Ltd'!I$1,
  INDIRECT("input_invoice[concept/supplier]"), 'P&amp;G-Ltd'!$C38
)</f>
        <v>0</v>
      </c>
      <c r="J38" s="134">
        <f ca="1">SUMIFS(
  INDIRECT("input_invoice[net]"),
  INDIRECT("input_invoice[yyyymm]"), 'P&amp;G-Ltd'!J$1,
  INDIRECT("input_invoice[concept/supplier]"), 'P&amp;G-Ltd'!$C38
)</f>
        <v>0</v>
      </c>
      <c r="K38" s="134">
        <f ca="1">SUMIFS(
  INDIRECT("input_invoice[net]"),
  INDIRECT("input_invoice[yyyymm]"), 'P&amp;G-Ltd'!K$1,
  INDIRECT("input_invoice[concept/supplier]"), 'P&amp;G-Ltd'!$C38
)</f>
        <v>0</v>
      </c>
      <c r="L38" s="134">
        <f ca="1">SUMIFS(
  INDIRECT("input_invoice[net]"),
  INDIRECT("input_invoice[yyyymm]"), 'P&amp;G-Ltd'!L$1,
  INDIRECT("input_invoice[concept/supplier]"), 'P&amp;G-Ltd'!$C38
)</f>
        <v>0</v>
      </c>
      <c r="M38" s="134">
        <f ca="1">SUMIFS(
  INDIRECT("input_invoice[net]"),
  INDIRECT("input_invoice[yyyymm]"), 'P&amp;G-Ltd'!M$1,
  INDIRECT("input_invoice[concept/supplier]"), 'P&amp;G-Ltd'!$C38
)</f>
        <v>0</v>
      </c>
      <c r="N38" s="134">
        <f ca="1">SUMIFS(
  INDIRECT("input_invoice[net]"),
  INDIRECT("input_invoice[yyyymm]"), 'P&amp;G-Ltd'!N$1,
  INDIRECT("input_invoice[concept/supplier]"), 'P&amp;G-Ltd'!$C38
)</f>
        <v>0</v>
      </c>
      <c r="O38" s="134">
        <f ca="1">SUMIFS(
  INDIRECT("input_invoice[net]"),
  INDIRECT("input_invoice[yyyymm]"), 'P&amp;G-Ltd'!O$1,
  INDIRECT("input_invoice[concept/supplier]"), 'P&amp;G-Ltd'!$C38
)</f>
        <v>0</v>
      </c>
      <c r="P38" s="134">
        <f ca="1">SUMIFS(
  INDIRECT("input_invoice[net]"),
  INDIRECT("input_invoice[yyyymm]"), 'P&amp;G-Ltd'!P$1,
  INDIRECT("input_invoice[concept/supplier]"), 'P&amp;G-Ltd'!$C38
)</f>
        <v>0</v>
      </c>
      <c r="Q38" s="134">
        <f ca="1">SUMIFS(
  INDIRECT("input_invoice[net]"),
  INDIRECT("input_invoice[yyyymm]"), 'P&amp;G-Ltd'!Q$1,
  INDIRECT("input_invoice[concept/supplier]"), 'P&amp;G-Ltd'!$C38
)</f>
        <v>0</v>
      </c>
      <c r="R38" s="134">
        <f ca="1">SUMIFS(
  INDIRECT("input_invoice[net]"),
  INDIRECT("input_invoice[yyyymm]"), 'P&amp;G-Ltd'!R$1,
  INDIRECT("input_invoice[concept/supplier]"), 'P&amp;G-Ltd'!$C38
)</f>
        <v>0</v>
      </c>
      <c r="S38" s="134">
        <f ca="1">SUMIFS(
  INDIRECT("input_invoice[net]"),
  INDIRECT("input_invoice[yyyymm]"), 'P&amp;G-Ltd'!S$1,
  INDIRECT("input_invoice[concept/supplier]"), 'P&amp;G-Ltd'!$C38
)</f>
        <v>0</v>
      </c>
      <c r="T38" s="131">
        <f t="shared" ca="1" si="15"/>
        <v>0</v>
      </c>
    </row>
    <row r="39" spans="3:20" outlineLevel="1" x14ac:dyDescent="0.3">
      <c r="C39" t="s">
        <v>203</v>
      </c>
      <c r="D39" s="115"/>
      <c r="E39" s="115"/>
      <c r="F39" s="422" t="s">
        <v>73</v>
      </c>
      <c r="G39" s="422"/>
      <c r="H39" s="134">
        <f ca="1">SUMIFS(
  INDIRECT("input_invoice[net]"),
  INDIRECT("input_invoice[yyyymm]"), 'P&amp;G-Ltd'!H$1,
  INDIRECT("input_invoice[concept/supplier]"), 'P&amp;G-Ltd'!$C39
)</f>
        <v>0</v>
      </c>
      <c r="I39" s="134">
        <f ca="1">SUMIFS(
  INDIRECT("input_invoice[net]"),
  INDIRECT("input_invoice[yyyymm]"), 'P&amp;G-Ltd'!I$1,
  INDIRECT("input_invoice[concept/supplier]"), 'P&amp;G-Ltd'!$C39
)</f>
        <v>0</v>
      </c>
      <c r="J39" s="134">
        <f ca="1">SUMIFS(
  INDIRECT("input_invoice[net]"),
  INDIRECT("input_invoice[yyyymm]"), 'P&amp;G-Ltd'!J$1,
  INDIRECT("input_invoice[concept/supplier]"), 'P&amp;G-Ltd'!$C39
)</f>
        <v>0</v>
      </c>
      <c r="K39" s="134">
        <f ca="1">SUMIFS(
  INDIRECT("input_invoice[net]"),
  INDIRECT("input_invoice[yyyymm]"), 'P&amp;G-Ltd'!K$1,
  INDIRECT("input_invoice[concept/supplier]"), 'P&amp;G-Ltd'!$C39
)</f>
        <v>0</v>
      </c>
      <c r="L39" s="134">
        <f ca="1">SUMIFS(
  INDIRECT("input_invoice[net]"),
  INDIRECT("input_invoice[yyyymm]"), 'P&amp;G-Ltd'!L$1,
  INDIRECT("input_invoice[concept/supplier]"), 'P&amp;G-Ltd'!$C39
)</f>
        <v>0</v>
      </c>
      <c r="M39" s="134">
        <f ca="1">SUMIFS(
  INDIRECT("input_invoice[net]"),
  INDIRECT("input_invoice[yyyymm]"), 'P&amp;G-Ltd'!M$1,
  INDIRECT("input_invoice[concept/supplier]"), 'P&amp;G-Ltd'!$C39
)</f>
        <v>0</v>
      </c>
      <c r="N39" s="134">
        <f ca="1">SUMIFS(
  INDIRECT("input_invoice[net]"),
  INDIRECT("input_invoice[yyyymm]"), 'P&amp;G-Ltd'!N$1,
  INDIRECT("input_invoice[concept/supplier]"), 'P&amp;G-Ltd'!$C39
)</f>
        <v>0</v>
      </c>
      <c r="O39" s="134">
        <f ca="1">SUMIFS(
  INDIRECT("input_invoice[net]"),
  INDIRECT("input_invoice[yyyymm]"), 'P&amp;G-Ltd'!O$1,
  INDIRECT("input_invoice[concept/supplier]"), 'P&amp;G-Ltd'!$C39
)</f>
        <v>0</v>
      </c>
      <c r="P39" s="134">
        <f ca="1">SUMIFS(
  INDIRECT("input_invoice[net]"),
  INDIRECT("input_invoice[yyyymm]"), 'P&amp;G-Ltd'!P$1,
  INDIRECT("input_invoice[concept/supplier]"), 'P&amp;G-Ltd'!$C39
)</f>
        <v>0</v>
      </c>
      <c r="Q39" s="134">
        <f ca="1">SUMIFS(
  INDIRECT("input_invoice[net]"),
  INDIRECT("input_invoice[yyyymm]"), 'P&amp;G-Ltd'!Q$1,
  INDIRECT("input_invoice[concept/supplier]"), 'P&amp;G-Ltd'!$C39
)</f>
        <v>0</v>
      </c>
      <c r="R39" s="134">
        <f ca="1">SUMIFS(
  INDIRECT("input_invoice[net]"),
  INDIRECT("input_invoice[yyyymm]"), 'P&amp;G-Ltd'!R$1,
  INDIRECT("input_invoice[concept/supplier]"), 'P&amp;G-Ltd'!$C39
)</f>
        <v>0</v>
      </c>
      <c r="S39" s="134">
        <f ca="1">SUMIFS(
  INDIRECT("input_invoice[net]"),
  INDIRECT("input_invoice[yyyymm]"), 'P&amp;G-Ltd'!S$1,
  INDIRECT("input_invoice[concept/supplier]"), 'P&amp;G-Ltd'!$C39
)</f>
        <v>0</v>
      </c>
      <c r="T39" s="131">
        <f t="shared" ca="1" si="15"/>
        <v>0</v>
      </c>
    </row>
    <row r="40" spans="3:20" outlineLevel="1" x14ac:dyDescent="0.3">
      <c r="C40" t="s">
        <v>204</v>
      </c>
      <c r="D40" s="115"/>
      <c r="E40" s="115"/>
      <c r="F40" s="422" t="s">
        <v>12</v>
      </c>
      <c r="G40" s="422"/>
      <c r="H40" s="134">
        <f ca="1">SUMIFS(
  INDIRECT("input_invoice[net]"),
  INDIRECT("input_invoice[yyyymm]"), 'P&amp;G-Ltd'!H$1,
  INDIRECT("input_invoice[concept/supplier]"), 'P&amp;G-Ltd'!$C40
)</f>
        <v>0</v>
      </c>
      <c r="I40" s="134">
        <f ca="1">SUMIFS(
  INDIRECT("input_invoice[net]"),
  INDIRECT("input_invoice[yyyymm]"), 'P&amp;G-Ltd'!I$1,
  INDIRECT("input_invoice[concept/supplier]"), 'P&amp;G-Ltd'!$C40
)</f>
        <v>0</v>
      </c>
      <c r="J40" s="134">
        <f ca="1">SUMIFS(
  INDIRECT("input_invoice[net]"),
  INDIRECT("input_invoice[yyyymm]"), 'P&amp;G-Ltd'!J$1,
  INDIRECT("input_invoice[concept/supplier]"), 'P&amp;G-Ltd'!$C40
)</f>
        <v>0</v>
      </c>
      <c r="K40" s="134">
        <f ca="1">SUMIFS(
  INDIRECT("input_invoice[net]"),
  INDIRECT("input_invoice[yyyymm]"), 'P&amp;G-Ltd'!K$1,
  INDIRECT("input_invoice[concept/supplier]"), 'P&amp;G-Ltd'!$C40
)</f>
        <v>0</v>
      </c>
      <c r="L40" s="134">
        <f ca="1">SUMIFS(
  INDIRECT("input_invoice[net]"),
  INDIRECT("input_invoice[yyyymm]"), 'P&amp;G-Ltd'!L$1,
  INDIRECT("input_invoice[concept/supplier]"), 'P&amp;G-Ltd'!$C40
)</f>
        <v>0</v>
      </c>
      <c r="M40" s="134">
        <f ca="1">SUMIFS(
  INDIRECT("input_invoice[net]"),
  INDIRECT("input_invoice[yyyymm]"), 'P&amp;G-Ltd'!M$1,
  INDIRECT("input_invoice[concept/supplier]"), 'P&amp;G-Ltd'!$C40
)</f>
        <v>0</v>
      </c>
      <c r="N40" s="134">
        <f ca="1">SUMIFS(
  INDIRECT("input_invoice[net]"),
  INDIRECT("input_invoice[yyyymm]"), 'P&amp;G-Ltd'!N$1,
  INDIRECT("input_invoice[concept/supplier]"), 'P&amp;G-Ltd'!$C40
)</f>
        <v>0</v>
      </c>
      <c r="O40" s="134">
        <f ca="1">SUMIFS(
  INDIRECT("input_invoice[net]"),
  INDIRECT("input_invoice[yyyymm]"), 'P&amp;G-Ltd'!O$1,
  INDIRECT("input_invoice[concept/supplier]"), 'P&amp;G-Ltd'!$C40
)</f>
        <v>0</v>
      </c>
      <c r="P40" s="134">
        <f ca="1">SUMIFS(
  INDIRECT("input_invoice[net]"),
  INDIRECT("input_invoice[yyyymm]"), 'P&amp;G-Ltd'!P$1,
  INDIRECT("input_invoice[concept/supplier]"), 'P&amp;G-Ltd'!$C40
)</f>
        <v>0</v>
      </c>
      <c r="Q40" s="134">
        <f ca="1">SUMIFS(
  INDIRECT("input_invoice[net]"),
  INDIRECT("input_invoice[yyyymm]"), 'P&amp;G-Ltd'!Q$1,
  INDIRECT("input_invoice[concept/supplier]"), 'P&amp;G-Ltd'!$C40
)</f>
        <v>0</v>
      </c>
      <c r="R40" s="134">
        <f ca="1">SUMIFS(
  INDIRECT("input_invoice[net]"),
  INDIRECT("input_invoice[yyyymm]"), 'P&amp;G-Ltd'!R$1,
  INDIRECT("input_invoice[concept/supplier]"), 'P&amp;G-Ltd'!$C40
)</f>
        <v>0</v>
      </c>
      <c r="S40" s="134">
        <f ca="1">SUMIFS(
  INDIRECT("input_invoice[net]"),
  INDIRECT("input_invoice[yyyymm]"), 'P&amp;G-Ltd'!S$1,
  INDIRECT("input_invoice[concept/supplier]"), 'P&amp;G-Ltd'!$C40
)</f>
        <v>0</v>
      </c>
      <c r="T40" s="131">
        <f t="shared" ca="1" si="15"/>
        <v>0</v>
      </c>
    </row>
    <row r="41" spans="3:20" ht="15" customHeight="1" x14ac:dyDescent="0.3">
      <c r="D41" s="417" t="s">
        <v>80</v>
      </c>
      <c r="E41" s="417"/>
      <c r="F41" s="417"/>
      <c r="G41" s="417"/>
      <c r="H41" s="137">
        <f ca="1">+H42</f>
        <v>0</v>
      </c>
      <c r="I41" s="137">
        <f t="shared" ref="I41:S41" ca="1" si="16">+I42</f>
        <v>0</v>
      </c>
      <c r="J41" s="137">
        <f t="shared" ca="1" si="16"/>
        <v>0</v>
      </c>
      <c r="K41" s="137">
        <f t="shared" ca="1" si="16"/>
        <v>0</v>
      </c>
      <c r="L41" s="137">
        <f t="shared" ca="1" si="16"/>
        <v>0</v>
      </c>
      <c r="M41" s="137">
        <f t="shared" ca="1" si="16"/>
        <v>0</v>
      </c>
      <c r="N41" s="137">
        <f t="shared" ca="1" si="16"/>
        <v>0</v>
      </c>
      <c r="O41" s="137">
        <f t="shared" ca="1" si="16"/>
        <v>0</v>
      </c>
      <c r="P41" s="137">
        <f t="shared" ca="1" si="16"/>
        <v>0</v>
      </c>
      <c r="Q41" s="137">
        <f t="shared" ca="1" si="16"/>
        <v>0</v>
      </c>
      <c r="R41" s="137">
        <f t="shared" ca="1" si="16"/>
        <v>0</v>
      </c>
      <c r="S41" s="137">
        <f t="shared" ca="1" si="16"/>
        <v>0</v>
      </c>
      <c r="T41" s="131">
        <f t="shared" ca="1" si="15"/>
        <v>0</v>
      </c>
    </row>
    <row r="42" spans="3:20" ht="15" customHeight="1" outlineLevel="1" x14ac:dyDescent="0.3">
      <c r="C42" t="s">
        <v>205</v>
      </c>
      <c r="D42" s="118"/>
      <c r="E42" s="118"/>
      <c r="F42" s="423" t="s">
        <v>33</v>
      </c>
      <c r="G42" s="423"/>
      <c r="H42" s="134">
        <f ca="1">SUMIFS(
  INDIRECT("input_invoice[net]"),
  INDIRECT("input_invoice[yyyymm]"), 'P&amp;G-Ltd'!H$1,
  INDIRECT("input_invoice[concept/supplier]"), 'P&amp;G-Ltd'!$C42
)</f>
        <v>0</v>
      </c>
      <c r="I42" s="134">
        <f ca="1">SUMIFS(
  INDIRECT("input_invoice[net]"),
  INDIRECT("input_invoice[yyyymm]"), 'P&amp;G-Ltd'!I$1,
  INDIRECT("input_invoice[concept/supplier]"), 'P&amp;G-Ltd'!$C42
)</f>
        <v>0</v>
      </c>
      <c r="J42" s="134">
        <f ca="1">SUMIFS(
  INDIRECT("input_invoice[net]"),
  INDIRECT("input_invoice[yyyymm]"), 'P&amp;G-Ltd'!J$1,
  INDIRECT("input_invoice[concept/supplier]"), 'P&amp;G-Ltd'!$C42
)</f>
        <v>0</v>
      </c>
      <c r="K42" s="134">
        <f ca="1">SUMIFS(
  INDIRECT("input_invoice[net]"),
  INDIRECT("input_invoice[yyyymm]"), 'P&amp;G-Ltd'!K$1,
  INDIRECT("input_invoice[concept/supplier]"), 'P&amp;G-Ltd'!$C42
)</f>
        <v>0</v>
      </c>
      <c r="L42" s="134">
        <f ca="1">SUMIFS(
  INDIRECT("input_invoice[net]"),
  INDIRECT("input_invoice[yyyymm]"), 'P&amp;G-Ltd'!L$1,
  INDIRECT("input_invoice[concept/supplier]"), 'P&amp;G-Ltd'!$C42
)</f>
        <v>0</v>
      </c>
      <c r="M42" s="134">
        <f ca="1">SUMIFS(
  INDIRECT("input_invoice[net]"),
  INDIRECT("input_invoice[yyyymm]"), 'P&amp;G-Ltd'!M$1,
  INDIRECT("input_invoice[concept/supplier]"), 'P&amp;G-Ltd'!$C42
)</f>
        <v>0</v>
      </c>
      <c r="N42" s="134">
        <f ca="1">SUMIFS(
  INDIRECT("input_invoice[net]"),
  INDIRECT("input_invoice[yyyymm]"), 'P&amp;G-Ltd'!N$1,
  INDIRECT("input_invoice[concept/supplier]"), 'P&amp;G-Ltd'!$C42
)</f>
        <v>0</v>
      </c>
      <c r="O42" s="134">
        <f ca="1">SUMIFS(
  INDIRECT("input_invoice[net]"),
  INDIRECT("input_invoice[yyyymm]"), 'P&amp;G-Ltd'!O$1,
  INDIRECT("input_invoice[concept/supplier]"), 'P&amp;G-Ltd'!$C42
)</f>
        <v>0</v>
      </c>
      <c r="P42" s="134">
        <f ca="1">SUMIFS(
  INDIRECT("input_invoice[net]"),
  INDIRECT("input_invoice[yyyymm]"), 'P&amp;G-Ltd'!P$1,
  INDIRECT("input_invoice[concept/supplier]"), 'P&amp;G-Ltd'!$C42
)</f>
        <v>0</v>
      </c>
      <c r="Q42" s="134">
        <f ca="1">SUMIFS(
  INDIRECT("input_invoice[net]"),
  INDIRECT("input_invoice[yyyymm]"), 'P&amp;G-Ltd'!Q$1,
  INDIRECT("input_invoice[concept/supplier]"), 'P&amp;G-Ltd'!$C42
)</f>
        <v>0</v>
      </c>
      <c r="R42" s="134">
        <f ca="1">SUMIFS(
  INDIRECT("input_invoice[net]"),
  INDIRECT("input_invoice[yyyymm]"), 'P&amp;G-Ltd'!R$1,
  INDIRECT("input_invoice[concept/supplier]"), 'P&amp;G-Ltd'!$C42
)</f>
        <v>0</v>
      </c>
      <c r="S42" s="134">
        <f ca="1">SUMIFS(
  INDIRECT("input_invoice[net]"),
  INDIRECT("input_invoice[yyyymm]"), 'P&amp;G-Ltd'!S$1,
  INDIRECT("input_invoice[concept/supplier]"), 'P&amp;G-Ltd'!$C42
)</f>
        <v>0</v>
      </c>
      <c r="T42" s="139">
        <f t="shared" ca="1" si="15"/>
        <v>0</v>
      </c>
    </row>
    <row r="43" spans="3:20" ht="15" customHeight="1" outlineLevel="1" x14ac:dyDescent="0.3">
      <c r="D43" s="424" t="s">
        <v>82</v>
      </c>
      <c r="E43" s="424"/>
      <c r="F43" s="424"/>
      <c r="G43" s="424"/>
      <c r="H43" s="150">
        <f t="shared" ref="H43:S43" ca="1" si="17">1-((H17)/H4)</f>
        <v>0.69723664652995088</v>
      </c>
      <c r="I43" s="150">
        <f t="shared" ca="1" si="17"/>
        <v>0.76356266968616904</v>
      </c>
      <c r="J43" s="150">
        <f t="shared" ca="1" si="17"/>
        <v>1</v>
      </c>
      <c r="K43" s="150" t="e">
        <f t="shared" ca="1" si="17"/>
        <v>#DIV/0!</v>
      </c>
      <c r="L43" s="150" t="e">
        <f t="shared" ca="1" si="17"/>
        <v>#DIV/0!</v>
      </c>
      <c r="M43" s="150" t="e">
        <f t="shared" ca="1" si="17"/>
        <v>#DIV/0!</v>
      </c>
      <c r="N43" s="150" t="e">
        <f t="shared" ca="1" si="17"/>
        <v>#DIV/0!</v>
      </c>
      <c r="O43" s="150" t="e">
        <f t="shared" ca="1" si="17"/>
        <v>#DIV/0!</v>
      </c>
      <c r="P43" s="150" t="e">
        <f t="shared" ca="1" si="17"/>
        <v>#DIV/0!</v>
      </c>
      <c r="Q43" s="150" t="e">
        <f t="shared" ca="1" si="17"/>
        <v>#DIV/0!</v>
      </c>
      <c r="R43" s="150" t="e">
        <f t="shared" ca="1" si="17"/>
        <v>#DIV/0!</v>
      </c>
      <c r="S43" s="150" t="e">
        <f t="shared" ca="1" si="17"/>
        <v>#DIV/0!</v>
      </c>
      <c r="T43" s="151">
        <f ca="1">SUMIFS(
  INDIRECT("input_invoice[net]"),
  INDIRECT("input_invoice[yyyymm]"), 'P&amp;G-Ltd'!T$1,
  INDIRECT("input_invoice[concept/supplier]"), 'P&amp;G-Ltd'!$C86
)</f>
        <v>0</v>
      </c>
    </row>
    <row r="44" spans="3:20" ht="15" customHeight="1" outlineLevel="1" x14ac:dyDescent="0.3">
      <c r="D44" s="424" t="s">
        <v>83</v>
      </c>
      <c r="E44" s="424"/>
      <c r="F44" s="424"/>
      <c r="G44" s="424"/>
      <c r="H44" s="140">
        <f t="shared" ref="H44:S44" ca="1" si="18">+H4-H17</f>
        <v>10948.47</v>
      </c>
      <c r="I44" s="140">
        <f t="shared" ca="1" si="18"/>
        <v>14835.45</v>
      </c>
      <c r="J44" s="140">
        <f t="shared" ca="1" si="18"/>
        <v>13642.640000000001</v>
      </c>
      <c r="K44" s="140">
        <f t="shared" ca="1" si="18"/>
        <v>0</v>
      </c>
      <c r="L44" s="140">
        <f t="shared" ca="1" si="18"/>
        <v>0</v>
      </c>
      <c r="M44" s="140">
        <f t="shared" ca="1" si="18"/>
        <v>0</v>
      </c>
      <c r="N44" s="140">
        <f t="shared" ca="1" si="18"/>
        <v>0</v>
      </c>
      <c r="O44" s="140">
        <f t="shared" ca="1" si="18"/>
        <v>0</v>
      </c>
      <c r="P44" s="140">
        <f t="shared" ca="1" si="18"/>
        <v>0</v>
      </c>
      <c r="Q44" s="140">
        <f t="shared" ca="1" si="18"/>
        <v>0</v>
      </c>
      <c r="R44" s="140">
        <f t="shared" ca="1" si="18"/>
        <v>0</v>
      </c>
      <c r="S44" s="140">
        <f t="shared" ca="1" si="18"/>
        <v>0</v>
      </c>
      <c r="T44" s="141"/>
    </row>
    <row r="45" spans="3:20" x14ac:dyDescent="0.3">
      <c r="D45" s="424" t="s">
        <v>84</v>
      </c>
      <c r="E45" s="424"/>
      <c r="F45" s="424"/>
      <c r="G45" s="424"/>
      <c r="H45" s="150" t="e">
        <f t="shared" ref="H45:S45" ca="1" si="19">1-((H16)/H3)</f>
        <v>#REF!</v>
      </c>
      <c r="I45" s="150" t="e">
        <f t="shared" ca="1" si="19"/>
        <v>#REF!</v>
      </c>
      <c r="J45" s="150" t="e">
        <f t="shared" ca="1" si="19"/>
        <v>#REF!</v>
      </c>
      <c r="K45" s="150" t="e">
        <f t="shared" ca="1" si="19"/>
        <v>#REF!</v>
      </c>
      <c r="L45" s="150" t="e">
        <f t="shared" ca="1" si="19"/>
        <v>#REF!</v>
      </c>
      <c r="M45" s="150" t="e">
        <f t="shared" ca="1" si="19"/>
        <v>#REF!</v>
      </c>
      <c r="N45" s="150" t="e">
        <f t="shared" ca="1" si="19"/>
        <v>#REF!</v>
      </c>
      <c r="O45" s="150" t="e">
        <f t="shared" ca="1" si="19"/>
        <v>#REF!</v>
      </c>
      <c r="P45" s="150" t="e">
        <f t="shared" ca="1" si="19"/>
        <v>#REF!</v>
      </c>
      <c r="Q45" s="150" t="e">
        <f t="shared" ca="1" si="19"/>
        <v>#REF!</v>
      </c>
      <c r="R45" s="150" t="e">
        <f t="shared" ca="1" si="19"/>
        <v>#REF!</v>
      </c>
      <c r="S45" s="150" t="e">
        <f t="shared" ca="1" si="19"/>
        <v>#REF!</v>
      </c>
      <c r="T45" s="151">
        <f ca="1">SUMIFS(
  INDIRECT("input_invoice[net]"),
  INDIRECT("input_invoice[yyyymm]"), 'P&amp;G-Ltd'!T$1,
  INDIRECT("input_invoice[concept/supplier]"), 'P&amp;G-Ltd'!$C88
)</f>
        <v>0</v>
      </c>
    </row>
    <row r="46" spans="3:20" ht="15" customHeight="1" x14ac:dyDescent="0.3">
      <c r="D46" s="425" t="s">
        <v>85</v>
      </c>
      <c r="E46" s="425"/>
      <c r="F46" s="425"/>
      <c r="G46" s="425"/>
      <c r="H46" s="142" t="e">
        <f t="shared" ref="H46:S46" ca="1" si="20">+H3-H16</f>
        <v>#REF!</v>
      </c>
      <c r="I46" s="142" t="e">
        <f t="shared" ca="1" si="20"/>
        <v>#REF!</v>
      </c>
      <c r="J46" s="142" t="e">
        <f t="shared" ca="1" si="20"/>
        <v>#REF!</v>
      </c>
      <c r="K46" s="142" t="e">
        <f t="shared" ca="1" si="20"/>
        <v>#REF!</v>
      </c>
      <c r="L46" s="142" t="e">
        <f t="shared" ca="1" si="20"/>
        <v>#REF!</v>
      </c>
      <c r="M46" s="142" t="e">
        <f t="shared" ca="1" si="20"/>
        <v>#REF!</v>
      </c>
      <c r="N46" s="142" t="e">
        <f t="shared" ca="1" si="20"/>
        <v>#REF!</v>
      </c>
      <c r="O46" s="142" t="e">
        <f t="shared" ca="1" si="20"/>
        <v>#REF!</v>
      </c>
      <c r="P46" s="142" t="e">
        <f t="shared" ca="1" si="20"/>
        <v>#REF!</v>
      </c>
      <c r="Q46" s="142" t="e">
        <f t="shared" ca="1" si="20"/>
        <v>#REF!</v>
      </c>
      <c r="R46" s="142" t="e">
        <f t="shared" ca="1" si="20"/>
        <v>#REF!</v>
      </c>
      <c r="S46" s="142" t="e">
        <f t="shared" ca="1" si="20"/>
        <v>#REF!</v>
      </c>
      <c r="T46" s="143" t="e">
        <f t="shared" ref="T46:T53" ca="1" si="21">SUM(H46:S46)</f>
        <v>#REF!</v>
      </c>
    </row>
    <row r="47" spans="3:20" x14ac:dyDescent="0.3">
      <c r="D47" s="119"/>
      <c r="E47" s="119"/>
      <c r="F47" s="119"/>
      <c r="G47" s="119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5">
        <f t="shared" si="21"/>
        <v>0</v>
      </c>
    </row>
    <row r="48" spans="3:20" ht="15" customHeight="1" x14ac:dyDescent="0.3">
      <c r="D48" s="426" t="s">
        <v>86</v>
      </c>
      <c r="E48" s="426"/>
      <c r="F48" s="426"/>
      <c r="G48" s="426"/>
      <c r="H48" s="146">
        <f ca="1">+H49+H55+H58</f>
        <v>8847.8915600000018</v>
      </c>
      <c r="I48" s="146">
        <f t="shared" ref="I48:S48" ca="1" si="22">+I49+I55+I58</f>
        <v>10332.483823966943</v>
      </c>
      <c r="J48" s="146">
        <f t="shared" ca="1" si="22"/>
        <v>0</v>
      </c>
      <c r="K48" s="146">
        <f t="shared" ca="1" si="22"/>
        <v>0</v>
      </c>
      <c r="L48" s="146">
        <f t="shared" ca="1" si="22"/>
        <v>0</v>
      </c>
      <c r="M48" s="146">
        <f t="shared" ca="1" si="22"/>
        <v>0</v>
      </c>
      <c r="N48" s="146">
        <f t="shared" ca="1" si="22"/>
        <v>0</v>
      </c>
      <c r="O48" s="146">
        <f t="shared" ca="1" si="22"/>
        <v>0</v>
      </c>
      <c r="P48" s="146">
        <f t="shared" ca="1" si="22"/>
        <v>0</v>
      </c>
      <c r="Q48" s="146">
        <f t="shared" ca="1" si="22"/>
        <v>0</v>
      </c>
      <c r="R48" s="146">
        <f t="shared" ca="1" si="22"/>
        <v>0</v>
      </c>
      <c r="S48" s="146">
        <f t="shared" ca="1" si="22"/>
        <v>0</v>
      </c>
      <c r="T48" s="131">
        <f t="shared" ca="1" si="21"/>
        <v>19180.375383966944</v>
      </c>
    </row>
    <row r="49" spans="3:20" x14ac:dyDescent="0.3">
      <c r="D49" s="417" t="s">
        <v>87</v>
      </c>
      <c r="E49" s="417"/>
      <c r="F49" s="417"/>
      <c r="G49" s="417"/>
      <c r="H49" s="137">
        <f ca="1">SUM(H50:H53)</f>
        <v>5164.8590000000004</v>
      </c>
      <c r="I49" s="137">
        <f t="shared" ref="I49:S49" ca="1" si="23">SUM(I50:I53)</f>
        <v>6631.9889999999996</v>
      </c>
      <c r="J49" s="137">
        <f t="shared" ca="1" si="23"/>
        <v>0</v>
      </c>
      <c r="K49" s="137">
        <f t="shared" ca="1" si="23"/>
        <v>0</v>
      </c>
      <c r="L49" s="137">
        <f t="shared" ca="1" si="23"/>
        <v>0</v>
      </c>
      <c r="M49" s="137">
        <f t="shared" ca="1" si="23"/>
        <v>0</v>
      </c>
      <c r="N49" s="137">
        <f t="shared" ca="1" si="23"/>
        <v>0</v>
      </c>
      <c r="O49" s="137">
        <f t="shared" ca="1" si="23"/>
        <v>0</v>
      </c>
      <c r="P49" s="137">
        <f t="shared" ca="1" si="23"/>
        <v>0</v>
      </c>
      <c r="Q49" s="137">
        <f t="shared" ca="1" si="23"/>
        <v>0</v>
      </c>
      <c r="R49" s="137">
        <f t="shared" ca="1" si="23"/>
        <v>0</v>
      </c>
      <c r="S49" s="137">
        <f t="shared" ca="1" si="23"/>
        <v>0</v>
      </c>
      <c r="T49" s="131">
        <f t="shared" ca="1" si="21"/>
        <v>11796.848</v>
      </c>
    </row>
    <row r="50" spans="3:20" outlineLevel="1" x14ac:dyDescent="0.3">
      <c r="C50" t="s">
        <v>94</v>
      </c>
      <c r="D50" s="113"/>
      <c r="E50" s="113"/>
      <c r="F50" s="422" t="s">
        <v>89</v>
      </c>
      <c r="G50" s="422"/>
      <c r="H50" s="138">
        <f ca="1">SUMIFS(
  INDIRECT("input_provisions[import]"),
  INDIRECT("input_provisions[yyyymm]"), 'P&amp;G-Ltd'!H$1,
  INDIRECT("input_provisions[concept/supplier]"), 'P&amp;G-Ltd'!$C50
)*H82</f>
        <v>2253.3634000000002</v>
      </c>
      <c r="I50" s="138">
        <f ca="1">SUMIFS(
  INDIRECT("input_provisions[import]"),
  INDIRECT("input_provisions[yyyymm]"), 'P&amp;G-Ltd'!I$1,
  INDIRECT("input_provisions[concept/supplier]"), 'P&amp;G-Ltd'!$C50
)*I82</f>
        <v>4257.0550000000003</v>
      </c>
      <c r="J50" s="138">
        <f ca="1">SUMIFS(
  INDIRECT("input_provisions[import]"),
  INDIRECT("input_provisions[yyyymm]"), 'P&amp;G-Ltd'!J$1,
  INDIRECT("input_provisions[concept/supplier]"), 'P&amp;G-Ltd'!$C50
)*J82</f>
        <v>0</v>
      </c>
      <c r="K50" s="138">
        <f ca="1">SUMIFS(
  INDIRECT("input_provisions[import]"),
  INDIRECT("input_provisions[yyyymm]"), 'P&amp;G-Ltd'!K$1,
  INDIRECT("input_provisions[concept/supplier]"), 'P&amp;G-Ltd'!$C50
)*K82</f>
        <v>0</v>
      </c>
      <c r="L50" s="138">
        <f ca="1">SUMIFS(
  INDIRECT("input_provisions[import]"),
  INDIRECT("input_provisions[yyyymm]"), 'P&amp;G-Ltd'!L$1,
  INDIRECT("input_provisions[concept/supplier]"), 'P&amp;G-Ltd'!$C50
)*L82</f>
        <v>0</v>
      </c>
      <c r="M50" s="138">
        <f ca="1">SUMIFS(
  INDIRECT("input_provisions[import]"),
  INDIRECT("input_provisions[yyyymm]"), 'P&amp;G-Ltd'!M$1,
  INDIRECT("input_provisions[concept/supplier]"), 'P&amp;G-Ltd'!$C50
)*M82</f>
        <v>0</v>
      </c>
      <c r="N50" s="138">
        <f ca="1">SUMIFS(
  INDIRECT("input_provisions[import]"),
  INDIRECT("input_provisions[yyyymm]"), 'P&amp;G-Ltd'!N$1,
  INDIRECT("input_provisions[concept/supplier]"), 'P&amp;G-Ltd'!$C50
)*N82</f>
        <v>0</v>
      </c>
      <c r="O50" s="138">
        <f ca="1">SUMIFS(
  INDIRECT("input_provisions[import]"),
  INDIRECT("input_provisions[yyyymm]"), 'P&amp;G-Ltd'!O$1,
  INDIRECT("input_provisions[concept/supplier]"), 'P&amp;G-Ltd'!$C50
)*O82</f>
        <v>0</v>
      </c>
      <c r="P50" s="138">
        <f ca="1">SUMIFS(
  INDIRECT("input_provisions[import]"),
  INDIRECT("input_provisions[yyyymm]"), 'P&amp;G-Ltd'!P$1,
  INDIRECT("input_provisions[concept/supplier]"), 'P&amp;G-Ltd'!$C50
)*P82</f>
        <v>0</v>
      </c>
      <c r="Q50" s="138">
        <f ca="1">SUMIFS(
  INDIRECT("input_provisions[import]"),
  INDIRECT("input_provisions[yyyymm]"), 'P&amp;G-Ltd'!Q$1,
  INDIRECT("input_provisions[concept/supplier]"), 'P&amp;G-Ltd'!$C50
)*Q82</f>
        <v>0</v>
      </c>
      <c r="R50" s="138">
        <f ca="1">SUMIFS(
  INDIRECT("input_provisions[import]"),
  INDIRECT("input_provisions[yyyymm]"), 'P&amp;G-Ltd'!R$1,
  INDIRECT("input_provisions[concept/supplier]"), 'P&amp;G-Ltd'!$C50
)*R82</f>
        <v>0</v>
      </c>
      <c r="S50" s="138">
        <f ca="1">SUMIFS(
  INDIRECT("input_provisions[import]"),
  INDIRECT("input_provisions[yyyymm]"), 'P&amp;G-Ltd'!S$1,
  INDIRECT("input_provisions[concept/supplier]"), 'P&amp;G-Ltd'!$C50
)*S82</f>
        <v>0</v>
      </c>
      <c r="T50" s="139">
        <f t="shared" ca="1" si="21"/>
        <v>6510.4184000000005</v>
      </c>
    </row>
    <row r="51" spans="3:20" outlineLevel="1" x14ac:dyDescent="0.3">
      <c r="C51" t="s">
        <v>95</v>
      </c>
      <c r="D51" s="113"/>
      <c r="E51" s="113"/>
      <c r="F51" s="422" t="s">
        <v>91</v>
      </c>
      <c r="G51" s="422"/>
      <c r="H51" s="138">
        <f ca="1">SUMIFS(
  INDIRECT("input_provisions[import]"),
  INDIRECT("input_provisions[yyyymm]"), 'P&amp;G-Ltd'!H$1,
  INDIRECT("input_provisions[concept/supplier]"), 'P&amp;G-Ltd'!$C51
)*H82</f>
        <v>2911.4956000000002</v>
      </c>
      <c r="I51" s="138">
        <f ca="1">SUMIFS(
  INDIRECT("input_provisions[import]"),
  INDIRECT("input_provisions[yyyymm]"), 'P&amp;G-Ltd'!I$1,
  INDIRECT("input_provisions[concept/supplier]"), 'P&amp;G-Ltd'!$C51
)*I82</f>
        <v>2374.9339999999997</v>
      </c>
      <c r="J51" s="138">
        <f ca="1">SUMIFS(
  INDIRECT("input_provisions[import]"),
  INDIRECT("input_provisions[yyyymm]"), 'P&amp;G-Ltd'!J$1,
  INDIRECT("input_provisions[concept/supplier]"), 'P&amp;G-Ltd'!$C51
)*J82</f>
        <v>0</v>
      </c>
      <c r="K51" s="138">
        <f ca="1">SUMIFS(
  INDIRECT("input_provisions[import]"),
  INDIRECT("input_provisions[yyyymm]"), 'P&amp;G-Ltd'!K$1,
  INDIRECT("input_provisions[concept/supplier]"), 'P&amp;G-Ltd'!$C51
)*K82</f>
        <v>0</v>
      </c>
      <c r="L51" s="138">
        <f ca="1">SUMIFS(
  INDIRECT("input_provisions[import]"),
  INDIRECT("input_provisions[yyyymm]"), 'P&amp;G-Ltd'!L$1,
  INDIRECT("input_provisions[concept/supplier]"), 'P&amp;G-Ltd'!$C51
)*L82</f>
        <v>0</v>
      </c>
      <c r="M51" s="138">
        <f ca="1">SUMIFS(
  INDIRECT("input_provisions[import]"),
  INDIRECT("input_provisions[yyyymm]"), 'P&amp;G-Ltd'!M$1,
  INDIRECT("input_provisions[concept/supplier]"), 'P&amp;G-Ltd'!$C51
)*M82</f>
        <v>0</v>
      </c>
      <c r="N51" s="138">
        <f ca="1">SUMIFS(
  INDIRECT("input_provisions[import]"),
  INDIRECT("input_provisions[yyyymm]"), 'P&amp;G-Ltd'!N$1,
  INDIRECT("input_provisions[concept/supplier]"), 'P&amp;G-Ltd'!$C51
)*N82</f>
        <v>0</v>
      </c>
      <c r="O51" s="138">
        <f ca="1">SUMIFS(
  INDIRECT("input_provisions[import]"),
  INDIRECT("input_provisions[yyyymm]"), 'P&amp;G-Ltd'!O$1,
  INDIRECT("input_provisions[concept/supplier]"), 'P&amp;G-Ltd'!$C51
)*O82</f>
        <v>0</v>
      </c>
      <c r="P51" s="138">
        <f ca="1">SUMIFS(
  INDIRECT("input_provisions[import]"),
  INDIRECT("input_provisions[yyyymm]"), 'P&amp;G-Ltd'!P$1,
  INDIRECT("input_provisions[concept/supplier]"), 'P&amp;G-Ltd'!$C51
)*P82</f>
        <v>0</v>
      </c>
      <c r="Q51" s="138">
        <f ca="1">SUMIFS(
  INDIRECT("input_provisions[import]"),
  INDIRECT("input_provisions[yyyymm]"), 'P&amp;G-Ltd'!Q$1,
  INDIRECT("input_provisions[concept/supplier]"), 'P&amp;G-Ltd'!$C51
)*Q82</f>
        <v>0</v>
      </c>
      <c r="R51" s="138">
        <f ca="1">SUMIFS(
  INDIRECT("input_provisions[import]"),
  INDIRECT("input_provisions[yyyymm]"), 'P&amp;G-Ltd'!R$1,
  INDIRECT("input_provisions[concept/supplier]"), 'P&amp;G-Ltd'!$C51
)*R82</f>
        <v>0</v>
      </c>
      <c r="S51" s="138">
        <f ca="1">SUMIFS(
  INDIRECT("input_provisions[import]"),
  INDIRECT("input_provisions[yyyymm]"), 'P&amp;G-Ltd'!S$1,
  INDIRECT("input_provisions[concept/supplier]"), 'P&amp;G-Ltd'!$C51
)*S82</f>
        <v>0</v>
      </c>
      <c r="T51" s="139">
        <f t="shared" ca="1" si="21"/>
        <v>5286.4295999999995</v>
      </c>
    </row>
    <row r="52" spans="3:20" outlineLevel="1" x14ac:dyDescent="0.3">
      <c r="C52" t="s">
        <v>96</v>
      </c>
      <c r="D52" s="113"/>
      <c r="E52" s="113"/>
      <c r="F52" s="422" t="s">
        <v>92</v>
      </c>
      <c r="G52" s="422"/>
      <c r="H52" s="138">
        <f ca="1">SUMIFS(
  INDIRECT("input_provisions[import]"),
  INDIRECT("input_provisions[yyyymm]"), 'P&amp;G-Ltd'!H$1,
  INDIRECT("input_provisions[concept/supplier]"), 'P&amp;G-Ltd'!$C52
)*H82</f>
        <v>0</v>
      </c>
      <c r="I52" s="138">
        <f ca="1">SUMIFS(
  INDIRECT("input_provisions[import]"),
  INDIRECT("input_provisions[yyyymm]"), 'P&amp;G-Ltd'!I$1,
  INDIRECT("input_provisions[concept/supplier]"), 'P&amp;G-Ltd'!$C52
)*I82</f>
        <v>0</v>
      </c>
      <c r="J52" s="138">
        <f ca="1">SUMIFS(
  INDIRECT("input_provisions[import]"),
  INDIRECT("input_provisions[yyyymm]"), 'P&amp;G-Ltd'!J$1,
  INDIRECT("input_provisions[concept/supplier]"), 'P&amp;G-Ltd'!$C52
)*J82</f>
        <v>0</v>
      </c>
      <c r="K52" s="138">
        <f ca="1">SUMIFS(
  INDIRECT("input_provisions[import]"),
  INDIRECT("input_provisions[yyyymm]"), 'P&amp;G-Ltd'!K$1,
  INDIRECT("input_provisions[concept/supplier]"), 'P&amp;G-Ltd'!$C52
)*K82</f>
        <v>0</v>
      </c>
      <c r="L52" s="138">
        <f ca="1">SUMIFS(
  INDIRECT("input_provisions[import]"),
  INDIRECT("input_provisions[yyyymm]"), 'P&amp;G-Ltd'!L$1,
  INDIRECT("input_provisions[concept/supplier]"), 'P&amp;G-Ltd'!$C52
)*L82</f>
        <v>0</v>
      </c>
      <c r="M52" s="138">
        <f ca="1">SUMIFS(
  INDIRECT("input_provisions[import]"),
  INDIRECT("input_provisions[yyyymm]"), 'P&amp;G-Ltd'!M$1,
  INDIRECT("input_provisions[concept/supplier]"), 'P&amp;G-Ltd'!$C52
)*M82</f>
        <v>0</v>
      </c>
      <c r="N52" s="138">
        <f ca="1">SUMIFS(
  INDIRECT("input_provisions[import]"),
  INDIRECT("input_provisions[yyyymm]"), 'P&amp;G-Ltd'!N$1,
  INDIRECT("input_provisions[concept/supplier]"), 'P&amp;G-Ltd'!$C52
)*N82</f>
        <v>0</v>
      </c>
      <c r="O52" s="138">
        <f ca="1">SUMIFS(
  INDIRECT("input_provisions[import]"),
  INDIRECT("input_provisions[yyyymm]"), 'P&amp;G-Ltd'!O$1,
  INDIRECT("input_provisions[concept/supplier]"), 'P&amp;G-Ltd'!$C52
)*O82</f>
        <v>0</v>
      </c>
      <c r="P52" s="138">
        <f ca="1">SUMIFS(
  INDIRECT("input_provisions[import]"),
  INDIRECT("input_provisions[yyyymm]"), 'P&amp;G-Ltd'!P$1,
  INDIRECT("input_provisions[concept/supplier]"), 'P&amp;G-Ltd'!$C52
)*P82</f>
        <v>0</v>
      </c>
      <c r="Q52" s="138">
        <f ca="1">SUMIFS(
  INDIRECT("input_provisions[import]"),
  INDIRECT("input_provisions[yyyymm]"), 'P&amp;G-Ltd'!Q$1,
  INDIRECT("input_provisions[concept/supplier]"), 'P&amp;G-Ltd'!$C52
)*Q82</f>
        <v>0</v>
      </c>
      <c r="R52" s="138">
        <f ca="1">SUMIFS(
  INDIRECT("input_provisions[import]"),
  INDIRECT("input_provisions[yyyymm]"), 'P&amp;G-Ltd'!R$1,
  INDIRECT("input_provisions[concept/supplier]"), 'P&amp;G-Ltd'!$C52
)*R82</f>
        <v>0</v>
      </c>
      <c r="S52" s="138">
        <f ca="1">SUMIFS(
  INDIRECT("input_provisions[import]"),
  INDIRECT("input_provisions[yyyymm]"), 'P&amp;G-Ltd'!S$1,
  INDIRECT("input_provisions[concept/supplier]"), 'P&amp;G-Ltd'!$C52
)*S82</f>
        <v>0</v>
      </c>
      <c r="T52" s="139">
        <f t="shared" ca="1" si="21"/>
        <v>0</v>
      </c>
    </row>
    <row r="53" spans="3:20" outlineLevel="1" x14ac:dyDescent="0.3">
      <c r="C53" t="s">
        <v>97</v>
      </c>
      <c r="D53" s="113"/>
      <c r="E53" s="113"/>
      <c r="F53" s="422" t="s">
        <v>93</v>
      </c>
      <c r="G53" s="422"/>
      <c r="H53" s="138">
        <f ca="1">SUMIFS(
  INDIRECT("input_provisions[import]"),
  INDIRECT("input_provisions[yyyymm]"), 'P&amp;G-Ltd'!H$1,
  INDIRECT("input_provisions[concept/supplier]"), 'P&amp;G-Ltd'!$C53
)*H82</f>
        <v>0</v>
      </c>
      <c r="I53" s="138">
        <f ca="1">SUMIFS(
  INDIRECT("input_provisions[import]"),
  INDIRECT("input_provisions[yyyymm]"), 'P&amp;G-Ltd'!I$1,
  INDIRECT("input_provisions[concept/supplier]"), 'P&amp;G-Ltd'!$C53
)*I82</f>
        <v>0</v>
      </c>
      <c r="J53" s="138">
        <f ca="1">SUMIFS(
  INDIRECT("input_provisions[import]"),
  INDIRECT("input_provisions[yyyymm]"), 'P&amp;G-Ltd'!J$1,
  INDIRECT("input_provisions[concept/supplier]"), 'P&amp;G-Ltd'!$C53
)*J82</f>
        <v>0</v>
      </c>
      <c r="K53" s="138">
        <f ca="1">SUMIFS(
  INDIRECT("input_provisions[import]"),
  INDIRECT("input_provisions[yyyymm]"), 'P&amp;G-Ltd'!K$1,
  INDIRECT("input_provisions[concept/supplier]"), 'P&amp;G-Ltd'!$C53
)*K82</f>
        <v>0</v>
      </c>
      <c r="L53" s="138">
        <f ca="1">SUMIFS(
  INDIRECT("input_provisions[import]"),
  INDIRECT("input_provisions[yyyymm]"), 'P&amp;G-Ltd'!L$1,
  INDIRECT("input_provisions[concept/supplier]"), 'P&amp;G-Ltd'!$C53
)*L82</f>
        <v>0</v>
      </c>
      <c r="M53" s="138">
        <f ca="1">SUMIFS(
  INDIRECT("input_provisions[import]"),
  INDIRECT("input_provisions[yyyymm]"), 'P&amp;G-Ltd'!M$1,
  INDIRECT("input_provisions[concept/supplier]"), 'P&amp;G-Ltd'!$C53
)*M82</f>
        <v>0</v>
      </c>
      <c r="N53" s="138">
        <f ca="1">SUMIFS(
  INDIRECT("input_provisions[import]"),
  INDIRECT("input_provisions[yyyymm]"), 'P&amp;G-Ltd'!N$1,
  INDIRECT("input_provisions[concept/supplier]"), 'P&amp;G-Ltd'!$C53
)*N82</f>
        <v>0</v>
      </c>
      <c r="O53" s="138">
        <f ca="1">SUMIFS(
  INDIRECT("input_provisions[import]"),
  INDIRECT("input_provisions[yyyymm]"), 'P&amp;G-Ltd'!O$1,
  INDIRECT("input_provisions[concept/supplier]"), 'P&amp;G-Ltd'!$C53
)*O82</f>
        <v>0</v>
      </c>
      <c r="P53" s="138">
        <f ca="1">SUMIFS(
  INDIRECT("input_provisions[import]"),
  INDIRECT("input_provisions[yyyymm]"), 'P&amp;G-Ltd'!P$1,
  INDIRECT("input_provisions[concept/supplier]"), 'P&amp;G-Ltd'!$C53
)*P82</f>
        <v>0</v>
      </c>
      <c r="Q53" s="138">
        <f ca="1">SUMIFS(
  INDIRECT("input_provisions[import]"),
  INDIRECT("input_provisions[yyyymm]"), 'P&amp;G-Ltd'!Q$1,
  INDIRECT("input_provisions[concept/supplier]"), 'P&amp;G-Ltd'!$C53
)*Q82</f>
        <v>0</v>
      </c>
      <c r="R53" s="138">
        <f ca="1">SUMIFS(
  INDIRECT("input_provisions[import]"),
  INDIRECT("input_provisions[yyyymm]"), 'P&amp;G-Ltd'!R$1,
  INDIRECT("input_provisions[concept/supplier]"), 'P&amp;G-Ltd'!$C53
)*R82</f>
        <v>0</v>
      </c>
      <c r="S53" s="138">
        <f ca="1">SUMIFS(
  INDIRECT("input_provisions[import]"),
  INDIRECT("input_provisions[yyyymm]"), 'P&amp;G-Ltd'!S$1,
  INDIRECT("input_provisions[concept/supplier]"), 'P&amp;G-Ltd'!$C53
)*S82</f>
        <v>0</v>
      </c>
      <c r="T53" s="139">
        <f t="shared" ca="1" si="21"/>
        <v>0</v>
      </c>
    </row>
    <row r="55" spans="3:20" x14ac:dyDescent="0.3">
      <c r="D55" s="417" t="s">
        <v>102</v>
      </c>
      <c r="E55" s="417"/>
      <c r="F55" s="417"/>
      <c r="G55" s="417"/>
      <c r="H55" s="137">
        <f ca="1">+H56</f>
        <v>2533.8764800000004</v>
      </c>
      <c r="I55" s="137">
        <f t="shared" ref="I55:S55" ca="1" si="24">+I56</f>
        <v>2535.6656000000003</v>
      </c>
      <c r="J55" s="137">
        <f t="shared" ca="1" si="24"/>
        <v>0</v>
      </c>
      <c r="K55" s="137">
        <f t="shared" ca="1" si="24"/>
        <v>0</v>
      </c>
      <c r="L55" s="137">
        <f t="shared" ca="1" si="24"/>
        <v>0</v>
      </c>
      <c r="M55" s="137">
        <f t="shared" ca="1" si="24"/>
        <v>0</v>
      </c>
      <c r="N55" s="137">
        <f t="shared" ca="1" si="24"/>
        <v>0</v>
      </c>
      <c r="O55" s="137">
        <f t="shared" ca="1" si="24"/>
        <v>0</v>
      </c>
      <c r="P55" s="137">
        <f t="shared" ca="1" si="24"/>
        <v>0</v>
      </c>
      <c r="Q55" s="137">
        <f t="shared" ca="1" si="24"/>
        <v>0</v>
      </c>
      <c r="R55" s="137">
        <f t="shared" ca="1" si="24"/>
        <v>0</v>
      </c>
      <c r="S55" s="137">
        <f t="shared" ca="1" si="24"/>
        <v>0</v>
      </c>
      <c r="T55" s="131">
        <f ca="1">SUM(H55:S55)</f>
        <v>5069.5420800000011</v>
      </c>
    </row>
    <row r="56" spans="3:20" x14ac:dyDescent="0.3">
      <c r="D56" s="120"/>
      <c r="E56" s="120"/>
      <c r="F56" s="421" t="s">
        <v>61</v>
      </c>
      <c r="G56" s="421"/>
      <c r="H56" s="147">
        <f ca="1">+'P&amp;G-SL'!I109*H82</f>
        <v>2533.8764800000004</v>
      </c>
      <c r="I56" s="147">
        <f ca="1">+'P&amp;G-SL'!J109*I82</f>
        <v>2535.6656000000003</v>
      </c>
      <c r="J56" s="147">
        <f ca="1">+'P&amp;G-SL'!K109*J82</f>
        <v>0</v>
      </c>
      <c r="K56" s="147">
        <f ca="1">+'P&amp;G-SL'!L109*K82</f>
        <v>0</v>
      </c>
      <c r="L56" s="147">
        <f ca="1">+'P&amp;G-SL'!M109*L82</f>
        <v>0</v>
      </c>
      <c r="M56" s="147">
        <f ca="1">+'P&amp;G-SL'!N109*M82</f>
        <v>0</v>
      </c>
      <c r="N56" s="147">
        <f ca="1">+'P&amp;G-SL'!O109*N82</f>
        <v>0</v>
      </c>
      <c r="O56" s="147">
        <f ca="1">+'P&amp;G-SL'!P109*O82</f>
        <v>0</v>
      </c>
      <c r="P56" s="147">
        <f ca="1">+'P&amp;G-SL'!Q109*P82</f>
        <v>0</v>
      </c>
      <c r="Q56" s="147">
        <f ca="1">+'P&amp;G-SL'!R109*Q82</f>
        <v>0</v>
      </c>
      <c r="R56" s="147">
        <f ca="1">+'P&amp;G-SL'!S109*R82</f>
        <v>0</v>
      </c>
      <c r="S56" s="147">
        <f ca="1">+'P&amp;G-SL'!T109*S82</f>
        <v>0</v>
      </c>
      <c r="T56" s="131">
        <f ca="1">SUM(H56:S56)</f>
        <v>5069.5420800000011</v>
      </c>
    </row>
    <row r="57" spans="3:20" x14ac:dyDescent="0.3">
      <c r="D57" s="115"/>
      <c r="E57" s="115"/>
      <c r="F57" s="115"/>
      <c r="G57" s="117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1"/>
    </row>
    <row r="58" spans="3:20" x14ac:dyDescent="0.3">
      <c r="D58" s="417" t="s">
        <v>109</v>
      </c>
      <c r="E58" s="417"/>
      <c r="F58" s="417"/>
      <c r="G58" s="417"/>
      <c r="H58" s="137">
        <f ca="1">+H59+H62+H65</f>
        <v>1149.15608</v>
      </c>
      <c r="I58" s="137">
        <f t="shared" ref="I58:S58" ca="1" si="25">+I59+I62+I65</f>
        <v>1164.829223966942</v>
      </c>
      <c r="J58" s="137">
        <f t="shared" ca="1" si="25"/>
        <v>0</v>
      </c>
      <c r="K58" s="137">
        <f t="shared" ca="1" si="25"/>
        <v>0</v>
      </c>
      <c r="L58" s="137">
        <f t="shared" ca="1" si="25"/>
        <v>0</v>
      </c>
      <c r="M58" s="137">
        <f t="shared" ca="1" si="25"/>
        <v>0</v>
      </c>
      <c r="N58" s="137">
        <f t="shared" ca="1" si="25"/>
        <v>0</v>
      </c>
      <c r="O58" s="137">
        <f t="shared" ca="1" si="25"/>
        <v>0</v>
      </c>
      <c r="P58" s="137">
        <f t="shared" ca="1" si="25"/>
        <v>0</v>
      </c>
      <c r="Q58" s="137">
        <f t="shared" ca="1" si="25"/>
        <v>0</v>
      </c>
      <c r="R58" s="137">
        <f t="shared" ca="1" si="25"/>
        <v>0</v>
      </c>
      <c r="S58" s="137">
        <f t="shared" ca="1" si="25"/>
        <v>0</v>
      </c>
      <c r="T58" s="131">
        <f t="shared" ref="T58:T76" ca="1" si="26">SUM(H58:S58)</f>
        <v>2313.985303966942</v>
      </c>
    </row>
    <row r="59" spans="3:20" x14ac:dyDescent="0.3">
      <c r="D59" s="120"/>
      <c r="E59" s="120"/>
      <c r="F59" s="418" t="s">
        <v>110</v>
      </c>
      <c r="G59" s="418"/>
      <c r="H59" s="137">
        <f ca="1">SUM(H60:H61)</f>
        <v>0</v>
      </c>
      <c r="I59" s="137">
        <f t="shared" ref="I59:S59" ca="1" si="27">SUM(I60:I61)</f>
        <v>0</v>
      </c>
      <c r="J59" s="137">
        <f t="shared" ca="1" si="27"/>
        <v>0</v>
      </c>
      <c r="K59" s="137">
        <f t="shared" ca="1" si="27"/>
        <v>0</v>
      </c>
      <c r="L59" s="137">
        <f t="shared" ca="1" si="27"/>
        <v>0</v>
      </c>
      <c r="M59" s="137">
        <f t="shared" ca="1" si="27"/>
        <v>0</v>
      </c>
      <c r="N59" s="137">
        <f t="shared" ca="1" si="27"/>
        <v>0</v>
      </c>
      <c r="O59" s="137">
        <f t="shared" ca="1" si="27"/>
        <v>0</v>
      </c>
      <c r="P59" s="137">
        <f t="shared" ca="1" si="27"/>
        <v>0</v>
      </c>
      <c r="Q59" s="137">
        <f t="shared" ca="1" si="27"/>
        <v>0</v>
      </c>
      <c r="R59" s="137">
        <f t="shared" ca="1" si="27"/>
        <v>0</v>
      </c>
      <c r="S59" s="137">
        <f t="shared" ca="1" si="27"/>
        <v>0</v>
      </c>
      <c r="T59" s="131">
        <f t="shared" ca="1" si="26"/>
        <v>0</v>
      </c>
    </row>
    <row r="60" spans="3:20" x14ac:dyDescent="0.3">
      <c r="C60" t="s">
        <v>206</v>
      </c>
      <c r="D60" s="115"/>
      <c r="E60" s="115"/>
      <c r="F60" s="115"/>
      <c r="G60" s="115" t="s">
        <v>207</v>
      </c>
      <c r="H60" s="134">
        <f ca="1">SUMIFS(
  INDIRECT("input_invoice[net]"),
  INDIRECT("input_invoice[yyyymm]"), 'P&amp;G-Ltd'!H$1,
  INDIRECT("input_invoice[concept/supplier]"), 'P&amp;G-Ltd'!$C60
)</f>
        <v>0</v>
      </c>
      <c r="I60" s="134">
        <f ca="1">SUMIFS(
  INDIRECT("input_invoice[net]"),
  INDIRECT("input_invoice[yyyymm]"), 'P&amp;G-Ltd'!I$1,
  INDIRECT("input_invoice[concept/supplier]"), 'P&amp;G-Ltd'!$C60
)</f>
        <v>0</v>
      </c>
      <c r="J60" s="134">
        <f ca="1">SUMIFS(
  INDIRECT("input_invoice[net]"),
  INDIRECT("input_invoice[yyyymm]"), 'P&amp;G-Ltd'!J$1,
  INDIRECT("input_invoice[concept/supplier]"), 'P&amp;G-Ltd'!$C60
)</f>
        <v>0</v>
      </c>
      <c r="K60" s="134">
        <f ca="1">SUMIFS(
  INDIRECT("input_invoice[net]"),
  INDIRECT("input_invoice[yyyymm]"), 'P&amp;G-Ltd'!K$1,
  INDIRECT("input_invoice[concept/supplier]"), 'P&amp;G-Ltd'!$C60
)</f>
        <v>0</v>
      </c>
      <c r="L60" s="134">
        <f ca="1">SUMIFS(
  INDIRECT("input_invoice[net]"),
  INDIRECT("input_invoice[yyyymm]"), 'P&amp;G-Ltd'!L$1,
  INDIRECT("input_invoice[concept/supplier]"), 'P&amp;G-Ltd'!$C60
)</f>
        <v>0</v>
      </c>
      <c r="M60" s="134">
        <f ca="1">SUMIFS(
  INDIRECT("input_invoice[net]"),
  INDIRECT("input_invoice[yyyymm]"), 'P&amp;G-Ltd'!M$1,
  INDIRECT("input_invoice[concept/supplier]"), 'P&amp;G-Ltd'!$C60
)</f>
        <v>0</v>
      </c>
      <c r="N60" s="134">
        <f ca="1">SUMIFS(
  INDIRECT("input_invoice[net]"),
  INDIRECT("input_invoice[yyyymm]"), 'P&amp;G-Ltd'!N$1,
  INDIRECT("input_invoice[concept/supplier]"), 'P&amp;G-Ltd'!$C60
)</f>
        <v>0</v>
      </c>
      <c r="O60" s="134">
        <f ca="1">SUMIFS(
  INDIRECT("input_invoice[net]"),
  INDIRECT("input_invoice[yyyymm]"), 'P&amp;G-Ltd'!O$1,
  INDIRECT("input_invoice[concept/supplier]"), 'P&amp;G-Ltd'!$C60
)</f>
        <v>0</v>
      </c>
      <c r="P60" s="134">
        <f ca="1">SUMIFS(
  INDIRECT("input_invoice[net]"),
  INDIRECT("input_invoice[yyyymm]"), 'P&amp;G-Ltd'!P$1,
  INDIRECT("input_invoice[concept/supplier]"), 'P&amp;G-Ltd'!$C60
)</f>
        <v>0</v>
      </c>
      <c r="Q60" s="134">
        <f ca="1">SUMIFS(
  INDIRECT("input_invoice[net]"),
  INDIRECT("input_invoice[yyyymm]"), 'P&amp;G-Ltd'!Q$1,
  INDIRECT("input_invoice[concept/supplier]"), 'P&amp;G-Ltd'!$C60
)</f>
        <v>0</v>
      </c>
      <c r="R60" s="134">
        <f ca="1">SUMIFS(
  INDIRECT("input_invoice[net]"),
  INDIRECT("input_invoice[yyyymm]"), 'P&amp;G-Ltd'!R$1,
  INDIRECT("input_invoice[concept/supplier]"), 'P&amp;G-Ltd'!$C60
)</f>
        <v>0</v>
      </c>
      <c r="S60" s="134">
        <f ca="1">SUMIFS(
  INDIRECT("input_invoice[net]"),
  INDIRECT("input_invoice[yyyymm]"), 'P&amp;G-Ltd'!S$1,
  INDIRECT("input_invoice[concept/supplier]"), 'P&amp;G-Ltd'!$C60
)</f>
        <v>0</v>
      </c>
      <c r="T60" s="131">
        <f t="shared" ca="1" si="26"/>
        <v>0</v>
      </c>
    </row>
    <row r="61" spans="3:20" x14ac:dyDescent="0.3">
      <c r="C61" t="s">
        <v>208</v>
      </c>
      <c r="D61" s="115"/>
      <c r="E61" s="115"/>
      <c r="F61" s="115"/>
      <c r="G61" s="115" t="s">
        <v>120</v>
      </c>
      <c r="H61" s="134">
        <f ca="1">SUMIFS(
  INDIRECT("input_invoice[net]"),
  INDIRECT("input_invoice[yyyymm]"), 'P&amp;G-Ltd'!H$1,
  INDIRECT("input_invoice[concept/supplier]"), 'P&amp;G-Ltd'!$C61
)</f>
        <v>0</v>
      </c>
      <c r="I61" s="134">
        <f ca="1">SUMIFS(
  INDIRECT("input_invoice[net]"),
  INDIRECT("input_invoice[yyyymm]"), 'P&amp;G-Ltd'!I$1,
  INDIRECT("input_invoice[concept/supplier]"), 'P&amp;G-Ltd'!$C61
)</f>
        <v>0</v>
      </c>
      <c r="J61" s="134">
        <f ca="1">SUMIFS(
  INDIRECT("input_invoice[net]"),
  INDIRECT("input_invoice[yyyymm]"), 'P&amp;G-Ltd'!J$1,
  INDIRECT("input_invoice[concept/supplier]"), 'P&amp;G-Ltd'!$C61
)</f>
        <v>0</v>
      </c>
      <c r="K61" s="134">
        <f ca="1">SUMIFS(
  INDIRECT("input_invoice[net]"),
  INDIRECT("input_invoice[yyyymm]"), 'P&amp;G-Ltd'!K$1,
  INDIRECT("input_invoice[concept/supplier]"), 'P&amp;G-Ltd'!$C61
)</f>
        <v>0</v>
      </c>
      <c r="L61" s="134">
        <f ca="1">SUMIFS(
  INDIRECT("input_invoice[net]"),
  INDIRECT("input_invoice[yyyymm]"), 'P&amp;G-Ltd'!L$1,
  INDIRECT("input_invoice[concept/supplier]"), 'P&amp;G-Ltd'!$C61
)</f>
        <v>0</v>
      </c>
      <c r="M61" s="134">
        <f ca="1">SUMIFS(
  INDIRECT("input_invoice[net]"),
  INDIRECT("input_invoice[yyyymm]"), 'P&amp;G-Ltd'!M$1,
  INDIRECT("input_invoice[concept/supplier]"), 'P&amp;G-Ltd'!$C61
)</f>
        <v>0</v>
      </c>
      <c r="N61" s="134">
        <f ca="1">SUMIFS(
  INDIRECT("input_invoice[net]"),
  INDIRECT("input_invoice[yyyymm]"), 'P&amp;G-Ltd'!N$1,
  INDIRECT("input_invoice[concept/supplier]"), 'P&amp;G-Ltd'!$C61
)</f>
        <v>0</v>
      </c>
      <c r="O61" s="134">
        <f ca="1">SUMIFS(
  INDIRECT("input_invoice[net]"),
  INDIRECT("input_invoice[yyyymm]"), 'P&amp;G-Ltd'!O$1,
  INDIRECT("input_invoice[concept/supplier]"), 'P&amp;G-Ltd'!$C61
)</f>
        <v>0</v>
      </c>
      <c r="P61" s="134">
        <f ca="1">SUMIFS(
  INDIRECT("input_invoice[net]"),
  INDIRECT("input_invoice[yyyymm]"), 'P&amp;G-Ltd'!P$1,
  INDIRECT("input_invoice[concept/supplier]"), 'P&amp;G-Ltd'!$C61
)</f>
        <v>0</v>
      </c>
      <c r="Q61" s="134">
        <f ca="1">SUMIFS(
  INDIRECT("input_invoice[net]"),
  INDIRECT("input_invoice[yyyymm]"), 'P&amp;G-Ltd'!Q$1,
  INDIRECT("input_invoice[concept/supplier]"), 'P&amp;G-Ltd'!$C61
)</f>
        <v>0</v>
      </c>
      <c r="R61" s="134">
        <f ca="1">SUMIFS(
  INDIRECT("input_invoice[net]"),
  INDIRECT("input_invoice[yyyymm]"), 'P&amp;G-Ltd'!R$1,
  INDIRECT("input_invoice[concept/supplier]"), 'P&amp;G-Ltd'!$C61
)</f>
        <v>0</v>
      </c>
      <c r="S61" s="134">
        <f ca="1">SUMIFS(
  INDIRECT("input_invoice[net]"),
  INDIRECT("input_invoice[yyyymm]"), 'P&amp;G-Ltd'!S$1,
  INDIRECT("input_invoice[concept/supplier]"), 'P&amp;G-Ltd'!$C61
)</f>
        <v>0</v>
      </c>
      <c r="T61" s="131">
        <f t="shared" ca="1" si="26"/>
        <v>0</v>
      </c>
    </row>
    <row r="62" spans="3:20" x14ac:dyDescent="0.3">
      <c r="D62" s="120"/>
      <c r="E62" s="120"/>
      <c r="F62" s="418" t="s">
        <v>121</v>
      </c>
      <c r="G62" s="418"/>
      <c r="H62" s="137">
        <f ca="1">SUM(H63:H64)</f>
        <v>0</v>
      </c>
      <c r="I62" s="137">
        <f t="shared" ref="I62:S62" ca="1" si="28">SUM(I63:I64)</f>
        <v>0</v>
      </c>
      <c r="J62" s="137">
        <f t="shared" ca="1" si="28"/>
        <v>0</v>
      </c>
      <c r="K62" s="137">
        <f t="shared" ca="1" si="28"/>
        <v>0</v>
      </c>
      <c r="L62" s="137">
        <f t="shared" ca="1" si="28"/>
        <v>0</v>
      </c>
      <c r="M62" s="137">
        <f t="shared" ca="1" si="28"/>
        <v>0</v>
      </c>
      <c r="N62" s="137">
        <f t="shared" ca="1" si="28"/>
        <v>0</v>
      </c>
      <c r="O62" s="137">
        <f t="shared" ca="1" si="28"/>
        <v>0</v>
      </c>
      <c r="P62" s="137">
        <f t="shared" ca="1" si="28"/>
        <v>0</v>
      </c>
      <c r="Q62" s="137">
        <f t="shared" ca="1" si="28"/>
        <v>0</v>
      </c>
      <c r="R62" s="137">
        <f t="shared" ca="1" si="28"/>
        <v>0</v>
      </c>
      <c r="S62" s="137">
        <f t="shared" ca="1" si="28"/>
        <v>0</v>
      </c>
      <c r="T62" s="131">
        <f t="shared" ca="1" si="26"/>
        <v>0</v>
      </c>
    </row>
    <row r="63" spans="3:20" x14ac:dyDescent="0.3">
      <c r="C63" t="s">
        <v>209</v>
      </c>
      <c r="D63" s="115"/>
      <c r="E63" s="115"/>
      <c r="F63" s="115"/>
      <c r="G63" s="115" t="s">
        <v>9</v>
      </c>
      <c r="H63" s="134">
        <f ca="1">SUMIFS(
  INDIRECT("input_invoice[net]"),
  INDIRECT("input_invoice[yyyymm]"), 'P&amp;G-Ltd'!H$1,
  INDIRECT("input_invoice[concept/supplier]"), 'P&amp;G-Ltd'!$C63
)</f>
        <v>0</v>
      </c>
      <c r="I63" s="134">
        <f ca="1">SUMIFS(
  INDIRECT("input_invoice[net]"),
  INDIRECT("input_invoice[yyyymm]"), 'P&amp;G-Ltd'!I$1,
  INDIRECT("input_invoice[concept/supplier]"), 'P&amp;G-Ltd'!$C63
)</f>
        <v>0</v>
      </c>
      <c r="J63" s="134">
        <f ca="1">SUMIFS(
  INDIRECT("input_invoice[net]"),
  INDIRECT("input_invoice[yyyymm]"), 'P&amp;G-Ltd'!J$1,
  INDIRECT("input_invoice[concept/supplier]"), 'P&amp;G-Ltd'!$C63
)</f>
        <v>0</v>
      </c>
      <c r="K63" s="134">
        <f ca="1">SUMIFS(
  INDIRECT("input_invoice[net]"),
  INDIRECT("input_invoice[yyyymm]"), 'P&amp;G-Ltd'!K$1,
  INDIRECT("input_invoice[concept/supplier]"), 'P&amp;G-Ltd'!$C63
)</f>
        <v>0</v>
      </c>
      <c r="L63" s="134">
        <f ca="1">SUMIFS(
  INDIRECT("input_invoice[net]"),
  INDIRECT("input_invoice[yyyymm]"), 'P&amp;G-Ltd'!L$1,
  INDIRECT("input_invoice[concept/supplier]"), 'P&amp;G-Ltd'!$C63
)</f>
        <v>0</v>
      </c>
      <c r="M63" s="134">
        <f ca="1">SUMIFS(
  INDIRECT("input_invoice[net]"),
  INDIRECT("input_invoice[yyyymm]"), 'P&amp;G-Ltd'!M$1,
  INDIRECT("input_invoice[concept/supplier]"), 'P&amp;G-Ltd'!$C63
)</f>
        <v>0</v>
      </c>
      <c r="N63" s="134">
        <f ca="1">SUMIFS(
  INDIRECT("input_invoice[net]"),
  INDIRECT("input_invoice[yyyymm]"), 'P&amp;G-Ltd'!N$1,
  INDIRECT("input_invoice[concept/supplier]"), 'P&amp;G-Ltd'!$C63
)</f>
        <v>0</v>
      </c>
      <c r="O63" s="134">
        <f ca="1">SUMIFS(
  INDIRECT("input_invoice[net]"),
  INDIRECT("input_invoice[yyyymm]"), 'P&amp;G-Ltd'!O$1,
  INDIRECT("input_invoice[concept/supplier]"), 'P&amp;G-Ltd'!$C63
)</f>
        <v>0</v>
      </c>
      <c r="P63" s="134">
        <f ca="1">SUMIFS(
  INDIRECT("input_invoice[net]"),
  INDIRECT("input_invoice[yyyymm]"), 'P&amp;G-Ltd'!P$1,
  INDIRECT("input_invoice[concept/supplier]"), 'P&amp;G-Ltd'!$C63
)</f>
        <v>0</v>
      </c>
      <c r="Q63" s="134">
        <f ca="1">SUMIFS(
  INDIRECT("input_invoice[net]"),
  INDIRECT("input_invoice[yyyymm]"), 'P&amp;G-Ltd'!Q$1,
  INDIRECT("input_invoice[concept/supplier]"), 'P&amp;G-Ltd'!$C63
)</f>
        <v>0</v>
      </c>
      <c r="R63" s="134">
        <f ca="1">SUMIFS(
  INDIRECT("input_invoice[net]"),
  INDIRECT("input_invoice[yyyymm]"), 'P&amp;G-Ltd'!R$1,
  INDIRECT("input_invoice[concept/supplier]"), 'P&amp;G-Ltd'!$C63
)</f>
        <v>0</v>
      </c>
      <c r="S63" s="134">
        <f ca="1">SUMIFS(
  INDIRECT("input_invoice[net]"),
  INDIRECT("input_invoice[yyyymm]"), 'P&amp;G-Ltd'!S$1,
  INDIRECT("input_invoice[concept/supplier]"), 'P&amp;G-Ltd'!$C63
)</f>
        <v>0</v>
      </c>
      <c r="T63" s="131">
        <f t="shared" ca="1" si="26"/>
        <v>0</v>
      </c>
    </row>
    <row r="64" spans="3:20" x14ac:dyDescent="0.3">
      <c r="C64" t="s">
        <v>210</v>
      </c>
      <c r="D64" s="115"/>
      <c r="E64" s="115"/>
      <c r="F64" s="115"/>
      <c r="G64" s="115" t="s">
        <v>211</v>
      </c>
      <c r="H64" s="134">
        <f ca="1">SUMIFS(
  INDIRECT("input_invoice[net]"),
  INDIRECT("input_invoice[yyyymm]"), 'P&amp;G-Ltd'!H$1,
  INDIRECT("input_invoice[concept/supplier]"), 'P&amp;G-Ltd'!$C64
)</f>
        <v>0</v>
      </c>
      <c r="I64" s="134">
        <f ca="1">SUMIFS(
  INDIRECT("input_invoice[net]"),
  INDIRECT("input_invoice[yyyymm]"), 'P&amp;G-Ltd'!I$1,
  INDIRECT("input_invoice[concept/supplier]"), 'P&amp;G-Ltd'!$C64
)</f>
        <v>0</v>
      </c>
      <c r="J64" s="134">
        <f ca="1">SUMIFS(
  INDIRECT("input_invoice[net]"),
  INDIRECT("input_invoice[yyyymm]"), 'P&amp;G-Ltd'!J$1,
  INDIRECT("input_invoice[concept/supplier]"), 'P&amp;G-Ltd'!$C64
)</f>
        <v>0</v>
      </c>
      <c r="K64" s="134">
        <f ca="1">SUMIFS(
  INDIRECT("input_invoice[net]"),
  INDIRECT("input_invoice[yyyymm]"), 'P&amp;G-Ltd'!K$1,
  INDIRECT("input_invoice[concept/supplier]"), 'P&amp;G-Ltd'!$C64
)</f>
        <v>0</v>
      </c>
      <c r="L64" s="134">
        <f ca="1">SUMIFS(
  INDIRECT("input_invoice[net]"),
  INDIRECT("input_invoice[yyyymm]"), 'P&amp;G-Ltd'!L$1,
  INDIRECT("input_invoice[concept/supplier]"), 'P&amp;G-Ltd'!$C64
)</f>
        <v>0</v>
      </c>
      <c r="M64" s="134">
        <f ca="1">SUMIFS(
  INDIRECT("input_invoice[net]"),
  INDIRECT("input_invoice[yyyymm]"), 'P&amp;G-Ltd'!M$1,
  INDIRECT("input_invoice[concept/supplier]"), 'P&amp;G-Ltd'!$C64
)</f>
        <v>0</v>
      </c>
      <c r="N64" s="134">
        <f ca="1">SUMIFS(
  INDIRECT("input_invoice[net]"),
  INDIRECT("input_invoice[yyyymm]"), 'P&amp;G-Ltd'!N$1,
  INDIRECT("input_invoice[concept/supplier]"), 'P&amp;G-Ltd'!$C64
)</f>
        <v>0</v>
      </c>
      <c r="O64" s="134">
        <f ca="1">SUMIFS(
  INDIRECT("input_invoice[net]"),
  INDIRECT("input_invoice[yyyymm]"), 'P&amp;G-Ltd'!O$1,
  INDIRECT("input_invoice[concept/supplier]"), 'P&amp;G-Ltd'!$C64
)</f>
        <v>0</v>
      </c>
      <c r="P64" s="134">
        <f ca="1">SUMIFS(
  INDIRECT("input_invoice[net]"),
  INDIRECT("input_invoice[yyyymm]"), 'P&amp;G-Ltd'!P$1,
  INDIRECT("input_invoice[concept/supplier]"), 'P&amp;G-Ltd'!$C64
)</f>
        <v>0</v>
      </c>
      <c r="Q64" s="134">
        <f ca="1">SUMIFS(
  INDIRECT("input_invoice[net]"),
  INDIRECT("input_invoice[yyyymm]"), 'P&amp;G-Ltd'!Q$1,
  INDIRECT("input_invoice[concept/supplier]"), 'P&amp;G-Ltd'!$C64
)</f>
        <v>0</v>
      </c>
      <c r="R64" s="134">
        <f ca="1">SUMIFS(
  INDIRECT("input_invoice[net]"),
  INDIRECT("input_invoice[yyyymm]"), 'P&amp;G-Ltd'!R$1,
  INDIRECT("input_invoice[concept/supplier]"), 'P&amp;G-Ltd'!$C64
)</f>
        <v>0</v>
      </c>
      <c r="S64" s="134">
        <f ca="1">SUMIFS(
  INDIRECT("input_invoice[net]"),
  INDIRECT("input_invoice[yyyymm]"), 'P&amp;G-Ltd'!S$1,
  INDIRECT("input_invoice[concept/supplier]"), 'P&amp;G-Ltd'!$C64
)</f>
        <v>0</v>
      </c>
      <c r="T64" s="131"/>
    </row>
    <row r="65" spans="3:20" x14ac:dyDescent="0.3">
      <c r="D65" s="115"/>
      <c r="E65" s="115"/>
      <c r="F65" s="419" t="s">
        <v>212</v>
      </c>
      <c r="G65" s="420"/>
      <c r="H65" s="147">
        <f ca="1">+'P&amp;G-SL'!I142*H82</f>
        <v>1149.15608</v>
      </c>
      <c r="I65" s="147">
        <f ca="1">+'P&amp;G-SL'!J142*I82</f>
        <v>1164.829223966942</v>
      </c>
      <c r="J65" s="147">
        <f ca="1">+'P&amp;G-SL'!K142*J82</f>
        <v>0</v>
      </c>
      <c r="K65" s="147">
        <f ca="1">+'P&amp;G-SL'!L142*K82</f>
        <v>0</v>
      </c>
      <c r="L65" s="147">
        <f ca="1">+'P&amp;G-SL'!M142*L82</f>
        <v>0</v>
      </c>
      <c r="M65" s="147">
        <f ca="1">+'P&amp;G-SL'!N142*M82</f>
        <v>0</v>
      </c>
      <c r="N65" s="147">
        <f ca="1">+'P&amp;G-SL'!O142*N82</f>
        <v>0</v>
      </c>
      <c r="O65" s="147">
        <f ca="1">+'P&amp;G-SL'!P142*O82</f>
        <v>0</v>
      </c>
      <c r="P65" s="147">
        <f ca="1">+'P&amp;G-SL'!Q142*P82</f>
        <v>0</v>
      </c>
      <c r="Q65" s="147">
        <f ca="1">+'P&amp;G-SL'!R142*Q82</f>
        <v>0</v>
      </c>
      <c r="R65" s="147">
        <f ca="1">+'P&amp;G-SL'!S142*R82</f>
        <v>0</v>
      </c>
      <c r="S65" s="147">
        <f ca="1">+'P&amp;G-SL'!T142*S82</f>
        <v>0</v>
      </c>
      <c r="T65" s="131">
        <f t="shared" ca="1" si="26"/>
        <v>2313.985303966942</v>
      </c>
    </row>
    <row r="66" spans="3:20" x14ac:dyDescent="0.3">
      <c r="D66" s="115"/>
      <c r="E66" s="115"/>
      <c r="F66" s="115"/>
      <c r="G66" s="115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1">
        <f t="shared" si="26"/>
        <v>0</v>
      </c>
    </row>
    <row r="67" spans="3:20" x14ac:dyDescent="0.3">
      <c r="D67" s="122"/>
      <c r="E67" s="122"/>
      <c r="F67" s="122"/>
      <c r="G67" s="122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1">
        <f t="shared" si="26"/>
        <v>0</v>
      </c>
    </row>
    <row r="68" spans="3:20" ht="15" customHeight="1" x14ac:dyDescent="0.3">
      <c r="D68" s="416" t="s">
        <v>172</v>
      </c>
      <c r="E68" s="416"/>
      <c r="F68" s="416"/>
      <c r="G68" s="416" t="s">
        <v>172</v>
      </c>
      <c r="H68" s="148" t="e">
        <f t="shared" ref="H68" ca="1" si="29">+H46-H48</f>
        <v>#REF!</v>
      </c>
      <c r="I68" s="148" t="e">
        <f t="shared" ref="I68:S68" ca="1" si="30">+I46-I48</f>
        <v>#REF!</v>
      </c>
      <c r="J68" s="148" t="e">
        <f t="shared" ca="1" si="30"/>
        <v>#REF!</v>
      </c>
      <c r="K68" s="148" t="e">
        <f t="shared" ca="1" si="30"/>
        <v>#REF!</v>
      </c>
      <c r="L68" s="148" t="e">
        <f t="shared" ca="1" si="30"/>
        <v>#REF!</v>
      </c>
      <c r="M68" s="148" t="e">
        <f t="shared" ca="1" si="30"/>
        <v>#REF!</v>
      </c>
      <c r="N68" s="148" t="e">
        <f t="shared" ca="1" si="30"/>
        <v>#REF!</v>
      </c>
      <c r="O68" s="148" t="e">
        <f t="shared" ca="1" si="30"/>
        <v>#REF!</v>
      </c>
      <c r="P68" s="148" t="e">
        <f t="shared" ca="1" si="30"/>
        <v>#REF!</v>
      </c>
      <c r="Q68" s="148" t="e">
        <f t="shared" ca="1" si="30"/>
        <v>#REF!</v>
      </c>
      <c r="R68" s="148" t="e">
        <f t="shared" ca="1" si="30"/>
        <v>#REF!</v>
      </c>
      <c r="S68" s="148" t="e">
        <f t="shared" ca="1" si="30"/>
        <v>#REF!</v>
      </c>
      <c r="T68" s="131" t="e">
        <f t="shared" ca="1" si="26"/>
        <v>#REF!</v>
      </c>
    </row>
    <row r="69" spans="3:20" ht="15" customHeight="1" x14ac:dyDescent="0.3">
      <c r="C69" t="s">
        <v>213</v>
      </c>
      <c r="D69" s="113"/>
      <c r="E69" s="113"/>
      <c r="F69" s="113"/>
      <c r="G69" s="113" t="s">
        <v>214</v>
      </c>
      <c r="H69" s="138">
        <f ca="1">SUMIFS(
  INDIRECT("input_invoice[net]"),
  INDIRECT("input_invoice[yyyymm]"), 'P&amp;G-Ltd'!H$1,
  INDIRECT("input_invoice[concept/supplier]"), 'P&amp;G-Ltd'!$C133
)</f>
        <v>0</v>
      </c>
      <c r="I69" s="138">
        <f ca="1">SUMIFS(
  INDIRECT("input_invoice[net]"),
  INDIRECT("input_invoice[yyyymm]"), 'P&amp;G-Ltd'!I$1,
  INDIRECT("input_invoice[concept/supplier]"), 'P&amp;G-Ltd'!$C133
)</f>
        <v>0</v>
      </c>
      <c r="J69" s="138">
        <f ca="1">SUMIFS(
  INDIRECT("input_invoice[net]"),
  INDIRECT("input_invoice[yyyymm]"), 'P&amp;G-Ltd'!J$1,
  INDIRECT("input_invoice[concept/supplier]"), 'P&amp;G-Ltd'!$C133
)</f>
        <v>0</v>
      </c>
      <c r="K69" s="138">
        <f ca="1">SUMIFS(
  INDIRECT("input_invoice[net]"),
  INDIRECT("input_invoice[yyyymm]"), 'P&amp;G-Ltd'!K$1,
  INDIRECT("input_invoice[concept/supplier]"), 'P&amp;G-Ltd'!$C133
)</f>
        <v>0</v>
      </c>
      <c r="L69" s="138">
        <f ca="1">SUMIFS(
  INDIRECT("input_invoice[net]"),
  INDIRECT("input_invoice[yyyymm]"), 'P&amp;G-Ltd'!L$1,
  INDIRECT("input_invoice[concept/supplier]"), 'P&amp;G-Ltd'!$C133
)</f>
        <v>0</v>
      </c>
      <c r="M69" s="138">
        <f ca="1">SUMIFS(
  INDIRECT("input_invoice[net]"),
  INDIRECT("input_invoice[yyyymm]"), 'P&amp;G-Ltd'!M$1,
  INDIRECT("input_invoice[concept/supplier]"), 'P&amp;G-Ltd'!$C133
)</f>
        <v>0</v>
      </c>
      <c r="N69" s="138">
        <f ca="1">SUMIFS(
  INDIRECT("input_invoice[net]"),
  INDIRECT("input_invoice[yyyymm]"), 'P&amp;G-Ltd'!N$1,
  INDIRECT("input_invoice[concept/supplier]"), 'P&amp;G-Ltd'!$C133
)</f>
        <v>0</v>
      </c>
      <c r="O69" s="138">
        <f ca="1">SUMIFS(
  INDIRECT("input_invoice[net]"),
  INDIRECT("input_invoice[yyyymm]"), 'P&amp;G-Ltd'!O$1,
  INDIRECT("input_invoice[concept/supplier]"), 'P&amp;G-Ltd'!$C133
)</f>
        <v>0</v>
      </c>
      <c r="P69" s="138">
        <f ca="1">SUMIFS(
  INDIRECT("input_invoice[net]"),
  INDIRECT("input_invoice[yyyymm]"), 'P&amp;G-Ltd'!P$1,
  INDIRECT("input_invoice[concept/supplier]"), 'P&amp;G-Ltd'!$C133
)</f>
        <v>0</v>
      </c>
      <c r="Q69" s="138">
        <f ca="1">SUMIFS(
  INDIRECT("input_invoice[net]"),
  INDIRECT("input_invoice[yyyymm]"), 'P&amp;G-Ltd'!Q$1,
  INDIRECT("input_invoice[concept/supplier]"), 'P&amp;G-Ltd'!$C133
)</f>
        <v>0</v>
      </c>
      <c r="R69" s="138">
        <f ca="1">SUMIFS(
  INDIRECT("input_invoice[net]"),
  INDIRECT("input_invoice[yyyymm]"), 'P&amp;G-Ltd'!R$1,
  INDIRECT("input_invoice[concept/supplier]"), 'P&amp;G-Ltd'!$C133
)</f>
        <v>0</v>
      </c>
      <c r="S69" s="138">
        <f ca="1">SUMIFS(
  INDIRECT("input_invoice[net]"),
  INDIRECT("input_invoice[yyyymm]"), 'P&amp;G-Ltd'!S$1,
  INDIRECT("input_invoice[concept/supplier]"), 'P&amp;G-Ltd'!$C133
)</f>
        <v>0</v>
      </c>
      <c r="T69" s="131">
        <f t="shared" ca="1" si="26"/>
        <v>0</v>
      </c>
    </row>
    <row r="70" spans="3:20" ht="15" customHeight="1" x14ac:dyDescent="0.3">
      <c r="C70" t="s">
        <v>215</v>
      </c>
      <c r="D70" s="113"/>
      <c r="E70" s="113"/>
      <c r="F70" s="113"/>
      <c r="G70" s="113" t="s">
        <v>216</v>
      </c>
      <c r="H70" s="138">
        <f ca="1">SUMIFS(
  INDIRECT("input_invoice[net]"),
  INDIRECT("input_invoice[yyyymm]"), 'P&amp;G-Ltd'!H$1,
  INDIRECT("input_invoice[concept/supplier]"), 'P&amp;G-Ltd'!$C134
)</f>
        <v>0</v>
      </c>
      <c r="I70" s="138">
        <f ca="1">SUMIFS(
  INDIRECT("input_invoice[net]"),
  INDIRECT("input_invoice[yyyymm]"), 'P&amp;G-Ltd'!I$1,
  INDIRECT("input_invoice[concept/supplier]"), 'P&amp;G-Ltd'!$C134
)</f>
        <v>0</v>
      </c>
      <c r="J70" s="138">
        <f ca="1">SUMIFS(
  INDIRECT("input_invoice[net]"),
  INDIRECT("input_invoice[yyyymm]"), 'P&amp;G-Ltd'!J$1,
  INDIRECT("input_invoice[concept/supplier]"), 'P&amp;G-Ltd'!$C134
)</f>
        <v>0</v>
      </c>
      <c r="K70" s="138">
        <f ca="1">SUMIFS(
  INDIRECT("input_invoice[net]"),
  INDIRECT("input_invoice[yyyymm]"), 'P&amp;G-Ltd'!K$1,
  INDIRECT("input_invoice[concept/supplier]"), 'P&amp;G-Ltd'!$C134
)</f>
        <v>0</v>
      </c>
      <c r="L70" s="138">
        <f ca="1">SUMIFS(
  INDIRECT("input_invoice[net]"),
  INDIRECT("input_invoice[yyyymm]"), 'P&amp;G-Ltd'!L$1,
  INDIRECT("input_invoice[concept/supplier]"), 'P&amp;G-Ltd'!$C134
)</f>
        <v>0</v>
      </c>
      <c r="M70" s="138">
        <f ca="1">SUMIFS(
  INDIRECT("input_invoice[net]"),
  INDIRECT("input_invoice[yyyymm]"), 'P&amp;G-Ltd'!M$1,
  INDIRECT("input_invoice[concept/supplier]"), 'P&amp;G-Ltd'!$C134
)</f>
        <v>0</v>
      </c>
      <c r="N70" s="138">
        <f ca="1">SUMIFS(
  INDIRECT("input_invoice[net]"),
  INDIRECT("input_invoice[yyyymm]"), 'P&amp;G-Ltd'!N$1,
  INDIRECT("input_invoice[concept/supplier]"), 'P&amp;G-Ltd'!$C134
)</f>
        <v>0</v>
      </c>
      <c r="O70" s="138">
        <f ca="1">SUMIFS(
  INDIRECT("input_invoice[net]"),
  INDIRECT("input_invoice[yyyymm]"), 'P&amp;G-Ltd'!O$1,
  INDIRECT("input_invoice[concept/supplier]"), 'P&amp;G-Ltd'!$C134
)</f>
        <v>0</v>
      </c>
      <c r="P70" s="138">
        <f ca="1">SUMIFS(
  INDIRECT("input_invoice[net]"),
  INDIRECT("input_invoice[yyyymm]"), 'P&amp;G-Ltd'!P$1,
  INDIRECT("input_invoice[concept/supplier]"), 'P&amp;G-Ltd'!$C134
)</f>
        <v>0</v>
      </c>
      <c r="Q70" s="138">
        <f ca="1">SUMIFS(
  INDIRECT("input_invoice[net]"),
  INDIRECT("input_invoice[yyyymm]"), 'P&amp;G-Ltd'!Q$1,
  INDIRECT("input_invoice[concept/supplier]"), 'P&amp;G-Ltd'!$C134
)</f>
        <v>0</v>
      </c>
      <c r="R70" s="138">
        <f ca="1">SUMIFS(
  INDIRECT("input_invoice[net]"),
  INDIRECT("input_invoice[yyyymm]"), 'P&amp;G-Ltd'!R$1,
  INDIRECT("input_invoice[concept/supplier]"), 'P&amp;G-Ltd'!$C134
)</f>
        <v>0</v>
      </c>
      <c r="S70" s="138">
        <f ca="1">SUMIFS(
  INDIRECT("input_invoice[net]"),
  INDIRECT("input_invoice[yyyymm]"), 'P&amp;G-Ltd'!S$1,
  INDIRECT("input_invoice[concept/supplier]"), 'P&amp;G-Ltd'!$C134
)</f>
        <v>0</v>
      </c>
      <c r="T70" s="131">
        <f t="shared" ca="1" si="26"/>
        <v>0</v>
      </c>
    </row>
    <row r="71" spans="3:20" x14ac:dyDescent="0.3">
      <c r="D71" s="122"/>
      <c r="E71" s="122"/>
      <c r="F71" s="122"/>
      <c r="G71" s="122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1">
        <f t="shared" si="26"/>
        <v>0</v>
      </c>
    </row>
    <row r="72" spans="3:20" ht="15" customHeight="1" x14ac:dyDescent="0.3">
      <c r="D72" s="414" t="s">
        <v>175</v>
      </c>
      <c r="E72" s="414"/>
      <c r="F72" s="414"/>
      <c r="G72" s="415" t="s">
        <v>175</v>
      </c>
      <c r="H72" s="149" t="e">
        <f t="shared" ref="H72" ca="1" si="31">+H68+H69-H70</f>
        <v>#REF!</v>
      </c>
      <c r="I72" s="149" t="e">
        <f t="shared" ref="I72:S72" ca="1" si="32">+I68+I69-I70</f>
        <v>#REF!</v>
      </c>
      <c r="J72" s="149" t="e">
        <f t="shared" ca="1" si="32"/>
        <v>#REF!</v>
      </c>
      <c r="K72" s="149" t="e">
        <f t="shared" ca="1" si="32"/>
        <v>#REF!</v>
      </c>
      <c r="L72" s="149" t="e">
        <f t="shared" ca="1" si="32"/>
        <v>#REF!</v>
      </c>
      <c r="M72" s="149" t="e">
        <f t="shared" ca="1" si="32"/>
        <v>#REF!</v>
      </c>
      <c r="N72" s="149" t="e">
        <f t="shared" ca="1" si="32"/>
        <v>#REF!</v>
      </c>
      <c r="O72" s="149" t="e">
        <f t="shared" ca="1" si="32"/>
        <v>#REF!</v>
      </c>
      <c r="P72" s="149" t="e">
        <f t="shared" ca="1" si="32"/>
        <v>#REF!</v>
      </c>
      <c r="Q72" s="149" t="e">
        <f t="shared" ca="1" si="32"/>
        <v>#REF!</v>
      </c>
      <c r="R72" s="149" t="e">
        <f t="shared" ca="1" si="32"/>
        <v>#REF!</v>
      </c>
      <c r="S72" s="149" t="e">
        <f t="shared" ca="1" si="32"/>
        <v>#REF!</v>
      </c>
      <c r="T72" s="131" t="e">
        <f t="shared" ca="1" si="26"/>
        <v>#REF!</v>
      </c>
    </row>
    <row r="73" spans="3:20" x14ac:dyDescent="0.3">
      <c r="D73" s="121"/>
      <c r="E73" s="121"/>
      <c r="F73" s="121"/>
      <c r="G73" s="121" t="s">
        <v>176</v>
      </c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1">
        <f t="shared" si="26"/>
        <v>0</v>
      </c>
    </row>
    <row r="74" spans="3:20" x14ac:dyDescent="0.3">
      <c r="D74" s="122"/>
      <c r="E74" s="122"/>
      <c r="F74" s="122"/>
      <c r="G74" s="122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1">
        <f t="shared" si="26"/>
        <v>0</v>
      </c>
    </row>
    <row r="75" spans="3:20" ht="15" customHeight="1" x14ac:dyDescent="0.3">
      <c r="D75" s="414" t="s">
        <v>177</v>
      </c>
      <c r="E75" s="414"/>
      <c r="F75" s="414"/>
      <c r="G75" s="415" t="s">
        <v>177</v>
      </c>
      <c r="H75" s="149" t="e">
        <f t="shared" ref="H75" ca="1" si="33">+H72-H73</f>
        <v>#REF!</v>
      </c>
      <c r="I75" s="149" t="e">
        <f t="shared" ref="I75:S75" ca="1" si="34">+I72-I73</f>
        <v>#REF!</v>
      </c>
      <c r="J75" s="149" t="e">
        <f t="shared" ca="1" si="34"/>
        <v>#REF!</v>
      </c>
      <c r="K75" s="149" t="e">
        <f t="shared" ca="1" si="34"/>
        <v>#REF!</v>
      </c>
      <c r="L75" s="149" t="e">
        <f t="shared" ca="1" si="34"/>
        <v>#REF!</v>
      </c>
      <c r="M75" s="149" t="e">
        <f t="shared" ca="1" si="34"/>
        <v>#REF!</v>
      </c>
      <c r="N75" s="149" t="e">
        <f t="shared" ca="1" si="34"/>
        <v>#REF!</v>
      </c>
      <c r="O75" s="149" t="e">
        <f t="shared" ca="1" si="34"/>
        <v>#REF!</v>
      </c>
      <c r="P75" s="149" t="e">
        <f t="shared" ca="1" si="34"/>
        <v>#REF!</v>
      </c>
      <c r="Q75" s="149" t="e">
        <f t="shared" ca="1" si="34"/>
        <v>#REF!</v>
      </c>
      <c r="R75" s="149" t="e">
        <f t="shared" ca="1" si="34"/>
        <v>#REF!</v>
      </c>
      <c r="S75" s="149" t="e">
        <f t="shared" ca="1" si="34"/>
        <v>#REF!</v>
      </c>
      <c r="T75" s="131" t="e">
        <f t="shared" ca="1" si="26"/>
        <v>#REF!</v>
      </c>
    </row>
    <row r="76" spans="3:20" x14ac:dyDescent="0.3">
      <c r="D76" s="122"/>
      <c r="E76" s="122"/>
      <c r="F76" s="122"/>
      <c r="G76" s="122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1">
        <f t="shared" si="26"/>
        <v>0</v>
      </c>
    </row>
    <row r="77" spans="3:20" x14ac:dyDescent="0.3">
      <c r="D77" s="122"/>
      <c r="E77" s="122"/>
      <c r="F77" s="122"/>
      <c r="G77" s="122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1"/>
    </row>
    <row r="78" spans="3:20" x14ac:dyDescent="0.3">
      <c r="D78" s="122"/>
      <c r="E78" s="122"/>
      <c r="F78" s="122"/>
      <c r="G78" s="122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1"/>
    </row>
    <row r="79" spans="3:20" x14ac:dyDescent="0.3">
      <c r="D79" s="122"/>
      <c r="E79" s="122"/>
      <c r="F79" s="122"/>
      <c r="G79" s="122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1"/>
    </row>
    <row r="80" spans="3:20" x14ac:dyDescent="0.3">
      <c r="D80" s="122"/>
      <c r="E80" s="122"/>
      <c r="F80" s="122"/>
      <c r="G80" s="122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1"/>
    </row>
    <row r="81" spans="4:20" x14ac:dyDescent="0.3">
      <c r="D81" s="122"/>
      <c r="E81" s="122"/>
      <c r="F81" s="122"/>
      <c r="G81" s="122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1"/>
    </row>
    <row r="82" spans="4:20" x14ac:dyDescent="0.3">
      <c r="D82" s="120"/>
      <c r="E82" s="120"/>
      <c r="F82" s="120"/>
      <c r="G82" s="120" t="s">
        <v>178</v>
      </c>
      <c r="H82" s="137">
        <f>+'input-divisas'!B4</f>
        <v>0.86</v>
      </c>
      <c r="I82" s="137">
        <f>+'input-divisas'!C4</f>
        <v>0.85</v>
      </c>
      <c r="J82" s="137">
        <f>+'input-divisas'!D4</f>
        <v>0.85499999999999998</v>
      </c>
      <c r="K82" s="137">
        <f>+'input-divisas'!E4</f>
        <v>0.86</v>
      </c>
      <c r="L82" s="137">
        <f>+'input-divisas'!F4</f>
        <v>0.85</v>
      </c>
      <c r="M82" s="137">
        <f>+'input-divisas'!G4</f>
        <v>0.85</v>
      </c>
      <c r="N82" s="137">
        <f>+'input-divisas'!H4</f>
        <v>0.85</v>
      </c>
      <c r="O82" s="137">
        <f>+'input-divisas'!I4</f>
        <v>0.85</v>
      </c>
      <c r="P82" s="137">
        <f>+'input-divisas'!J4</f>
        <v>0.85</v>
      </c>
      <c r="Q82" s="137">
        <f>+'input-divisas'!K4</f>
        <v>0.85</v>
      </c>
      <c r="R82" s="137">
        <f>+'input-divisas'!L4</f>
        <v>0.85</v>
      </c>
      <c r="S82" s="137">
        <f>+'input-divisas'!M4</f>
        <v>0.85</v>
      </c>
      <c r="T82" s="131"/>
    </row>
    <row r="83" spans="4:20" x14ac:dyDescent="0.3">
      <c r="D83" s="122"/>
      <c r="E83" s="122"/>
      <c r="F83" s="122"/>
      <c r="G83" s="120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1"/>
    </row>
    <row r="88" spans="4:20" x14ac:dyDescent="0.3">
      <c r="H88" s="125" t="str">
        <f>+H2</f>
        <v>Enero</v>
      </c>
      <c r="I88" s="125" t="str">
        <f t="shared" ref="I88:R88" si="35">+I2</f>
        <v>Febrero</v>
      </c>
      <c r="J88" s="125" t="str">
        <f t="shared" si="35"/>
        <v>Marzo</v>
      </c>
      <c r="K88" s="125" t="str">
        <f t="shared" si="35"/>
        <v>Abril</v>
      </c>
      <c r="L88" s="125" t="str">
        <f t="shared" si="35"/>
        <v>Mayo</v>
      </c>
      <c r="M88" s="125" t="str">
        <f t="shared" si="35"/>
        <v>Junio</v>
      </c>
      <c r="N88" s="125" t="str">
        <f t="shared" si="35"/>
        <v>Julio</v>
      </c>
      <c r="O88" s="125" t="str">
        <f t="shared" si="35"/>
        <v>Agosto</v>
      </c>
      <c r="P88" s="125" t="str">
        <f t="shared" si="35"/>
        <v>Septiembre</v>
      </c>
      <c r="Q88" s="125" t="str">
        <f t="shared" si="35"/>
        <v>Octubre</v>
      </c>
      <c r="R88" s="125" t="str">
        <f t="shared" si="35"/>
        <v>Noviembre</v>
      </c>
    </row>
    <row r="89" spans="4:20" x14ac:dyDescent="0.3">
      <c r="D89" s="15" t="s">
        <v>1408</v>
      </c>
      <c r="H89" s="125" t="e">
        <f ca="1">+H32+H56+H65+H49</f>
        <v>#REF!</v>
      </c>
      <c r="I89" s="125" t="e">
        <f t="shared" ref="I89:R89" ca="1" si="36">+I32+I56+I65+I49</f>
        <v>#REF!</v>
      </c>
      <c r="J89" s="125" t="e">
        <f t="shared" ca="1" si="36"/>
        <v>#REF!</v>
      </c>
      <c r="K89" s="125" t="e">
        <f t="shared" ca="1" si="36"/>
        <v>#REF!</v>
      </c>
      <c r="L89" s="125" t="e">
        <f t="shared" ca="1" si="36"/>
        <v>#REF!</v>
      </c>
      <c r="M89" s="125" t="e">
        <f t="shared" ca="1" si="36"/>
        <v>#REF!</v>
      </c>
      <c r="N89" s="125" t="e">
        <f t="shared" ca="1" si="36"/>
        <v>#REF!</v>
      </c>
      <c r="O89" s="125" t="e">
        <f t="shared" ca="1" si="36"/>
        <v>#REF!</v>
      </c>
      <c r="P89" s="125" t="e">
        <f t="shared" ca="1" si="36"/>
        <v>#REF!</v>
      </c>
      <c r="Q89" s="125" t="e">
        <f t="shared" ca="1" si="36"/>
        <v>#REF!</v>
      </c>
      <c r="R89" s="125" t="e">
        <f t="shared" ca="1" si="36"/>
        <v>#REF!</v>
      </c>
      <c r="S89" s="125" t="e">
        <f t="shared" ref="S89" ca="1" si="37">+S32+S56+S65</f>
        <v>#REF!</v>
      </c>
    </row>
    <row r="90" spans="4:20" x14ac:dyDescent="0.3">
      <c r="Q90" s="125">
        <v>12165.66</v>
      </c>
      <c r="R90" s="125">
        <v>20793.48</v>
      </c>
    </row>
    <row r="91" spans="4:20" x14ac:dyDescent="0.3">
      <c r="Q91" s="125" t="e">
        <f ca="1">+Q90-Q89</f>
        <v>#REF!</v>
      </c>
      <c r="R91" s="125" t="e">
        <f ca="1">R90-R89</f>
        <v>#REF!</v>
      </c>
    </row>
    <row r="96" spans="4:20" x14ac:dyDescent="0.3">
      <c r="P96" s="286" t="s">
        <v>154</v>
      </c>
    </row>
    <row r="97" spans="16:18" x14ac:dyDescent="0.3">
      <c r="Q97" s="287" t="s">
        <v>1409</v>
      </c>
      <c r="R97" s="287" t="s">
        <v>1410</v>
      </c>
    </row>
    <row r="98" spans="16:18" x14ac:dyDescent="0.3">
      <c r="P98" s="285" t="s">
        <v>1411</v>
      </c>
      <c r="Q98" s="125">
        <v>9826.2091</v>
      </c>
      <c r="R98" s="125">
        <v>11657.831023966941</v>
      </c>
    </row>
    <row r="99" spans="16:18" x14ac:dyDescent="0.3">
      <c r="P99" s="285" t="s">
        <v>1412</v>
      </c>
      <c r="Q99" s="125">
        <v>12165.66</v>
      </c>
      <c r="R99" s="125">
        <v>20793.48</v>
      </c>
    </row>
    <row r="100" spans="16:18" x14ac:dyDescent="0.3">
      <c r="P100" s="285" t="s">
        <v>1413</v>
      </c>
      <c r="Q100" s="125">
        <v>2339.4508999999998</v>
      </c>
      <c r="R100" s="125">
        <v>9135.6489760330587</v>
      </c>
    </row>
    <row r="102" spans="16:18" x14ac:dyDescent="0.3">
      <c r="Q102" s="290">
        <v>10732.87</v>
      </c>
      <c r="R102" s="290">
        <v>13068.98</v>
      </c>
    </row>
    <row r="103" spans="16:18" x14ac:dyDescent="0.3">
      <c r="Q103" s="125">
        <f>+Q102/1.15</f>
        <v>9332.930434782611</v>
      </c>
      <c r="R103" s="125">
        <f>+R102/1.15</f>
        <v>11364.330434782609</v>
      </c>
    </row>
  </sheetData>
  <mergeCells count="45">
    <mergeCell ref="F8:G8"/>
    <mergeCell ref="F29:G29"/>
    <mergeCell ref="D2:G2"/>
    <mergeCell ref="D3:G3"/>
    <mergeCell ref="D4:G4"/>
    <mergeCell ref="E5:G5"/>
    <mergeCell ref="F7:G7"/>
    <mergeCell ref="F22:G22"/>
    <mergeCell ref="F21:G21"/>
    <mergeCell ref="D26:E26"/>
    <mergeCell ref="D16:G16"/>
    <mergeCell ref="F18:G18"/>
    <mergeCell ref="F23:G23"/>
    <mergeCell ref="D31:G31"/>
    <mergeCell ref="F32:G32"/>
    <mergeCell ref="D34:G34"/>
    <mergeCell ref="F27:G27"/>
    <mergeCell ref="F28:G28"/>
    <mergeCell ref="D49:G49"/>
    <mergeCell ref="F40:G40"/>
    <mergeCell ref="D41:G41"/>
    <mergeCell ref="F42:G42"/>
    <mergeCell ref="F35:G35"/>
    <mergeCell ref="F36:G36"/>
    <mergeCell ref="F37:G37"/>
    <mergeCell ref="F38:G38"/>
    <mergeCell ref="F39:G39"/>
    <mergeCell ref="D43:G43"/>
    <mergeCell ref="D44:G44"/>
    <mergeCell ref="D45:G45"/>
    <mergeCell ref="D46:G46"/>
    <mergeCell ref="D48:G48"/>
    <mergeCell ref="D55:G55"/>
    <mergeCell ref="F56:G56"/>
    <mergeCell ref="F50:G50"/>
    <mergeCell ref="F51:G51"/>
    <mergeCell ref="F52:G52"/>
    <mergeCell ref="F53:G53"/>
    <mergeCell ref="D72:G72"/>
    <mergeCell ref="D75:G75"/>
    <mergeCell ref="D68:G68"/>
    <mergeCell ref="D58:G58"/>
    <mergeCell ref="F59:G59"/>
    <mergeCell ref="F62:G62"/>
    <mergeCell ref="F65:G65"/>
  </mergeCells>
  <conditionalFormatting sqref="H4:S14">
    <cfRule type="cellIs" dxfId="5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ECDD-F196-426C-B408-6B2A8A3D7911}">
  <sheetPr>
    <tabColor theme="1"/>
  </sheetPr>
  <dimension ref="A1:T74"/>
  <sheetViews>
    <sheetView zoomScale="85" zoomScaleNormal="85" workbookViewId="0">
      <pane xSplit="7" ySplit="2" topLeftCell="H3" activePane="bottomRight" state="frozen"/>
      <selection pane="topRight"/>
      <selection pane="bottomLeft"/>
      <selection pane="bottomRight" activeCell="H47" sqref="H47:I47"/>
    </sheetView>
  </sheetViews>
  <sheetFormatPr baseColWidth="10" defaultColWidth="11.44140625" defaultRowHeight="14.4" outlineLevelRow="2" outlineLevelCol="1" x14ac:dyDescent="0.3"/>
  <cols>
    <col min="1" max="1" width="2.44140625" hidden="1" customWidth="1" outlineLevel="1"/>
    <col min="2" max="2" width="7.44140625" hidden="1" customWidth="1" outlineLevel="1"/>
    <col min="3" max="3" width="43.44140625" hidden="1" customWidth="1" outlineLevel="1"/>
    <col min="4" max="4" width="5.33203125" style="15" customWidth="1" collapsed="1"/>
    <col min="5" max="5" width="4.33203125" style="15" customWidth="1"/>
    <col min="6" max="6" width="8.33203125" style="15" customWidth="1"/>
    <col min="7" max="7" width="21.6640625" style="15" customWidth="1"/>
    <col min="8" max="19" width="11.44140625" style="125"/>
    <col min="20" max="20" width="11.44140625" style="126"/>
  </cols>
  <sheetData>
    <row r="1" spans="1:20" outlineLevel="1" x14ac:dyDescent="0.3">
      <c r="H1" s="269" t="s">
        <v>1178</v>
      </c>
      <c r="I1" s="269">
        <v>202602</v>
      </c>
      <c r="J1" s="269">
        <v>202603</v>
      </c>
      <c r="K1" s="269">
        <v>202604</v>
      </c>
      <c r="L1" s="269">
        <v>202605</v>
      </c>
      <c r="M1" s="269">
        <v>202606</v>
      </c>
      <c r="N1" s="269">
        <v>202607</v>
      </c>
      <c r="O1" s="269">
        <v>202608</v>
      </c>
      <c r="P1" s="269">
        <v>202609</v>
      </c>
      <c r="Q1" s="269">
        <v>202610</v>
      </c>
      <c r="R1" s="269">
        <v>202611</v>
      </c>
      <c r="S1" s="269">
        <v>202612</v>
      </c>
    </row>
    <row r="2" spans="1:20" s="22" customFormat="1" ht="23.4" x14ac:dyDescent="0.45">
      <c r="D2" s="395" t="e">
        <f>+#REF!&amp;"-"&amp;#REF!</f>
        <v>#REF!</v>
      </c>
      <c r="E2" s="395"/>
      <c r="F2" s="395"/>
      <c r="G2" s="395"/>
      <c r="H2" s="16" t="s">
        <v>1429</v>
      </c>
      <c r="I2" s="16" t="s">
        <v>1430</v>
      </c>
      <c r="J2" s="16" t="s">
        <v>1431</v>
      </c>
      <c r="K2" s="16" t="s">
        <v>1432</v>
      </c>
      <c r="L2" s="16" t="s">
        <v>1433</v>
      </c>
      <c r="M2" s="16" t="s">
        <v>1434</v>
      </c>
      <c r="N2" s="16" t="s">
        <v>1435</v>
      </c>
      <c r="O2" s="16" t="s">
        <v>1436</v>
      </c>
      <c r="P2" s="16" t="s">
        <v>1437</v>
      </c>
      <c r="Q2" s="16" t="s">
        <v>1438</v>
      </c>
      <c r="R2" s="16" t="s">
        <v>1439</v>
      </c>
      <c r="S2" s="16" t="s">
        <v>1440</v>
      </c>
      <c r="T2" s="127" t="s">
        <v>0</v>
      </c>
    </row>
    <row r="3" spans="1:20" ht="15" customHeight="1" x14ac:dyDescent="0.3">
      <c r="D3" s="428" t="s">
        <v>1</v>
      </c>
      <c r="E3" s="428"/>
      <c r="F3" s="428"/>
      <c r="G3" s="428"/>
      <c r="H3" s="158">
        <f>+H4</f>
        <v>10261.58</v>
      </c>
      <c r="I3" s="158">
        <f t="shared" ref="H3:S4" si="0">+I4</f>
        <v>15549.06</v>
      </c>
      <c r="J3" s="158">
        <f t="shared" si="0"/>
        <v>10787.15</v>
      </c>
      <c r="K3" s="158">
        <f t="shared" si="0"/>
        <v>0</v>
      </c>
      <c r="L3" s="158">
        <f t="shared" si="0"/>
        <v>0</v>
      </c>
      <c r="M3" s="158">
        <f t="shared" si="0"/>
        <v>0</v>
      </c>
      <c r="N3" s="158">
        <f t="shared" si="0"/>
        <v>0</v>
      </c>
      <c r="O3" s="158">
        <f t="shared" si="0"/>
        <v>0</v>
      </c>
      <c r="P3" s="158">
        <f t="shared" si="0"/>
        <v>0</v>
      </c>
      <c r="Q3" s="158">
        <f t="shared" si="0"/>
        <v>0</v>
      </c>
      <c r="R3" s="158">
        <f t="shared" si="0"/>
        <v>0</v>
      </c>
      <c r="S3" s="158">
        <f t="shared" si="0"/>
        <v>0</v>
      </c>
      <c r="T3" s="159">
        <f t="shared" ref="T3:T7" si="1">SUM(H3:S3)</f>
        <v>36597.79</v>
      </c>
    </row>
    <row r="4" spans="1:20" x14ac:dyDescent="0.3">
      <c r="A4" t="s">
        <v>2</v>
      </c>
      <c r="B4" t="s">
        <v>3</v>
      </c>
      <c r="C4" t="s">
        <v>4</v>
      </c>
      <c r="D4" s="429" t="s">
        <v>5</v>
      </c>
      <c r="E4" s="429"/>
      <c r="F4" s="429"/>
      <c r="G4" s="429"/>
      <c r="H4" s="160">
        <f t="shared" si="0"/>
        <v>10261.58</v>
      </c>
      <c r="I4" s="160">
        <f t="shared" si="0"/>
        <v>15549.06</v>
      </c>
      <c r="J4" s="160">
        <f t="shared" si="0"/>
        <v>10787.15</v>
      </c>
      <c r="K4" s="160">
        <f t="shared" si="0"/>
        <v>0</v>
      </c>
      <c r="L4" s="160">
        <f t="shared" si="0"/>
        <v>0</v>
      </c>
      <c r="M4" s="160">
        <f t="shared" si="0"/>
        <v>0</v>
      </c>
      <c r="N4" s="160">
        <f t="shared" si="0"/>
        <v>0</v>
      </c>
      <c r="O4" s="160">
        <f t="shared" si="0"/>
        <v>0</v>
      </c>
      <c r="P4" s="160">
        <f t="shared" si="0"/>
        <v>0</v>
      </c>
      <c r="Q4" s="160">
        <f t="shared" si="0"/>
        <v>0</v>
      </c>
      <c r="R4" s="160">
        <f t="shared" si="0"/>
        <v>0</v>
      </c>
      <c r="S4" s="160">
        <f t="shared" si="0"/>
        <v>0</v>
      </c>
      <c r="T4" s="161">
        <f t="shared" si="1"/>
        <v>36597.79</v>
      </c>
    </row>
    <row r="5" spans="1:20" ht="15" customHeight="1" x14ac:dyDescent="0.3">
      <c r="D5" s="104" t="e" vm="14">
        <v>#VALUE!</v>
      </c>
      <c r="E5" s="430" t="s">
        <v>217</v>
      </c>
      <c r="F5" s="430"/>
      <c r="G5" s="430"/>
      <c r="H5" s="160">
        <f>+H7</f>
        <v>10261.58</v>
      </c>
      <c r="I5" s="160">
        <f t="shared" ref="I5:S5" si="2">+I7</f>
        <v>15549.06</v>
      </c>
      <c r="J5" s="160">
        <f t="shared" si="2"/>
        <v>10787.15</v>
      </c>
      <c r="K5" s="160">
        <f t="shared" si="2"/>
        <v>0</v>
      </c>
      <c r="L5" s="160">
        <f t="shared" si="2"/>
        <v>0</v>
      </c>
      <c r="M5" s="160">
        <f t="shared" si="2"/>
        <v>0</v>
      </c>
      <c r="N5" s="160">
        <f t="shared" si="2"/>
        <v>0</v>
      </c>
      <c r="O5" s="160">
        <f t="shared" si="2"/>
        <v>0</v>
      </c>
      <c r="P5" s="160">
        <f t="shared" si="2"/>
        <v>0</v>
      </c>
      <c r="Q5" s="160">
        <f t="shared" si="2"/>
        <v>0</v>
      </c>
      <c r="R5" s="160">
        <f t="shared" si="2"/>
        <v>0</v>
      </c>
      <c r="S5" s="160">
        <f t="shared" si="2"/>
        <v>0</v>
      </c>
      <c r="T5" s="161">
        <f t="shared" si="1"/>
        <v>36597.79</v>
      </c>
    </row>
    <row r="6" spans="1:20" x14ac:dyDescent="0.3">
      <c r="D6" s="105"/>
      <c r="E6" s="106"/>
      <c r="F6" s="106"/>
      <c r="G6" s="106" t="s">
        <v>7</v>
      </c>
      <c r="H6" s="157">
        <f t="shared" ref="H6:T6" si="3">IFERROR(+H5/H$4,0)</f>
        <v>1</v>
      </c>
      <c r="I6" s="157">
        <f t="shared" ref="I6:S6" si="4">IFERROR(+I5/I$4,0)</f>
        <v>1</v>
      </c>
      <c r="J6" s="157">
        <f t="shared" si="4"/>
        <v>1</v>
      </c>
      <c r="K6" s="157">
        <f t="shared" si="4"/>
        <v>0</v>
      </c>
      <c r="L6" s="157">
        <f t="shared" si="4"/>
        <v>0</v>
      </c>
      <c r="M6" s="157">
        <f t="shared" si="4"/>
        <v>0</v>
      </c>
      <c r="N6" s="157">
        <f t="shared" si="4"/>
        <v>0</v>
      </c>
      <c r="O6" s="157">
        <f t="shared" si="4"/>
        <v>0</v>
      </c>
      <c r="P6" s="157">
        <f t="shared" si="4"/>
        <v>0</v>
      </c>
      <c r="Q6" s="157">
        <f t="shared" si="4"/>
        <v>0</v>
      </c>
      <c r="R6" s="157">
        <f t="shared" si="4"/>
        <v>0</v>
      </c>
      <c r="S6" s="157">
        <f t="shared" si="4"/>
        <v>0</v>
      </c>
      <c r="T6" s="181">
        <f t="shared" si="3"/>
        <v>1</v>
      </c>
    </row>
    <row r="7" spans="1:20" hidden="1" outlineLevel="1" x14ac:dyDescent="0.3">
      <c r="A7">
        <v>0</v>
      </c>
      <c r="B7">
        <v>0</v>
      </c>
      <c r="C7" t="s">
        <v>34</v>
      </c>
      <c r="D7" s="107"/>
      <c r="E7" s="108"/>
      <c r="F7" s="427" t="s">
        <v>9</v>
      </c>
      <c r="G7" s="427"/>
      <c r="H7" s="162">
        <f>SUMIFS('i-sales'!$K:$K,
'i-sales'!$C:$C,'P&amp;G-Inc'!H$1,
'i-sales'!$D:$D,'P&amp;G-Inc'!$C7,
'i-sales'!$G:$G,'P&amp;G-Inc'!$A7,
'i-sales'!$H:$H,'P&amp;G-Inc'!$B7
)</f>
        <v>10261.58</v>
      </c>
      <c r="I7" s="162">
        <f>SUMIFS('i-sales'!$K:$K,
'i-sales'!$C:$C,'P&amp;G-Inc'!I$1,
'i-sales'!$D:$D,'P&amp;G-Inc'!$C7,
'i-sales'!$G:$G,'P&amp;G-Inc'!$A7,
'i-sales'!$H:$H,'P&amp;G-Inc'!$B7
)</f>
        <v>15549.06</v>
      </c>
      <c r="J7" s="162">
        <f>SUMIFS('i-sales'!$K:$K,
'i-sales'!$C:$C,'P&amp;G-Inc'!J$1,
'i-sales'!$D:$D,'P&amp;G-Inc'!$C7,
'i-sales'!$G:$G,'P&amp;G-Inc'!$A7,
'i-sales'!$H:$H,'P&amp;G-Inc'!$B7
)</f>
        <v>10787.15</v>
      </c>
      <c r="K7" s="162">
        <f>SUMIFS('i-sales'!$K:$K,
'i-sales'!$C:$C,'P&amp;G-Inc'!K$1,
'i-sales'!$D:$D,'P&amp;G-Inc'!$C7,
'i-sales'!$G:$G,'P&amp;G-Inc'!$A7,
'i-sales'!$H:$H,'P&amp;G-Inc'!$B7
)</f>
        <v>0</v>
      </c>
      <c r="L7" s="162">
        <f>SUMIFS('i-sales'!$K:$K,
'i-sales'!$C:$C,'P&amp;G-Inc'!L$1,
'i-sales'!$D:$D,'P&amp;G-Inc'!$C7,
'i-sales'!$G:$G,'P&amp;G-Inc'!$A7,
'i-sales'!$H:$H,'P&amp;G-Inc'!$B7
)</f>
        <v>0</v>
      </c>
      <c r="M7" s="162">
        <f>SUMIFS('i-sales'!$K:$K,
'i-sales'!$C:$C,'P&amp;G-Inc'!M$1,
'i-sales'!$D:$D,'P&amp;G-Inc'!$C7,
'i-sales'!$G:$G,'P&amp;G-Inc'!$A7,
'i-sales'!$H:$H,'P&amp;G-Inc'!$B7
)</f>
        <v>0</v>
      </c>
      <c r="N7" s="162">
        <f>SUMIFS('i-sales'!$K:$K,
'i-sales'!$C:$C,'P&amp;G-Inc'!N$1,
'i-sales'!$D:$D,'P&amp;G-Inc'!$C7,
'i-sales'!$G:$G,'P&amp;G-Inc'!$A7,
'i-sales'!$H:$H,'P&amp;G-Inc'!$B7
)</f>
        <v>0</v>
      </c>
      <c r="O7" s="162">
        <f>SUMIFS('i-sales'!$K:$K,
'i-sales'!$C:$C,'P&amp;G-Inc'!O$1,
'i-sales'!$D:$D,'P&amp;G-Inc'!$C7,
'i-sales'!$G:$G,'P&amp;G-Inc'!$A7,
'i-sales'!$H:$H,'P&amp;G-Inc'!$B7
)</f>
        <v>0</v>
      </c>
      <c r="P7" s="162">
        <f>SUMIFS('i-sales'!$K:$K,
'i-sales'!$C:$C,'P&amp;G-Inc'!P$1,
'i-sales'!$D:$D,'P&amp;G-Inc'!$C7,
'i-sales'!$G:$G,'P&amp;G-Inc'!$A7,
'i-sales'!$H:$H,'P&amp;G-Inc'!$B7
)</f>
        <v>0</v>
      </c>
      <c r="Q7" s="162">
        <f>SUMIFS('i-sales'!$K:$K,
'i-sales'!$C:$C,'P&amp;G-Inc'!Q$1,
'i-sales'!$D:$D,'P&amp;G-Inc'!$C7,
'i-sales'!$G:$G,'P&amp;G-Inc'!$A7,
'i-sales'!$H:$H,'P&amp;G-Inc'!$B7
)</f>
        <v>0</v>
      </c>
      <c r="R7" s="162">
        <f>SUMIFS('i-sales'!$K:$K,
'i-sales'!$C:$C,'P&amp;G-Inc'!R$1,
'i-sales'!$D:$D,'P&amp;G-Inc'!$C7,
'i-sales'!$G:$G,'P&amp;G-Inc'!$A7,
'i-sales'!$H:$H,'P&amp;G-Inc'!$B7
)</f>
        <v>0</v>
      </c>
      <c r="S7" s="162">
        <f>SUMIFS('i-sales'!$K:$K,
'i-sales'!$C:$C,'P&amp;G-Inc'!S$1,
'i-sales'!$D:$D,'P&amp;G-Inc'!$C7,
'i-sales'!$G:$G,'P&amp;G-Inc'!$A7,
'i-sales'!$H:$H,'P&amp;G-Inc'!$B7
)</f>
        <v>0</v>
      </c>
      <c r="T7" s="161">
        <f t="shared" si="1"/>
        <v>36597.79</v>
      </c>
    </row>
    <row r="8" spans="1:20" collapsed="1" x14ac:dyDescent="0.3">
      <c r="D8" s="109"/>
      <c r="E8" s="110"/>
      <c r="F8" s="110"/>
      <c r="G8" s="110"/>
      <c r="H8" s="163"/>
      <c r="I8" s="163"/>
      <c r="J8" s="164"/>
      <c r="K8" s="164"/>
      <c r="L8" s="164"/>
      <c r="M8" s="164"/>
      <c r="N8" s="164"/>
      <c r="O8" s="163"/>
      <c r="P8" s="163"/>
      <c r="Q8" s="163"/>
      <c r="R8" s="163"/>
      <c r="S8" s="283" t="e">
        <f ca="1">+((S10)+S15)/S4</f>
        <v>#DIV/0!</v>
      </c>
      <c r="T8" s="165"/>
    </row>
    <row r="9" spans="1:20" ht="15" customHeight="1" x14ac:dyDescent="0.3">
      <c r="D9" s="433" t="s">
        <v>35</v>
      </c>
      <c r="E9" s="433"/>
      <c r="F9" s="433"/>
      <c r="G9" s="433"/>
      <c r="H9" s="166" t="e">
        <f t="shared" ref="H9:S9" ca="1" si="5">+H10+H15+H20+H23+H30</f>
        <v>#REF!</v>
      </c>
      <c r="I9" s="166" t="e">
        <f t="shared" ca="1" si="5"/>
        <v>#REF!</v>
      </c>
      <c r="J9" s="166" t="e">
        <f t="shared" ca="1" si="5"/>
        <v>#REF!</v>
      </c>
      <c r="K9" s="166" t="e">
        <f t="shared" ca="1" si="5"/>
        <v>#REF!</v>
      </c>
      <c r="L9" s="166" t="e">
        <f t="shared" ca="1" si="5"/>
        <v>#REF!</v>
      </c>
      <c r="M9" s="166" t="e">
        <f t="shared" ca="1" si="5"/>
        <v>#REF!</v>
      </c>
      <c r="N9" s="166" t="e">
        <f t="shared" ca="1" si="5"/>
        <v>#REF!</v>
      </c>
      <c r="O9" s="166" t="e">
        <f t="shared" ca="1" si="5"/>
        <v>#REF!</v>
      </c>
      <c r="P9" s="166" t="e">
        <f t="shared" ca="1" si="5"/>
        <v>#REF!</v>
      </c>
      <c r="Q9" s="166" t="e">
        <f t="shared" ca="1" si="5"/>
        <v>#REF!</v>
      </c>
      <c r="R9" s="166" t="e">
        <f t="shared" ca="1" si="5"/>
        <v>#REF!</v>
      </c>
      <c r="S9" s="166" t="e">
        <f t="shared" ca="1" si="5"/>
        <v>#REF!</v>
      </c>
      <c r="T9" s="159" t="e">
        <f t="shared" ref="T9:T12" ca="1" si="6">SUM(H9:S9)</f>
        <v>#REF!</v>
      </c>
    </row>
    <row r="10" spans="1:20" x14ac:dyDescent="0.3">
      <c r="D10" s="111" t="s">
        <v>36</v>
      </c>
      <c r="E10" s="112"/>
      <c r="F10" s="113"/>
      <c r="G10" s="114"/>
      <c r="H10" s="167">
        <f ca="1">SUM(H11:H13)</f>
        <v>1562.55</v>
      </c>
      <c r="I10" s="167">
        <f t="shared" ref="I10:S10" ca="1" si="7">SUM(I11:I13)</f>
        <v>2616.2800000000002</v>
      </c>
      <c r="J10" s="167">
        <f t="shared" ca="1" si="7"/>
        <v>0</v>
      </c>
      <c r="K10" s="167">
        <f t="shared" ca="1" si="7"/>
        <v>0</v>
      </c>
      <c r="L10" s="167">
        <f t="shared" ca="1" si="7"/>
        <v>0</v>
      </c>
      <c r="M10" s="167">
        <f t="shared" ca="1" si="7"/>
        <v>0</v>
      </c>
      <c r="N10" s="167">
        <f t="shared" ca="1" si="7"/>
        <v>0</v>
      </c>
      <c r="O10" s="167">
        <f t="shared" ca="1" si="7"/>
        <v>0</v>
      </c>
      <c r="P10" s="167">
        <f t="shared" ca="1" si="7"/>
        <v>0</v>
      </c>
      <c r="Q10" s="167">
        <f t="shared" ca="1" si="7"/>
        <v>0</v>
      </c>
      <c r="R10" s="167">
        <f t="shared" ca="1" si="7"/>
        <v>0</v>
      </c>
      <c r="S10" s="167">
        <f t="shared" ca="1" si="7"/>
        <v>0</v>
      </c>
      <c r="T10" s="161">
        <f t="shared" ca="1" si="6"/>
        <v>4178.83</v>
      </c>
    </row>
    <row r="11" spans="1:20" ht="15" customHeight="1" outlineLevel="1" x14ac:dyDescent="0.3">
      <c r="C11" t="s">
        <v>218</v>
      </c>
      <c r="D11" s="115"/>
      <c r="E11" s="124" t="e" vm="14">
        <v>#VALUE!</v>
      </c>
      <c r="F11" s="422" t="s">
        <v>219</v>
      </c>
      <c r="G11" s="422"/>
      <c r="H11" s="164">
        <f ca="1">SUMIFS(
  INDIRECT("input_invoice[net]"),
  INDIRECT("input_invoice[yyyymm]"), 'P&amp;G-Inc'!H$1,
  INDIRECT("input_invoice[concept/supplier]"), 'P&amp;G-Inc'!$C11
)</f>
        <v>1562.55</v>
      </c>
      <c r="I11" s="164">
        <f ca="1">SUMIFS(
  INDIRECT("input_invoice[net]"),
  INDIRECT("input_invoice[yyyymm]"), 'P&amp;G-Inc'!I$1,
  INDIRECT("input_invoice[concept/supplier]"), 'P&amp;G-Inc'!$C11
)</f>
        <v>2616.2800000000002</v>
      </c>
      <c r="J11" s="164">
        <f ca="1">SUMIFS(
  INDIRECT("input_invoice[net]"),
  INDIRECT("input_invoice[yyyymm]"), 'P&amp;G-Inc'!J$1,
  INDIRECT("input_invoice[concept/supplier]"), 'P&amp;G-Inc'!$C11
)</f>
        <v>0</v>
      </c>
      <c r="K11" s="164">
        <f ca="1">SUMIFS(
  INDIRECT("input_invoice[net]"),
  INDIRECT("input_invoice[yyyymm]"), 'P&amp;G-Inc'!K$1,
  INDIRECT("input_invoice[concept/supplier]"), 'P&amp;G-Inc'!$C11
)</f>
        <v>0</v>
      </c>
      <c r="L11" s="164">
        <f ca="1">SUMIFS(
  INDIRECT("input_invoice[net]"),
  INDIRECT("input_invoice[yyyymm]"), 'P&amp;G-Inc'!L$1,
  INDIRECT("input_invoice[concept/supplier]"), 'P&amp;G-Inc'!$C11
)</f>
        <v>0</v>
      </c>
      <c r="M11" s="164">
        <f ca="1">SUMIFS(
  INDIRECT("input_invoice[net]"),
  INDIRECT("input_invoice[yyyymm]"), 'P&amp;G-Inc'!M$1,
  INDIRECT("input_invoice[concept/supplier]"), 'P&amp;G-Inc'!$C11
)</f>
        <v>0</v>
      </c>
      <c r="N11" s="164">
        <f ca="1">SUMIFS(
  INDIRECT("input_invoice[net]"),
  INDIRECT("input_invoice[yyyymm]"), 'P&amp;G-Inc'!N$1,
  INDIRECT("input_invoice[concept/supplier]"), 'P&amp;G-Inc'!$C11
)</f>
        <v>0</v>
      </c>
      <c r="O11" s="164">
        <f ca="1">SUMIFS(
  INDIRECT("input_invoice[net]"),
  INDIRECT("input_invoice[yyyymm]"), 'P&amp;G-Inc'!O$1,
  INDIRECT("input_invoice[concept/supplier]"), 'P&amp;G-Inc'!$C11
)</f>
        <v>0</v>
      </c>
      <c r="P11" s="164">
        <f ca="1">SUMIFS(
  INDIRECT("input_invoice[net]"),
  INDIRECT("input_invoice[yyyymm]"), 'P&amp;G-Inc'!P$1,
  INDIRECT("input_invoice[concept/supplier]"), 'P&amp;G-Inc'!$C11
)</f>
        <v>0</v>
      </c>
      <c r="Q11" s="164">
        <f ca="1">SUMIFS(
  INDIRECT("input_invoice[net]"),
  INDIRECT("input_invoice[yyyymm]"), 'P&amp;G-Inc'!Q$1,
  INDIRECT("input_invoice[concept/supplier]"), 'P&amp;G-Inc'!$C11
)</f>
        <v>0</v>
      </c>
      <c r="R11" s="164">
        <f ca="1">SUMIFS(
  INDIRECT("input_invoice[net]"),
  INDIRECT("input_invoice[yyyymm]"), 'P&amp;G-Inc'!R$1,
  INDIRECT("input_invoice[concept/supplier]"), 'P&amp;G-Inc'!$C11
)</f>
        <v>0</v>
      </c>
      <c r="S11" s="164">
        <f ca="1">SUMIFS(
  INDIRECT("input_invoice[net]"),
  INDIRECT("input_invoice[yyyymm]"), 'P&amp;G-Inc'!S$1,
  INDIRECT("input_invoice[concept/supplier]"), 'P&amp;G-Inc'!$C11
)</f>
        <v>0</v>
      </c>
      <c r="T11" s="161">
        <f t="shared" ca="1" si="6"/>
        <v>4178.83</v>
      </c>
    </row>
    <row r="12" spans="1:20" ht="15" customHeight="1" outlineLevel="1" x14ac:dyDescent="0.3">
      <c r="C12" t="s">
        <v>220</v>
      </c>
      <c r="D12" s="115"/>
      <c r="E12" s="124" t="e" vm="14">
        <v>#VALUE!</v>
      </c>
      <c r="F12" s="123" t="s">
        <v>193</v>
      </c>
      <c r="G12" s="115"/>
      <c r="H12" s="164">
        <f ca="1">SUMIFS(
  INDIRECT("input_invoice[net]"),
  INDIRECT("input_invoice[yyyymm]"), 'P&amp;G-Inc'!H$1,
  INDIRECT("input_invoice[concept/supplier]"), 'P&amp;G-Inc'!$C12
)</f>
        <v>0</v>
      </c>
      <c r="I12" s="164">
        <f ca="1">SUMIFS(
  INDIRECT("input_invoice[net]"),
  INDIRECT("input_invoice[yyyymm]"), 'P&amp;G-Inc'!I$1,
  INDIRECT("input_invoice[concept/supplier]"), 'P&amp;G-Inc'!$C12
)</f>
        <v>0</v>
      </c>
      <c r="J12" s="164">
        <f ca="1">SUMIFS(
  INDIRECT("input_invoice[net]"),
  INDIRECT("input_invoice[yyyymm]"), 'P&amp;G-Inc'!J$1,
  INDIRECT("input_invoice[concept/supplier]"), 'P&amp;G-Inc'!$C12
)</f>
        <v>0</v>
      </c>
      <c r="K12" s="164">
        <f ca="1">SUMIFS(
  INDIRECT("input_invoice[net]"),
  INDIRECT("input_invoice[yyyymm]"), 'P&amp;G-Inc'!K$1,
  INDIRECT("input_invoice[concept/supplier]"), 'P&amp;G-Inc'!$C12
)</f>
        <v>0</v>
      </c>
      <c r="L12" s="164">
        <f ca="1">SUMIFS(
  INDIRECT("input_invoice[net]"),
  INDIRECT("input_invoice[yyyymm]"), 'P&amp;G-Inc'!L$1,
  INDIRECT("input_invoice[concept/supplier]"), 'P&amp;G-Inc'!$C12
)</f>
        <v>0</v>
      </c>
      <c r="M12" s="164">
        <f ca="1">SUMIFS(
  INDIRECT("input_invoice[net]"),
  INDIRECT("input_invoice[yyyymm]"), 'P&amp;G-Inc'!M$1,
  INDIRECT("input_invoice[concept/supplier]"), 'P&amp;G-Inc'!$C12
)</f>
        <v>0</v>
      </c>
      <c r="N12" s="164">
        <f ca="1">SUMIFS(
  INDIRECT("input_invoice[net]"),
  INDIRECT("input_invoice[yyyymm]"), 'P&amp;G-Inc'!N$1,
  INDIRECT("input_invoice[concept/supplier]"), 'P&amp;G-Inc'!$C12
)</f>
        <v>0</v>
      </c>
      <c r="O12" s="164">
        <f ca="1">SUMIFS(
  INDIRECT("input_invoice[net]"),
  INDIRECT("input_invoice[yyyymm]"), 'P&amp;G-Inc'!O$1,
  INDIRECT("input_invoice[concept/supplier]"), 'P&amp;G-Inc'!$C12
)</f>
        <v>0</v>
      </c>
      <c r="P12" s="164">
        <f ca="1">SUMIFS(
  INDIRECT("input_invoice[net]"),
  INDIRECT("input_invoice[yyyymm]"), 'P&amp;G-Inc'!P$1,
  INDIRECT("input_invoice[concept/supplier]"), 'P&amp;G-Inc'!$C12
)</f>
        <v>0</v>
      </c>
      <c r="Q12" s="164">
        <f ca="1">SUMIFS(
  INDIRECT("input_invoice[net]"),
  INDIRECT("input_invoice[yyyymm]"), 'P&amp;G-Inc'!Q$1,
  INDIRECT("input_invoice[concept/supplier]"), 'P&amp;G-Inc'!$C12
)</f>
        <v>0</v>
      </c>
      <c r="R12" s="164">
        <f ca="1">SUMIFS(
  INDIRECT("input_invoice[net]"),
  INDIRECT("input_invoice[yyyymm]"), 'P&amp;G-Inc'!R$1,
  INDIRECT("input_invoice[concept/supplier]"), 'P&amp;G-Inc'!$C12
)</f>
        <v>0</v>
      </c>
      <c r="S12" s="164">
        <f ca="1">SUMIFS(
  INDIRECT("input_invoice[net]"),
  INDIRECT("input_invoice[yyyymm]"), 'P&amp;G-Inc'!S$1,
  INDIRECT("input_invoice[concept/supplier]"), 'P&amp;G-Inc'!$C12
)</f>
        <v>0</v>
      </c>
      <c r="T12" s="161">
        <f t="shared" ca="1" si="6"/>
        <v>0</v>
      </c>
    </row>
    <row r="13" spans="1:20" ht="15" customHeight="1" outlineLevel="1" x14ac:dyDescent="0.3">
      <c r="C13" t="s">
        <v>510</v>
      </c>
      <c r="D13" s="115"/>
      <c r="E13" s="116"/>
      <c r="F13" s="123" t="s">
        <v>507</v>
      </c>
      <c r="G13" s="115"/>
      <c r="H13" s="164">
        <f ca="1">SUMIFS(
  INDIRECT("input_provisions[import]"),
  INDIRECT("input_provisions[yyyymm]"), 'P&amp;G-Inc'!H$1,
  INDIRECT("input_provisions[concept/supplier]"), 'P&amp;G-Inc'!$C13
)*(1/H71)</f>
        <v>0</v>
      </c>
      <c r="I13" s="164">
        <f ca="1">SUMIFS(
  INDIRECT("input_provisions[import]"),
  INDIRECT("input_provisions[yyyymm]"), 'P&amp;G-Inc'!I$1,
  INDIRECT("input_provisions[concept/supplier]"), 'P&amp;G-Inc'!$C13
)*(1/I71)</f>
        <v>0</v>
      </c>
      <c r="J13" s="164">
        <f ca="1">SUMIFS(
  INDIRECT("input_provisions[import]"),
  INDIRECT("input_provisions[yyyymm]"), 'P&amp;G-Inc'!J$1,
  INDIRECT("input_provisions[concept/supplier]"), 'P&amp;G-Inc'!$C13
)*(1/J71)</f>
        <v>0</v>
      </c>
      <c r="K13" s="164">
        <f ca="1">SUMIFS(
  INDIRECT("input_provisions[import]"),
  INDIRECT("input_provisions[yyyymm]"), 'P&amp;G-Inc'!K$1,
  INDIRECT("input_provisions[concept/supplier]"), 'P&amp;G-Inc'!$C13
)*(1/K71)</f>
        <v>0</v>
      </c>
      <c r="L13" s="164">
        <f ca="1">SUMIFS(
  INDIRECT("input_provisions[import]"),
  INDIRECT("input_provisions[yyyymm]"), 'P&amp;G-Inc'!L$1,
  INDIRECT("input_provisions[concept/supplier]"), 'P&amp;G-Inc'!$C13
)*(1/L71)</f>
        <v>0</v>
      </c>
      <c r="M13" s="164">
        <f ca="1">SUMIFS(
  INDIRECT("input_provisions[import]"),
  INDIRECT("input_provisions[yyyymm]"), 'P&amp;G-Inc'!M$1,
  INDIRECT("input_provisions[concept/supplier]"), 'P&amp;G-Inc'!$C13
)*(1/M71)</f>
        <v>0</v>
      </c>
      <c r="N13" s="164">
        <f ca="1">SUMIFS(
  INDIRECT("input_provisions[import]"),
  INDIRECT("input_provisions[yyyymm]"), 'P&amp;G-Inc'!N$1,
  INDIRECT("input_provisions[concept/supplier]"), 'P&amp;G-Inc'!$C13
)*(1/N71)</f>
        <v>0</v>
      </c>
      <c r="O13" s="164">
        <f ca="1">SUMIFS(
  INDIRECT("input_provisions[import]"),
  INDIRECT("input_provisions[yyyymm]"), 'P&amp;G-Inc'!O$1,
  INDIRECT("input_provisions[concept/supplier]"), 'P&amp;G-Inc'!$C13
)*(1/O71)</f>
        <v>0</v>
      </c>
      <c r="P13" s="164">
        <f ca="1">SUMIFS(
  INDIRECT("input_provisions[import]"),
  INDIRECT("input_provisions[yyyymm]"), 'P&amp;G-Inc'!P$1,
  INDIRECT("input_provisions[concept/supplier]"), 'P&amp;G-Inc'!$C13
)*(1/P71)</f>
        <v>0</v>
      </c>
      <c r="Q13" s="164">
        <f ca="1">SUMIFS(
  INDIRECT("input_provisions[import]"),
  INDIRECT("input_provisions[yyyymm]"), 'P&amp;G-Inc'!Q$1,
  INDIRECT("input_provisions[concept/supplier]"), 'P&amp;G-Inc'!$C13
)*(1/Q71)</f>
        <v>0</v>
      </c>
      <c r="R13" s="164">
        <f ca="1">SUMIFS(
  INDIRECT("input_provisions[import]"),
  INDIRECT("input_provisions[yyyymm]"), 'P&amp;G-Inc'!R$1,
  INDIRECT("input_provisions[concept/supplier]"), 'P&amp;G-Inc'!$C13
)*(1/R71)</f>
        <v>0</v>
      </c>
      <c r="S13" s="164">
        <f ca="1">SUMIFS(
  INDIRECT("input_provisions[import]"),
  INDIRECT("input_provisions[yyyymm]"), 'P&amp;G-Inc'!S$1,
  INDIRECT("input_provisions[concept/supplier]"), 'P&amp;G-Inc'!$C13
)*(1/S71)</f>
        <v>0</v>
      </c>
      <c r="T13" s="161">
        <f ca="1">SUM(H13:S13)</f>
        <v>0</v>
      </c>
    </row>
    <row r="14" spans="1:20" outlineLevel="1" x14ac:dyDescent="0.3">
      <c r="D14" s="115"/>
      <c r="E14" s="115"/>
      <c r="F14" s="115"/>
      <c r="G14" s="115"/>
      <c r="H14" s="163"/>
      <c r="I14" s="163"/>
      <c r="J14" s="163"/>
      <c r="K14" s="163"/>
      <c r="L14" s="164"/>
      <c r="M14" s="164"/>
      <c r="N14" s="164"/>
      <c r="O14" s="163"/>
      <c r="P14" s="163"/>
      <c r="Q14" s="163"/>
      <c r="R14" s="163"/>
      <c r="S14" s="163"/>
      <c r="T14" s="161">
        <f t="shared" ref="T14:T21" si="8">SUM(H14:S14)</f>
        <v>0</v>
      </c>
    </row>
    <row r="15" spans="1:20" x14ac:dyDescent="0.3">
      <c r="D15" s="432" t="s">
        <v>50</v>
      </c>
      <c r="E15" s="432"/>
      <c r="F15" s="112"/>
      <c r="G15" s="112"/>
      <c r="H15" s="167">
        <f ca="1">SUM(H16:H18)</f>
        <v>2888.86</v>
      </c>
      <c r="I15" s="167">
        <f t="shared" ref="I15:S15" ca="1" si="9">SUM(I16:I18)</f>
        <v>5579.69</v>
      </c>
      <c r="J15" s="167">
        <f t="shared" ca="1" si="9"/>
        <v>0</v>
      </c>
      <c r="K15" s="167">
        <f t="shared" ca="1" si="9"/>
        <v>0</v>
      </c>
      <c r="L15" s="167">
        <f t="shared" ca="1" si="9"/>
        <v>0</v>
      </c>
      <c r="M15" s="167">
        <f t="shared" ca="1" si="9"/>
        <v>0</v>
      </c>
      <c r="N15" s="167">
        <f t="shared" ca="1" si="9"/>
        <v>0</v>
      </c>
      <c r="O15" s="167">
        <f t="shared" ca="1" si="9"/>
        <v>0</v>
      </c>
      <c r="P15" s="167">
        <f t="shared" ca="1" si="9"/>
        <v>0</v>
      </c>
      <c r="Q15" s="167">
        <f t="shared" ca="1" si="9"/>
        <v>0</v>
      </c>
      <c r="R15" s="167">
        <f t="shared" ca="1" si="9"/>
        <v>0</v>
      </c>
      <c r="S15" s="167">
        <f t="shared" ca="1" si="9"/>
        <v>0</v>
      </c>
      <c r="T15" s="161">
        <f t="shared" ca="1" si="8"/>
        <v>8468.5499999999993</v>
      </c>
    </row>
    <row r="16" spans="1:20" ht="15" customHeight="1" outlineLevel="2" x14ac:dyDescent="0.3">
      <c r="C16" t="s">
        <v>221</v>
      </c>
      <c r="D16" s="115"/>
      <c r="E16" s="115"/>
      <c r="F16" s="422" t="s">
        <v>513</v>
      </c>
      <c r="G16" s="422"/>
      <c r="H16" s="164">
        <f ca="1">SUMIFS(
  INDIRECT("input_invoice[net]"),
  INDIRECT("input_invoice[yyyymm]"), 'P&amp;G-Inc'!H$1,
  INDIRECT("input_invoice[concept/supplier]"), 'P&amp;G-Inc'!$C16
)</f>
        <v>2888.86</v>
      </c>
      <c r="I16" s="164">
        <f ca="1">SUMIFS(
  INDIRECT("input_invoice[net]"),
  INDIRECT("input_invoice[yyyymm]"), 'P&amp;G-Inc'!I$1,
  INDIRECT("input_invoice[concept/supplier]"), 'P&amp;G-Inc'!$C16
)</f>
        <v>4445.62</v>
      </c>
      <c r="J16" s="164">
        <f ca="1">SUMIFS(
  INDIRECT("input_invoice[net]"),
  INDIRECT("input_invoice[yyyymm]"), 'P&amp;G-Inc'!J$1,
  INDIRECT("input_invoice[concept/supplier]"), 'P&amp;G-Inc'!$C16
)</f>
        <v>0</v>
      </c>
      <c r="K16" s="164">
        <f ca="1">SUMIFS(
  INDIRECT("input_invoice[net]"),
  INDIRECT("input_invoice[yyyymm]"), 'P&amp;G-Inc'!K$1,
  INDIRECT("input_invoice[concept/supplier]"), 'P&amp;G-Inc'!$C16
)</f>
        <v>0</v>
      </c>
      <c r="L16" s="164">
        <f ca="1">SUMIFS(
  INDIRECT("input_invoice[net]"),
  INDIRECT("input_invoice[yyyymm]"), 'P&amp;G-Inc'!L$1,
  INDIRECT("input_invoice[concept/supplier]"), 'P&amp;G-Inc'!$C16
)</f>
        <v>0</v>
      </c>
      <c r="M16" s="164">
        <f ca="1">SUMIFS(
  INDIRECT("input_invoice[net]"),
  INDIRECT("input_invoice[yyyymm]"), 'P&amp;G-Inc'!M$1,
  INDIRECT("input_invoice[concept/supplier]"), 'P&amp;G-Inc'!$C16
)</f>
        <v>0</v>
      </c>
      <c r="N16" s="164">
        <f ca="1">SUMIFS(
  INDIRECT("input_invoice[net]"),
  INDIRECT("input_invoice[yyyymm]"), 'P&amp;G-Inc'!N$1,
  INDIRECT("input_invoice[concept/supplier]"), 'P&amp;G-Inc'!$C16
)</f>
        <v>0</v>
      </c>
      <c r="O16" s="164">
        <f ca="1">SUMIFS(
  INDIRECT("input_invoice[net]"),
  INDIRECT("input_invoice[yyyymm]"), 'P&amp;G-Inc'!O$1,
  INDIRECT("input_invoice[concept/supplier]"), 'P&amp;G-Inc'!$C16
)</f>
        <v>0</v>
      </c>
      <c r="P16" s="164">
        <f ca="1">SUMIFS(
  INDIRECT("input_invoice[net]"),
  INDIRECT("input_invoice[yyyymm]"), 'P&amp;G-Inc'!P$1,
  INDIRECT("input_invoice[concept/supplier]"), 'P&amp;G-Inc'!$C16
)</f>
        <v>0</v>
      </c>
      <c r="Q16" s="164">
        <f ca="1">SUMIFS(
  INDIRECT("input_invoice[net]"),
  INDIRECT("input_invoice[yyyymm]"), 'P&amp;G-Inc'!Q$1,
  INDIRECT("input_invoice[concept/supplier]"), 'P&amp;G-Inc'!$C16
)</f>
        <v>0</v>
      </c>
      <c r="R16" s="164">
        <f ca="1">SUMIFS(
  INDIRECT("input_invoice[net]"),
  INDIRECT("input_invoice[yyyymm]"), 'P&amp;G-Inc'!R$1,
  INDIRECT("input_invoice[concept/supplier]"), 'P&amp;G-Inc'!$C16
)</f>
        <v>0</v>
      </c>
      <c r="S16" s="164">
        <f ca="1">SUMIFS(
  INDIRECT("input_invoice[net]"),
  INDIRECT("input_invoice[yyyymm]"), 'P&amp;G-Inc'!S$1,
  INDIRECT("input_invoice[concept/supplier]"), 'P&amp;G-Inc'!$C16
)</f>
        <v>0</v>
      </c>
      <c r="T16" s="161">
        <f t="shared" ca="1" si="8"/>
        <v>7334.48</v>
      </c>
    </row>
    <row r="17" spans="3:20" ht="15" customHeight="1" outlineLevel="2" x14ac:dyDescent="0.3">
      <c r="C17" t="s">
        <v>222</v>
      </c>
      <c r="D17" s="115"/>
      <c r="E17" s="115"/>
      <c r="F17" s="422" t="s">
        <v>193</v>
      </c>
      <c r="G17" s="422"/>
      <c r="H17" s="164">
        <f ca="1">SUMIFS(
  INDIRECT("input_invoice[net]"),
  INDIRECT("input_invoice[yyyymm]"), 'P&amp;G-Inc'!H$1,
  INDIRECT("input_invoice[concept/supplier]"), 'P&amp;G-Inc'!$C17
)</f>
        <v>0</v>
      </c>
      <c r="I17" s="164">
        <f ca="1">SUMIFS(
  INDIRECT("input_invoice[net]"),
  INDIRECT("input_invoice[yyyymm]"), 'P&amp;G-Inc'!I$1,
  INDIRECT("input_invoice[concept/supplier]"), 'P&amp;G-Inc'!$C17
)</f>
        <v>1134.07</v>
      </c>
      <c r="J17" s="164">
        <f ca="1">SUMIFS(
  INDIRECT("input_invoice[net]"),
  INDIRECT("input_invoice[yyyymm]"), 'P&amp;G-Inc'!J$1,
  INDIRECT("input_invoice[concept/supplier]"), 'P&amp;G-Inc'!$C17
)</f>
        <v>0</v>
      </c>
      <c r="K17" s="164">
        <f ca="1">SUMIFS(
  INDIRECT("input_invoice[net]"),
  INDIRECT("input_invoice[yyyymm]"), 'P&amp;G-Inc'!K$1,
  INDIRECT("input_invoice[concept/supplier]"), 'P&amp;G-Inc'!$C17
)</f>
        <v>0</v>
      </c>
      <c r="L17" s="164">
        <f ca="1">SUMIFS(
  INDIRECT("input_invoice[net]"),
  INDIRECT("input_invoice[yyyymm]"), 'P&amp;G-Inc'!L$1,
  INDIRECT("input_invoice[concept/supplier]"), 'P&amp;G-Inc'!$C17
)</f>
        <v>0</v>
      </c>
      <c r="M17" s="164">
        <f ca="1">SUMIFS(
  INDIRECT("input_invoice[net]"),
  INDIRECT("input_invoice[yyyymm]"), 'P&amp;G-Inc'!M$1,
  INDIRECT("input_invoice[concept/supplier]"), 'P&amp;G-Inc'!$C17
)</f>
        <v>0</v>
      </c>
      <c r="N17" s="164">
        <f ca="1">SUMIFS(
  INDIRECT("input_invoice[net]"),
  INDIRECT("input_invoice[yyyymm]"), 'P&amp;G-Inc'!N$1,
  INDIRECT("input_invoice[concept/supplier]"), 'P&amp;G-Inc'!$C17
)</f>
        <v>0</v>
      </c>
      <c r="O17" s="164">
        <f ca="1">SUMIFS(
  INDIRECT("input_invoice[net]"),
  INDIRECT("input_invoice[yyyymm]"), 'P&amp;G-Inc'!O$1,
  INDIRECT("input_invoice[concept/supplier]"), 'P&amp;G-Inc'!$C17
)</f>
        <v>0</v>
      </c>
      <c r="P17" s="164">
        <f ca="1">SUMIFS(
  INDIRECT("input_invoice[net]"),
  INDIRECT("input_invoice[yyyymm]"), 'P&amp;G-Inc'!P$1,
  INDIRECT("input_invoice[concept/supplier]"), 'P&amp;G-Inc'!$C17
)</f>
        <v>0</v>
      </c>
      <c r="Q17" s="164">
        <f ca="1">SUMIFS(
  INDIRECT("input_invoice[net]"),
  INDIRECT("input_invoice[yyyymm]"), 'P&amp;G-Inc'!Q$1,
  INDIRECT("input_invoice[concept/supplier]"), 'P&amp;G-Inc'!$C17
)</f>
        <v>0</v>
      </c>
      <c r="R17" s="164">
        <f ca="1">SUMIFS(
  INDIRECT("input_invoice[net]"),
  INDIRECT("input_invoice[yyyymm]"), 'P&amp;G-Inc'!R$1,
  INDIRECT("input_invoice[concept/supplier]"), 'P&amp;G-Inc'!$C17
)</f>
        <v>0</v>
      </c>
      <c r="S17" s="164">
        <f ca="1">SUMIFS(
  INDIRECT("input_invoice[net]"),
  INDIRECT("input_invoice[yyyymm]"), 'P&amp;G-Inc'!S$1,
  INDIRECT("input_invoice[concept/supplier]"), 'P&amp;G-Inc'!$C17
)</f>
        <v>0</v>
      </c>
      <c r="T17" s="161">
        <f t="shared" ca="1" si="8"/>
        <v>1134.07</v>
      </c>
    </row>
    <row r="18" spans="3:20" ht="15" customHeight="1" outlineLevel="2" x14ac:dyDescent="0.3">
      <c r="C18" t="s">
        <v>506</v>
      </c>
      <c r="D18" s="115"/>
      <c r="E18" s="115"/>
      <c r="F18" s="123" t="s">
        <v>191</v>
      </c>
      <c r="G18" s="115"/>
      <c r="H18" s="164">
        <f ca="1">SUMIFS(
  INDIRECT("input_invoice[net]"),
  INDIRECT("input_invoice[yyyymm]"), 'P&amp;G-Inc'!H$1,
  INDIRECT("input_invoice[concept/supplier]"), 'P&amp;G-Inc'!$C18
)</f>
        <v>0</v>
      </c>
      <c r="I18" s="164">
        <f ca="1">SUMIFS(
  INDIRECT("input_invoice[net]"),
  INDIRECT("input_invoice[yyyymm]"), 'P&amp;G-Inc'!I$1,
  INDIRECT("input_invoice[concept/supplier]"), 'P&amp;G-Inc'!$C18
)</f>
        <v>0</v>
      </c>
      <c r="J18" s="164">
        <f ca="1">SUMIFS(
  INDIRECT("input_invoice[net]"),
  INDIRECT("input_invoice[yyyymm]"), 'P&amp;G-Inc'!J$1,
  INDIRECT("input_invoice[concept/supplier]"), 'P&amp;G-Inc'!$C18
)</f>
        <v>0</v>
      </c>
      <c r="K18" s="164">
        <f ca="1">SUMIFS(
  INDIRECT("input_invoice[net]"),
  INDIRECT("input_invoice[yyyymm]"), 'P&amp;G-Inc'!K$1,
  INDIRECT("input_invoice[concept/supplier]"), 'P&amp;G-Inc'!$C18
)</f>
        <v>0</v>
      </c>
      <c r="L18" s="164">
        <f ca="1">SUMIFS(
  INDIRECT("input_invoice[net]"),
  INDIRECT("input_invoice[yyyymm]"), 'P&amp;G-Inc'!L$1,
  INDIRECT("input_invoice[concept/supplier]"), 'P&amp;G-Inc'!$C18
)</f>
        <v>0</v>
      </c>
      <c r="M18" s="164">
        <f ca="1">SUMIFS(
  INDIRECT("input_invoice[net]"),
  INDIRECT("input_invoice[yyyymm]"), 'P&amp;G-Inc'!M$1,
  INDIRECT("input_invoice[concept/supplier]"), 'P&amp;G-Inc'!$C18
)</f>
        <v>0</v>
      </c>
      <c r="N18" s="164">
        <f ca="1">SUMIFS(
  INDIRECT("input_invoice[net]"),
  INDIRECT("input_invoice[yyyymm]"), 'P&amp;G-Inc'!N$1,
  INDIRECT("input_invoice[concept/supplier]"), 'P&amp;G-Inc'!$C18
)</f>
        <v>0</v>
      </c>
      <c r="O18" s="164">
        <f ca="1">SUMIFS(
  INDIRECT("input_invoice[net]"),
  INDIRECT("input_invoice[yyyymm]"), 'P&amp;G-Inc'!O$1,
  INDIRECT("input_invoice[concept/supplier]"), 'P&amp;G-Inc'!$C18
)</f>
        <v>0</v>
      </c>
      <c r="P18" s="164">
        <f ca="1">SUMIFS(
  INDIRECT("input_invoice[net]"),
  INDIRECT("input_invoice[yyyymm]"), 'P&amp;G-Inc'!P$1,
  INDIRECT("input_invoice[concept/supplier]"), 'P&amp;G-Inc'!$C18
)</f>
        <v>0</v>
      </c>
      <c r="Q18" s="164">
        <f ca="1">SUMIFS(
  INDIRECT("input_invoice[net]"),
  INDIRECT("input_invoice[yyyymm]"), 'P&amp;G-Inc'!Q$1,
  INDIRECT("input_invoice[concept/supplier]"), 'P&amp;G-Inc'!$C18
)</f>
        <v>0</v>
      </c>
      <c r="R18" s="164">
        <f ca="1">SUMIFS(
  INDIRECT("input_invoice[net]"),
  INDIRECT("input_invoice[yyyymm]"), 'P&amp;G-Inc'!R$1,
  INDIRECT("input_invoice[concept/supplier]"), 'P&amp;G-Inc'!$C18
)</f>
        <v>0</v>
      </c>
      <c r="S18" s="164">
        <f ca="1">SUMIFS(
  INDIRECT("input_invoice[net]"),
  INDIRECT("input_invoice[yyyymm]"), 'P&amp;G-Inc'!S$1,
  INDIRECT("input_invoice[concept/supplier]"), 'P&amp;G-Inc'!$C18
)</f>
        <v>0</v>
      </c>
      <c r="T18" s="161">
        <f ca="1">SUM(H18:S18)</f>
        <v>0</v>
      </c>
    </row>
    <row r="19" spans="3:20" outlineLevel="2" x14ac:dyDescent="0.3">
      <c r="D19" s="115"/>
      <c r="E19" s="115"/>
      <c r="F19" s="115"/>
      <c r="G19" s="115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1">
        <f t="shared" si="8"/>
        <v>0</v>
      </c>
    </row>
    <row r="20" spans="3:20" ht="15" customHeight="1" x14ac:dyDescent="0.3">
      <c r="D20" s="417" t="s">
        <v>57</v>
      </c>
      <c r="E20" s="417"/>
      <c r="F20" s="417"/>
      <c r="G20" s="417"/>
      <c r="H20" s="167" t="e">
        <f ca="1">SUM(H21:H21)</f>
        <v>#REF!</v>
      </c>
      <c r="I20" s="167" t="e">
        <f t="shared" ref="I20:S20" ca="1" si="10">SUM(I21:I21)</f>
        <v>#REF!</v>
      </c>
      <c r="J20" s="167" t="e">
        <f t="shared" ca="1" si="10"/>
        <v>#REF!</v>
      </c>
      <c r="K20" s="167" t="e">
        <f t="shared" ca="1" si="10"/>
        <v>#REF!</v>
      </c>
      <c r="L20" s="167" t="e">
        <f t="shared" ca="1" si="10"/>
        <v>#REF!</v>
      </c>
      <c r="M20" s="167" t="e">
        <f t="shared" ca="1" si="10"/>
        <v>#REF!</v>
      </c>
      <c r="N20" s="167" t="e">
        <f t="shared" ca="1" si="10"/>
        <v>#REF!</v>
      </c>
      <c r="O20" s="167" t="e">
        <f t="shared" ca="1" si="10"/>
        <v>#REF!</v>
      </c>
      <c r="P20" s="167" t="e">
        <f t="shared" ca="1" si="10"/>
        <v>#REF!</v>
      </c>
      <c r="Q20" s="167" t="e">
        <f t="shared" ca="1" si="10"/>
        <v>#REF!</v>
      </c>
      <c r="R20" s="167" t="e">
        <f t="shared" ca="1" si="10"/>
        <v>#REF!</v>
      </c>
      <c r="S20" s="167" t="e">
        <f t="shared" ca="1" si="10"/>
        <v>#REF!</v>
      </c>
      <c r="T20" s="161" t="e">
        <f t="shared" ca="1" si="8"/>
        <v>#REF!</v>
      </c>
    </row>
    <row r="21" spans="3:20" outlineLevel="1" x14ac:dyDescent="0.3">
      <c r="C21" t="s">
        <v>62</v>
      </c>
      <c r="D21" s="113"/>
      <c r="E21" s="113"/>
      <c r="F21" s="431" t="s">
        <v>63</v>
      </c>
      <c r="G21" s="422"/>
      <c r="H21" s="164" t="e">
        <f ca="1">SUMIFS(
  INDIRECT("input_roy[net]"),
  INDIRECT("input_roy[yyyymm]"), 'P&amp;G-Inc'!H$1,
  INDIRECT("input_roy[concept/supplier]"), 'P&amp;G-Inc'!$C21
)*(1/H71)</f>
        <v>#REF!</v>
      </c>
      <c r="I21" s="164" t="e">
        <f ca="1">SUMIFS(
  INDIRECT("input_roy[net]"),
  INDIRECT("input_roy[yyyymm]"), 'P&amp;G-Inc'!I$1,
  INDIRECT("input_roy[concept/supplier]"), 'P&amp;G-Inc'!$C21
)*(1/I71)</f>
        <v>#REF!</v>
      </c>
      <c r="J21" s="164" t="e">
        <f ca="1">SUMIFS(
  INDIRECT("input_roy[net]"),
  INDIRECT("input_roy[yyyymm]"), 'P&amp;G-Inc'!J$1,
  INDIRECT("input_roy[concept/supplier]"), 'P&amp;G-Inc'!$C21
)*(1/J71)</f>
        <v>#REF!</v>
      </c>
      <c r="K21" s="164" t="e">
        <f ca="1">SUMIFS(
  INDIRECT("input_roy[net]"),
  INDIRECT("input_roy[yyyymm]"), 'P&amp;G-Inc'!K$1,
  INDIRECT("input_roy[concept/supplier]"), 'P&amp;G-Inc'!$C21
)*(1/K71)</f>
        <v>#REF!</v>
      </c>
      <c r="L21" s="164" t="e">
        <f ca="1">SUMIFS(
  INDIRECT("input_roy[net]"),
  INDIRECT("input_roy[yyyymm]"), 'P&amp;G-Inc'!L$1,
  INDIRECT("input_roy[concept/supplier]"), 'P&amp;G-Inc'!$C21
)*(1/L71)</f>
        <v>#REF!</v>
      </c>
      <c r="M21" s="164" t="e">
        <f ca="1">SUMIFS(
  INDIRECT("input_roy[net]"),
  INDIRECT("input_roy[yyyymm]"), 'P&amp;G-Inc'!M$1,
  INDIRECT("input_roy[concept/supplier]"), 'P&amp;G-Inc'!$C21
)*(1/M71)</f>
        <v>#REF!</v>
      </c>
      <c r="N21" s="164" t="e">
        <f ca="1">SUMIFS(
  INDIRECT("input_roy[net]"),
  INDIRECT("input_roy[yyyymm]"), 'P&amp;G-Inc'!N$1,
  INDIRECT("input_roy[concept/supplier]"), 'P&amp;G-Inc'!$C21
)*(1/N71)</f>
        <v>#REF!</v>
      </c>
      <c r="O21" s="164" t="e">
        <f ca="1">SUMIFS(
  INDIRECT("input_roy[net]"),
  INDIRECT("input_roy[yyyymm]"), 'P&amp;G-Inc'!O$1,
  INDIRECT("input_roy[concept/supplier]"), 'P&amp;G-Inc'!$C21
)*(1/O71)</f>
        <v>#REF!</v>
      </c>
      <c r="P21" s="164" t="e">
        <f ca="1">SUMIFS(
  INDIRECT("input_roy[net]"),
  INDIRECT("input_roy[yyyymm]"), 'P&amp;G-Inc'!P$1,
  INDIRECT("input_roy[concept/supplier]"), 'P&amp;G-Inc'!$C21
)*(1/P71)</f>
        <v>#REF!</v>
      </c>
      <c r="Q21" s="164" t="e">
        <f ca="1">SUMIFS(
  INDIRECT("input_roy[net]"),
  INDIRECT("input_roy[yyyymm]"), 'P&amp;G-Inc'!Q$1,
  INDIRECT("input_roy[concept/supplier]"), 'P&amp;G-Inc'!$C21
)*(1/Q71)</f>
        <v>#REF!</v>
      </c>
      <c r="R21" s="164" t="e">
        <f ca="1">SUMIFS(
  INDIRECT("input_roy[net]"),
  INDIRECT("input_roy[yyyymm]"), 'P&amp;G-Inc'!R$1,
  INDIRECT("input_roy[concept/supplier]"), 'P&amp;G-Inc'!$C21
)*(1/R71)</f>
        <v>#REF!</v>
      </c>
      <c r="S21" s="164" t="e">
        <f ca="1">SUMIFS(
  INDIRECT("input_roy[net]"),
  INDIRECT("input_roy[yyyymm]"), 'P&amp;G-Inc'!S$1,
  INDIRECT("input_roy[concept/supplier]"), 'P&amp;G-Inc'!$C21
)*(1/S71)</f>
        <v>#REF!</v>
      </c>
      <c r="T21" s="161" t="e">
        <f t="shared" ca="1" si="8"/>
        <v>#REF!</v>
      </c>
    </row>
    <row r="22" spans="3:20" outlineLevel="1" x14ac:dyDescent="0.3">
      <c r="D22" s="113"/>
      <c r="E22" s="113"/>
      <c r="F22" s="115"/>
      <c r="G22" s="115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1"/>
    </row>
    <row r="23" spans="3:20" ht="15" customHeight="1" x14ac:dyDescent="0.3">
      <c r="D23" s="417" t="s">
        <v>64</v>
      </c>
      <c r="E23" s="417"/>
      <c r="F23" s="417"/>
      <c r="G23" s="417"/>
      <c r="H23" s="167">
        <f ca="1">SUM(H24:H29)</f>
        <v>0</v>
      </c>
      <c r="I23" s="167">
        <f t="shared" ref="I23:S23" ca="1" si="11">SUM(I24:I29)</f>
        <v>0</v>
      </c>
      <c r="J23" s="167">
        <f t="shared" ca="1" si="11"/>
        <v>0</v>
      </c>
      <c r="K23" s="167">
        <f t="shared" ca="1" si="11"/>
        <v>0</v>
      </c>
      <c r="L23" s="167">
        <f t="shared" ca="1" si="11"/>
        <v>0</v>
      </c>
      <c r="M23" s="167">
        <f t="shared" ca="1" si="11"/>
        <v>0</v>
      </c>
      <c r="N23" s="167">
        <f t="shared" ca="1" si="11"/>
        <v>0</v>
      </c>
      <c r="O23" s="167">
        <f t="shared" ca="1" si="11"/>
        <v>0</v>
      </c>
      <c r="P23" s="167">
        <f t="shared" ca="1" si="11"/>
        <v>0</v>
      </c>
      <c r="Q23" s="167">
        <f t="shared" ca="1" si="11"/>
        <v>0</v>
      </c>
      <c r="R23" s="167">
        <f t="shared" ca="1" si="11"/>
        <v>0</v>
      </c>
      <c r="S23" s="167">
        <f t="shared" ca="1" si="11"/>
        <v>0</v>
      </c>
      <c r="T23" s="161">
        <f t="shared" ref="T23:T31" ca="1" si="12">SUM(H23:S23)</f>
        <v>0</v>
      </c>
    </row>
    <row r="24" spans="3:20" outlineLevel="1" x14ac:dyDescent="0.3">
      <c r="C24" t="s">
        <v>223</v>
      </c>
      <c r="D24" s="115"/>
      <c r="E24" s="115"/>
      <c r="F24" s="422" t="s">
        <v>9</v>
      </c>
      <c r="G24" s="422"/>
      <c r="H24" s="164">
        <f ca="1">SUMIFS(
  INDIRECT("input_invoice[net]"),
  INDIRECT("input_invoice[yyyymm]"), 'P&amp;G-Inc'!H$1,
  INDIRECT("input_invoice[concept/supplier]"), 'P&amp;G-Inc'!$C24
)</f>
        <v>0</v>
      </c>
      <c r="I24" s="164">
        <f ca="1">SUMIFS(
  INDIRECT("input_invoice[net]"),
  INDIRECT("input_invoice[yyyymm]"), 'P&amp;G-Inc'!I$1,
  INDIRECT("input_invoice[concept/supplier]"), 'P&amp;G-Inc'!$C24
)</f>
        <v>0</v>
      </c>
      <c r="J24" s="164">
        <f ca="1">SUMIFS(
  INDIRECT("input_invoice[net]"),
  INDIRECT("input_invoice[yyyymm]"), 'P&amp;G-Inc'!J$1,
  INDIRECT("input_invoice[concept/supplier]"), 'P&amp;G-Inc'!$C24
)</f>
        <v>0</v>
      </c>
      <c r="K24" s="164">
        <f ca="1">SUMIFS(
  INDIRECT("input_invoice[net]"),
  INDIRECT("input_invoice[yyyymm]"), 'P&amp;G-Inc'!K$1,
  INDIRECT("input_invoice[concept/supplier]"), 'P&amp;G-Inc'!$C24
)</f>
        <v>0</v>
      </c>
      <c r="L24" s="164">
        <f ca="1">SUMIFS(
  INDIRECT("input_invoice[net]"),
  INDIRECT("input_invoice[yyyymm]"), 'P&amp;G-Inc'!L$1,
  INDIRECT("input_invoice[concept/supplier]"), 'P&amp;G-Inc'!$C24
)</f>
        <v>0</v>
      </c>
      <c r="M24" s="164">
        <f ca="1">SUMIFS(
  INDIRECT("input_invoice[net]"),
  INDIRECT("input_invoice[yyyymm]"), 'P&amp;G-Inc'!M$1,
  INDIRECT("input_invoice[concept/supplier]"), 'P&amp;G-Inc'!$C24
)</f>
        <v>0</v>
      </c>
      <c r="N24" s="164">
        <f ca="1">SUMIFS(
  INDIRECT("input_invoice[net]"),
  INDIRECT("input_invoice[yyyymm]"), 'P&amp;G-Inc'!N$1,
  INDIRECT("input_invoice[concept/supplier]"), 'P&amp;G-Inc'!$C24
)</f>
        <v>0</v>
      </c>
      <c r="O24" s="164">
        <f ca="1">SUMIFS(
  INDIRECT("input_invoice[net]"),
  INDIRECT("input_invoice[yyyymm]"), 'P&amp;G-Inc'!O$1,
  INDIRECT("input_invoice[concept/supplier]"), 'P&amp;G-Inc'!$C24
)</f>
        <v>0</v>
      </c>
      <c r="P24" s="164">
        <f ca="1">SUMIFS(
  INDIRECT("input_invoice[net]"),
  INDIRECT("input_invoice[yyyymm]"), 'P&amp;G-Inc'!P$1,
  INDIRECT("input_invoice[concept/supplier]"), 'P&amp;G-Inc'!$C24
)</f>
        <v>0</v>
      </c>
      <c r="Q24" s="164">
        <f ca="1">SUMIFS(
  INDIRECT("input_invoice[net]"),
  INDIRECT("input_invoice[yyyymm]"), 'P&amp;G-Inc'!Q$1,
  INDIRECT("input_invoice[concept/supplier]"), 'P&amp;G-Inc'!$C24
)</f>
        <v>0</v>
      </c>
      <c r="R24" s="164">
        <f ca="1">SUMIFS(
  INDIRECT("input_invoice[net]"),
  INDIRECT("input_invoice[yyyymm]"), 'P&amp;G-Inc'!R$1,
  INDIRECT("input_invoice[concept/supplier]"), 'P&amp;G-Inc'!$C24
)</f>
        <v>0</v>
      </c>
      <c r="S24" s="164">
        <f ca="1">SUMIFS(
  INDIRECT("input_invoice[net]"),
  INDIRECT("input_invoice[yyyymm]"), 'P&amp;G-Inc'!S$1,
  INDIRECT("input_invoice[concept/supplier]"), 'P&amp;G-Inc'!$C24
)</f>
        <v>0</v>
      </c>
      <c r="T24" s="161">
        <f t="shared" ca="1" si="12"/>
        <v>0</v>
      </c>
    </row>
    <row r="25" spans="3:20" outlineLevel="1" x14ac:dyDescent="0.3">
      <c r="C25" t="s">
        <v>224</v>
      </c>
      <c r="D25" s="115"/>
      <c r="E25" s="115"/>
      <c r="F25" s="422" t="s">
        <v>67</v>
      </c>
      <c r="G25" s="422"/>
      <c r="H25" s="164">
        <f ca="1">SUMIFS(
  INDIRECT("input_invoice[net]"),
  INDIRECT("input_invoice[yyyymm]"), 'P&amp;G-Inc'!H$1,
  INDIRECT("input_invoice[concept/supplier]"), 'P&amp;G-Inc'!$C25
)</f>
        <v>0</v>
      </c>
      <c r="I25" s="164">
        <f ca="1">SUMIFS(
  INDIRECT("input_invoice[net]"),
  INDIRECT("input_invoice[yyyymm]"), 'P&amp;G-Inc'!I$1,
  INDIRECT("input_invoice[concept/supplier]"), 'P&amp;G-Inc'!$C25
)</f>
        <v>0</v>
      </c>
      <c r="J25" s="164">
        <f ca="1">SUMIFS(
  INDIRECT("input_invoice[net]"),
  INDIRECT("input_invoice[yyyymm]"), 'P&amp;G-Inc'!J$1,
  INDIRECT("input_invoice[concept/supplier]"), 'P&amp;G-Inc'!$C25
)</f>
        <v>0</v>
      </c>
      <c r="K25" s="164">
        <f ca="1">SUMIFS(
  INDIRECT("input_invoice[net]"),
  INDIRECT("input_invoice[yyyymm]"), 'P&amp;G-Inc'!K$1,
  INDIRECT("input_invoice[concept/supplier]"), 'P&amp;G-Inc'!$C25
)</f>
        <v>0</v>
      </c>
      <c r="L25" s="164">
        <f ca="1">SUMIFS(
  INDIRECT("input_invoice[net]"),
  INDIRECT("input_invoice[yyyymm]"), 'P&amp;G-Inc'!L$1,
  INDIRECT("input_invoice[concept/supplier]"), 'P&amp;G-Inc'!$C25
)</f>
        <v>0</v>
      </c>
      <c r="M25" s="164">
        <f ca="1">SUMIFS(
  INDIRECT("input_invoice[net]"),
  INDIRECT("input_invoice[yyyymm]"), 'P&amp;G-Inc'!M$1,
  INDIRECT("input_invoice[concept/supplier]"), 'P&amp;G-Inc'!$C25
)</f>
        <v>0</v>
      </c>
      <c r="N25" s="164">
        <f ca="1">SUMIFS(
  INDIRECT("input_invoice[net]"),
  INDIRECT("input_invoice[yyyymm]"), 'P&amp;G-Inc'!N$1,
  INDIRECT("input_invoice[concept/supplier]"), 'P&amp;G-Inc'!$C25
)</f>
        <v>0</v>
      </c>
      <c r="O25" s="164">
        <f ca="1">SUMIFS(
  INDIRECT("input_invoice[net]"),
  INDIRECT("input_invoice[yyyymm]"), 'P&amp;G-Inc'!O$1,
  INDIRECT("input_invoice[concept/supplier]"), 'P&amp;G-Inc'!$C25
)</f>
        <v>0</v>
      </c>
      <c r="P25" s="164">
        <f ca="1">SUMIFS(
  INDIRECT("input_invoice[net]"),
  INDIRECT("input_invoice[yyyymm]"), 'P&amp;G-Inc'!P$1,
  INDIRECT("input_invoice[concept/supplier]"), 'P&amp;G-Inc'!$C25
)</f>
        <v>0</v>
      </c>
      <c r="Q25" s="164">
        <f ca="1">SUMIFS(
  INDIRECT("input_invoice[net]"),
  INDIRECT("input_invoice[yyyymm]"), 'P&amp;G-Inc'!Q$1,
  INDIRECT("input_invoice[concept/supplier]"), 'P&amp;G-Inc'!$C25
)</f>
        <v>0</v>
      </c>
      <c r="R25" s="164">
        <f ca="1">SUMIFS(
  INDIRECT("input_invoice[net]"),
  INDIRECT("input_invoice[yyyymm]"), 'P&amp;G-Inc'!R$1,
  INDIRECT("input_invoice[concept/supplier]"), 'P&amp;G-Inc'!$C25
)</f>
        <v>0</v>
      </c>
      <c r="S25" s="164">
        <f ca="1">SUMIFS(
  INDIRECT("input_invoice[net]"),
  INDIRECT("input_invoice[yyyymm]"), 'P&amp;G-Inc'!S$1,
  INDIRECT("input_invoice[concept/supplier]"), 'P&amp;G-Inc'!$C25
)</f>
        <v>0</v>
      </c>
      <c r="T25" s="161">
        <f t="shared" ca="1" si="12"/>
        <v>0</v>
      </c>
    </row>
    <row r="26" spans="3:20" outlineLevel="1" x14ac:dyDescent="0.3">
      <c r="C26" t="s">
        <v>225</v>
      </c>
      <c r="D26" s="115"/>
      <c r="E26" s="115"/>
      <c r="F26" s="422" t="s">
        <v>69</v>
      </c>
      <c r="G26" s="422"/>
      <c r="H26" s="164">
        <f ca="1">SUMIFS(
  INDIRECT("input_invoice[net]"),
  INDIRECT("input_invoice[yyyymm]"), 'P&amp;G-Inc'!H$1,
  INDIRECT("input_invoice[concept/supplier]"), 'P&amp;G-Inc'!$C26
)</f>
        <v>0</v>
      </c>
      <c r="I26" s="164">
        <f ca="1">SUMIFS(
  INDIRECT("input_invoice[net]"),
  INDIRECT("input_invoice[yyyymm]"), 'P&amp;G-Inc'!I$1,
  INDIRECT("input_invoice[concept/supplier]"), 'P&amp;G-Inc'!$C26
)</f>
        <v>0</v>
      </c>
      <c r="J26" s="164">
        <f ca="1">SUMIFS(
  INDIRECT("input_invoice[net]"),
  INDIRECT("input_invoice[yyyymm]"), 'P&amp;G-Inc'!J$1,
  INDIRECT("input_invoice[concept/supplier]"), 'P&amp;G-Inc'!$C26
)</f>
        <v>0</v>
      </c>
      <c r="K26" s="164">
        <f ca="1">SUMIFS(
  INDIRECT("input_invoice[net]"),
  INDIRECT("input_invoice[yyyymm]"), 'P&amp;G-Inc'!K$1,
  INDIRECT("input_invoice[concept/supplier]"), 'P&amp;G-Inc'!$C26
)</f>
        <v>0</v>
      </c>
      <c r="L26" s="164">
        <f ca="1">SUMIFS(
  INDIRECT("input_invoice[net]"),
  INDIRECT("input_invoice[yyyymm]"), 'P&amp;G-Inc'!L$1,
  INDIRECT("input_invoice[concept/supplier]"), 'P&amp;G-Inc'!$C26
)</f>
        <v>0</v>
      </c>
      <c r="M26" s="164">
        <f ca="1">SUMIFS(
  INDIRECT("input_invoice[net]"),
  INDIRECT("input_invoice[yyyymm]"), 'P&amp;G-Inc'!M$1,
  INDIRECT("input_invoice[concept/supplier]"), 'P&amp;G-Inc'!$C26
)</f>
        <v>0</v>
      </c>
      <c r="N26" s="164">
        <f ca="1">SUMIFS(
  INDIRECT("input_invoice[net]"),
  INDIRECT("input_invoice[yyyymm]"), 'P&amp;G-Inc'!N$1,
  INDIRECT("input_invoice[concept/supplier]"), 'P&amp;G-Inc'!$C26
)</f>
        <v>0</v>
      </c>
      <c r="O26" s="164">
        <f ca="1">SUMIFS(
  INDIRECT("input_invoice[net]"),
  INDIRECT("input_invoice[yyyymm]"), 'P&amp;G-Inc'!O$1,
  INDIRECT("input_invoice[concept/supplier]"), 'P&amp;G-Inc'!$C26
)</f>
        <v>0</v>
      </c>
      <c r="P26" s="164">
        <f ca="1">SUMIFS(
  INDIRECT("input_invoice[net]"),
  INDIRECT("input_invoice[yyyymm]"), 'P&amp;G-Inc'!P$1,
  INDIRECT("input_invoice[concept/supplier]"), 'P&amp;G-Inc'!$C26
)</f>
        <v>0</v>
      </c>
      <c r="Q26" s="164">
        <f ca="1">SUMIFS(
  INDIRECT("input_invoice[net]"),
  INDIRECT("input_invoice[yyyymm]"), 'P&amp;G-Inc'!Q$1,
  INDIRECT("input_invoice[concept/supplier]"), 'P&amp;G-Inc'!$C26
)</f>
        <v>0</v>
      </c>
      <c r="R26" s="164">
        <f ca="1">SUMIFS(
  INDIRECT("input_invoice[net]"),
  INDIRECT("input_invoice[yyyymm]"), 'P&amp;G-Inc'!R$1,
  INDIRECT("input_invoice[concept/supplier]"), 'P&amp;G-Inc'!$C26
)</f>
        <v>0</v>
      </c>
      <c r="S26" s="164">
        <f ca="1">SUMIFS(
  INDIRECT("input_invoice[net]"),
  INDIRECT("input_invoice[yyyymm]"), 'P&amp;G-Inc'!S$1,
  INDIRECT("input_invoice[concept/supplier]"), 'P&amp;G-Inc'!$C26
)</f>
        <v>0</v>
      </c>
      <c r="T26" s="161">
        <f t="shared" ca="1" si="12"/>
        <v>0</v>
      </c>
    </row>
    <row r="27" spans="3:20" outlineLevel="1" x14ac:dyDescent="0.3">
      <c r="C27" t="s">
        <v>226</v>
      </c>
      <c r="D27" s="115"/>
      <c r="E27" s="115"/>
      <c r="F27" s="422" t="s">
        <v>71</v>
      </c>
      <c r="G27" s="422"/>
      <c r="H27" s="164">
        <f ca="1">SUMIFS(
  INDIRECT("input_invoice[net]"),
  INDIRECT("input_invoice[yyyymm]"), 'P&amp;G-Inc'!H$1,
  INDIRECT("input_invoice[concept/supplier]"), 'P&amp;G-Inc'!$C27
)</f>
        <v>0</v>
      </c>
      <c r="I27" s="164">
        <f ca="1">SUMIFS(
  INDIRECT("input_invoice[net]"),
  INDIRECT("input_invoice[yyyymm]"), 'P&amp;G-Inc'!I$1,
  INDIRECT("input_invoice[concept/supplier]"), 'P&amp;G-Inc'!$C27
)</f>
        <v>0</v>
      </c>
      <c r="J27" s="164">
        <f ca="1">SUMIFS(
  INDIRECT("input_invoice[net]"),
  INDIRECT("input_invoice[yyyymm]"), 'P&amp;G-Inc'!J$1,
  INDIRECT("input_invoice[concept/supplier]"), 'P&amp;G-Inc'!$C27
)</f>
        <v>0</v>
      </c>
      <c r="K27" s="164">
        <f ca="1">SUMIFS(
  INDIRECT("input_invoice[net]"),
  INDIRECT("input_invoice[yyyymm]"), 'P&amp;G-Inc'!K$1,
  INDIRECT("input_invoice[concept/supplier]"), 'P&amp;G-Inc'!$C27
)</f>
        <v>0</v>
      </c>
      <c r="L27" s="164">
        <f ca="1">SUMIFS(
  INDIRECT("input_invoice[net]"),
  INDIRECT("input_invoice[yyyymm]"), 'P&amp;G-Inc'!L$1,
  INDIRECT("input_invoice[concept/supplier]"), 'P&amp;G-Inc'!$C27
)</f>
        <v>0</v>
      </c>
      <c r="M27" s="164">
        <f ca="1">SUMIFS(
  INDIRECT("input_invoice[net]"),
  INDIRECT("input_invoice[yyyymm]"), 'P&amp;G-Inc'!M$1,
  INDIRECT("input_invoice[concept/supplier]"), 'P&amp;G-Inc'!$C27
)</f>
        <v>0</v>
      </c>
      <c r="N27" s="164">
        <f ca="1">SUMIFS(
  INDIRECT("input_invoice[net]"),
  INDIRECT("input_invoice[yyyymm]"), 'P&amp;G-Inc'!N$1,
  INDIRECT("input_invoice[concept/supplier]"), 'P&amp;G-Inc'!$C27
)</f>
        <v>0</v>
      </c>
      <c r="O27" s="164">
        <f ca="1">SUMIFS(
  INDIRECT("input_invoice[net]"),
  INDIRECT("input_invoice[yyyymm]"), 'P&amp;G-Inc'!O$1,
  INDIRECT("input_invoice[concept/supplier]"), 'P&amp;G-Inc'!$C27
)</f>
        <v>0</v>
      </c>
      <c r="P27" s="164">
        <f ca="1">SUMIFS(
  INDIRECT("input_invoice[net]"),
  INDIRECT("input_invoice[yyyymm]"), 'P&amp;G-Inc'!P$1,
  INDIRECT("input_invoice[concept/supplier]"), 'P&amp;G-Inc'!$C27
)</f>
        <v>0</v>
      </c>
      <c r="Q27" s="164">
        <f ca="1">SUMIFS(
  INDIRECT("input_invoice[net]"),
  INDIRECT("input_invoice[yyyymm]"), 'P&amp;G-Inc'!Q$1,
  INDIRECT("input_invoice[concept/supplier]"), 'P&amp;G-Inc'!$C27
)</f>
        <v>0</v>
      </c>
      <c r="R27" s="164">
        <f ca="1">SUMIFS(
  INDIRECT("input_invoice[net]"),
  INDIRECT("input_invoice[yyyymm]"), 'P&amp;G-Inc'!R$1,
  INDIRECT("input_invoice[concept/supplier]"), 'P&amp;G-Inc'!$C27
)</f>
        <v>0</v>
      </c>
      <c r="S27" s="164">
        <f ca="1">SUMIFS(
  INDIRECT("input_invoice[net]"),
  INDIRECT("input_invoice[yyyymm]"), 'P&amp;G-Inc'!S$1,
  INDIRECT("input_invoice[concept/supplier]"), 'P&amp;G-Inc'!$C27
)</f>
        <v>0</v>
      </c>
      <c r="T27" s="161">
        <f t="shared" ca="1" si="12"/>
        <v>0</v>
      </c>
    </row>
    <row r="28" spans="3:20" outlineLevel="1" x14ac:dyDescent="0.3">
      <c r="C28" t="s">
        <v>227</v>
      </c>
      <c r="D28" s="115"/>
      <c r="E28" s="115"/>
      <c r="F28" s="422" t="s">
        <v>73</v>
      </c>
      <c r="G28" s="422"/>
      <c r="H28" s="164">
        <f ca="1">SUMIFS(
  INDIRECT("input_invoice[net]"),
  INDIRECT("input_invoice[yyyymm]"), 'P&amp;G-Inc'!H$1,
  INDIRECT("input_invoice[concept/supplier]"), 'P&amp;G-Inc'!$C28
)</f>
        <v>0</v>
      </c>
      <c r="I28" s="164">
        <f ca="1">SUMIFS(
  INDIRECT("input_invoice[net]"),
  INDIRECT("input_invoice[yyyymm]"), 'P&amp;G-Inc'!I$1,
  INDIRECT("input_invoice[concept/supplier]"), 'P&amp;G-Inc'!$C28
)</f>
        <v>0</v>
      </c>
      <c r="J28" s="164">
        <f ca="1">SUMIFS(
  INDIRECT("input_invoice[net]"),
  INDIRECT("input_invoice[yyyymm]"), 'P&amp;G-Inc'!J$1,
  INDIRECT("input_invoice[concept/supplier]"), 'P&amp;G-Inc'!$C28
)</f>
        <v>0</v>
      </c>
      <c r="K28" s="164">
        <f ca="1">SUMIFS(
  INDIRECT("input_invoice[net]"),
  INDIRECT("input_invoice[yyyymm]"), 'P&amp;G-Inc'!K$1,
  INDIRECT("input_invoice[concept/supplier]"), 'P&amp;G-Inc'!$C28
)</f>
        <v>0</v>
      </c>
      <c r="L28" s="164">
        <f ca="1">SUMIFS(
  INDIRECT("input_invoice[net]"),
  INDIRECT("input_invoice[yyyymm]"), 'P&amp;G-Inc'!L$1,
  INDIRECT("input_invoice[concept/supplier]"), 'P&amp;G-Inc'!$C28
)</f>
        <v>0</v>
      </c>
      <c r="M28" s="164">
        <f ca="1">SUMIFS(
  INDIRECT("input_invoice[net]"),
  INDIRECT("input_invoice[yyyymm]"), 'P&amp;G-Inc'!M$1,
  INDIRECT("input_invoice[concept/supplier]"), 'P&amp;G-Inc'!$C28
)</f>
        <v>0</v>
      </c>
      <c r="N28" s="164">
        <f ca="1">SUMIFS(
  INDIRECT("input_invoice[net]"),
  INDIRECT("input_invoice[yyyymm]"), 'P&amp;G-Inc'!N$1,
  INDIRECT("input_invoice[concept/supplier]"), 'P&amp;G-Inc'!$C28
)</f>
        <v>0</v>
      </c>
      <c r="O28" s="164">
        <f ca="1">SUMIFS(
  INDIRECT("input_invoice[net]"),
  INDIRECT("input_invoice[yyyymm]"), 'P&amp;G-Inc'!O$1,
  INDIRECT("input_invoice[concept/supplier]"), 'P&amp;G-Inc'!$C28
)</f>
        <v>0</v>
      </c>
      <c r="P28" s="164">
        <f ca="1">SUMIFS(
  INDIRECT("input_invoice[net]"),
  INDIRECT("input_invoice[yyyymm]"), 'P&amp;G-Inc'!P$1,
  INDIRECT("input_invoice[concept/supplier]"), 'P&amp;G-Inc'!$C28
)</f>
        <v>0</v>
      </c>
      <c r="Q28" s="164">
        <f ca="1">SUMIFS(
  INDIRECT("input_invoice[net]"),
  INDIRECT("input_invoice[yyyymm]"), 'P&amp;G-Inc'!Q$1,
  INDIRECT("input_invoice[concept/supplier]"), 'P&amp;G-Inc'!$C28
)</f>
        <v>0</v>
      </c>
      <c r="R28" s="164">
        <f ca="1">SUMIFS(
  INDIRECT("input_invoice[net]"),
  INDIRECT("input_invoice[yyyymm]"), 'P&amp;G-Inc'!R$1,
  INDIRECT("input_invoice[concept/supplier]"), 'P&amp;G-Inc'!$C28
)</f>
        <v>0</v>
      </c>
      <c r="S28" s="164">
        <f ca="1">SUMIFS(
  INDIRECT("input_invoice[net]"),
  INDIRECT("input_invoice[yyyymm]"), 'P&amp;G-Inc'!S$1,
  INDIRECT("input_invoice[concept/supplier]"), 'P&amp;G-Inc'!$C28
)</f>
        <v>0</v>
      </c>
      <c r="T28" s="161">
        <f t="shared" ca="1" si="12"/>
        <v>0</v>
      </c>
    </row>
    <row r="29" spans="3:20" outlineLevel="1" x14ac:dyDescent="0.3">
      <c r="C29" t="s">
        <v>228</v>
      </c>
      <c r="D29" s="115"/>
      <c r="E29" s="115"/>
      <c r="F29" s="422" t="s">
        <v>12</v>
      </c>
      <c r="G29" s="422"/>
      <c r="H29" s="164">
        <f ca="1">SUMIFS(
  INDIRECT("input_invoice[net]"),
  INDIRECT("input_invoice[yyyymm]"), 'P&amp;G-Inc'!H$1,
  INDIRECT("input_invoice[concept/supplier]"), 'P&amp;G-Inc'!$C29
)</f>
        <v>0</v>
      </c>
      <c r="I29" s="164">
        <f ca="1">SUMIFS(
  INDIRECT("input_invoice[net]"),
  INDIRECT("input_invoice[yyyymm]"), 'P&amp;G-Inc'!I$1,
  INDIRECT("input_invoice[concept/supplier]"), 'P&amp;G-Inc'!$C29
)</f>
        <v>0</v>
      </c>
      <c r="J29" s="164">
        <f ca="1">SUMIFS(
  INDIRECT("input_invoice[net]"),
  INDIRECT("input_invoice[yyyymm]"), 'P&amp;G-Inc'!J$1,
  INDIRECT("input_invoice[concept/supplier]"), 'P&amp;G-Inc'!$C29
)</f>
        <v>0</v>
      </c>
      <c r="K29" s="164">
        <f ca="1">SUMIFS(
  INDIRECT("input_invoice[net]"),
  INDIRECT("input_invoice[yyyymm]"), 'P&amp;G-Inc'!K$1,
  INDIRECT("input_invoice[concept/supplier]"), 'P&amp;G-Inc'!$C29
)</f>
        <v>0</v>
      </c>
      <c r="L29" s="164">
        <f ca="1">SUMIFS(
  INDIRECT("input_invoice[net]"),
  INDIRECT("input_invoice[yyyymm]"), 'P&amp;G-Inc'!L$1,
  INDIRECT("input_invoice[concept/supplier]"), 'P&amp;G-Inc'!$C29
)</f>
        <v>0</v>
      </c>
      <c r="M29" s="164">
        <f ca="1">SUMIFS(
  INDIRECT("input_invoice[net]"),
  INDIRECT("input_invoice[yyyymm]"), 'P&amp;G-Inc'!M$1,
  INDIRECT("input_invoice[concept/supplier]"), 'P&amp;G-Inc'!$C29
)</f>
        <v>0</v>
      </c>
      <c r="N29" s="164">
        <f ca="1">SUMIFS(
  INDIRECT("input_invoice[net]"),
  INDIRECT("input_invoice[yyyymm]"), 'P&amp;G-Inc'!N$1,
  INDIRECT("input_invoice[concept/supplier]"), 'P&amp;G-Inc'!$C29
)</f>
        <v>0</v>
      </c>
      <c r="O29" s="164">
        <f ca="1">SUMIFS(
  INDIRECT("input_invoice[net]"),
  INDIRECT("input_invoice[yyyymm]"), 'P&amp;G-Inc'!O$1,
  INDIRECT("input_invoice[concept/supplier]"), 'P&amp;G-Inc'!$C29
)</f>
        <v>0</v>
      </c>
      <c r="P29" s="164">
        <f ca="1">SUMIFS(
  INDIRECT("input_invoice[net]"),
  INDIRECT("input_invoice[yyyymm]"), 'P&amp;G-Inc'!P$1,
  INDIRECT("input_invoice[concept/supplier]"), 'P&amp;G-Inc'!$C29
)</f>
        <v>0</v>
      </c>
      <c r="Q29" s="164">
        <f ca="1">SUMIFS(
  INDIRECT("input_invoice[net]"),
  INDIRECT("input_invoice[yyyymm]"), 'P&amp;G-Inc'!Q$1,
  INDIRECT("input_invoice[concept/supplier]"), 'P&amp;G-Inc'!$C29
)</f>
        <v>0</v>
      </c>
      <c r="R29" s="164">
        <f ca="1">SUMIFS(
  INDIRECT("input_invoice[net]"),
  INDIRECT("input_invoice[yyyymm]"), 'P&amp;G-Inc'!R$1,
  INDIRECT("input_invoice[concept/supplier]"), 'P&amp;G-Inc'!$C29
)</f>
        <v>0</v>
      </c>
      <c r="S29" s="164">
        <f ca="1">SUMIFS(
  INDIRECT("input_invoice[net]"),
  INDIRECT("input_invoice[yyyymm]"), 'P&amp;G-Inc'!S$1,
  INDIRECT("input_invoice[concept/supplier]"), 'P&amp;G-Inc'!$C29
)</f>
        <v>0</v>
      </c>
      <c r="T29" s="161">
        <f t="shared" ca="1" si="12"/>
        <v>0</v>
      </c>
    </row>
    <row r="30" spans="3:20" ht="15" customHeight="1" thickBot="1" x14ac:dyDescent="0.35">
      <c r="D30" s="417" t="s">
        <v>80</v>
      </c>
      <c r="E30" s="417"/>
      <c r="F30" s="417"/>
      <c r="G30" s="417"/>
      <c r="H30" s="167">
        <f ca="1">+H31</f>
        <v>0</v>
      </c>
      <c r="I30" s="167">
        <f t="shared" ref="I30:S30" ca="1" si="13">+I31</f>
        <v>0</v>
      </c>
      <c r="J30" s="167">
        <f t="shared" ca="1" si="13"/>
        <v>0</v>
      </c>
      <c r="K30" s="167">
        <f t="shared" ca="1" si="13"/>
        <v>0</v>
      </c>
      <c r="L30" s="167">
        <f t="shared" ca="1" si="13"/>
        <v>0</v>
      </c>
      <c r="M30" s="167">
        <f t="shared" ca="1" si="13"/>
        <v>0</v>
      </c>
      <c r="N30" s="167">
        <f t="shared" ca="1" si="13"/>
        <v>0</v>
      </c>
      <c r="O30" s="167">
        <f t="shared" ca="1" si="13"/>
        <v>0</v>
      </c>
      <c r="P30" s="167">
        <f t="shared" ca="1" si="13"/>
        <v>0</v>
      </c>
      <c r="Q30" s="167">
        <f t="shared" ca="1" si="13"/>
        <v>0</v>
      </c>
      <c r="R30" s="167">
        <f t="shared" ca="1" si="13"/>
        <v>0</v>
      </c>
      <c r="S30" s="167">
        <f t="shared" ca="1" si="13"/>
        <v>0</v>
      </c>
      <c r="T30" s="161">
        <f t="shared" ca="1" si="12"/>
        <v>0</v>
      </c>
    </row>
    <row r="31" spans="3:20" ht="15" hidden="1" customHeight="1" outlineLevel="1" thickBot="1" x14ac:dyDescent="0.35">
      <c r="C31" t="s">
        <v>229</v>
      </c>
      <c r="D31" s="118"/>
      <c r="E31" s="118"/>
      <c r="F31" s="434" t="s">
        <v>34</v>
      </c>
      <c r="G31" s="423"/>
      <c r="H31" s="164">
        <f ca="1">SUMIFS(
  INDIRECT("input_invoice[net]"),
  INDIRECT("input_invoice[yyyymm]"), 'P&amp;G-Inc'!H$1,
  INDIRECT("input_invoice[concept/supplier]"), 'P&amp;G-Inc'!$C31
)</f>
        <v>0</v>
      </c>
      <c r="I31" s="164">
        <f ca="1">SUMIFS(
  INDIRECT("input_invoice[net]"),
  INDIRECT("input_invoice[yyyymm]"), 'P&amp;G-Inc'!I$1,
  INDIRECT("input_invoice[concept/supplier]"), 'P&amp;G-Inc'!$C31
)</f>
        <v>0</v>
      </c>
      <c r="J31" s="164">
        <f ca="1">SUMIFS(
  INDIRECT("input_invoice[net]"),
  INDIRECT("input_invoice[yyyymm]"), 'P&amp;G-Inc'!J$1,
  INDIRECT("input_invoice[concept/supplier]"), 'P&amp;G-Inc'!$C31
)</f>
        <v>0</v>
      </c>
      <c r="K31" s="164">
        <f ca="1">SUMIFS(
  INDIRECT("input_invoice[net]"),
  INDIRECT("input_invoice[yyyymm]"), 'P&amp;G-Inc'!K$1,
  INDIRECT("input_invoice[concept/supplier]"), 'P&amp;G-Inc'!$C31
)</f>
        <v>0</v>
      </c>
      <c r="L31" s="164">
        <f ca="1">SUMIFS(
  INDIRECT("input_invoice[net]"),
  INDIRECT("input_invoice[yyyymm]"), 'P&amp;G-Inc'!L$1,
  INDIRECT("input_invoice[concept/supplier]"), 'P&amp;G-Inc'!$C31
)</f>
        <v>0</v>
      </c>
      <c r="M31" s="164">
        <f ca="1">SUMIFS(
  INDIRECT("input_invoice[net]"),
  INDIRECT("input_invoice[yyyymm]"), 'P&amp;G-Inc'!M$1,
  INDIRECT("input_invoice[concept/supplier]"), 'P&amp;G-Inc'!$C31
)</f>
        <v>0</v>
      </c>
      <c r="N31" s="164">
        <f ca="1">SUMIFS(
  INDIRECT("input_invoice[net]"),
  INDIRECT("input_invoice[yyyymm]"), 'P&amp;G-Inc'!N$1,
  INDIRECT("input_invoice[concept/supplier]"), 'P&amp;G-Inc'!$C31
)</f>
        <v>0</v>
      </c>
      <c r="O31" s="164">
        <f ca="1">SUMIFS(
  INDIRECT("input_invoice[net]"),
  INDIRECT("input_invoice[yyyymm]"), 'P&amp;G-Inc'!O$1,
  INDIRECT("input_invoice[concept/supplier]"), 'P&amp;G-Inc'!$C31
)</f>
        <v>0</v>
      </c>
      <c r="P31" s="164">
        <f ca="1">SUMIFS(
  INDIRECT("input_invoice[net]"),
  INDIRECT("input_invoice[yyyymm]"), 'P&amp;G-Inc'!P$1,
  INDIRECT("input_invoice[concept/supplier]"), 'P&amp;G-Inc'!$C31
)</f>
        <v>0</v>
      </c>
      <c r="Q31" s="164">
        <f ca="1">SUMIFS(
  INDIRECT("input_invoice[net]"),
  INDIRECT("input_invoice[yyyymm]"), 'P&amp;G-Inc'!Q$1,
  INDIRECT("input_invoice[concept/supplier]"), 'P&amp;G-Inc'!$C31
)</f>
        <v>0</v>
      </c>
      <c r="R31" s="164">
        <f ca="1">SUMIFS(
  INDIRECT("input_invoice[net]"),
  INDIRECT("input_invoice[yyyymm]"), 'P&amp;G-Inc'!R$1,
  INDIRECT("input_invoice[concept/supplier]"), 'P&amp;G-Inc'!$C31
)</f>
        <v>0</v>
      </c>
      <c r="S31" s="164">
        <f ca="1">SUMIFS(
  INDIRECT("input_invoice[net]"),
  INDIRECT("input_invoice[yyyymm]"), 'P&amp;G-Inc'!S$1,
  INDIRECT("input_invoice[concept/supplier]"), 'P&amp;G-Inc'!$C31
)</f>
        <v>0</v>
      </c>
      <c r="T31" s="168">
        <f t="shared" ca="1" si="12"/>
        <v>0</v>
      </c>
    </row>
    <row r="32" spans="3:20" ht="15" hidden="1" customHeight="1" outlineLevel="1" thickBot="1" x14ac:dyDescent="0.35">
      <c r="D32" s="424" t="s">
        <v>82</v>
      </c>
      <c r="E32" s="424"/>
      <c r="F32" s="424"/>
      <c r="G32" s="424"/>
      <c r="H32" s="185">
        <f ca="1">1-((H10)/H4)</f>
        <v>0.84772812763726446</v>
      </c>
      <c r="I32" s="185">
        <f t="shared" ref="I32:T32" ca="1" si="14">1-((I10)/I4)</f>
        <v>0.83174031098986045</v>
      </c>
      <c r="J32" s="185">
        <f t="shared" ca="1" si="14"/>
        <v>1</v>
      </c>
      <c r="K32" s="185" t="e">
        <f t="shared" ca="1" si="14"/>
        <v>#DIV/0!</v>
      </c>
      <c r="L32" s="185" t="e">
        <f t="shared" ca="1" si="14"/>
        <v>#DIV/0!</v>
      </c>
      <c r="M32" s="185" t="e">
        <f t="shared" ca="1" si="14"/>
        <v>#DIV/0!</v>
      </c>
      <c r="N32" s="150" t="e">
        <f t="shared" ca="1" si="14"/>
        <v>#DIV/0!</v>
      </c>
      <c r="O32" s="150" t="e">
        <f t="shared" ca="1" si="14"/>
        <v>#DIV/0!</v>
      </c>
      <c r="P32" s="185" t="e">
        <f t="shared" ca="1" si="14"/>
        <v>#DIV/0!</v>
      </c>
      <c r="Q32" s="185" t="e">
        <f t="shared" ca="1" si="14"/>
        <v>#DIV/0!</v>
      </c>
      <c r="R32" s="185" t="e">
        <f t="shared" ca="1" si="14"/>
        <v>#DIV/0!</v>
      </c>
      <c r="S32" s="185" t="e">
        <f t="shared" ca="1" si="14"/>
        <v>#DIV/0!</v>
      </c>
      <c r="T32" s="170">
        <f t="shared" ca="1" si="14"/>
        <v>0.88581742230883342</v>
      </c>
    </row>
    <row r="33" spans="3:20" ht="15" hidden="1" customHeight="1" outlineLevel="1" thickBot="1" x14ac:dyDescent="0.35">
      <c r="D33" s="424" t="s">
        <v>83</v>
      </c>
      <c r="E33" s="424"/>
      <c r="F33" s="424"/>
      <c r="G33" s="424"/>
      <c r="H33" s="169">
        <f t="shared" ref="H33:S33" ca="1" si="15">+H4-H10</f>
        <v>8699.0300000000007</v>
      </c>
      <c r="I33" s="169">
        <f t="shared" ca="1" si="15"/>
        <v>12932.779999999999</v>
      </c>
      <c r="J33" s="169">
        <f t="shared" ca="1" si="15"/>
        <v>10787.15</v>
      </c>
      <c r="K33" s="169">
        <f t="shared" ca="1" si="15"/>
        <v>0</v>
      </c>
      <c r="L33" s="169">
        <f t="shared" ca="1" si="15"/>
        <v>0</v>
      </c>
      <c r="M33" s="169">
        <f t="shared" ca="1" si="15"/>
        <v>0</v>
      </c>
      <c r="N33" s="169">
        <f t="shared" ca="1" si="15"/>
        <v>0</v>
      </c>
      <c r="O33" s="169">
        <f t="shared" ca="1" si="15"/>
        <v>0</v>
      </c>
      <c r="P33" s="169">
        <f t="shared" ca="1" si="15"/>
        <v>0</v>
      </c>
      <c r="Q33" s="169">
        <f t="shared" ca="1" si="15"/>
        <v>0</v>
      </c>
      <c r="R33" s="169">
        <f t="shared" ca="1" si="15"/>
        <v>0</v>
      </c>
      <c r="S33" s="169">
        <f t="shared" ca="1" si="15"/>
        <v>0</v>
      </c>
      <c r="T33" s="172">
        <f ca="1">SUM(H33:S33)</f>
        <v>32418.959999999999</v>
      </c>
    </row>
    <row r="34" spans="3:20" collapsed="1" x14ac:dyDescent="0.3">
      <c r="D34" s="424" t="s">
        <v>84</v>
      </c>
      <c r="E34" s="424"/>
      <c r="F34" s="424"/>
      <c r="G34" s="424"/>
      <c r="H34" s="185" t="e">
        <f t="shared" ref="H34:R34" ca="1" si="16">1-((H9)/H3)</f>
        <v>#REF!</v>
      </c>
      <c r="I34" s="185" t="e">
        <f t="shared" ca="1" si="16"/>
        <v>#REF!</v>
      </c>
      <c r="J34" s="185" t="e">
        <f t="shared" ca="1" si="16"/>
        <v>#REF!</v>
      </c>
      <c r="K34" s="185" t="e">
        <f t="shared" ca="1" si="16"/>
        <v>#REF!</v>
      </c>
      <c r="L34" s="185" t="e">
        <f t="shared" ca="1" si="16"/>
        <v>#REF!</v>
      </c>
      <c r="M34" s="185" t="e">
        <f t="shared" ca="1" si="16"/>
        <v>#REF!</v>
      </c>
      <c r="N34" s="185" t="e">
        <f t="shared" ca="1" si="16"/>
        <v>#REF!</v>
      </c>
      <c r="O34" s="185" t="e">
        <f t="shared" ca="1" si="16"/>
        <v>#REF!</v>
      </c>
      <c r="P34" s="185" t="e">
        <f t="shared" ca="1" si="16"/>
        <v>#REF!</v>
      </c>
      <c r="Q34" s="185" t="e">
        <f t="shared" ca="1" si="16"/>
        <v>#REF!</v>
      </c>
      <c r="R34" s="185" t="e">
        <f t="shared" ca="1" si="16"/>
        <v>#REF!</v>
      </c>
      <c r="S34" s="185" t="e">
        <f ca="1">1-((S9)/S3)</f>
        <v>#REF!</v>
      </c>
      <c r="T34" s="170">
        <f ca="1">SUMIFS(
  INDIRECT("input_invoice[net]"),
  INDIRECT("input_invoice[yyyymm]"), 'P&amp;G-Inc'!T$1,
  INDIRECT("input_invoice[concept/supplier]"), 'P&amp;G-Inc'!$C77
)</f>
        <v>0</v>
      </c>
    </row>
    <row r="35" spans="3:20" ht="15" customHeight="1" thickBot="1" x14ac:dyDescent="0.35">
      <c r="D35" s="425" t="s">
        <v>85</v>
      </c>
      <c r="E35" s="425"/>
      <c r="F35" s="425"/>
      <c r="G35" s="425"/>
      <c r="H35" s="171" t="e">
        <f t="shared" ref="H35:S35" ca="1" si="17">+H3-H9</f>
        <v>#REF!</v>
      </c>
      <c r="I35" s="171" t="e">
        <f t="shared" ca="1" si="17"/>
        <v>#REF!</v>
      </c>
      <c r="J35" s="171" t="e">
        <f t="shared" ca="1" si="17"/>
        <v>#REF!</v>
      </c>
      <c r="K35" s="171" t="e">
        <f t="shared" ca="1" si="17"/>
        <v>#REF!</v>
      </c>
      <c r="L35" s="171" t="e">
        <f t="shared" ca="1" si="17"/>
        <v>#REF!</v>
      </c>
      <c r="M35" s="171" t="e">
        <f t="shared" ca="1" si="17"/>
        <v>#REF!</v>
      </c>
      <c r="N35" s="171" t="e">
        <f t="shared" ca="1" si="17"/>
        <v>#REF!</v>
      </c>
      <c r="O35" s="171" t="e">
        <f t="shared" ca="1" si="17"/>
        <v>#REF!</v>
      </c>
      <c r="P35" s="171" t="e">
        <f t="shared" ca="1" si="17"/>
        <v>#REF!</v>
      </c>
      <c r="Q35" s="171" t="e">
        <f t="shared" ca="1" si="17"/>
        <v>#REF!</v>
      </c>
      <c r="R35" s="171" t="e">
        <f t="shared" ca="1" si="17"/>
        <v>#REF!</v>
      </c>
      <c r="S35" s="171" t="e">
        <f t="shared" ca="1" si="17"/>
        <v>#REF!</v>
      </c>
      <c r="T35" s="172" t="e">
        <f t="shared" ref="T35:T42" ca="1" si="18">SUM(H35:S35)</f>
        <v>#REF!</v>
      </c>
    </row>
    <row r="36" spans="3:20" x14ac:dyDescent="0.3">
      <c r="D36" s="119"/>
      <c r="E36" s="119"/>
      <c r="F36" s="119"/>
      <c r="G36" s="119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4"/>
    </row>
    <row r="37" spans="3:20" ht="15" customHeight="1" x14ac:dyDescent="0.3">
      <c r="D37" s="426" t="s">
        <v>86</v>
      </c>
      <c r="E37" s="426"/>
      <c r="F37" s="426"/>
      <c r="G37" s="426"/>
      <c r="H37" s="175">
        <f t="shared" ref="H37:S37" ca="1" si="19">+H38+H44+H47</f>
        <v>8236.4454639175274</v>
      </c>
      <c r="I37" s="175">
        <f t="shared" ca="1" si="19"/>
        <v>9352.883333333335</v>
      </c>
      <c r="J37" s="175">
        <f t="shared" ca="1" si="19"/>
        <v>0</v>
      </c>
      <c r="K37" s="175">
        <f ca="1">+K38+K44+K47</f>
        <v>0</v>
      </c>
      <c r="L37" s="175">
        <f ca="1">+L38+L44+L47</f>
        <v>0</v>
      </c>
      <c r="M37" s="175">
        <f t="shared" ca="1" si="19"/>
        <v>0</v>
      </c>
      <c r="N37" s="175">
        <f t="shared" ca="1" si="19"/>
        <v>0</v>
      </c>
      <c r="O37" s="175">
        <f t="shared" ca="1" si="19"/>
        <v>0</v>
      </c>
      <c r="P37" s="175">
        <f ca="1">+P38+P44+P47</f>
        <v>0</v>
      </c>
      <c r="Q37" s="175">
        <f t="shared" ca="1" si="19"/>
        <v>0</v>
      </c>
      <c r="R37" s="175">
        <f t="shared" ca="1" si="19"/>
        <v>0</v>
      </c>
      <c r="S37" s="175">
        <f t="shared" ca="1" si="19"/>
        <v>0</v>
      </c>
      <c r="T37" s="161">
        <f t="shared" ca="1" si="18"/>
        <v>17589.328797250862</v>
      </c>
    </row>
    <row r="38" spans="3:20" x14ac:dyDescent="0.3">
      <c r="D38" s="417" t="s">
        <v>87</v>
      </c>
      <c r="E38" s="417"/>
      <c r="F38" s="417"/>
      <c r="G38" s="417"/>
      <c r="H38" s="167">
        <f ca="1">SUM(H39:H42)</f>
        <v>4020.4226804123718</v>
      </c>
      <c r="I38" s="167">
        <f t="shared" ref="I38:S38" ca="1" si="20">SUM(I39:I42)</f>
        <v>4941.75</v>
      </c>
      <c r="J38" s="167">
        <f t="shared" ca="1" si="20"/>
        <v>0</v>
      </c>
      <c r="K38" s="167">
        <f t="shared" ca="1" si="20"/>
        <v>0</v>
      </c>
      <c r="L38" s="167">
        <f t="shared" ca="1" si="20"/>
        <v>0</v>
      </c>
      <c r="M38" s="167">
        <f t="shared" ca="1" si="20"/>
        <v>0</v>
      </c>
      <c r="N38" s="167">
        <f t="shared" ca="1" si="20"/>
        <v>0</v>
      </c>
      <c r="O38" s="167">
        <f t="shared" ca="1" si="20"/>
        <v>0</v>
      </c>
      <c r="P38" s="167">
        <f t="shared" ca="1" si="20"/>
        <v>0</v>
      </c>
      <c r="Q38" s="167">
        <f t="shared" ca="1" si="20"/>
        <v>0</v>
      </c>
      <c r="R38" s="167">
        <f t="shared" ca="1" si="20"/>
        <v>0</v>
      </c>
      <c r="S38" s="167">
        <f t="shared" ca="1" si="20"/>
        <v>0</v>
      </c>
      <c r="T38" s="161">
        <f t="shared" ca="1" si="18"/>
        <v>8962.1726804123718</v>
      </c>
    </row>
    <row r="39" spans="3:20" hidden="1" outlineLevel="1" x14ac:dyDescent="0.3">
      <c r="C39" t="s">
        <v>98</v>
      </c>
      <c r="D39" s="113"/>
      <c r="E39" s="113"/>
      <c r="F39" s="422" t="s">
        <v>89</v>
      </c>
      <c r="G39" s="422"/>
      <c r="H39" s="176">
        <f ca="1">SUMIFS(
  INDIRECT("input_provisions[import]"),
  INDIRECT("input_provisions[yyyymm]"), 'P&amp;G-Inc'!H$1,
  INDIRECT("input_provisions[concept/supplier]"), 'P&amp;G-Inc'!$C39
)*(1/H71)</f>
        <v>2185.7010309278353</v>
      </c>
      <c r="I39" s="176">
        <f ca="1">SUMIFS(
  INDIRECT("input_provisions[import]"),
  INDIRECT("input_provisions[yyyymm]"), 'P&amp;G-Inc'!I$1,
  INDIRECT("input_provisions[concept/supplier]"), 'P&amp;G-Inc'!$C39
)*(1/I71)</f>
        <v>3486.125</v>
      </c>
      <c r="J39" s="176">
        <f ca="1">SUMIFS(
  INDIRECT("input_provisions[import]"),
  INDIRECT("input_provisions[yyyymm]"), 'P&amp;G-Inc'!J$1,
  INDIRECT("input_provisions[concept/supplier]"), 'P&amp;G-Inc'!$C39
)*(1/J71)</f>
        <v>0</v>
      </c>
      <c r="K39" s="176">
        <f ca="1">SUMIFS(
  INDIRECT("input_provisions[import]"),
  INDIRECT("input_provisions[yyyymm]"), 'P&amp;G-Inc'!K$1,
  INDIRECT("input_provisions[concept/supplier]"), 'P&amp;G-Inc'!$C39
)*(1/K71)</f>
        <v>0</v>
      </c>
      <c r="L39" s="176">
        <f ca="1">SUMIFS(
  INDIRECT("input_provisions[import]"),
  INDIRECT("input_provisions[yyyymm]"), 'P&amp;G-Inc'!L$1,
  INDIRECT("input_provisions[concept/supplier]"), 'P&amp;G-Inc'!$C39
)*(1/L71)</f>
        <v>0</v>
      </c>
      <c r="M39" s="176">
        <f ca="1">SUMIFS(
  INDIRECT("input_provisions[import]"),
  INDIRECT("input_provisions[yyyymm]"), 'P&amp;G-Inc'!M$1,
  INDIRECT("input_provisions[concept/supplier]"), 'P&amp;G-Inc'!$C39
)*(1/M71)</f>
        <v>0</v>
      </c>
      <c r="N39" s="176">
        <f ca="1">SUMIFS(
  INDIRECT("input_provisions[import]"),
  INDIRECT("input_provisions[yyyymm]"), 'P&amp;G-Inc'!N$1,
  INDIRECT("input_provisions[concept/supplier]"), 'P&amp;G-Inc'!$C39
)*(1/N71)</f>
        <v>0</v>
      </c>
      <c r="O39" s="176">
        <f ca="1">SUMIFS(
  INDIRECT("input_provisions[import]"),
  INDIRECT("input_provisions[yyyymm]"), 'P&amp;G-Inc'!O$1,
  INDIRECT("input_provisions[concept/supplier]"), 'P&amp;G-Inc'!$C39
)*(1/O71)</f>
        <v>0</v>
      </c>
      <c r="P39" s="176">
        <f ca="1">SUMIFS(
  INDIRECT("input_provisions[import]"),
  INDIRECT("input_provisions[yyyymm]"), 'P&amp;G-Inc'!P$1,
  INDIRECT("input_provisions[concept/supplier]"), 'P&amp;G-Inc'!$C39
)*(1/P71)</f>
        <v>0</v>
      </c>
      <c r="Q39" s="176">
        <f ca="1">SUMIFS(
  INDIRECT("input_provisions[import]"),
  INDIRECT("input_provisions[yyyymm]"), 'P&amp;G-Inc'!Q$1,
  INDIRECT("input_provisions[concept/supplier]"), 'P&amp;G-Inc'!$C39
)*(1/Q71)</f>
        <v>0</v>
      </c>
      <c r="R39" s="176">
        <f ca="1">SUMIFS(
  INDIRECT("input_provisions[import]"),
  INDIRECT("input_provisions[yyyymm]"), 'P&amp;G-Inc'!R$1,
  INDIRECT("input_provisions[concept/supplier]"), 'P&amp;G-Inc'!$C39
)*(1/R71)</f>
        <v>0</v>
      </c>
      <c r="S39" s="176">
        <f ca="1">SUMIFS(
  INDIRECT("input_provisions[import]"),
  INDIRECT("input_provisions[yyyymm]"), 'P&amp;G-Inc'!S$1,
  INDIRECT("input_provisions[concept/supplier]"), 'P&amp;G-Inc'!$C39
)*(1/S71)</f>
        <v>0</v>
      </c>
      <c r="T39" s="168">
        <f t="shared" ca="1" si="18"/>
        <v>5671.8260309278357</v>
      </c>
    </row>
    <row r="40" spans="3:20" hidden="1" outlineLevel="1" x14ac:dyDescent="0.3">
      <c r="C40" t="s">
        <v>99</v>
      </c>
      <c r="D40" s="113"/>
      <c r="E40" s="113"/>
      <c r="F40" s="422" t="s">
        <v>91</v>
      </c>
      <c r="G40" s="422"/>
      <c r="H40" s="176">
        <f ca="1">SUMIFS(
  INDIRECT("input_provisions[import]"),
  INDIRECT("input_provisions[yyyymm]"), 'P&amp;G-Inc'!H$1,
  INDIRECT("input_provisions[concept/supplier]"), 'P&amp;G-Inc'!$C40
)*(1/H71)</f>
        <v>1834.7216494845363</v>
      </c>
      <c r="I40" s="176">
        <f ca="1">SUMIFS(
  INDIRECT("input_provisions[import]"),
  INDIRECT("input_provisions[yyyymm]"), 'P&amp;G-Inc'!I$1,
  INDIRECT("input_provisions[concept/supplier]"), 'P&amp;G-Inc'!$C40
)*(1/I71)</f>
        <v>1455.6250000000002</v>
      </c>
      <c r="J40" s="176">
        <f ca="1">SUMIFS(
  INDIRECT("input_provisions[import]"),
  INDIRECT("input_provisions[yyyymm]"), 'P&amp;G-Inc'!J$1,
  INDIRECT("input_provisions[concept/supplier]"), 'P&amp;G-Inc'!$C40
)*(1/J71)</f>
        <v>0</v>
      </c>
      <c r="K40" s="176">
        <f ca="1">SUMIFS(
  INDIRECT("input_provisions[import]"),
  INDIRECT("input_provisions[yyyymm]"), 'P&amp;G-Inc'!K$1,
  INDIRECT("input_provisions[concept/supplier]"), 'P&amp;G-Inc'!$C40
)*(1/K71)</f>
        <v>0</v>
      </c>
      <c r="L40" s="176">
        <f ca="1">SUMIFS(
  INDIRECT("input_provisions[import]"),
  INDIRECT("input_provisions[yyyymm]"), 'P&amp;G-Inc'!L$1,
  INDIRECT("input_provisions[concept/supplier]"), 'P&amp;G-Inc'!$C40
)*(1/L71)</f>
        <v>0</v>
      </c>
      <c r="M40" s="176">
        <f ca="1">SUMIFS(
  INDIRECT("input_provisions[import]"),
  INDIRECT("input_provisions[yyyymm]"), 'P&amp;G-Inc'!M$1,
  INDIRECT("input_provisions[concept/supplier]"), 'P&amp;G-Inc'!$C40
)*(1/M71)</f>
        <v>0</v>
      </c>
      <c r="N40" s="176">
        <f ca="1">SUMIFS(
  INDIRECT("input_provisions[import]"),
  INDIRECT("input_provisions[yyyymm]"), 'P&amp;G-Inc'!N$1,
  INDIRECT("input_provisions[concept/supplier]"), 'P&amp;G-Inc'!$C40
)*(1/N71)</f>
        <v>0</v>
      </c>
      <c r="O40" s="176">
        <f ca="1">SUMIFS(
  INDIRECT("input_provisions[import]"),
  INDIRECT("input_provisions[yyyymm]"), 'P&amp;G-Inc'!O$1,
  INDIRECT("input_provisions[concept/supplier]"), 'P&amp;G-Inc'!$C40
)*(1/O71)</f>
        <v>0</v>
      </c>
      <c r="P40" s="176">
        <f ca="1">SUMIFS(
  INDIRECT("input_provisions[import]"),
  INDIRECT("input_provisions[yyyymm]"), 'P&amp;G-Inc'!P$1,
  INDIRECT("input_provisions[concept/supplier]"), 'P&amp;G-Inc'!$C40
)*(1/P71)</f>
        <v>0</v>
      </c>
      <c r="Q40" s="176">
        <f ca="1">SUMIFS(
  INDIRECT("input_provisions[import]"),
  INDIRECT("input_provisions[yyyymm]"), 'P&amp;G-Inc'!Q$1,
  INDIRECT("input_provisions[concept/supplier]"), 'P&amp;G-Inc'!$C40
)*(1/Q71)</f>
        <v>0</v>
      </c>
      <c r="R40" s="176">
        <f ca="1">SUMIFS(
  INDIRECT("input_provisions[import]"),
  INDIRECT("input_provisions[yyyymm]"), 'P&amp;G-Inc'!R$1,
  INDIRECT("input_provisions[concept/supplier]"), 'P&amp;G-Inc'!$C40
)*(1/R71)</f>
        <v>0</v>
      </c>
      <c r="S40" s="176">
        <f ca="1">SUMIFS(
  INDIRECT("input_provisions[import]"),
  INDIRECT("input_provisions[yyyymm]"), 'P&amp;G-Inc'!S$1,
  INDIRECT("input_provisions[concept/supplier]"), 'P&amp;G-Inc'!$C40
)*(1/S71)</f>
        <v>0</v>
      </c>
      <c r="T40" s="168">
        <f t="shared" ca="1" si="18"/>
        <v>3290.3466494845366</v>
      </c>
    </row>
    <row r="41" spans="3:20" hidden="1" outlineLevel="1" x14ac:dyDescent="0.3">
      <c r="C41" t="s">
        <v>100</v>
      </c>
      <c r="D41" s="113"/>
      <c r="E41" s="113"/>
      <c r="F41" s="422" t="s">
        <v>92</v>
      </c>
      <c r="G41" s="422"/>
      <c r="H41" s="176">
        <f ca="1">SUMIFS(
  INDIRECT("input_provisions[import]"),
  INDIRECT("input_provisions[yyyymm]"), 'P&amp;G-Inc'!H$1,
  INDIRECT("input_provisions[concept/supplier]"), 'P&amp;G-Inc'!$C41
)*(1/H71)</f>
        <v>0</v>
      </c>
      <c r="I41" s="176">
        <f ca="1">SUMIFS(
  INDIRECT("input_provisions[import]"),
  INDIRECT("input_provisions[yyyymm]"), 'P&amp;G-Inc'!I$1,
  INDIRECT("input_provisions[concept/supplier]"), 'P&amp;G-Inc'!$C41
)*(1/I71)</f>
        <v>0</v>
      </c>
      <c r="J41" s="176">
        <f ca="1">SUMIFS(
  INDIRECT("input_provisions[import]"),
  INDIRECT("input_provisions[yyyymm]"), 'P&amp;G-Inc'!J$1,
  INDIRECT("input_provisions[concept/supplier]"), 'P&amp;G-Inc'!$C41
)*(1/J71)</f>
        <v>0</v>
      </c>
      <c r="K41" s="176">
        <f ca="1">SUMIFS(
  INDIRECT("input_provisions[import]"),
  INDIRECT("input_provisions[yyyymm]"), 'P&amp;G-Inc'!K$1,
  INDIRECT("input_provisions[concept/supplier]"), 'P&amp;G-Inc'!$C41
)*(1/K71)</f>
        <v>0</v>
      </c>
      <c r="L41" s="176">
        <f ca="1">SUMIFS(
  INDIRECT("input_provisions[import]"),
  INDIRECT("input_provisions[yyyymm]"), 'P&amp;G-Inc'!L$1,
  INDIRECT("input_provisions[concept/supplier]"), 'P&amp;G-Inc'!$C41
)*(1/L71)</f>
        <v>0</v>
      </c>
      <c r="M41" s="176">
        <f ca="1">SUMIFS(
  INDIRECT("input_provisions[import]"),
  INDIRECT("input_provisions[yyyymm]"), 'P&amp;G-Inc'!M$1,
  INDIRECT("input_provisions[concept/supplier]"), 'P&amp;G-Inc'!$C41
)*(1/M71)</f>
        <v>0</v>
      </c>
      <c r="N41" s="176">
        <f ca="1">SUMIFS(
  INDIRECT("input_provisions[import]"),
  INDIRECT("input_provisions[yyyymm]"), 'P&amp;G-Inc'!N$1,
  INDIRECT("input_provisions[concept/supplier]"), 'P&amp;G-Inc'!$C41
)*(1/N71)</f>
        <v>0</v>
      </c>
      <c r="O41" s="176">
        <f ca="1">SUMIFS(
  INDIRECT("input_provisions[import]"),
  INDIRECT("input_provisions[yyyymm]"), 'P&amp;G-Inc'!O$1,
  INDIRECT("input_provisions[concept/supplier]"), 'P&amp;G-Inc'!$C41
)*(1/O71)</f>
        <v>0</v>
      </c>
      <c r="P41" s="176">
        <f ca="1">SUMIFS(
  INDIRECT("input_provisions[import]"),
  INDIRECT("input_provisions[yyyymm]"), 'P&amp;G-Inc'!P$1,
  INDIRECT("input_provisions[concept/supplier]"), 'P&amp;G-Inc'!$C41
)*(1/P71)</f>
        <v>0</v>
      </c>
      <c r="Q41" s="176">
        <f ca="1">SUMIFS(
  INDIRECT("input_provisions[import]"),
  INDIRECT("input_provisions[yyyymm]"), 'P&amp;G-Inc'!Q$1,
  INDIRECT("input_provisions[concept/supplier]"), 'P&amp;G-Inc'!$C41
)*(1/Q71)</f>
        <v>0</v>
      </c>
      <c r="R41" s="176">
        <f ca="1">SUMIFS(
  INDIRECT("input_provisions[import]"),
  INDIRECT("input_provisions[yyyymm]"), 'P&amp;G-Inc'!R$1,
  INDIRECT("input_provisions[concept/supplier]"), 'P&amp;G-Inc'!$C41
)*(1/R71)</f>
        <v>0</v>
      </c>
      <c r="S41" s="176">
        <f ca="1">SUMIFS(
  INDIRECT("input_provisions[import]"),
  INDIRECT("input_provisions[yyyymm]"), 'P&amp;G-Inc'!S$1,
  INDIRECT("input_provisions[concept/supplier]"), 'P&amp;G-Inc'!$C41
)*(1/S71)</f>
        <v>0</v>
      </c>
      <c r="T41" s="168">
        <f t="shared" ca="1" si="18"/>
        <v>0</v>
      </c>
    </row>
    <row r="42" spans="3:20" hidden="1" outlineLevel="1" x14ac:dyDescent="0.3">
      <c r="C42" t="s">
        <v>101</v>
      </c>
      <c r="D42" s="113"/>
      <c r="E42" s="113"/>
      <c r="F42" s="422" t="s">
        <v>93</v>
      </c>
      <c r="G42" s="422"/>
      <c r="H42" s="176">
        <f ca="1">SUMIFS(
  INDIRECT("input_provisions[import]"),
  INDIRECT("input_provisions[yyyymm]"), 'P&amp;G-Inc'!H$1,
  INDIRECT("input_provisions[concept/supplier]"), 'P&amp;G-Inc'!$C42
)*(1/H71)</f>
        <v>0</v>
      </c>
      <c r="I42" s="176">
        <f ca="1">SUMIFS(
  INDIRECT("input_provisions[import]"),
  INDIRECT("input_provisions[yyyymm]"), 'P&amp;G-Inc'!I$1,
  INDIRECT("input_provisions[concept/supplier]"), 'P&amp;G-Inc'!$C42
)*(1/I71)</f>
        <v>0</v>
      </c>
      <c r="J42" s="176">
        <f ca="1">SUMIFS(
  INDIRECT("input_provisions[import]"),
  INDIRECT("input_provisions[yyyymm]"), 'P&amp;G-Inc'!J$1,
  INDIRECT("input_provisions[concept/supplier]"), 'P&amp;G-Inc'!$C42
)*(1/J71)</f>
        <v>0</v>
      </c>
      <c r="K42" s="176">
        <f ca="1">SUMIFS(
  INDIRECT("input_provisions[import]"),
  INDIRECT("input_provisions[yyyymm]"), 'P&amp;G-Inc'!K$1,
  INDIRECT("input_provisions[concept/supplier]"), 'P&amp;G-Inc'!$C42
)*(1/K71)</f>
        <v>0</v>
      </c>
      <c r="L42" s="176">
        <f ca="1">SUMIFS(
  INDIRECT("input_provisions[import]"),
  INDIRECT("input_provisions[yyyymm]"), 'P&amp;G-Inc'!L$1,
  INDIRECT("input_provisions[concept/supplier]"), 'P&amp;G-Inc'!$C42
)*(1/L71)</f>
        <v>0</v>
      </c>
      <c r="M42" s="176">
        <f ca="1">SUMIFS(
  INDIRECT("input_provisions[import]"),
  INDIRECT("input_provisions[yyyymm]"), 'P&amp;G-Inc'!M$1,
  INDIRECT("input_provisions[concept/supplier]"), 'P&amp;G-Inc'!$C42
)*(1/M71)</f>
        <v>0</v>
      </c>
      <c r="N42" s="176">
        <f ca="1">SUMIFS(
  INDIRECT("input_provisions[import]"),
  INDIRECT("input_provisions[yyyymm]"), 'P&amp;G-Inc'!N$1,
  INDIRECT("input_provisions[concept/supplier]"), 'P&amp;G-Inc'!$C42
)*(1/N71)</f>
        <v>0</v>
      </c>
      <c r="O42" s="176">
        <f ca="1">SUMIFS(
  INDIRECT("input_provisions[import]"),
  INDIRECT("input_provisions[yyyymm]"), 'P&amp;G-Inc'!O$1,
  INDIRECT("input_provisions[concept/supplier]"), 'P&amp;G-Inc'!$C42
)*(1/O71)</f>
        <v>0</v>
      </c>
      <c r="P42" s="176">
        <f ca="1">SUMIFS(
  INDIRECT("input_provisions[import]"),
  INDIRECT("input_provisions[yyyymm]"), 'P&amp;G-Inc'!P$1,
  INDIRECT("input_provisions[concept/supplier]"), 'P&amp;G-Inc'!$C42
)*(1/P71)</f>
        <v>0</v>
      </c>
      <c r="Q42" s="176">
        <f ca="1">SUMIFS(
  INDIRECT("input_provisions[import]"),
  INDIRECT("input_provisions[yyyymm]"), 'P&amp;G-Inc'!Q$1,
  INDIRECT("input_provisions[concept/supplier]"), 'P&amp;G-Inc'!$C42
)*(1/Q71)</f>
        <v>0</v>
      </c>
      <c r="R42" s="176">
        <f ca="1">SUMIFS(
  INDIRECT("input_provisions[import]"),
  INDIRECT("input_provisions[yyyymm]"), 'P&amp;G-Inc'!R$1,
  INDIRECT("input_provisions[concept/supplier]"), 'P&amp;G-Inc'!$C42
)*(1/R71)</f>
        <v>0</v>
      </c>
      <c r="S42" s="176">
        <f ca="1">SUMIFS(
  INDIRECT("input_provisions[import]"),
  INDIRECT("input_provisions[yyyymm]"), 'P&amp;G-Inc'!S$1,
  INDIRECT("input_provisions[concept/supplier]"), 'P&amp;G-Inc'!$C42
)*(1/S71)</f>
        <v>0</v>
      </c>
      <c r="T42" s="168">
        <f t="shared" ca="1" si="18"/>
        <v>0</v>
      </c>
    </row>
    <row r="43" spans="3:20" hidden="1" outlineLevel="1" x14ac:dyDescent="0.3"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68"/>
    </row>
    <row r="44" spans="3:20" collapsed="1" x14ac:dyDescent="0.3">
      <c r="D44" s="417" t="s">
        <v>102</v>
      </c>
      <c r="E44" s="417"/>
      <c r="F44" s="417"/>
      <c r="G44" s="417"/>
      <c r="H44" s="167">
        <f ca="1">+H45</f>
        <v>3037.4927835051553</v>
      </c>
      <c r="I44" s="167">
        <f t="shared" ref="I44:S44" ca="1" si="21">+I45</f>
        <v>3107.4333333333338</v>
      </c>
      <c r="J44" s="167">
        <f t="shared" ca="1" si="21"/>
        <v>0</v>
      </c>
      <c r="K44" s="167">
        <f t="shared" ca="1" si="21"/>
        <v>0</v>
      </c>
      <c r="L44" s="167">
        <f t="shared" ca="1" si="21"/>
        <v>0</v>
      </c>
      <c r="M44" s="167">
        <f t="shared" ca="1" si="21"/>
        <v>0</v>
      </c>
      <c r="N44" s="167">
        <f t="shared" ca="1" si="21"/>
        <v>0</v>
      </c>
      <c r="O44" s="167">
        <f t="shared" ca="1" si="21"/>
        <v>0</v>
      </c>
      <c r="P44" s="167">
        <f t="shared" ca="1" si="21"/>
        <v>0</v>
      </c>
      <c r="Q44" s="167">
        <f t="shared" ca="1" si="21"/>
        <v>0</v>
      </c>
      <c r="R44" s="167">
        <f t="shared" ca="1" si="21"/>
        <v>0</v>
      </c>
      <c r="S44" s="167">
        <f t="shared" ca="1" si="21"/>
        <v>0</v>
      </c>
      <c r="T44" s="161">
        <f ca="1">SUM(H44:S44)</f>
        <v>6144.9261168384892</v>
      </c>
    </row>
    <row r="45" spans="3:20" hidden="1" outlineLevel="1" x14ac:dyDescent="0.3">
      <c r="D45" s="120"/>
      <c r="E45" s="120"/>
      <c r="F45" s="404" t="s">
        <v>63</v>
      </c>
      <c r="G45" s="421"/>
      <c r="H45" s="178">
        <f ca="1">+'P&amp;G-SL'!I110*(1/H71)</f>
        <v>3037.4927835051553</v>
      </c>
      <c r="I45" s="178">
        <f ca="1">+'P&amp;G-SL'!J110*(1/I71)</f>
        <v>3107.4333333333338</v>
      </c>
      <c r="J45" s="178">
        <f ca="1">+'P&amp;G-SL'!K110*(1/J71)</f>
        <v>0</v>
      </c>
      <c r="K45" s="178">
        <f ca="1">+'P&amp;G-SL'!L110*(1/K71)</f>
        <v>0</v>
      </c>
      <c r="L45" s="178">
        <f ca="1">+'P&amp;G-SL'!M110*(1/L71)</f>
        <v>0</v>
      </c>
      <c r="M45" s="178">
        <f ca="1">+'P&amp;G-SL'!N110*(1/M71)</f>
        <v>0</v>
      </c>
      <c r="N45" s="178">
        <f ca="1">+'P&amp;G-SL'!O110*(1/N71)</f>
        <v>0</v>
      </c>
      <c r="O45" s="178">
        <f ca="1">+'P&amp;G-SL'!P110*(1/O71)</f>
        <v>0</v>
      </c>
      <c r="P45" s="178">
        <f ca="1">+'P&amp;G-SL'!Q110*(1/P71)</f>
        <v>0</v>
      </c>
      <c r="Q45" s="178">
        <f ca="1">+'P&amp;G-SL'!R110*(1/Q71)</f>
        <v>0</v>
      </c>
      <c r="R45" s="178">
        <f ca="1">+'P&amp;G-SL'!S110*(1/R71)</f>
        <v>0</v>
      </c>
      <c r="S45" s="178">
        <f ca="1">+'P&amp;G-SL'!T110*(1/S71)</f>
        <v>0</v>
      </c>
      <c r="T45" s="161">
        <f ca="1">SUM(H45:S45)</f>
        <v>6144.9261168384892</v>
      </c>
    </row>
    <row r="46" spans="3:20" hidden="1" outlineLevel="1" x14ac:dyDescent="0.3">
      <c r="D46" s="115"/>
      <c r="E46" s="115"/>
      <c r="F46" s="115"/>
      <c r="G46" s="117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1"/>
    </row>
    <row r="47" spans="3:20" collapsed="1" x14ac:dyDescent="0.3">
      <c r="D47" s="417" t="s">
        <v>109</v>
      </c>
      <c r="E47" s="417"/>
      <c r="F47" s="417"/>
      <c r="G47" s="417"/>
      <c r="H47" s="167">
        <f ca="1">+H48+H51+H54</f>
        <v>1178.53</v>
      </c>
      <c r="I47" s="167">
        <f t="shared" ref="I47:S47" ca="1" si="22">+I48+I51+I54</f>
        <v>1303.7</v>
      </c>
      <c r="J47" s="167">
        <f t="shared" ca="1" si="22"/>
        <v>0</v>
      </c>
      <c r="K47" s="167">
        <f t="shared" ca="1" si="22"/>
        <v>0</v>
      </c>
      <c r="L47" s="167">
        <f t="shared" ca="1" si="22"/>
        <v>0</v>
      </c>
      <c r="M47" s="167">
        <f t="shared" ca="1" si="22"/>
        <v>0</v>
      </c>
      <c r="N47" s="167">
        <f ca="1">+N48+N51+N54</f>
        <v>0</v>
      </c>
      <c r="O47" s="167">
        <f t="shared" ca="1" si="22"/>
        <v>0</v>
      </c>
      <c r="P47" s="167">
        <f t="shared" ca="1" si="22"/>
        <v>0</v>
      </c>
      <c r="Q47" s="167">
        <f t="shared" ca="1" si="22"/>
        <v>0</v>
      </c>
      <c r="R47" s="167">
        <f t="shared" ca="1" si="22"/>
        <v>0</v>
      </c>
      <c r="S47" s="167">
        <f t="shared" ca="1" si="22"/>
        <v>0</v>
      </c>
      <c r="T47" s="161">
        <f t="shared" ref="T47:T65" ca="1" si="23">SUM(H47:S47)</f>
        <v>2482.23</v>
      </c>
    </row>
    <row r="48" spans="3:20" outlineLevel="1" x14ac:dyDescent="0.3">
      <c r="D48" s="120"/>
      <c r="E48" s="120"/>
      <c r="F48" s="418" t="s">
        <v>110</v>
      </c>
      <c r="G48" s="418"/>
      <c r="H48" s="167">
        <f ca="1">SUM(H49:H50)</f>
        <v>1150</v>
      </c>
      <c r="I48" s="167">
        <f t="shared" ref="I48:S48" ca="1" si="24">SUM(I49:I50)</f>
        <v>1271.9000000000001</v>
      </c>
      <c r="J48" s="167">
        <f t="shared" ca="1" si="24"/>
        <v>0</v>
      </c>
      <c r="K48" s="167">
        <f t="shared" ca="1" si="24"/>
        <v>0</v>
      </c>
      <c r="L48" s="167">
        <f t="shared" ca="1" si="24"/>
        <v>0</v>
      </c>
      <c r="M48" s="167">
        <f t="shared" ca="1" si="24"/>
        <v>0</v>
      </c>
      <c r="N48" s="167">
        <f t="shared" ca="1" si="24"/>
        <v>0</v>
      </c>
      <c r="O48" s="167">
        <f t="shared" ca="1" si="24"/>
        <v>0</v>
      </c>
      <c r="P48" s="167">
        <f t="shared" ca="1" si="24"/>
        <v>0</v>
      </c>
      <c r="Q48" s="167">
        <f t="shared" ca="1" si="24"/>
        <v>0</v>
      </c>
      <c r="R48" s="167">
        <f t="shared" ca="1" si="24"/>
        <v>0</v>
      </c>
      <c r="S48" s="167">
        <f t="shared" ca="1" si="24"/>
        <v>0</v>
      </c>
      <c r="T48" s="161">
        <f t="shared" ca="1" si="23"/>
        <v>2421.9</v>
      </c>
    </row>
    <row r="49" spans="3:20" outlineLevel="1" x14ac:dyDescent="0.3">
      <c r="C49" t="s">
        <v>230</v>
      </c>
      <c r="D49" s="115"/>
      <c r="E49" s="115"/>
      <c r="F49" s="115"/>
      <c r="G49" s="115" t="s">
        <v>231</v>
      </c>
      <c r="H49" s="164">
        <f ca="1">SUMIFS(
  INDIRECT("input_invoice[net]"),
  INDIRECT("input_invoice[yyyymm]"), 'P&amp;G-Inc'!H$1,
  INDIRECT("input_invoice[concept/supplier]"), 'P&amp;G-Inc'!$C49
)</f>
        <v>1150</v>
      </c>
      <c r="I49" s="164">
        <f ca="1">SUMIFS(
  INDIRECT("input_invoice[net]"),
  INDIRECT("input_invoice[yyyymm]"), 'P&amp;G-Inc'!I$1,
  INDIRECT("input_invoice[concept/supplier]"), 'P&amp;G-Inc'!$C49
)</f>
        <v>1150</v>
      </c>
      <c r="J49" s="164">
        <f ca="1">SUMIFS(
  INDIRECT("input_invoice[net]"),
  INDIRECT("input_invoice[yyyymm]"), 'P&amp;G-Inc'!J$1,
  INDIRECT("input_invoice[concept/supplier]"), 'P&amp;G-Inc'!$C49
)</f>
        <v>0</v>
      </c>
      <c r="K49" s="164">
        <f ca="1">SUMIFS(
  INDIRECT("input_invoice[net]"),
  INDIRECT("input_invoice[yyyymm]"), 'P&amp;G-Inc'!K$1,
  INDIRECT("input_invoice[concept/supplier]"), 'P&amp;G-Inc'!$C49
)</f>
        <v>0</v>
      </c>
      <c r="L49" s="164">
        <f ca="1">SUMIFS(
  INDIRECT("input_invoice[net]"),
  INDIRECT("input_invoice[yyyymm]"), 'P&amp;G-Inc'!L$1,
  INDIRECT("input_invoice[concept/supplier]"), 'P&amp;G-Inc'!$C49
)</f>
        <v>0</v>
      </c>
      <c r="M49" s="164">
        <f ca="1">SUMIFS(
  INDIRECT("input_invoice[net]"),
  INDIRECT("input_invoice[yyyymm]"), 'P&amp;G-Inc'!M$1,
  INDIRECT("input_invoice[concept/supplier]"), 'P&amp;G-Inc'!$C49
)</f>
        <v>0</v>
      </c>
      <c r="N49" s="164">
        <f ca="1">SUMIFS(
  INDIRECT("input_invoice[net]"),
  INDIRECT("input_invoice[yyyymm]"), 'P&amp;G-Inc'!N$1,
  INDIRECT("input_invoice[concept/supplier]"), 'P&amp;G-Inc'!$C49
)</f>
        <v>0</v>
      </c>
      <c r="O49" s="164">
        <f ca="1">SUMIFS(
  INDIRECT("input_invoice[net]"),
  INDIRECT("input_invoice[yyyymm]"), 'P&amp;G-Inc'!O$1,
  INDIRECT("input_invoice[concept/supplier]"), 'P&amp;G-Inc'!$C49
)</f>
        <v>0</v>
      </c>
      <c r="P49" s="164">
        <f ca="1">SUMIFS(
  INDIRECT("input_invoice[net]"),
  INDIRECT("input_invoice[yyyymm]"), 'P&amp;G-Inc'!P$1,
  INDIRECT("input_invoice[concept/supplier]"), 'P&amp;G-Inc'!$C49
)</f>
        <v>0</v>
      </c>
      <c r="Q49" s="164">
        <f ca="1">SUMIFS(
  INDIRECT("input_invoice[net]"),
  INDIRECT("input_invoice[yyyymm]"), 'P&amp;G-Inc'!Q$1,
  INDIRECT("input_invoice[concept/supplier]"), 'P&amp;G-Inc'!$C49
)</f>
        <v>0</v>
      </c>
      <c r="R49" s="164">
        <f ca="1">SUMIFS(
  INDIRECT("input_invoice[net]"),
  INDIRECT("input_invoice[yyyymm]"), 'P&amp;G-Inc'!R$1,
  INDIRECT("input_invoice[concept/supplier]"), 'P&amp;G-Inc'!$C49
)</f>
        <v>0</v>
      </c>
      <c r="S49" s="164">
        <f ca="1">SUMIFS(
  INDIRECT("input_invoice[net]"),
  INDIRECT("input_invoice[yyyymm]"), 'P&amp;G-Inc'!S$1,
  INDIRECT("input_invoice[concept/supplier]"), 'P&amp;G-Inc'!$C49
)</f>
        <v>0</v>
      </c>
      <c r="T49" s="161">
        <f t="shared" ca="1" si="23"/>
        <v>2300</v>
      </c>
    </row>
    <row r="50" spans="3:20" outlineLevel="1" x14ac:dyDescent="0.3">
      <c r="C50" t="s">
        <v>232</v>
      </c>
      <c r="D50" s="115"/>
      <c r="E50" s="115"/>
      <c r="F50" s="115"/>
      <c r="G50" s="115" t="s">
        <v>120</v>
      </c>
      <c r="H50" s="164">
        <f ca="1">SUMIFS(
  INDIRECT("input_invoice[net]"),
  INDIRECT("input_invoice[yyyymm]"), 'P&amp;G-Inc'!H$1,
  INDIRECT("input_invoice[concept/supplier]"), 'P&amp;G-Inc'!$C50
)</f>
        <v>0</v>
      </c>
      <c r="I50" s="164">
        <f ca="1">SUMIFS(
  INDIRECT("input_invoice[net]"),
  INDIRECT("input_invoice[yyyymm]"), 'P&amp;G-Inc'!I$1,
  INDIRECT("input_invoice[concept/supplier]"), 'P&amp;G-Inc'!$C50
)</f>
        <v>121.9</v>
      </c>
      <c r="J50" s="164">
        <f ca="1">SUMIFS(
  INDIRECT("input_invoice[net]"),
  INDIRECT("input_invoice[yyyymm]"), 'P&amp;G-Inc'!J$1,
  INDIRECT("input_invoice[concept/supplier]"), 'P&amp;G-Inc'!$C50
)</f>
        <v>0</v>
      </c>
      <c r="K50" s="164">
        <f ca="1">SUMIFS(
  INDIRECT("input_invoice[net]"),
  INDIRECT("input_invoice[yyyymm]"), 'P&amp;G-Inc'!K$1,
  INDIRECT("input_invoice[concept/supplier]"), 'P&amp;G-Inc'!$C50
)</f>
        <v>0</v>
      </c>
      <c r="L50" s="164">
        <f ca="1">SUMIFS(
  INDIRECT("input_invoice[net]"),
  INDIRECT("input_invoice[yyyymm]"), 'P&amp;G-Inc'!L$1,
  INDIRECT("input_invoice[concept/supplier]"), 'P&amp;G-Inc'!$C50
)</f>
        <v>0</v>
      </c>
      <c r="M50" s="164">
        <f ca="1">SUMIFS(
  INDIRECT("input_invoice[net]"),
  INDIRECT("input_invoice[yyyymm]"), 'P&amp;G-Inc'!M$1,
  INDIRECT("input_invoice[concept/supplier]"), 'P&amp;G-Inc'!$C50
)</f>
        <v>0</v>
      </c>
      <c r="N50" s="164">
        <f ca="1">SUMIFS(
  INDIRECT("input_invoice[net]"),
  INDIRECT("input_invoice[yyyymm]"), 'P&amp;G-Inc'!N$1,
  INDIRECT("input_invoice[concept/supplier]"), 'P&amp;G-Inc'!$C50
)</f>
        <v>0</v>
      </c>
      <c r="O50" s="164">
        <f ca="1">SUMIFS(
  INDIRECT("input_invoice[net]"),
  INDIRECT("input_invoice[yyyymm]"), 'P&amp;G-Inc'!O$1,
  INDIRECT("input_invoice[concept/supplier]"), 'P&amp;G-Inc'!$C50
)</f>
        <v>0</v>
      </c>
      <c r="P50" s="164">
        <f ca="1">SUMIFS(
  INDIRECT("input_invoice[net]"),
  INDIRECT("input_invoice[yyyymm]"), 'P&amp;G-Inc'!P$1,
  INDIRECT("input_invoice[concept/supplier]"), 'P&amp;G-Inc'!$C50
)</f>
        <v>0</v>
      </c>
      <c r="Q50" s="164">
        <f ca="1">SUMIFS(
  INDIRECT("input_invoice[net]"),
  INDIRECT("input_invoice[yyyymm]"), 'P&amp;G-Inc'!Q$1,
  INDIRECT("input_invoice[concept/supplier]"), 'P&amp;G-Inc'!$C50
)</f>
        <v>0</v>
      </c>
      <c r="R50" s="164">
        <f ca="1">SUMIFS(
  INDIRECT("input_invoice[net]"),
  INDIRECT("input_invoice[yyyymm]"), 'P&amp;G-Inc'!R$1,
  INDIRECT("input_invoice[concept/supplier]"), 'P&amp;G-Inc'!$C50
)</f>
        <v>0</v>
      </c>
      <c r="S50" s="164">
        <f ca="1">SUMIFS(
  INDIRECT("input_invoice[net]"),
  INDIRECT("input_invoice[yyyymm]"), 'P&amp;G-Inc'!S$1,
  INDIRECT("input_invoice[concept/supplier]"), 'P&amp;G-Inc'!$C50
)</f>
        <v>0</v>
      </c>
      <c r="T50" s="161">
        <f t="shared" ca="1" si="23"/>
        <v>121.9</v>
      </c>
    </row>
    <row r="51" spans="3:20" outlineLevel="1" x14ac:dyDescent="0.3">
      <c r="D51" s="120"/>
      <c r="E51" s="120"/>
      <c r="F51" s="418" t="s">
        <v>121</v>
      </c>
      <c r="G51" s="418"/>
      <c r="H51" s="167">
        <f ca="1">SUM(H52:H53)</f>
        <v>0</v>
      </c>
      <c r="I51" s="167">
        <f t="shared" ref="I51:S51" ca="1" si="25">SUM(I52:I53)</f>
        <v>0</v>
      </c>
      <c r="J51" s="167">
        <f t="shared" ca="1" si="25"/>
        <v>0</v>
      </c>
      <c r="K51" s="167">
        <f t="shared" ca="1" si="25"/>
        <v>0</v>
      </c>
      <c r="L51" s="167">
        <f t="shared" ca="1" si="25"/>
        <v>0</v>
      </c>
      <c r="M51" s="167">
        <f t="shared" ca="1" si="25"/>
        <v>0</v>
      </c>
      <c r="N51" s="167">
        <f t="shared" ca="1" si="25"/>
        <v>0</v>
      </c>
      <c r="O51" s="167">
        <f t="shared" ca="1" si="25"/>
        <v>0</v>
      </c>
      <c r="P51" s="167">
        <f t="shared" ca="1" si="25"/>
        <v>0</v>
      </c>
      <c r="Q51" s="167">
        <f t="shared" ca="1" si="25"/>
        <v>0</v>
      </c>
      <c r="R51" s="167">
        <f t="shared" ca="1" si="25"/>
        <v>0</v>
      </c>
      <c r="S51" s="167">
        <f t="shared" ca="1" si="25"/>
        <v>0</v>
      </c>
      <c r="T51" s="161">
        <f t="shared" ca="1" si="23"/>
        <v>0</v>
      </c>
    </row>
    <row r="52" spans="3:20" outlineLevel="1" x14ac:dyDescent="0.3">
      <c r="C52" t="s">
        <v>233</v>
      </c>
      <c r="D52" s="115"/>
      <c r="E52" s="115"/>
      <c r="F52" s="115"/>
      <c r="G52" s="115" t="s">
        <v>9</v>
      </c>
      <c r="H52" s="176">
        <f t="shared" ref="H52:S53" ca="1" si="26">SUMIFS(
  INDIRECT("input_invoice[net]"),
  INDIRECT("input_invoice[yyyymm]"), H$1,
  INDIRECT("input_invoice[concept/supplier]"),$C52)</f>
        <v>0</v>
      </c>
      <c r="I52" s="176">
        <f t="shared" ca="1" si="26"/>
        <v>0</v>
      </c>
      <c r="J52" s="176">
        <f t="shared" ca="1" si="26"/>
        <v>0</v>
      </c>
      <c r="K52" s="176">
        <f t="shared" ca="1" si="26"/>
        <v>0</v>
      </c>
      <c r="L52" s="176">
        <f t="shared" ca="1" si="26"/>
        <v>0</v>
      </c>
      <c r="M52" s="176">
        <f t="shared" ca="1" si="26"/>
        <v>0</v>
      </c>
      <c r="N52" s="176">
        <f t="shared" ca="1" si="26"/>
        <v>0</v>
      </c>
      <c r="O52" s="176">
        <f t="shared" ca="1" si="26"/>
        <v>0</v>
      </c>
      <c r="P52" s="176">
        <f t="shared" ca="1" si="26"/>
        <v>0</v>
      </c>
      <c r="Q52" s="176">
        <f t="shared" ca="1" si="26"/>
        <v>0</v>
      </c>
      <c r="R52" s="176">
        <f t="shared" ca="1" si="26"/>
        <v>0</v>
      </c>
      <c r="S52" s="176">
        <f t="shared" ca="1" si="26"/>
        <v>0</v>
      </c>
      <c r="T52" s="161">
        <f t="shared" ca="1" si="23"/>
        <v>0</v>
      </c>
    </row>
    <row r="53" spans="3:20" outlineLevel="1" x14ac:dyDescent="0.3">
      <c r="C53" t="s">
        <v>234</v>
      </c>
      <c r="D53" s="115"/>
      <c r="E53" s="115"/>
      <c r="F53" s="115"/>
      <c r="G53" s="9" t="s">
        <v>500</v>
      </c>
      <c r="H53" s="176">
        <f t="shared" ca="1" si="26"/>
        <v>0</v>
      </c>
      <c r="I53" s="176">
        <f t="shared" ca="1" si="26"/>
        <v>0</v>
      </c>
      <c r="J53" s="176">
        <f t="shared" ca="1" si="26"/>
        <v>0</v>
      </c>
      <c r="K53" s="176">
        <f t="shared" ca="1" si="26"/>
        <v>0</v>
      </c>
      <c r="L53" s="176">
        <f t="shared" ca="1" si="26"/>
        <v>0</v>
      </c>
      <c r="M53" s="176">
        <f t="shared" ca="1" si="26"/>
        <v>0</v>
      </c>
      <c r="N53" s="176">
        <f t="shared" ca="1" si="26"/>
        <v>0</v>
      </c>
      <c r="O53" s="176">
        <f t="shared" ca="1" si="26"/>
        <v>0</v>
      </c>
      <c r="P53" s="176">
        <f t="shared" ca="1" si="26"/>
        <v>0</v>
      </c>
      <c r="Q53" s="176">
        <f t="shared" ca="1" si="26"/>
        <v>0</v>
      </c>
      <c r="R53" s="176">
        <f t="shared" ca="1" si="26"/>
        <v>0</v>
      </c>
      <c r="S53" s="176">
        <f t="shared" ca="1" si="26"/>
        <v>0</v>
      </c>
      <c r="T53" s="161">
        <f t="shared" ref="T53" ca="1" si="27">SUM(H53:S53)</f>
        <v>0</v>
      </c>
    </row>
    <row r="54" spans="3:20" outlineLevel="1" x14ac:dyDescent="0.3">
      <c r="D54" s="115"/>
      <c r="E54" s="115"/>
      <c r="F54" s="435" t="s">
        <v>235</v>
      </c>
      <c r="G54" s="436"/>
      <c r="H54" s="178">
        <f ca="1">+'P&amp;G-SL'!I143*(1/H71)</f>
        <v>28.53</v>
      </c>
      <c r="I54" s="178">
        <f ca="1">+'P&amp;G-SL'!J143*(1/I71)</f>
        <v>31.8</v>
      </c>
      <c r="J54" s="178">
        <f ca="1">+'P&amp;G-SL'!K143*(1/J71)</f>
        <v>0</v>
      </c>
      <c r="K54" s="178">
        <f ca="1">+'P&amp;G-SL'!L143*(1/K71)</f>
        <v>0</v>
      </c>
      <c r="L54" s="178">
        <f ca="1">+'P&amp;G-SL'!M143*(1/L71)</f>
        <v>0</v>
      </c>
      <c r="M54" s="178">
        <f ca="1">+'P&amp;G-SL'!N143*(1/M71)</f>
        <v>0</v>
      </c>
      <c r="N54" s="178">
        <f ca="1">+'P&amp;G-SL'!O143*(1/N71)</f>
        <v>0</v>
      </c>
      <c r="O54" s="178">
        <f ca="1">+'P&amp;G-SL'!P143*(1/O71)</f>
        <v>0</v>
      </c>
      <c r="P54" s="178">
        <f ca="1">+'P&amp;G-SL'!Q143*(1/P71)</f>
        <v>0</v>
      </c>
      <c r="Q54" s="178">
        <f ca="1">+'P&amp;G-SL'!R143*(1/Q71)</f>
        <v>0</v>
      </c>
      <c r="R54" s="178">
        <f ca="1">+'P&amp;G-SL'!S143*(1/R71)</f>
        <v>0</v>
      </c>
      <c r="S54" s="178">
        <f ca="1">+'P&amp;G-SL'!T143*(1/S71)</f>
        <v>0</v>
      </c>
      <c r="T54" s="161">
        <f t="shared" ca="1" si="23"/>
        <v>60.33</v>
      </c>
    </row>
    <row r="55" spans="3:20" x14ac:dyDescent="0.3">
      <c r="D55" s="115"/>
      <c r="E55" s="115"/>
      <c r="F55" s="115"/>
      <c r="G55" s="115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1"/>
    </row>
    <row r="56" spans="3:20" x14ac:dyDescent="0.3">
      <c r="D56" s="122"/>
      <c r="E56" s="122"/>
      <c r="F56" s="122"/>
      <c r="G56" s="122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1"/>
    </row>
    <row r="57" spans="3:20" ht="15" customHeight="1" x14ac:dyDescent="0.3">
      <c r="D57" s="416" t="s">
        <v>172</v>
      </c>
      <c r="E57" s="416"/>
      <c r="F57" s="416"/>
      <c r="G57" s="416" t="s">
        <v>172</v>
      </c>
      <c r="H57" s="179" t="e">
        <f ca="1">+H35-H37</f>
        <v>#REF!</v>
      </c>
      <c r="I57" s="179" t="e">
        <f t="shared" ref="I57:S57" ca="1" si="28">+I35-I37</f>
        <v>#REF!</v>
      </c>
      <c r="J57" s="179" t="e">
        <f t="shared" ca="1" si="28"/>
        <v>#REF!</v>
      </c>
      <c r="K57" s="179" t="e">
        <f ca="1">+K35-K37</f>
        <v>#REF!</v>
      </c>
      <c r="L57" s="179" t="e">
        <f t="shared" ca="1" si="28"/>
        <v>#REF!</v>
      </c>
      <c r="M57" s="179" t="e">
        <f t="shared" ca="1" si="28"/>
        <v>#REF!</v>
      </c>
      <c r="N57" s="179" t="e">
        <f t="shared" ca="1" si="28"/>
        <v>#REF!</v>
      </c>
      <c r="O57" s="179" t="e">
        <f t="shared" ca="1" si="28"/>
        <v>#REF!</v>
      </c>
      <c r="P57" s="179" t="e">
        <f t="shared" ca="1" si="28"/>
        <v>#REF!</v>
      </c>
      <c r="Q57" s="179" t="e">
        <f t="shared" ca="1" si="28"/>
        <v>#REF!</v>
      </c>
      <c r="R57" s="179" t="e">
        <f t="shared" ca="1" si="28"/>
        <v>#REF!</v>
      </c>
      <c r="S57" s="179" t="e">
        <f t="shared" ca="1" si="28"/>
        <v>#REF!</v>
      </c>
      <c r="T57" s="161" t="e">
        <f t="shared" ca="1" si="23"/>
        <v>#REF!</v>
      </c>
    </row>
    <row r="58" spans="3:20" ht="15" customHeight="1" x14ac:dyDescent="0.3">
      <c r="C58" t="s">
        <v>236</v>
      </c>
      <c r="D58" s="113"/>
      <c r="E58" s="113"/>
      <c r="F58" s="113"/>
      <c r="G58" s="113" t="s">
        <v>214</v>
      </c>
      <c r="H58" s="176">
        <f ca="1">SUMIFS(
  INDIRECT("input_invoice[net]"),
  INDIRECT("input_invoice[yyyymm]"), 'P&amp;G-Inc'!H$1,
  INDIRECT("input_invoice[concept/supplier]"), 'P&amp;G-Inc'!$C122
)</f>
        <v>0</v>
      </c>
      <c r="I58" s="176">
        <f ca="1">SUMIFS(
  INDIRECT("input_invoice[net]"),
  INDIRECT("input_invoice[yyyymm]"), 'P&amp;G-Inc'!I$1,
  INDIRECT("input_invoice[concept/supplier]"), 'P&amp;G-Inc'!$C122
)</f>
        <v>0</v>
      </c>
      <c r="J58" s="176">
        <f ca="1">SUMIFS(
  INDIRECT("input_invoice[net]"),
  INDIRECT("input_invoice[yyyymm]"), 'P&amp;G-Inc'!J$1,
  INDIRECT("input_invoice[concept/supplier]"), 'P&amp;G-Inc'!$C122
)</f>
        <v>0</v>
      </c>
      <c r="K58" s="176">
        <f ca="1">SUMIFS(
  INDIRECT("input_invoice[net]"),
  INDIRECT("input_invoice[yyyymm]"), 'P&amp;G-Inc'!K$1,
  INDIRECT("input_invoice[concept/supplier]"), 'P&amp;G-Inc'!$C122
)</f>
        <v>0</v>
      </c>
      <c r="L58" s="176">
        <f ca="1">SUMIFS(
  INDIRECT("input_invoice[net]"),
  INDIRECT("input_invoice[yyyymm]"), 'P&amp;G-Inc'!L$1,
  INDIRECT("input_invoice[concept/supplier]"), 'P&amp;G-Inc'!$C122
)</f>
        <v>0</v>
      </c>
      <c r="M58" s="176">
        <f ca="1">SUMIFS(
  INDIRECT("input_invoice[net]"),
  INDIRECT("input_invoice[yyyymm]"), 'P&amp;G-Inc'!M$1,
  INDIRECT("input_invoice[concept/supplier]"), 'P&amp;G-Inc'!$C122
)</f>
        <v>0</v>
      </c>
      <c r="N58" s="176">
        <f ca="1">SUMIFS(
  INDIRECT("input_invoice[net]"),
  INDIRECT("input_invoice[yyyymm]"), 'P&amp;G-Inc'!N$1,
  INDIRECT("input_invoice[concept/supplier]"), 'P&amp;G-Inc'!$C122
)</f>
        <v>0</v>
      </c>
      <c r="O58" s="176">
        <f ca="1">SUMIFS(
  INDIRECT("input_invoice[net]"),
  INDIRECT("input_invoice[yyyymm]"), 'P&amp;G-Inc'!O$1,
  INDIRECT("input_invoice[concept/supplier]"), 'P&amp;G-Inc'!$C122
)</f>
        <v>0</v>
      </c>
      <c r="P58" s="176">
        <f ca="1">SUMIFS(
  INDIRECT("input_invoice[net]"),
  INDIRECT("input_invoice[yyyymm]"), 'P&amp;G-Inc'!P$1,
  INDIRECT("input_invoice[concept/supplier]"), 'P&amp;G-Inc'!$C122
)</f>
        <v>0</v>
      </c>
      <c r="Q58" s="176">
        <f ca="1">SUMIFS(
  INDIRECT("input_invoice[net]"),
  INDIRECT("input_invoice[yyyymm]"), 'P&amp;G-Inc'!Q$1,
  INDIRECT("input_invoice[concept/supplier]"), 'P&amp;G-Inc'!$C122
)</f>
        <v>0</v>
      </c>
      <c r="R58" s="176">
        <f ca="1">SUMIFS(
  INDIRECT("input_invoice[net]"),
  INDIRECT("input_invoice[yyyymm]"), 'P&amp;G-Inc'!R$1,
  INDIRECT("input_invoice[concept/supplier]"), 'P&amp;G-Inc'!$C122
)</f>
        <v>0</v>
      </c>
      <c r="S58" s="176">
        <f ca="1">SUMIFS(
  INDIRECT("input_invoice[net]"),
  INDIRECT("input_invoice[yyyymm]"), 'P&amp;G-Inc'!S$1,
  INDIRECT("input_invoice[concept/supplier]"), 'P&amp;G-Inc'!$C122
)</f>
        <v>0</v>
      </c>
      <c r="T58" s="161">
        <f t="shared" ca="1" si="23"/>
        <v>0</v>
      </c>
    </row>
    <row r="59" spans="3:20" ht="15" customHeight="1" x14ac:dyDescent="0.3">
      <c r="C59" t="s">
        <v>237</v>
      </c>
      <c r="D59" s="113"/>
      <c r="E59" s="113"/>
      <c r="F59" s="113"/>
      <c r="G59" s="113" t="s">
        <v>216</v>
      </c>
      <c r="H59" s="176">
        <f ca="1">SUMIFS(
  INDIRECT("input_invoice[net]"),
  INDIRECT("input_invoice[yyyymm]"), 'P&amp;G-Inc'!H$1,
  INDIRECT("input_invoice[concept/supplier]"), 'P&amp;G-Inc'!$C123
)</f>
        <v>0</v>
      </c>
      <c r="I59" s="176">
        <f ca="1">SUMIFS(
  INDIRECT("input_invoice[net]"),
  INDIRECT("input_invoice[yyyymm]"), 'P&amp;G-Inc'!I$1,
  INDIRECT("input_invoice[concept/supplier]"), 'P&amp;G-Inc'!$C123
)</f>
        <v>0</v>
      </c>
      <c r="J59" s="176">
        <f ca="1">SUMIFS(
  INDIRECT("input_invoice[net]"),
  INDIRECT("input_invoice[yyyymm]"), 'P&amp;G-Inc'!J$1,
  INDIRECT("input_invoice[concept/supplier]"), 'P&amp;G-Inc'!$C123
)</f>
        <v>0</v>
      </c>
      <c r="K59" s="176">
        <f ca="1">SUMIFS(
  INDIRECT("input_invoice[net]"),
  INDIRECT("input_invoice[yyyymm]"), 'P&amp;G-Inc'!K$1,
  INDIRECT("input_invoice[concept/supplier]"), 'P&amp;G-Inc'!$C123
)</f>
        <v>0</v>
      </c>
      <c r="L59" s="176">
        <f ca="1">SUMIFS(
  INDIRECT("input_invoice[net]"),
  INDIRECT("input_invoice[yyyymm]"), 'P&amp;G-Inc'!L$1,
  INDIRECT("input_invoice[concept/supplier]"), 'P&amp;G-Inc'!$C123
)</f>
        <v>0</v>
      </c>
      <c r="M59" s="176">
        <f ca="1">SUMIFS(
  INDIRECT("input_invoice[net]"),
  INDIRECT("input_invoice[yyyymm]"), 'P&amp;G-Inc'!M$1,
  INDIRECT("input_invoice[concept/supplier]"), 'P&amp;G-Inc'!$C123
)</f>
        <v>0</v>
      </c>
      <c r="N59" s="176">
        <f ca="1">SUMIFS(
  INDIRECT("input_invoice[net]"),
  INDIRECT("input_invoice[yyyymm]"), 'P&amp;G-Inc'!N$1,
  INDIRECT("input_invoice[concept/supplier]"), 'P&amp;G-Inc'!$C123
)</f>
        <v>0</v>
      </c>
      <c r="O59" s="176">
        <f ca="1">SUMIFS(
  INDIRECT("input_invoice[net]"),
  INDIRECT("input_invoice[yyyymm]"), 'P&amp;G-Inc'!O$1,
  INDIRECT("input_invoice[concept/supplier]"), 'P&amp;G-Inc'!$C123
)</f>
        <v>0</v>
      </c>
      <c r="P59" s="176">
        <f ca="1">SUMIFS(
  INDIRECT("input_invoice[net]"),
  INDIRECT("input_invoice[yyyymm]"), 'P&amp;G-Inc'!P$1,
  INDIRECT("input_invoice[concept/supplier]"), 'P&amp;G-Inc'!$C123
)</f>
        <v>0</v>
      </c>
      <c r="Q59" s="176">
        <f ca="1">SUMIFS(
  INDIRECT("input_invoice[net]"),
  INDIRECT("input_invoice[yyyymm]"), 'P&amp;G-Inc'!Q$1,
  INDIRECT("input_invoice[concept/supplier]"), 'P&amp;G-Inc'!$C123
)</f>
        <v>0</v>
      </c>
      <c r="R59" s="176">
        <f ca="1">SUMIFS(
  INDIRECT("input_invoice[net]"),
  INDIRECT("input_invoice[yyyymm]"), 'P&amp;G-Inc'!R$1,
  INDIRECT("input_invoice[concept/supplier]"), 'P&amp;G-Inc'!$C123
)</f>
        <v>0</v>
      </c>
      <c r="S59" s="176">
        <f ca="1">SUMIFS(
  INDIRECT("input_invoice[net]"),
  INDIRECT("input_invoice[yyyymm]"), 'P&amp;G-Inc'!S$1,
  INDIRECT("input_invoice[concept/supplier]"), 'P&amp;G-Inc'!$C123
)</f>
        <v>0</v>
      </c>
      <c r="T59" s="161">
        <f t="shared" ca="1" si="23"/>
        <v>0</v>
      </c>
    </row>
    <row r="60" spans="3:20" x14ac:dyDescent="0.3">
      <c r="D60" s="122"/>
      <c r="E60" s="122"/>
      <c r="F60" s="122"/>
      <c r="G60" s="122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61"/>
    </row>
    <row r="61" spans="3:20" ht="15" customHeight="1" x14ac:dyDescent="0.3">
      <c r="D61" s="414" t="s">
        <v>175</v>
      </c>
      <c r="E61" s="414"/>
      <c r="F61" s="414"/>
      <c r="G61" s="415" t="s">
        <v>175</v>
      </c>
      <c r="H61" s="180" t="e">
        <f t="shared" ref="H61:S61" ca="1" si="29">+H57+H58-H59</f>
        <v>#REF!</v>
      </c>
      <c r="I61" s="180" t="e">
        <f t="shared" ca="1" si="29"/>
        <v>#REF!</v>
      </c>
      <c r="J61" s="180" t="e">
        <f t="shared" ca="1" si="29"/>
        <v>#REF!</v>
      </c>
      <c r="K61" s="180" t="e">
        <f ca="1">+K57+K58-K59</f>
        <v>#REF!</v>
      </c>
      <c r="L61" s="180" t="e">
        <f t="shared" ca="1" si="29"/>
        <v>#REF!</v>
      </c>
      <c r="M61" s="180" t="e">
        <f t="shared" ca="1" si="29"/>
        <v>#REF!</v>
      </c>
      <c r="N61" s="180" t="e">
        <f t="shared" ca="1" si="29"/>
        <v>#REF!</v>
      </c>
      <c r="O61" s="180" t="e">
        <f t="shared" ca="1" si="29"/>
        <v>#REF!</v>
      </c>
      <c r="P61" s="180" t="e">
        <f t="shared" ca="1" si="29"/>
        <v>#REF!</v>
      </c>
      <c r="Q61" s="180" t="e">
        <f t="shared" ca="1" si="29"/>
        <v>#REF!</v>
      </c>
      <c r="R61" s="180" t="e">
        <f t="shared" ca="1" si="29"/>
        <v>#REF!</v>
      </c>
      <c r="S61" s="180" t="e">
        <f t="shared" ca="1" si="29"/>
        <v>#REF!</v>
      </c>
      <c r="T61" s="161" t="e">
        <f ca="1">SUM(H61:S61)</f>
        <v>#REF!</v>
      </c>
    </row>
    <row r="62" spans="3:20" x14ac:dyDescent="0.3">
      <c r="D62" s="121"/>
      <c r="E62" s="121"/>
      <c r="F62" s="121"/>
      <c r="G62" s="121" t="s">
        <v>176</v>
      </c>
      <c r="H62" s="167"/>
      <c r="I62" s="167"/>
      <c r="J62" s="167"/>
      <c r="K62" s="167"/>
      <c r="L62" s="167">
        <v>549</v>
      </c>
      <c r="M62" s="167"/>
      <c r="N62" s="167"/>
      <c r="O62" s="167"/>
      <c r="P62" s="167"/>
      <c r="Q62" s="167"/>
      <c r="R62" s="167"/>
      <c r="S62" s="167"/>
      <c r="T62" s="161">
        <f t="shared" si="23"/>
        <v>549</v>
      </c>
    </row>
    <row r="63" spans="3:20" x14ac:dyDescent="0.3">
      <c r="D63" s="122"/>
      <c r="E63" s="122"/>
      <c r="F63" s="122"/>
      <c r="G63" s="122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1"/>
    </row>
    <row r="64" spans="3:20" ht="15" customHeight="1" x14ac:dyDescent="0.3">
      <c r="D64" s="414" t="s">
        <v>177</v>
      </c>
      <c r="E64" s="414"/>
      <c r="F64" s="414"/>
      <c r="G64" s="415" t="s">
        <v>177</v>
      </c>
      <c r="H64" s="180" t="e">
        <f t="shared" ref="H64:S64" ca="1" si="30">+H61-H62</f>
        <v>#REF!</v>
      </c>
      <c r="I64" s="180" t="e">
        <f t="shared" ca="1" si="30"/>
        <v>#REF!</v>
      </c>
      <c r="J64" s="180" t="e">
        <f t="shared" ca="1" si="30"/>
        <v>#REF!</v>
      </c>
      <c r="K64" s="180" t="e">
        <f t="shared" ca="1" si="30"/>
        <v>#REF!</v>
      </c>
      <c r="L64" s="180" t="e">
        <f ca="1">+L61-L62</f>
        <v>#REF!</v>
      </c>
      <c r="M64" s="180" t="e">
        <f t="shared" ca="1" si="30"/>
        <v>#REF!</v>
      </c>
      <c r="N64" s="180" t="e">
        <f t="shared" ca="1" si="30"/>
        <v>#REF!</v>
      </c>
      <c r="O64" s="180" t="e">
        <f t="shared" ca="1" si="30"/>
        <v>#REF!</v>
      </c>
      <c r="P64" s="180" t="e">
        <f t="shared" ca="1" si="30"/>
        <v>#REF!</v>
      </c>
      <c r="Q64" s="180" t="e">
        <f t="shared" ca="1" si="30"/>
        <v>#REF!</v>
      </c>
      <c r="R64" s="180" t="e">
        <f t="shared" ca="1" si="30"/>
        <v>#REF!</v>
      </c>
      <c r="S64" s="180" t="e">
        <f t="shared" ca="1" si="30"/>
        <v>#REF!</v>
      </c>
      <c r="T64" s="161" t="e">
        <f t="shared" ca="1" si="23"/>
        <v>#REF!</v>
      </c>
    </row>
    <row r="65" spans="4:20" x14ac:dyDescent="0.3">
      <c r="D65" s="122"/>
      <c r="E65" s="122"/>
      <c r="F65" s="122"/>
      <c r="G65" s="122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1">
        <f t="shared" si="23"/>
        <v>0</v>
      </c>
    </row>
    <row r="66" spans="4:20" x14ac:dyDescent="0.3">
      <c r="D66" s="122"/>
      <c r="E66" s="122"/>
      <c r="F66" s="122"/>
      <c r="G66" s="122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1"/>
    </row>
    <row r="67" spans="4:20" x14ac:dyDescent="0.3">
      <c r="D67" s="122"/>
      <c r="E67" s="122"/>
      <c r="F67" s="122"/>
      <c r="G67" s="122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1"/>
    </row>
    <row r="68" spans="4:20" x14ac:dyDescent="0.3">
      <c r="D68" s="122"/>
      <c r="E68" s="122"/>
      <c r="F68" s="122"/>
      <c r="G68" s="122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1"/>
    </row>
    <row r="69" spans="4:20" x14ac:dyDescent="0.3">
      <c r="D69" s="122"/>
      <c r="E69" s="122"/>
      <c r="F69" s="122"/>
      <c r="G69" s="122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1"/>
    </row>
    <row r="70" spans="4:20" x14ac:dyDescent="0.3">
      <c r="D70" s="122"/>
      <c r="E70" s="122"/>
      <c r="F70" s="122"/>
      <c r="G70" s="122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1"/>
    </row>
    <row r="71" spans="4:20" x14ac:dyDescent="0.3">
      <c r="D71" s="120"/>
      <c r="E71" s="120"/>
      <c r="F71" s="120"/>
      <c r="G71" s="11" t="s">
        <v>238</v>
      </c>
      <c r="H71" s="137">
        <f>+'input-divisas'!B7</f>
        <v>0.97</v>
      </c>
      <c r="I71" s="137">
        <f>+'input-divisas'!C7</f>
        <v>0.96</v>
      </c>
      <c r="J71" s="137">
        <f>+'input-divisas'!D7</f>
        <v>0.92</v>
      </c>
      <c r="K71" s="137">
        <f>+'input-divisas'!E7</f>
        <v>0.88</v>
      </c>
      <c r="L71" s="137">
        <f>+'input-divisas'!F7</f>
        <v>0.89</v>
      </c>
      <c r="M71" s="137">
        <f>+'input-divisas'!G7</f>
        <v>0.87</v>
      </c>
      <c r="N71" s="137">
        <f>+'input-divisas'!H7</f>
        <v>0.85</v>
      </c>
      <c r="O71" s="137">
        <f>+'input-divisas'!I7</f>
        <v>0.86</v>
      </c>
      <c r="P71" s="137">
        <f>+'input-divisas'!J7</f>
        <v>0.85</v>
      </c>
      <c r="Q71" s="184">
        <f>+'input-divisas'!K7</f>
        <v>0.85</v>
      </c>
      <c r="R71" s="184">
        <f>+'input-divisas'!L7</f>
        <v>0.85</v>
      </c>
      <c r="S71" s="184">
        <f>+'input-divisas'!M7</f>
        <v>0.85</v>
      </c>
      <c r="T71" s="131"/>
    </row>
    <row r="72" spans="4:20" x14ac:dyDescent="0.3">
      <c r="D72" s="122"/>
      <c r="E72" s="122"/>
      <c r="F72" s="122"/>
      <c r="G72" s="120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1"/>
    </row>
    <row r="74" spans="4:20" x14ac:dyDescent="0.3">
      <c r="G74" s="15" t="s">
        <v>1186</v>
      </c>
    </row>
  </sheetData>
  <mergeCells count="40">
    <mergeCell ref="D64:G64"/>
    <mergeCell ref="F39:G39"/>
    <mergeCell ref="F40:G40"/>
    <mergeCell ref="F41:G41"/>
    <mergeCell ref="F42:G42"/>
    <mergeCell ref="D44:G44"/>
    <mergeCell ref="F45:G45"/>
    <mergeCell ref="D47:G47"/>
    <mergeCell ref="F48:G48"/>
    <mergeCell ref="F51:G51"/>
    <mergeCell ref="D57:G57"/>
    <mergeCell ref="D61:G61"/>
    <mergeCell ref="F54:G54"/>
    <mergeCell ref="D38:G38"/>
    <mergeCell ref="F26:G26"/>
    <mergeCell ref="F27:G27"/>
    <mergeCell ref="F28:G28"/>
    <mergeCell ref="F29:G29"/>
    <mergeCell ref="D30:G30"/>
    <mergeCell ref="F31:G31"/>
    <mergeCell ref="D32:G32"/>
    <mergeCell ref="D33:G33"/>
    <mergeCell ref="D34:G34"/>
    <mergeCell ref="D35:G35"/>
    <mergeCell ref="D37:G37"/>
    <mergeCell ref="F25:G25"/>
    <mergeCell ref="D9:G9"/>
    <mergeCell ref="F11:G11"/>
    <mergeCell ref="D15:E15"/>
    <mergeCell ref="F16:G16"/>
    <mergeCell ref="F17:G17"/>
    <mergeCell ref="D20:G20"/>
    <mergeCell ref="F21:G21"/>
    <mergeCell ref="D23:G23"/>
    <mergeCell ref="F24:G24"/>
    <mergeCell ref="D2:G2"/>
    <mergeCell ref="D3:G3"/>
    <mergeCell ref="D4:G4"/>
    <mergeCell ref="E5:G5"/>
    <mergeCell ref="F7:G7"/>
  </mergeCells>
  <conditionalFormatting sqref="H4:S7">
    <cfRule type="cellIs" dxfId="4" priority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ADCB-B5E0-4EEE-9339-1EDEA6DE5EB5}">
  <sheetPr>
    <tabColor theme="1"/>
  </sheetPr>
  <dimension ref="A1:Y34"/>
  <sheetViews>
    <sheetView topLeftCell="A2" zoomScaleNormal="160" workbookViewId="0">
      <pane xSplit="4" ySplit="1" topLeftCell="E3" activePane="bottomRight" state="frozen"/>
      <selection pane="topRight"/>
      <selection pane="bottomLeft"/>
      <selection pane="bottomRight" activeCell="J9" sqref="J9"/>
    </sheetView>
  </sheetViews>
  <sheetFormatPr baseColWidth="10" defaultColWidth="11.44140625" defaultRowHeight="14.4" x14ac:dyDescent="0.3"/>
  <cols>
    <col min="1" max="1" width="5.33203125" style="15" customWidth="1"/>
    <col min="2" max="2" width="4.33203125" style="15" customWidth="1"/>
    <col min="3" max="3" width="8.33203125" style="15" customWidth="1"/>
    <col min="4" max="4" width="21.6640625" style="15" customWidth="1"/>
    <col min="5" max="5" width="12.33203125" style="125" bestFit="1" customWidth="1"/>
    <col min="6" max="11" width="11.6640625" style="125" bestFit="1" customWidth="1"/>
    <col min="12" max="12" width="12.33203125" style="125" bestFit="1" customWidth="1"/>
    <col min="13" max="15" width="12.109375" style="125" bestFit="1" customWidth="1"/>
    <col min="16" max="16" width="11.6640625" style="125" bestFit="1" customWidth="1"/>
    <col min="17" max="17" width="15.44140625" style="126" customWidth="1"/>
    <col min="23" max="23" width="12" bestFit="1" customWidth="1"/>
  </cols>
  <sheetData>
    <row r="1" spans="1:17" hidden="1" x14ac:dyDescent="0.3">
      <c r="E1" s="153">
        <v>202501</v>
      </c>
      <c r="F1" s="153">
        <v>202502</v>
      </c>
      <c r="G1" s="153">
        <v>202503</v>
      </c>
      <c r="H1" s="153">
        <v>202504</v>
      </c>
      <c r="I1" s="153">
        <v>202505</v>
      </c>
      <c r="J1" s="153">
        <v>202506</v>
      </c>
      <c r="K1" s="153">
        <v>202507</v>
      </c>
      <c r="L1" s="153">
        <v>202508</v>
      </c>
      <c r="M1" s="153">
        <v>202509</v>
      </c>
      <c r="N1" s="153">
        <v>202510</v>
      </c>
      <c r="O1" s="153">
        <v>202511</v>
      </c>
      <c r="P1" s="153">
        <v>202512</v>
      </c>
    </row>
    <row r="2" spans="1:17" ht="23.4" x14ac:dyDescent="0.45">
      <c r="A2" s="395" t="e">
        <f>+#REF!&amp;"-"&amp;#REF!</f>
        <v>#REF!</v>
      </c>
      <c r="B2" s="395"/>
      <c r="C2" s="395"/>
      <c r="D2" s="395"/>
      <c r="E2" s="186" t="str">
        <f>+'P&amp;G-SL'!I2</f>
        <v>Enero</v>
      </c>
      <c r="F2" s="186" t="str">
        <f>+'P&amp;G-SL'!J2</f>
        <v>Febrero</v>
      </c>
      <c r="G2" s="186" t="str">
        <f>+'P&amp;G-SL'!K2</f>
        <v>Marzo</v>
      </c>
      <c r="H2" s="186" t="str">
        <f>+'P&amp;G-SL'!L2</f>
        <v>Abril</v>
      </c>
      <c r="I2" s="186" t="str">
        <f>+'P&amp;G-SL'!M2</f>
        <v>Mayo</v>
      </c>
      <c r="J2" s="186" t="str">
        <f>+'P&amp;G-SL'!N2</f>
        <v>Junio</v>
      </c>
      <c r="K2" s="186" t="str">
        <f>+'P&amp;G-SL'!O2</f>
        <v>Julio</v>
      </c>
      <c r="L2" s="186" t="str">
        <f>+'P&amp;G-SL'!P2</f>
        <v>Agosto</v>
      </c>
      <c r="M2" s="186" t="str">
        <f>+'P&amp;G-SL'!Q2</f>
        <v>Septiembre</v>
      </c>
      <c r="N2" s="186" t="str">
        <f>+'P&amp;G-SL'!R2</f>
        <v>Octubre</v>
      </c>
      <c r="O2" s="186" t="str">
        <f>+'P&amp;G-SL'!S2</f>
        <v>Noviembre</v>
      </c>
      <c r="P2" s="186" t="str">
        <f>+'P&amp;G-SL'!T2</f>
        <v>Diciembre</v>
      </c>
      <c r="Q2" s="187" t="s">
        <v>0</v>
      </c>
    </row>
    <row r="3" spans="1:17" x14ac:dyDescent="0.3">
      <c r="A3" s="442" t="s">
        <v>1</v>
      </c>
      <c r="B3" s="442"/>
      <c r="C3" s="442"/>
      <c r="D3" s="442"/>
      <c r="E3" s="194">
        <f>+E4</f>
        <v>161846.40957674416</v>
      </c>
      <c r="F3" s="194">
        <f t="shared" ref="F3:P3" si="0">+F4</f>
        <v>186842.11877647063</v>
      </c>
      <c r="G3" s="194">
        <f t="shared" si="0"/>
        <v>124257.93209356726</v>
      </c>
      <c r="H3" s="194">
        <f t="shared" si="0"/>
        <v>0</v>
      </c>
      <c r="I3" s="194">
        <f t="shared" si="0"/>
        <v>0</v>
      </c>
      <c r="J3" s="194">
        <f t="shared" si="0"/>
        <v>0</v>
      </c>
      <c r="K3" s="194">
        <f t="shared" si="0"/>
        <v>0</v>
      </c>
      <c r="L3" s="194">
        <f t="shared" si="0"/>
        <v>0</v>
      </c>
      <c r="M3" s="194">
        <f t="shared" si="0"/>
        <v>0</v>
      </c>
      <c r="N3" s="194">
        <f t="shared" si="0"/>
        <v>0</v>
      </c>
      <c r="O3" s="194">
        <f t="shared" si="0"/>
        <v>0</v>
      </c>
      <c r="P3" s="194">
        <f t="shared" si="0"/>
        <v>0</v>
      </c>
      <c r="Q3" s="195">
        <f>SUM(E3:P3)</f>
        <v>472946.46044678206</v>
      </c>
    </row>
    <row r="4" spans="1:17" x14ac:dyDescent="0.3">
      <c r="A4" s="372" t="s">
        <v>5</v>
      </c>
      <c r="B4" s="372"/>
      <c r="C4" s="372"/>
      <c r="D4" s="372"/>
      <c r="E4" s="196">
        <f>+E5+E7+E9</f>
        <v>161846.40957674416</v>
      </c>
      <c r="F4" s="196">
        <f t="shared" ref="F4:P4" si="1">+F5+F7+F9</f>
        <v>186842.11877647063</v>
      </c>
      <c r="G4" s="196">
        <f t="shared" si="1"/>
        <v>124257.93209356726</v>
      </c>
      <c r="H4" s="196">
        <f t="shared" si="1"/>
        <v>0</v>
      </c>
      <c r="I4" s="196">
        <f t="shared" si="1"/>
        <v>0</v>
      </c>
      <c r="J4" s="196">
        <f t="shared" si="1"/>
        <v>0</v>
      </c>
      <c r="K4" s="196">
        <f t="shared" si="1"/>
        <v>0</v>
      </c>
      <c r="L4" s="196">
        <f t="shared" si="1"/>
        <v>0</v>
      </c>
      <c r="M4" s="196">
        <f t="shared" si="1"/>
        <v>0</v>
      </c>
      <c r="N4" s="196">
        <f t="shared" si="1"/>
        <v>0</v>
      </c>
      <c r="O4" s="196">
        <f t="shared" si="1"/>
        <v>0</v>
      </c>
      <c r="P4" s="196">
        <f t="shared" si="1"/>
        <v>0</v>
      </c>
      <c r="Q4" s="197">
        <f>SUM(E4:P4)</f>
        <v>472946.46044678206</v>
      </c>
    </row>
    <row r="5" spans="1:17" x14ac:dyDescent="0.3">
      <c r="A5" s="3" t="e" vm="15">
        <v>#VALUE!</v>
      </c>
      <c r="B5" s="371" t="s">
        <v>501</v>
      </c>
      <c r="C5" s="371"/>
      <c r="D5" s="371"/>
      <c r="E5" s="196">
        <f>+'P&amp;G-SL'!I5</f>
        <v>133633.76999999999</v>
      </c>
      <c r="F5" s="196">
        <f>+'P&amp;G-SL'!J5</f>
        <v>149057.08000000002</v>
      </c>
      <c r="G5" s="196">
        <f>+'P&amp;G-SL'!K5</f>
        <v>98377.450000000012</v>
      </c>
      <c r="H5" s="196">
        <f>+'P&amp;G-SL'!L5</f>
        <v>0</v>
      </c>
      <c r="I5" s="196">
        <f>+'P&amp;G-SL'!M5</f>
        <v>0</v>
      </c>
      <c r="J5" s="196">
        <f>+'P&amp;G-SL'!N5</f>
        <v>0</v>
      </c>
      <c r="K5" s="196">
        <f>+'P&amp;G-SL'!O5</f>
        <v>0</v>
      </c>
      <c r="L5" s="196">
        <f>+'P&amp;G-SL'!P5</f>
        <v>0</v>
      </c>
      <c r="M5" s="196">
        <f>+'P&amp;G-SL'!Q5</f>
        <v>0</v>
      </c>
      <c r="N5" s="196">
        <f>+'P&amp;G-SL'!R5</f>
        <v>0</v>
      </c>
      <c r="O5" s="196">
        <f>+'P&amp;G-SL'!S5</f>
        <v>0</v>
      </c>
      <c r="P5" s="196">
        <f>+'P&amp;G-SL'!T5</f>
        <v>0</v>
      </c>
      <c r="Q5" s="197">
        <f>SUM(E5:P5)</f>
        <v>381068.3</v>
      </c>
    </row>
    <row r="6" spans="1:17" x14ac:dyDescent="0.3">
      <c r="A6" s="4"/>
      <c r="B6" s="5"/>
      <c r="C6" s="5"/>
      <c r="D6" s="5" t="s">
        <v>7</v>
      </c>
      <c r="E6" s="32">
        <f t="shared" ref="E6:Q6" si="2">IFERROR(+E5/E$4,0)</f>
        <v>0.8256826354657788</v>
      </c>
      <c r="F6" s="32">
        <f t="shared" si="2"/>
        <v>0.79777022962539346</v>
      </c>
      <c r="G6" s="32">
        <f t="shared" si="2"/>
        <v>0.79171967811214639</v>
      </c>
      <c r="H6" s="32">
        <f t="shared" si="2"/>
        <v>0</v>
      </c>
      <c r="I6" s="32">
        <f t="shared" si="2"/>
        <v>0</v>
      </c>
      <c r="J6" s="32">
        <f t="shared" si="2"/>
        <v>0</v>
      </c>
      <c r="K6" s="32">
        <f t="shared" si="2"/>
        <v>0</v>
      </c>
      <c r="L6" s="32">
        <f t="shared" si="2"/>
        <v>0</v>
      </c>
      <c r="M6" s="32">
        <f t="shared" si="2"/>
        <v>0</v>
      </c>
      <c r="N6" s="32">
        <f t="shared" si="2"/>
        <v>0</v>
      </c>
      <c r="O6" s="32">
        <f t="shared" si="2"/>
        <v>0</v>
      </c>
      <c r="P6" s="32">
        <f t="shared" si="2"/>
        <v>0</v>
      </c>
      <c r="Q6" s="33">
        <f t="shared" si="2"/>
        <v>0.80573242823302493</v>
      </c>
    </row>
    <row r="7" spans="1:17" x14ac:dyDescent="0.3">
      <c r="A7" s="3" t="e" vm="10">
        <v>#VALUE!</v>
      </c>
      <c r="B7" s="371" t="s">
        <v>180</v>
      </c>
      <c r="C7" s="371"/>
      <c r="D7" s="371"/>
      <c r="E7" s="196">
        <f>+'P&amp;G-Ltd'!H5*'input-divisas'!B$5</f>
        <v>18258.906976744187</v>
      </c>
      <c r="F7" s="196">
        <f>+'P&amp;G-Ltd'!I5*'input-divisas'!C$5</f>
        <v>22857.941176470587</v>
      </c>
      <c r="G7" s="196">
        <f>+'P&amp;G-Ltd'!J5*'input-divisas'!D$5</f>
        <v>15956.304093567252</v>
      </c>
      <c r="H7" s="196">
        <f>+'P&amp;G-Ltd'!K5*'input-divisas'!E$5</f>
        <v>0</v>
      </c>
      <c r="I7" s="196">
        <f>+'P&amp;G-Ltd'!L5*'input-divisas'!F$5</f>
        <v>0</v>
      </c>
      <c r="J7" s="196">
        <f>+'P&amp;G-Ltd'!M5*'input-divisas'!G$5</f>
        <v>0</v>
      </c>
      <c r="K7" s="196">
        <f>+'P&amp;G-Ltd'!N5*'input-divisas'!H$5</f>
        <v>0</v>
      </c>
      <c r="L7" s="196">
        <f>+'P&amp;G-Ltd'!O5*'input-divisas'!I$5</f>
        <v>0</v>
      </c>
      <c r="M7" s="196">
        <f>+'P&amp;G-Ltd'!P5*'input-divisas'!J$5</f>
        <v>0</v>
      </c>
      <c r="N7" s="196">
        <f>+'P&amp;G-Ltd'!Q5*'input-divisas'!K$5</f>
        <v>0</v>
      </c>
      <c r="O7" s="196">
        <f>+'P&amp;G-Ltd'!R5*'input-divisas'!L$5</f>
        <v>0</v>
      </c>
      <c r="P7" s="196">
        <f>+'P&amp;G-Ltd'!S5*'input-divisas'!M$5</f>
        <v>0</v>
      </c>
      <c r="Q7" s="188">
        <f>SUM(E7:P7)</f>
        <v>57073.152246782025</v>
      </c>
    </row>
    <row r="8" spans="1:17" x14ac:dyDescent="0.3">
      <c r="A8" s="4"/>
      <c r="B8" s="5"/>
      <c r="C8" s="5"/>
      <c r="D8" s="5" t="s">
        <v>7</v>
      </c>
      <c r="E8" s="32">
        <f t="shared" ref="E8:Q8" si="3">IFERROR(+E7/E$4,0)</f>
        <v>0.11281626218644163</v>
      </c>
      <c r="F8" s="32">
        <f t="shared" si="3"/>
        <v>0.12233826787105098</v>
      </c>
      <c r="G8" s="32">
        <f t="shared" si="3"/>
        <v>0.12841276065621327</v>
      </c>
      <c r="H8" s="32">
        <f t="shared" si="3"/>
        <v>0</v>
      </c>
      <c r="I8" s="32">
        <f t="shared" si="3"/>
        <v>0</v>
      </c>
      <c r="J8" s="32">
        <f t="shared" si="3"/>
        <v>0</v>
      </c>
      <c r="K8" s="32">
        <f t="shared" si="3"/>
        <v>0</v>
      </c>
      <c r="L8" s="32">
        <f t="shared" si="3"/>
        <v>0</v>
      </c>
      <c r="M8" s="32">
        <f t="shared" si="3"/>
        <v>0</v>
      </c>
      <c r="N8" s="32">
        <f t="shared" si="3"/>
        <v>0</v>
      </c>
      <c r="O8" s="32">
        <f t="shared" si="3"/>
        <v>0</v>
      </c>
      <c r="P8" s="32">
        <f t="shared" si="3"/>
        <v>0</v>
      </c>
      <c r="Q8" s="33">
        <f t="shared" si="3"/>
        <v>0.12067571494850872</v>
      </c>
    </row>
    <row r="9" spans="1:17" x14ac:dyDescent="0.3">
      <c r="A9" s="3" t="e" vm="14">
        <v>#VALUE!</v>
      </c>
      <c r="B9" s="371" t="s">
        <v>217</v>
      </c>
      <c r="C9" s="371"/>
      <c r="D9" s="371"/>
      <c r="E9" s="196">
        <f>+'P&amp;G-Inc'!H5*'input-divisas'!B$7</f>
        <v>9953.7325999999994</v>
      </c>
      <c r="F9" s="196">
        <f>+'P&amp;G-Inc'!I5*'input-divisas'!C$7</f>
        <v>14927.097599999999</v>
      </c>
      <c r="G9" s="196">
        <f>+'P&amp;G-Inc'!J5*'input-divisas'!D$7</f>
        <v>9924.1779999999999</v>
      </c>
      <c r="H9" s="196">
        <f>+'P&amp;G-Inc'!K5*'input-divisas'!E$7</f>
        <v>0</v>
      </c>
      <c r="I9" s="196">
        <f>+'P&amp;G-Inc'!L5*'input-divisas'!F$7</f>
        <v>0</v>
      </c>
      <c r="J9" s="196">
        <f>+'P&amp;G-Inc'!M5*'input-divisas'!G$7</f>
        <v>0</v>
      </c>
      <c r="K9" s="196">
        <f>+'P&amp;G-Inc'!N5*'input-divisas'!H$7</f>
        <v>0</v>
      </c>
      <c r="L9" s="196">
        <f>+'P&amp;G-Inc'!O5*'input-divisas'!I$7</f>
        <v>0</v>
      </c>
      <c r="M9" s="196">
        <f>+'P&amp;G-Inc'!P5*'input-divisas'!J$7</f>
        <v>0</v>
      </c>
      <c r="N9" s="196">
        <f>+'P&amp;G-Inc'!Q5*'input-divisas'!K$7</f>
        <v>0</v>
      </c>
      <c r="O9" s="196">
        <f>+'P&amp;G-Inc'!R5*'input-divisas'!L$7</f>
        <v>0</v>
      </c>
      <c r="P9" s="196">
        <f>+'P&amp;G-Inc'!S5*'input-divisas'!M$7</f>
        <v>0</v>
      </c>
      <c r="Q9" s="188">
        <f>SUM(E9:P9)</f>
        <v>34805.008199999997</v>
      </c>
    </row>
    <row r="10" spans="1:17" x14ac:dyDescent="0.3">
      <c r="A10" s="4"/>
      <c r="B10" s="5"/>
      <c r="C10" s="5"/>
      <c r="D10" s="5" t="s">
        <v>7</v>
      </c>
      <c r="E10" s="32">
        <f t="shared" ref="E10:Q10" si="4">IFERROR(+E9/E$4,0)</f>
        <v>6.1501102347779599E-2</v>
      </c>
      <c r="F10" s="32">
        <f t="shared" si="4"/>
        <v>7.9891502503555409E-2</v>
      </c>
      <c r="G10" s="32">
        <f t="shared" si="4"/>
        <v>7.9867561231640419E-2</v>
      </c>
      <c r="H10" s="32">
        <f t="shared" si="4"/>
        <v>0</v>
      </c>
      <c r="I10" s="32">
        <f t="shared" si="4"/>
        <v>0</v>
      </c>
      <c r="J10" s="32">
        <f t="shared" si="4"/>
        <v>0</v>
      </c>
      <c r="K10" s="32">
        <f t="shared" si="4"/>
        <v>0</v>
      </c>
      <c r="L10" s="32">
        <f t="shared" si="4"/>
        <v>0</v>
      </c>
      <c r="M10" s="32">
        <f t="shared" si="4"/>
        <v>0</v>
      </c>
      <c r="N10" s="32">
        <f t="shared" si="4"/>
        <v>0</v>
      </c>
      <c r="O10" s="32">
        <f t="shared" si="4"/>
        <v>0</v>
      </c>
      <c r="P10" s="32">
        <f t="shared" si="4"/>
        <v>0</v>
      </c>
      <c r="Q10" s="33">
        <f t="shared" si="4"/>
        <v>7.359185681846625E-2</v>
      </c>
    </row>
    <row r="11" spans="1:17" x14ac:dyDescent="0.3">
      <c r="A11" s="10"/>
      <c r="B11" s="17"/>
      <c r="C11" s="17"/>
      <c r="D11" s="17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90"/>
    </row>
    <row r="12" spans="1:17" x14ac:dyDescent="0.3">
      <c r="A12" s="443" t="s">
        <v>35</v>
      </c>
      <c r="B12" s="443"/>
      <c r="C12" s="443"/>
      <c r="D12" s="443"/>
      <c r="E12" s="223" t="e">
        <f t="shared" ref="E12:P12" ca="1" si="5">SUM(E13:E17)</f>
        <v>#REF!</v>
      </c>
      <c r="F12" s="223" t="e">
        <f t="shared" ca="1" si="5"/>
        <v>#REF!</v>
      </c>
      <c r="G12" s="223" t="e">
        <f t="shared" ca="1" si="5"/>
        <v>#REF!</v>
      </c>
      <c r="H12" s="223" t="e">
        <f t="shared" ca="1" si="5"/>
        <v>#REF!</v>
      </c>
      <c r="I12" s="223" t="e">
        <f t="shared" ca="1" si="5"/>
        <v>#REF!</v>
      </c>
      <c r="J12" s="223" t="e">
        <f t="shared" ca="1" si="5"/>
        <v>#REF!</v>
      </c>
      <c r="K12" s="223" t="e">
        <f t="shared" ca="1" si="5"/>
        <v>#REF!</v>
      </c>
      <c r="L12" s="223" t="e">
        <f t="shared" ca="1" si="5"/>
        <v>#REF!</v>
      </c>
      <c r="M12" s="223" t="e">
        <f t="shared" ca="1" si="5"/>
        <v>#REF!</v>
      </c>
      <c r="N12" s="223" t="e">
        <f t="shared" ca="1" si="5"/>
        <v>#REF!</v>
      </c>
      <c r="O12" s="223" t="e">
        <f t="shared" ca="1" si="5"/>
        <v>#REF!</v>
      </c>
      <c r="P12" s="223" t="e">
        <f t="shared" ca="1" si="5"/>
        <v>#REF!</v>
      </c>
      <c r="Q12" s="195" t="e">
        <f t="shared" ref="Q12:Q17" ca="1" si="6">SUM(E12:P12)</f>
        <v>#REF!</v>
      </c>
    </row>
    <row r="13" spans="1:17" x14ac:dyDescent="0.3">
      <c r="A13" s="19" t="s">
        <v>36</v>
      </c>
      <c r="B13" s="18"/>
      <c r="C13" s="13"/>
      <c r="D13" s="20"/>
      <c r="E13" s="224">
        <f ca="1">+'P&amp;G-SL'!I55+('P&amp;G-Ltd'!H17*'input-divisas'!B5)+('P&amp;G-Inc'!H10*'input-divisas'!B7)</f>
        <v>63680.521406976746</v>
      </c>
      <c r="F13" s="224">
        <f ca="1">+'P&amp;G-SL'!J55+('P&amp;G-Ltd'!I17*'input-divisas'!C5)+('P&amp;G-Inc'!I10*'input-divisas'!C7)</f>
        <v>71399.009388235296</v>
      </c>
      <c r="G13" s="224">
        <f ca="1">+'P&amp;G-SL'!K55+('P&amp;G-Ltd'!J17*'input-divisas'!D5)+('P&amp;G-Inc'!J10*'input-divisas'!D7)</f>
        <v>1267.99</v>
      </c>
      <c r="H13" s="224">
        <f ca="1">+'P&amp;G-SL'!L55+('P&amp;G-Ltd'!K17*'input-divisas'!E5)+('P&amp;G-Inc'!K10*'input-divisas'!E7)</f>
        <v>0</v>
      </c>
      <c r="I13" s="224">
        <f ca="1">+'P&amp;G-SL'!M55+('P&amp;G-Ltd'!L17*'input-divisas'!F5)+('P&amp;G-Inc'!L10*'input-divisas'!F7)</f>
        <v>0</v>
      </c>
      <c r="J13" s="224">
        <f ca="1">+'P&amp;G-SL'!N55+('P&amp;G-Ltd'!M17*'input-divisas'!G5)+('P&amp;G-Inc'!M10*'input-divisas'!G7)</f>
        <v>0</v>
      </c>
      <c r="K13" s="224">
        <f ca="1">+'P&amp;G-SL'!O55+('P&amp;G-Ltd'!N17*'input-divisas'!H5)+('P&amp;G-Inc'!N10*'input-divisas'!H7)</f>
        <v>0</v>
      </c>
      <c r="L13" s="224">
        <f ca="1">+'P&amp;G-SL'!P55+('P&amp;G-Ltd'!O17*'input-divisas'!I5)+('P&amp;G-Inc'!O10*'input-divisas'!I7)</f>
        <v>0</v>
      </c>
      <c r="M13" s="224">
        <f ca="1">+'P&amp;G-SL'!Q55+('P&amp;G-Ltd'!P17*'input-divisas'!J5)+('P&amp;G-Inc'!P10*'input-divisas'!J7)</f>
        <v>0</v>
      </c>
      <c r="N13" s="224">
        <f ca="1">+'P&amp;G-SL'!R55+('P&amp;G-Ltd'!Q17*'input-divisas'!K5)+('P&amp;G-Inc'!Q10*'input-divisas'!K7)</f>
        <v>0</v>
      </c>
      <c r="O13" s="224">
        <f ca="1">+'P&amp;G-SL'!S55+('P&amp;G-Ltd'!R17*'input-divisas'!L5)+('P&amp;G-Inc'!R10*'input-divisas'!L7)</f>
        <v>0</v>
      </c>
      <c r="P13" s="224">
        <f ca="1">+'P&amp;G-SL'!T55+('P&amp;G-Ltd'!S17*'input-divisas'!M5)+('P&amp;G-Inc'!S10*'input-divisas'!M7)</f>
        <v>0</v>
      </c>
      <c r="Q13" s="197">
        <f t="shared" ca="1" si="6"/>
        <v>136347.52079521204</v>
      </c>
    </row>
    <row r="14" spans="1:17" x14ac:dyDescent="0.3">
      <c r="A14" s="438" t="s">
        <v>50</v>
      </c>
      <c r="B14" s="438"/>
      <c r="C14" s="18"/>
      <c r="D14" s="18"/>
      <c r="E14" s="224">
        <f ca="1">'P&amp;G-SL'!I63+('P&amp;G-Ltd'!H26*'input-divisas'!B5)+('P&amp;G-Inc'!H15*'input-divisas'!B7)</f>
        <v>21876.432339534884</v>
      </c>
      <c r="F14" s="224">
        <f ca="1">'P&amp;G-SL'!J63+('P&amp;G-Ltd'!I26*'input-divisas'!C5)+('P&amp;G-Inc'!I15*'input-divisas'!C7)</f>
        <v>27382.726517647054</v>
      </c>
      <c r="G14" s="224">
        <f ca="1">'P&amp;G-SL'!K63+('P&amp;G-Ltd'!J26*'input-divisas'!D5)+('P&amp;G-Inc'!J15*'input-divisas'!D7)</f>
        <v>0</v>
      </c>
      <c r="H14" s="224">
        <f ca="1">'P&amp;G-SL'!L63+('P&amp;G-Ltd'!K26*'input-divisas'!E5)+('P&amp;G-Inc'!K15*'input-divisas'!E7)</f>
        <v>0</v>
      </c>
      <c r="I14" s="224">
        <f ca="1">'P&amp;G-SL'!M63+('P&amp;G-Ltd'!L26*'input-divisas'!F5)+('P&amp;G-Inc'!L15*'input-divisas'!F7)</f>
        <v>0</v>
      </c>
      <c r="J14" s="224">
        <f ca="1">'P&amp;G-SL'!N63+('P&amp;G-Ltd'!M26*'input-divisas'!G5)+('P&amp;G-Inc'!M15*'input-divisas'!G7)</f>
        <v>0</v>
      </c>
      <c r="K14" s="224">
        <f ca="1">'P&amp;G-SL'!O63+('P&amp;G-Ltd'!N26*'input-divisas'!H5)+('P&amp;G-Inc'!N15*'input-divisas'!H7)</f>
        <v>0</v>
      </c>
      <c r="L14" s="224">
        <f ca="1">'P&amp;G-SL'!P63+('P&amp;G-Ltd'!O26*'input-divisas'!I5)+('P&amp;G-Inc'!O15*'input-divisas'!I7)</f>
        <v>0</v>
      </c>
      <c r="M14" s="224">
        <f ca="1">'P&amp;G-SL'!Q63+('P&amp;G-Ltd'!P26*'input-divisas'!J5)+('P&amp;G-Inc'!P15*'input-divisas'!J7)</f>
        <v>0</v>
      </c>
      <c r="N14" s="224">
        <f ca="1">'P&amp;G-SL'!R63+('P&amp;G-Ltd'!Q26*'input-divisas'!K5)+('P&amp;G-Inc'!Q15*'input-divisas'!K7)</f>
        <v>0</v>
      </c>
      <c r="O14" s="224">
        <f ca="1">'P&amp;G-SL'!S63+('P&amp;G-Ltd'!R26*'input-divisas'!L5)+('P&amp;G-Inc'!R15*'input-divisas'!L7)</f>
        <v>0</v>
      </c>
      <c r="P14" s="224">
        <f ca="1">'P&amp;G-SL'!T63+('P&amp;G-Ltd'!S26*'input-divisas'!M5)+('P&amp;G-Inc'!S15*'input-divisas'!M7)</f>
        <v>0</v>
      </c>
      <c r="Q14" s="197">
        <f t="shared" ca="1" si="6"/>
        <v>49259.158857181937</v>
      </c>
    </row>
    <row r="15" spans="1:17" ht="15" customHeight="1" x14ac:dyDescent="0.3">
      <c r="A15" s="385" t="s">
        <v>57</v>
      </c>
      <c r="B15" s="385"/>
      <c r="C15" s="385"/>
      <c r="D15" s="385"/>
      <c r="E15" s="224" t="e">
        <f ca="1">'P&amp;G-SL'!I71+('P&amp;G-Ltd'!H31*'input-divisas'!B5)+('P&amp;G-Inc'!H20*'input-divisas'!B7)</f>
        <v>#REF!</v>
      </c>
      <c r="F15" s="224" t="e">
        <f ca="1">'P&amp;G-SL'!J71+('P&amp;G-Ltd'!I31*'input-divisas'!C5)+('P&amp;G-Inc'!I20*'input-divisas'!C7)</f>
        <v>#REF!</v>
      </c>
      <c r="G15" s="224" t="e">
        <f ca="1">'P&amp;G-SL'!K71+('P&amp;G-Ltd'!J31*'input-divisas'!D5)+('P&amp;G-Inc'!J20*'input-divisas'!D7)</f>
        <v>#REF!</v>
      </c>
      <c r="H15" s="224" t="e">
        <f ca="1">'P&amp;G-SL'!L71+('P&amp;G-Ltd'!K31*'input-divisas'!E5)+('P&amp;G-Inc'!K20*'input-divisas'!E7)</f>
        <v>#REF!</v>
      </c>
      <c r="I15" s="224" t="e">
        <f ca="1">'P&amp;G-SL'!M71+('P&amp;G-Ltd'!L31*'input-divisas'!F5)+('P&amp;G-Inc'!L20*'input-divisas'!F7)</f>
        <v>#REF!</v>
      </c>
      <c r="J15" s="224" t="e">
        <f ca="1">'P&amp;G-SL'!N71+('P&amp;G-Ltd'!M31*'input-divisas'!G5)+('P&amp;G-Inc'!M20*'input-divisas'!G7)</f>
        <v>#REF!</v>
      </c>
      <c r="K15" s="224" t="e">
        <f ca="1">'P&amp;G-SL'!O71+('P&amp;G-Ltd'!N31*'input-divisas'!H5)+('P&amp;G-Inc'!N20*'input-divisas'!H7)</f>
        <v>#REF!</v>
      </c>
      <c r="L15" s="224" t="e">
        <f ca="1">'P&amp;G-SL'!P71+('P&amp;G-Ltd'!O31*'input-divisas'!I5)+('P&amp;G-Inc'!O20*'input-divisas'!I7)</f>
        <v>#REF!</v>
      </c>
      <c r="M15" s="224" t="e">
        <f ca="1">'P&amp;G-SL'!Q71+('P&amp;G-Ltd'!P31*'input-divisas'!J5)+('P&amp;G-Inc'!P20*'input-divisas'!J7)</f>
        <v>#REF!</v>
      </c>
      <c r="N15" s="224" t="e">
        <f ca="1">'P&amp;G-SL'!R71+('P&amp;G-Ltd'!Q31*'input-divisas'!K5)+('P&amp;G-Inc'!Q20*'input-divisas'!K7)</f>
        <v>#REF!</v>
      </c>
      <c r="O15" s="224" t="e">
        <f ca="1">'P&amp;G-SL'!S71+('P&amp;G-Ltd'!R31*'input-divisas'!L5)+('P&amp;G-Inc'!R20*'input-divisas'!L7)</f>
        <v>#REF!</v>
      </c>
      <c r="P15" s="224" t="e">
        <f ca="1">'P&amp;G-SL'!T71+('P&amp;G-Ltd'!S31*'input-divisas'!M5)+('P&amp;G-Inc'!S20*'input-divisas'!M7)</f>
        <v>#REF!</v>
      </c>
      <c r="Q15" s="197" t="e">
        <f t="shared" ca="1" si="6"/>
        <v>#REF!</v>
      </c>
    </row>
    <row r="16" spans="1:17" ht="15" customHeight="1" x14ac:dyDescent="0.3">
      <c r="A16" s="385" t="s">
        <v>64</v>
      </c>
      <c r="B16" s="385"/>
      <c r="C16" s="385"/>
      <c r="D16" s="385"/>
      <c r="E16" s="224">
        <f ca="1">'P&amp;G-SL'!I76+('P&amp;G-Ltd'!H34*'input-divisas'!B5)+('P&amp;G-Inc'!H23*'input-divisas'!B7)</f>
        <v>4000.2400000000002</v>
      </c>
      <c r="F16" s="224">
        <f ca="1">'P&amp;G-SL'!J76+('P&amp;G-Ltd'!I34*'input-divisas'!C5)+('P&amp;G-Inc'!I23*'input-divisas'!C7)</f>
        <v>3403.5</v>
      </c>
      <c r="G16" s="224">
        <f ca="1">'P&amp;G-SL'!K76+('P&amp;G-Ltd'!J34*'input-divisas'!D5)+('P&amp;G-Inc'!J23*'input-divisas'!D7)</f>
        <v>0</v>
      </c>
      <c r="H16" s="224">
        <f ca="1">'P&amp;G-SL'!L76+('P&amp;G-Ltd'!K34*'input-divisas'!E5)+('P&amp;G-Inc'!K23*'input-divisas'!E7)</f>
        <v>0</v>
      </c>
      <c r="I16" s="224">
        <f ca="1">'P&amp;G-SL'!M76+('P&amp;G-Ltd'!L34*'input-divisas'!F5)+('P&amp;G-Inc'!L23*'input-divisas'!F7)</f>
        <v>0</v>
      </c>
      <c r="J16" s="224">
        <f ca="1">'P&amp;G-SL'!N76+('P&amp;G-Ltd'!M34*'input-divisas'!G5)+('P&amp;G-Inc'!M23*'input-divisas'!G7)</f>
        <v>0</v>
      </c>
      <c r="K16" s="224">
        <f ca="1">'P&amp;G-SL'!O76+('P&amp;G-Ltd'!N34*'input-divisas'!H5)+('P&amp;G-Inc'!N23*'input-divisas'!H7)</f>
        <v>0</v>
      </c>
      <c r="L16" s="224">
        <f ca="1">'P&amp;G-SL'!P76+('P&amp;G-Ltd'!O34*'input-divisas'!I5)+('P&amp;G-Inc'!O23*'input-divisas'!I7)</f>
        <v>0</v>
      </c>
      <c r="M16" s="224">
        <f ca="1">'P&amp;G-SL'!Q76+('P&amp;G-Ltd'!P34*'input-divisas'!J5)+('P&amp;G-Inc'!P23*'input-divisas'!J7)</f>
        <v>0</v>
      </c>
      <c r="N16" s="224">
        <f ca="1">'P&amp;G-SL'!R76+('P&amp;G-Ltd'!Q34*'input-divisas'!K5)+('P&amp;G-Inc'!Q23*'input-divisas'!K7)</f>
        <v>0</v>
      </c>
      <c r="O16" s="224">
        <f ca="1">'P&amp;G-SL'!S76+('P&amp;G-Ltd'!R34*'input-divisas'!L5)+('P&amp;G-Inc'!R23*'input-divisas'!L7)</f>
        <v>0</v>
      </c>
      <c r="P16" s="224">
        <f ca="1">'P&amp;G-SL'!T76+('P&amp;G-Ltd'!S34*'input-divisas'!M5)+('P&amp;G-Inc'!S23*'input-divisas'!M7)</f>
        <v>0</v>
      </c>
      <c r="Q16" s="197">
        <f t="shared" ca="1" si="6"/>
        <v>7403.74</v>
      </c>
    </row>
    <row r="17" spans="1:25" ht="15" customHeight="1" x14ac:dyDescent="0.3">
      <c r="A17" s="385" t="s">
        <v>80</v>
      </c>
      <c r="B17" s="385"/>
      <c r="C17" s="385"/>
      <c r="D17" s="385"/>
      <c r="E17" s="224" t="e">
        <f ca="1">'P&amp;G-SL'!#REF!+('P&amp;G-Ltd'!H41*'input-divisas'!B5)+('P&amp;G-Inc'!H30*'input-divisas'!B7)</f>
        <v>#REF!</v>
      </c>
      <c r="F17" s="224" t="e">
        <f ca="1">'P&amp;G-SL'!#REF!+('P&amp;G-Ltd'!I41*'input-divisas'!C5)+('P&amp;G-Inc'!I30*'input-divisas'!C7)</f>
        <v>#REF!</v>
      </c>
      <c r="G17" s="224" t="e">
        <f ca="1">'P&amp;G-SL'!#REF!+('P&amp;G-Ltd'!J41*'input-divisas'!D5)+('P&amp;G-Inc'!J30*'input-divisas'!D7)</f>
        <v>#REF!</v>
      </c>
      <c r="H17" s="224" t="e">
        <f ca="1">'P&amp;G-SL'!#REF!+('P&amp;G-Ltd'!K41*'input-divisas'!E5)+('P&amp;G-Inc'!K30*'input-divisas'!E7)</f>
        <v>#REF!</v>
      </c>
      <c r="I17" s="224" t="e">
        <f ca="1">'P&amp;G-SL'!#REF!+('P&amp;G-Ltd'!L41*'input-divisas'!F5)+('P&amp;G-Inc'!L30*'input-divisas'!F7)</f>
        <v>#REF!</v>
      </c>
      <c r="J17" s="224" t="e">
        <f ca="1">'P&amp;G-SL'!#REF!+('P&amp;G-Ltd'!M41*'input-divisas'!G5)+('P&amp;G-Inc'!M30*'input-divisas'!G7)</f>
        <v>#REF!</v>
      </c>
      <c r="K17" s="224" t="e">
        <f ca="1">'P&amp;G-SL'!#REF!+('P&amp;G-Ltd'!N41*'input-divisas'!H5)+('P&amp;G-Inc'!N30*'input-divisas'!H7)</f>
        <v>#REF!</v>
      </c>
      <c r="L17" s="224" t="e">
        <f ca="1">'P&amp;G-SL'!#REF!+('P&amp;G-Ltd'!O41*'input-divisas'!I5)+('P&amp;G-Inc'!O30*'input-divisas'!I7)</f>
        <v>#REF!</v>
      </c>
      <c r="M17" s="224" t="e">
        <f ca="1">'P&amp;G-SL'!#REF!+('P&amp;G-Ltd'!P41*'input-divisas'!J5)+('P&amp;G-Inc'!P30*'input-divisas'!J7)</f>
        <v>#REF!</v>
      </c>
      <c r="N17" s="224" t="e">
        <f ca="1">'P&amp;G-SL'!#REF!+('P&amp;G-Ltd'!Q41*'input-divisas'!K5)+('P&amp;G-Inc'!Q30*'input-divisas'!K7)</f>
        <v>#REF!</v>
      </c>
      <c r="O17" s="224" t="e">
        <f ca="1">'P&amp;G-SL'!#REF!+('P&amp;G-Ltd'!R41*'input-divisas'!L5)+('P&amp;G-Inc'!R30*'input-divisas'!L7)</f>
        <v>#REF!</v>
      </c>
      <c r="P17" s="224" t="e">
        <f ca="1">'P&amp;G-SL'!#REF!+('P&amp;G-Ltd'!S41*'input-divisas'!M5)+('P&amp;G-Inc'!S30*'input-divisas'!M7)</f>
        <v>#REF!</v>
      </c>
      <c r="Q17" s="197" t="e">
        <f t="shared" ca="1" si="6"/>
        <v>#REF!</v>
      </c>
    </row>
    <row r="18" spans="1:25" ht="15" customHeight="1" thickBot="1" x14ac:dyDescent="0.35">
      <c r="A18" s="50"/>
      <c r="B18" s="50"/>
      <c r="C18" s="50"/>
      <c r="D18" s="50"/>
      <c r="E18" s="237"/>
      <c r="F18" s="237"/>
      <c r="G18" s="237"/>
      <c r="H18" s="237"/>
      <c r="I18" s="237"/>
      <c r="J18" s="237"/>
      <c r="K18" s="237"/>
      <c r="L18" s="237"/>
      <c r="M18" s="237"/>
      <c r="N18" s="237"/>
      <c r="O18" s="237"/>
      <c r="P18" s="237"/>
      <c r="Q18" s="238"/>
    </row>
    <row r="19" spans="1:25" ht="15" thickBot="1" x14ac:dyDescent="0.35">
      <c r="A19" s="441" t="s">
        <v>82</v>
      </c>
      <c r="B19" s="441"/>
      <c r="C19" s="441"/>
      <c r="D19" s="441"/>
      <c r="E19" s="185">
        <f t="shared" ref="E19:Q19" ca="1" si="7">1-((E13)/E4)</f>
        <v>0.60653732403757288</v>
      </c>
      <c r="F19" s="185">
        <f t="shared" ca="1" si="7"/>
        <v>0.61786448443322461</v>
      </c>
      <c r="G19" s="185">
        <f t="shared" ca="1" si="7"/>
        <v>0.98979550054764154</v>
      </c>
      <c r="H19" s="185" t="e">
        <f t="shared" ca="1" si="7"/>
        <v>#DIV/0!</v>
      </c>
      <c r="I19" s="185" t="e">
        <f t="shared" ca="1" si="7"/>
        <v>#DIV/0!</v>
      </c>
      <c r="J19" s="185" t="e">
        <f t="shared" ca="1" si="7"/>
        <v>#DIV/0!</v>
      </c>
      <c r="K19" s="185" t="e">
        <f t="shared" ca="1" si="7"/>
        <v>#DIV/0!</v>
      </c>
      <c r="L19" s="185" t="e">
        <f t="shared" ca="1" si="7"/>
        <v>#DIV/0!</v>
      </c>
      <c r="M19" s="185" t="e">
        <f ca="1">1-((M13)/M4)</f>
        <v>#DIV/0!</v>
      </c>
      <c r="N19" s="185" t="e">
        <f t="shared" ca="1" si="7"/>
        <v>#DIV/0!</v>
      </c>
      <c r="O19" s="185" t="e">
        <f t="shared" ca="1" si="7"/>
        <v>#DIV/0!</v>
      </c>
      <c r="P19" s="185" t="e">
        <f t="shared" ca="1" si="7"/>
        <v>#DIV/0!</v>
      </c>
      <c r="Q19" s="239">
        <f t="shared" ca="1" si="7"/>
        <v>0.71170622428084662</v>
      </c>
    </row>
    <row r="20" spans="1:25" ht="15" thickBot="1" x14ac:dyDescent="0.35">
      <c r="A20" s="441" t="s">
        <v>83</v>
      </c>
      <c r="B20" s="441"/>
      <c r="C20" s="441"/>
      <c r="D20" s="441"/>
      <c r="E20" s="225">
        <f t="shared" ref="E20:P20" ca="1" si="8">+E4-E13</f>
        <v>98165.888169767422</v>
      </c>
      <c r="F20" s="225">
        <f t="shared" ca="1" si="8"/>
        <v>115443.10938823533</v>
      </c>
      <c r="G20" s="225">
        <f t="shared" ca="1" si="8"/>
        <v>122989.94209356725</v>
      </c>
      <c r="H20" s="225">
        <f t="shared" ca="1" si="8"/>
        <v>0</v>
      </c>
      <c r="I20" s="225">
        <f t="shared" ca="1" si="8"/>
        <v>0</v>
      </c>
      <c r="J20" s="225">
        <f t="shared" ca="1" si="8"/>
        <v>0</v>
      </c>
      <c r="K20" s="225">
        <f t="shared" ca="1" si="8"/>
        <v>0</v>
      </c>
      <c r="L20" s="225">
        <f t="shared" ca="1" si="8"/>
        <v>0</v>
      </c>
      <c r="M20" s="225">
        <f t="shared" ca="1" si="8"/>
        <v>0</v>
      </c>
      <c r="N20" s="225">
        <f t="shared" ca="1" si="8"/>
        <v>0</v>
      </c>
      <c r="O20" s="225">
        <f t="shared" ca="1" si="8"/>
        <v>0</v>
      </c>
      <c r="P20" s="225">
        <f t="shared" ca="1" si="8"/>
        <v>0</v>
      </c>
      <c r="Q20" s="226">
        <f ca="1">SUM(E20:P20)</f>
        <v>336598.93965157005</v>
      </c>
    </row>
    <row r="21" spans="1:25" x14ac:dyDescent="0.3">
      <c r="A21" s="441" t="s">
        <v>84</v>
      </c>
      <c r="B21" s="441"/>
      <c r="C21" s="441"/>
      <c r="D21" s="441"/>
      <c r="E21" s="185" t="e">
        <f ca="1">1-((E12)/E3)</f>
        <v>#REF!</v>
      </c>
      <c r="F21" s="185" t="e">
        <f t="shared" ref="F21:Q21" ca="1" si="9">1-((F12)/F3)</f>
        <v>#REF!</v>
      </c>
      <c r="G21" s="185" t="e">
        <f t="shared" ca="1" si="9"/>
        <v>#REF!</v>
      </c>
      <c r="H21" s="185" t="e">
        <f t="shared" ca="1" si="9"/>
        <v>#REF!</v>
      </c>
      <c r="I21" s="185" t="e">
        <f t="shared" ca="1" si="9"/>
        <v>#REF!</v>
      </c>
      <c r="J21" s="185" t="e">
        <f t="shared" ca="1" si="9"/>
        <v>#REF!</v>
      </c>
      <c r="K21" s="185" t="e">
        <f t="shared" ca="1" si="9"/>
        <v>#REF!</v>
      </c>
      <c r="L21" s="185" t="e">
        <f t="shared" ca="1" si="9"/>
        <v>#REF!</v>
      </c>
      <c r="M21" s="185" t="e">
        <f t="shared" ca="1" si="9"/>
        <v>#REF!</v>
      </c>
      <c r="N21" s="185" t="e">
        <f t="shared" ca="1" si="9"/>
        <v>#REF!</v>
      </c>
      <c r="O21" s="185" t="e">
        <f t="shared" ca="1" si="9"/>
        <v>#REF!</v>
      </c>
      <c r="P21" s="185" t="e">
        <f t="shared" ca="1" si="9"/>
        <v>#REF!</v>
      </c>
      <c r="Q21" s="239" t="e">
        <f t="shared" ca="1" si="9"/>
        <v>#REF!</v>
      </c>
    </row>
    <row r="22" spans="1:25" ht="15" thickBot="1" x14ac:dyDescent="0.35">
      <c r="A22" s="439" t="s">
        <v>85</v>
      </c>
      <c r="B22" s="439"/>
      <c r="C22" s="439"/>
      <c r="D22" s="439"/>
      <c r="E22" s="227" t="e">
        <f t="shared" ref="E22:P22" ca="1" si="10">+E3-E12</f>
        <v>#REF!</v>
      </c>
      <c r="F22" s="227" t="e">
        <f t="shared" ca="1" si="10"/>
        <v>#REF!</v>
      </c>
      <c r="G22" s="227" t="e">
        <f t="shared" ca="1" si="10"/>
        <v>#REF!</v>
      </c>
      <c r="H22" s="227" t="e">
        <f t="shared" ca="1" si="10"/>
        <v>#REF!</v>
      </c>
      <c r="I22" s="227" t="e">
        <f t="shared" ca="1" si="10"/>
        <v>#REF!</v>
      </c>
      <c r="J22" s="227" t="e">
        <f t="shared" ca="1" si="10"/>
        <v>#REF!</v>
      </c>
      <c r="K22" s="227" t="e">
        <f t="shared" ca="1" si="10"/>
        <v>#REF!</v>
      </c>
      <c r="L22" s="227" t="e">
        <f t="shared" ca="1" si="10"/>
        <v>#REF!</v>
      </c>
      <c r="M22" s="227" t="e">
        <f t="shared" ca="1" si="10"/>
        <v>#REF!</v>
      </c>
      <c r="N22" s="227" t="e">
        <f t="shared" ca="1" si="10"/>
        <v>#REF!</v>
      </c>
      <c r="O22" s="227" t="e">
        <f t="shared" ca="1" si="10"/>
        <v>#REF!</v>
      </c>
      <c r="P22" s="227" t="e">
        <f t="shared" ca="1" si="10"/>
        <v>#REF!</v>
      </c>
      <c r="Q22" s="228" t="e">
        <f ca="1">SUM(E22:P22)</f>
        <v>#REF!</v>
      </c>
    </row>
    <row r="23" spans="1:25" x14ac:dyDescent="0.3">
      <c r="A23" s="50"/>
      <c r="B23" s="50"/>
      <c r="C23" s="50"/>
      <c r="D23" s="50"/>
      <c r="E23" s="236" t="e">
        <f ca="1">'P&amp;G-SL'!I84+('P&amp;G-Ltd'!H46*'input-divisas'!B5)+('P&amp;G-Inc'!H35*'input-divisas'!B7)</f>
        <v>#REF!</v>
      </c>
      <c r="F23" s="236"/>
      <c r="G23" s="236"/>
      <c r="H23" s="236"/>
      <c r="I23" s="236"/>
      <c r="J23" s="236"/>
      <c r="K23" s="236">
        <f ca="1">('P&amp;G-Inc'!N38*'input-divisas'!H7)</f>
        <v>0</v>
      </c>
      <c r="L23" s="236"/>
      <c r="M23" s="236"/>
      <c r="N23" s="191"/>
      <c r="O23" s="191"/>
      <c r="P23" s="191"/>
      <c r="Q23" s="192"/>
    </row>
    <row r="24" spans="1:25" x14ac:dyDescent="0.3">
      <c r="A24" s="440" t="s">
        <v>86</v>
      </c>
      <c r="B24" s="440"/>
      <c r="C24" s="440"/>
      <c r="D24" s="440"/>
      <c r="E24" s="229">
        <f ca="1">SUM(E25:E28)</f>
        <v>73793.474100000007</v>
      </c>
      <c r="F24" s="229">
        <f t="shared" ref="F24:P24" ca="1" si="11">SUM(F25:F28)</f>
        <v>68958.238611570254</v>
      </c>
      <c r="G24" s="229" t="e">
        <f t="shared" ca="1" si="11"/>
        <v>#REF!</v>
      </c>
      <c r="H24" s="229" t="e">
        <f t="shared" ca="1" si="11"/>
        <v>#REF!</v>
      </c>
      <c r="I24" s="229" t="e">
        <f t="shared" ca="1" si="11"/>
        <v>#REF!</v>
      </c>
      <c r="J24" s="229" t="e">
        <f t="shared" ca="1" si="11"/>
        <v>#REF!</v>
      </c>
      <c r="K24" s="229" t="e">
        <f t="shared" ca="1" si="11"/>
        <v>#REF!</v>
      </c>
      <c r="L24" s="229" t="e">
        <f t="shared" ca="1" si="11"/>
        <v>#REF!</v>
      </c>
      <c r="M24" s="229" t="e">
        <f t="shared" ca="1" si="11"/>
        <v>#REF!</v>
      </c>
      <c r="N24" s="229" t="e">
        <f t="shared" ca="1" si="11"/>
        <v>#REF!</v>
      </c>
      <c r="O24" s="229" t="e">
        <f t="shared" ca="1" si="11"/>
        <v>#REF!</v>
      </c>
      <c r="P24" s="229" t="e">
        <f t="shared" ca="1" si="11"/>
        <v>#REF!</v>
      </c>
      <c r="Q24" s="230" t="e">
        <f t="shared" ref="Q24:Q31" ca="1" si="12">SUM(E24:P24)</f>
        <v>#REF!</v>
      </c>
      <c r="R24" s="264"/>
    </row>
    <row r="25" spans="1:25" x14ac:dyDescent="0.3">
      <c r="A25" s="385" t="s">
        <v>87</v>
      </c>
      <c r="B25" s="385"/>
      <c r="C25" s="385"/>
      <c r="D25" s="385"/>
      <c r="E25" s="231">
        <f ca="1">'P&amp;G-SL'!I92+('P&amp;G-Ltd'!H49*'input-divisas'!B5)+('P&amp;G-Inc'!H38*'input-divisas'!B7)</f>
        <v>54089.659999999996</v>
      </c>
      <c r="F25" s="231">
        <f ca="1">'P&amp;G-SL'!J92+('P&amp;G-Ltd'!I49*'input-divisas'!C5)+('P&amp;G-Inc'!I38*'input-divisas'!C7)</f>
        <v>47130.25</v>
      </c>
      <c r="G25" s="231">
        <f ca="1">'P&amp;G-SL'!K92+('P&amp;G-Ltd'!J49*'input-divisas'!D5)+('P&amp;G-Inc'!J38*'input-divisas'!D7)</f>
        <v>0</v>
      </c>
      <c r="H25" s="231">
        <f ca="1">'P&amp;G-SL'!L92+('P&amp;G-Ltd'!K49*'input-divisas'!E5)+('P&amp;G-Inc'!K38*'input-divisas'!E7)</f>
        <v>0</v>
      </c>
      <c r="I25" s="231">
        <f ca="1">'P&amp;G-SL'!M92+('P&amp;G-Ltd'!L49*'input-divisas'!F5)+('P&amp;G-Inc'!L38*'input-divisas'!F7)</f>
        <v>0</v>
      </c>
      <c r="J25" s="231">
        <f ca="1">'P&amp;G-SL'!N92+('P&amp;G-Ltd'!M49*'input-divisas'!G5)+('P&amp;G-Inc'!M38*'input-divisas'!G7)</f>
        <v>0</v>
      </c>
      <c r="K25" s="231">
        <f ca="1">'P&amp;G-SL'!O92+('P&amp;G-Ltd'!N49*'input-divisas'!H5)+('P&amp;G-Inc'!N38*'input-divisas'!H7)</f>
        <v>0</v>
      </c>
      <c r="L25" s="231">
        <f ca="1">'P&amp;G-SL'!P92+('P&amp;G-Ltd'!O49*'input-divisas'!I5)+('P&amp;G-Inc'!O38*'input-divisas'!I7)</f>
        <v>0</v>
      </c>
      <c r="M25" s="231">
        <f ca="1">'P&amp;G-SL'!Q92+('P&amp;G-Ltd'!P49*'input-divisas'!J5)+('P&amp;G-Inc'!P38*'input-divisas'!J7)</f>
        <v>0</v>
      </c>
      <c r="N25" s="231">
        <f ca="1">'P&amp;G-SL'!R92+('P&amp;G-Ltd'!Q49*'input-divisas'!K5)+('P&amp;G-Inc'!Q38*'input-divisas'!K7)</f>
        <v>0</v>
      </c>
      <c r="O25" s="231">
        <f ca="1">'P&amp;G-SL'!S92+('P&amp;G-Ltd'!R49*'input-divisas'!L5)+('P&amp;G-Inc'!R38*'input-divisas'!L7)</f>
        <v>0</v>
      </c>
      <c r="P25" s="231">
        <f ca="1">'P&amp;G-SL'!T92+('P&amp;G-Ltd'!S49*'input-divisas'!M5)+('P&amp;G-Inc'!S38*'input-divisas'!M7)</f>
        <v>0</v>
      </c>
      <c r="Q25" s="230">
        <f t="shared" ca="1" si="12"/>
        <v>101219.91</v>
      </c>
      <c r="R25" s="263"/>
      <c r="S25" s="263"/>
      <c r="T25" s="263"/>
      <c r="U25" s="263"/>
      <c r="V25" s="263"/>
      <c r="W25" s="263"/>
      <c r="X25" s="263"/>
      <c r="Y25" s="263"/>
    </row>
    <row r="26" spans="1:25" x14ac:dyDescent="0.3">
      <c r="A26" s="385" t="s">
        <v>102</v>
      </c>
      <c r="B26" s="385"/>
      <c r="C26" s="385"/>
      <c r="D26" s="385"/>
      <c r="E26" s="231">
        <f ca="1">('P&amp;G-SL'!I103-'P&amp;G-SL'!I109-'P&amp;G-SL'!I110)+('P&amp;G-Ltd'!H55*'input-divisas'!B$5)+('P&amp;G-Inc'!H44*'input-divisas'!B$7)</f>
        <v>14731.84</v>
      </c>
      <c r="F26" s="231">
        <f ca="1">('P&amp;G-SL'!J103-'P&amp;G-SL'!J109-'P&amp;G-SL'!J110)+('P&amp;G-Ltd'!I55*'input-divisas'!C$5)+('P&amp;G-Inc'!I44*'input-divisas'!C$7)</f>
        <v>14915.68</v>
      </c>
      <c r="G26" s="231">
        <f ca="1">('P&amp;G-SL'!K103-'P&amp;G-SL'!K109-'P&amp;G-SL'!K110)+('P&amp;G-Ltd'!J55*'input-divisas'!D$5)+('P&amp;G-Inc'!J44*'input-divisas'!D$7)</f>
        <v>0</v>
      </c>
      <c r="H26" s="231">
        <f ca="1">('P&amp;G-SL'!L103-'P&amp;G-SL'!L109-'P&amp;G-SL'!L110)+('P&amp;G-Ltd'!K55*'input-divisas'!E$5)+('P&amp;G-Inc'!K44*'input-divisas'!E$7)</f>
        <v>0</v>
      </c>
      <c r="I26" s="231">
        <f ca="1">('P&amp;G-SL'!M103-'P&amp;G-SL'!M109-'P&amp;G-SL'!M110)+('P&amp;G-Ltd'!L55*'input-divisas'!F$5)+('P&amp;G-Inc'!L44*'input-divisas'!F$7)</f>
        <v>0</v>
      </c>
      <c r="J26" s="231">
        <f ca="1">('P&amp;G-SL'!N103-'P&amp;G-SL'!N109-'P&amp;G-SL'!N110)+('P&amp;G-Ltd'!M55*'input-divisas'!G$5)+('P&amp;G-Inc'!M44*'input-divisas'!G$7)</f>
        <v>0</v>
      </c>
      <c r="K26" s="231">
        <f ca="1">('P&amp;G-SL'!O103-'P&amp;G-SL'!O109-'P&amp;G-SL'!O110)+('P&amp;G-Ltd'!N55*'input-divisas'!H$5)+('P&amp;G-Inc'!N44*'input-divisas'!H$7)</f>
        <v>0</v>
      </c>
      <c r="L26" s="231">
        <f ca="1">('P&amp;G-SL'!P103-'P&amp;G-SL'!P109-'P&amp;G-SL'!P110)+('P&amp;G-Ltd'!O55*'input-divisas'!I$5)+('P&amp;G-Inc'!O44*'input-divisas'!I$7)</f>
        <v>0</v>
      </c>
      <c r="M26" s="231">
        <f ca="1">('P&amp;G-SL'!Q103-'P&amp;G-SL'!Q109-'P&amp;G-SL'!Q110)+('P&amp;G-Ltd'!P55*'input-divisas'!J$5)+('P&amp;G-Inc'!P44*'input-divisas'!J$7)</f>
        <v>0</v>
      </c>
      <c r="N26" s="231">
        <f ca="1">('P&amp;G-SL'!R103-'P&amp;G-SL'!R109-'P&amp;G-SL'!R110)+('P&amp;G-Ltd'!Q55*'input-divisas'!K$5)+('P&amp;G-Inc'!Q44*'input-divisas'!K$7)</f>
        <v>0</v>
      </c>
      <c r="O26" s="231">
        <f ca="1">('P&amp;G-SL'!S103-'P&amp;G-SL'!S109-'P&amp;G-SL'!S110)+('P&amp;G-Ltd'!R55*'input-divisas'!L$5)+('P&amp;G-Inc'!R44*'input-divisas'!L$7)</f>
        <v>0</v>
      </c>
      <c r="P26" s="231">
        <f ca="1">('P&amp;G-SL'!T103-'P&amp;G-SL'!T109-'P&amp;G-SL'!T110)+('P&amp;G-Ltd'!S55*'input-divisas'!M$5)+('P&amp;G-Inc'!S44*'input-divisas'!M$7)</f>
        <v>0</v>
      </c>
      <c r="Q26" s="230">
        <f t="shared" ca="1" si="12"/>
        <v>29647.52</v>
      </c>
      <c r="R26" s="264"/>
    </row>
    <row r="27" spans="1:25" x14ac:dyDescent="0.3">
      <c r="A27" s="209" t="s">
        <v>910</v>
      </c>
      <c r="B27" s="13"/>
      <c r="C27" s="13"/>
      <c r="D27" s="13"/>
      <c r="E27" s="231">
        <f>-'P&amp;G-SL'!I48</f>
        <v>-2852.34</v>
      </c>
      <c r="F27" s="231">
        <f>-'P&amp;G-SL'!J48</f>
        <v>-1191.18</v>
      </c>
      <c r="G27" s="231" t="e">
        <f>-'P&amp;G-SL'!#REF!</f>
        <v>#REF!</v>
      </c>
      <c r="H27" s="231" t="e">
        <f>-'P&amp;G-SL'!#REF!</f>
        <v>#REF!</v>
      </c>
      <c r="I27" s="231" t="e">
        <f>-'P&amp;G-SL'!#REF!</f>
        <v>#REF!</v>
      </c>
      <c r="J27" s="231" t="e">
        <f>-'P&amp;G-SL'!#REF!</f>
        <v>#REF!</v>
      </c>
      <c r="K27" s="231" t="e">
        <f>-'P&amp;G-SL'!#REF!</f>
        <v>#REF!</v>
      </c>
      <c r="L27" s="231" t="e">
        <f>-'P&amp;G-SL'!#REF!</f>
        <v>#REF!</v>
      </c>
      <c r="M27" s="231" t="e">
        <f>-'P&amp;G-SL'!#REF!</f>
        <v>#REF!</v>
      </c>
      <c r="N27" s="231" t="e">
        <f>-'P&amp;G-SL'!#REF!</f>
        <v>#REF!</v>
      </c>
      <c r="O27" s="231" t="e">
        <f>-'P&amp;G-SL'!#REF!</f>
        <v>#REF!</v>
      </c>
      <c r="P27" s="231" t="e">
        <f>-'P&amp;G-SL'!#REF!</f>
        <v>#REF!</v>
      </c>
      <c r="Q27" s="230" t="e">
        <f t="shared" si="12"/>
        <v>#REF!</v>
      </c>
      <c r="R27" s="264"/>
    </row>
    <row r="28" spans="1:25" x14ac:dyDescent="0.3">
      <c r="A28" s="385" t="s">
        <v>109</v>
      </c>
      <c r="B28" s="385"/>
      <c r="C28" s="385"/>
      <c r="D28" s="385"/>
      <c r="E28" s="231">
        <f ca="1">'P&amp;G-SL'!I113+(('P&amp;G-Ltd'!H58-'P&amp;G-Ltd'!H65)*'input-divisas'!B5)+(('P&amp;G-Inc'!H47-'P&amp;G-Inc'!H54)*'input-divisas'!B7)</f>
        <v>7824.3140999999996</v>
      </c>
      <c r="F28" s="231">
        <f ca="1">'P&amp;G-SL'!J113+(('P&amp;G-Ltd'!I58-'P&amp;G-Ltd'!I65)*'input-divisas'!C5)+(('P&amp;G-Inc'!I47-'P&amp;G-Inc'!I54)*'input-divisas'!C7)</f>
        <v>8103.4886115702475</v>
      </c>
      <c r="G28" s="231">
        <f ca="1">'P&amp;G-SL'!K113+(('P&amp;G-Ltd'!J58-'P&amp;G-Ltd'!J65)*'input-divisas'!D5)+(('P&amp;G-Inc'!J47-'P&amp;G-Inc'!J54)*'input-divisas'!D7)</f>
        <v>0</v>
      </c>
      <c r="H28" s="231">
        <f ca="1">'P&amp;G-SL'!L113+(('P&amp;G-Ltd'!K58-'P&amp;G-Ltd'!K65)*'input-divisas'!E5)+(('P&amp;G-Inc'!K47-'P&amp;G-Inc'!K54)*'input-divisas'!E7)</f>
        <v>0</v>
      </c>
      <c r="I28" s="231">
        <f ca="1">'P&amp;G-SL'!M113+(('P&amp;G-Ltd'!L58-'P&amp;G-Ltd'!L65)*'input-divisas'!F5)+(('P&amp;G-Inc'!L47-'P&amp;G-Inc'!L54)*'input-divisas'!F7)</f>
        <v>0</v>
      </c>
      <c r="J28" s="231">
        <f ca="1">'P&amp;G-SL'!N113+(('P&amp;G-Ltd'!M58-'P&amp;G-Ltd'!M65)*'input-divisas'!G5)+(('P&amp;G-Inc'!M47-'P&amp;G-Inc'!M54)*'input-divisas'!G7)</f>
        <v>0</v>
      </c>
      <c r="K28" s="231">
        <f ca="1">'P&amp;G-SL'!O113+(('P&amp;G-Ltd'!N58-'P&amp;G-Ltd'!N65)*'input-divisas'!H5)+(('P&amp;G-Inc'!N47-'P&amp;G-Inc'!N54)*'input-divisas'!H7)</f>
        <v>0</v>
      </c>
      <c r="L28" s="231">
        <f ca="1">'P&amp;G-SL'!P113+(('P&amp;G-Ltd'!O58-'P&amp;G-Ltd'!O65)*'input-divisas'!I5)+(('P&amp;G-Inc'!O47-'P&amp;G-Inc'!O54)*'input-divisas'!I7)</f>
        <v>0</v>
      </c>
      <c r="M28" s="231">
        <f ca="1">'P&amp;G-SL'!Q113+(('P&amp;G-Ltd'!P58-'P&amp;G-Ltd'!P65)*'input-divisas'!J5)+(('P&amp;G-Inc'!P47-'P&amp;G-Inc'!P54)*'input-divisas'!J7)</f>
        <v>0</v>
      </c>
      <c r="N28" s="231">
        <f ca="1">'P&amp;G-SL'!R113+(('P&amp;G-Ltd'!Q58-'P&amp;G-Ltd'!Q65)*'input-divisas'!K5)+(('P&amp;G-Inc'!Q47-'P&amp;G-Inc'!Q54)*'input-divisas'!K7)</f>
        <v>0</v>
      </c>
      <c r="O28" s="231">
        <f ca="1">'P&amp;G-SL'!S113+(('P&amp;G-Ltd'!R58-'P&amp;G-Ltd'!R65)*'input-divisas'!L5)+(('P&amp;G-Inc'!R47-'P&amp;G-Inc'!R54)*'input-divisas'!L7)</f>
        <v>0</v>
      </c>
      <c r="P28" s="231">
        <f ca="1">'P&amp;G-SL'!T113+(('P&amp;G-Ltd'!S58-'P&amp;G-Ltd'!S65)*'input-divisas'!M5)+(('P&amp;G-Inc'!S47-'P&amp;G-Inc'!S54)*'input-divisas'!M7)</f>
        <v>0</v>
      </c>
      <c r="Q28" s="230">
        <f t="shared" ca="1" si="12"/>
        <v>15927.802711570246</v>
      </c>
    </row>
    <row r="29" spans="1:25" x14ac:dyDescent="0.3">
      <c r="A29" s="437" t="s">
        <v>172</v>
      </c>
      <c r="B29" s="437"/>
      <c r="C29" s="437"/>
      <c r="D29" s="437" t="s">
        <v>172</v>
      </c>
      <c r="E29" s="232" t="e">
        <f ca="1">+E22-E24</f>
        <v>#REF!</v>
      </c>
      <c r="F29" s="232" t="e">
        <f t="shared" ref="F29:M29" ca="1" si="13">+F22-F24</f>
        <v>#REF!</v>
      </c>
      <c r="G29" s="232" t="e">
        <f t="shared" ca="1" si="13"/>
        <v>#REF!</v>
      </c>
      <c r="H29" s="232" t="e">
        <f t="shared" ca="1" si="13"/>
        <v>#REF!</v>
      </c>
      <c r="I29" s="232" t="e">
        <f t="shared" ca="1" si="13"/>
        <v>#REF!</v>
      </c>
      <c r="J29" s="232" t="e">
        <f t="shared" ca="1" si="13"/>
        <v>#REF!</v>
      </c>
      <c r="K29" s="232" t="e">
        <f t="shared" ca="1" si="13"/>
        <v>#REF!</v>
      </c>
      <c r="L29" s="232" t="e">
        <f t="shared" ca="1" si="13"/>
        <v>#REF!</v>
      </c>
      <c r="M29" s="232" t="e">
        <f t="shared" ca="1" si="13"/>
        <v>#REF!</v>
      </c>
      <c r="N29" s="232" t="e">
        <f ca="1">+N22-N24</f>
        <v>#REF!</v>
      </c>
      <c r="O29" s="232" t="e">
        <f ca="1">+O22-O24</f>
        <v>#REF!</v>
      </c>
      <c r="P29" s="232" t="e">
        <f ca="1">+P22-P24</f>
        <v>#REF!</v>
      </c>
      <c r="Q29" s="230" t="e">
        <f t="shared" ca="1" si="12"/>
        <v>#REF!</v>
      </c>
    </row>
    <row r="30" spans="1:25" x14ac:dyDescent="0.3">
      <c r="A30" s="13"/>
      <c r="B30" s="13"/>
      <c r="C30" s="13"/>
      <c r="D30" s="13" t="s">
        <v>214</v>
      </c>
      <c r="E30" s="233">
        <f ca="1">SUMIFS(
  INDIRECT("input_invoice[net]"),
  INDIRECT("input_invoice[yyyymm]"), 'P&amp;G-Inc'!E$1,
  INDIRECT("input_invoice[concept/supplier]"), 'P&amp;G-Inc'!$C122
)</f>
        <v>0</v>
      </c>
      <c r="F30" s="233">
        <f ca="1">SUMIFS(
  INDIRECT("input_invoice[net]"),
  INDIRECT("input_invoice[yyyymm]"), 'P&amp;G-Inc'!F$1,
  INDIRECT("input_invoice[concept/supplier]"), 'P&amp;G-Inc'!$C122
)</f>
        <v>0</v>
      </c>
      <c r="G30" s="233">
        <f ca="1">SUMIFS(
  INDIRECT("input_invoice[net]"),
  INDIRECT("input_invoice[yyyymm]"), 'P&amp;G-Inc'!G$1,
  INDIRECT("input_invoice[concept/supplier]"), 'P&amp;G-Inc'!$C122
)</f>
        <v>0</v>
      </c>
      <c r="H30" s="233">
        <f ca="1">SUMIFS(
  INDIRECT("input_invoice[net]"),
  INDIRECT("input_invoice[yyyymm]"), 'P&amp;G-Inc'!H$1,
  INDIRECT("input_invoice[concept/supplier]"), 'P&amp;G-Inc'!$C122
)</f>
        <v>0</v>
      </c>
      <c r="I30" s="233">
        <f ca="1">SUMIFS(
  INDIRECT("input_invoice[net]"),
  INDIRECT("input_invoice[yyyymm]"), 'P&amp;G-Inc'!I$1,
  INDIRECT("input_invoice[concept/supplier]"), 'P&amp;G-Inc'!$C122
)</f>
        <v>0</v>
      </c>
      <c r="J30" s="233">
        <f ca="1">SUMIFS(
  INDIRECT("input_invoice[net]"),
  INDIRECT("input_invoice[yyyymm]"), 'P&amp;G-Inc'!J$1,
  INDIRECT("input_invoice[concept/supplier]"), 'P&amp;G-Inc'!$C122
)</f>
        <v>0</v>
      </c>
      <c r="K30" s="233">
        <f ca="1">SUMIFS(
  INDIRECT("input_invoice[net]"),
  INDIRECT("input_invoice[yyyymm]"), 'P&amp;G-Inc'!K$1,
  INDIRECT("input_invoice[concept/supplier]"), 'P&amp;G-Inc'!$C122
)</f>
        <v>0</v>
      </c>
      <c r="L30" s="233">
        <f ca="1">SUMIFS(
  INDIRECT("input_invoice[net]"),
  INDIRECT("input_invoice[yyyymm]"), 'P&amp;G-Inc'!L$1,
  INDIRECT("input_invoice[concept/supplier]"), 'P&amp;G-Inc'!$C122
)</f>
        <v>0</v>
      </c>
      <c r="M30" s="233">
        <f ca="1">SUMIFS(
  INDIRECT("input_invoice[net]"),
  INDIRECT("input_invoice[yyyymm]"), 'P&amp;G-Inc'!M$1,
  INDIRECT("input_invoice[concept/supplier]"), 'P&amp;G-Inc'!$C122
)</f>
        <v>0</v>
      </c>
      <c r="N30" s="233">
        <f ca="1">SUMIFS(
  INDIRECT("input_invoice[net]"),
  INDIRECT("input_invoice[yyyymm]"), 'P&amp;G-Inc'!N$1,
  INDIRECT("input_invoice[concept/supplier]"), 'P&amp;G-Inc'!$C122
)</f>
        <v>0</v>
      </c>
      <c r="O30" s="233">
        <f ca="1">SUMIFS(
  INDIRECT("input_invoice[net]"),
  INDIRECT("input_invoice[yyyymm]"), 'P&amp;G-Inc'!O$1,
  INDIRECT("input_invoice[concept/supplier]"), 'P&amp;G-Inc'!$C122
)</f>
        <v>0</v>
      </c>
      <c r="P30" s="233">
        <f ca="1">SUMIFS(
  INDIRECT("input_invoice[net]"),
  INDIRECT("input_invoice[yyyymm]"), 'P&amp;G-Inc'!P$1,
  INDIRECT("input_invoice[concept/supplier]"), 'P&amp;G-Inc'!$C122
)</f>
        <v>0</v>
      </c>
      <c r="Q30" s="230">
        <f t="shared" ca="1" si="12"/>
        <v>0</v>
      </c>
    </row>
    <row r="31" spans="1:25" x14ac:dyDescent="0.3">
      <c r="A31" s="13"/>
      <c r="B31" s="13"/>
      <c r="C31" s="13"/>
      <c r="D31" s="13" t="s">
        <v>216</v>
      </c>
      <c r="E31" s="233">
        <f ca="1">SUMIFS(
  INDIRECT("input_invoice[net]"),
  INDIRECT("input_invoice[yyyymm]"), 'P&amp;G-Inc'!E$1,
  INDIRECT("input_invoice[concept/supplier]"), 'P&amp;G-Inc'!$C123
)</f>
        <v>0</v>
      </c>
      <c r="F31" s="233">
        <f ca="1">SUMIFS(
  INDIRECT("input_invoice[net]"),
  INDIRECT("input_invoice[yyyymm]"), 'P&amp;G-Inc'!F$1,
  INDIRECT("input_invoice[concept/supplier]"), 'P&amp;G-Inc'!$C123
)</f>
        <v>0</v>
      </c>
      <c r="G31" s="233">
        <f ca="1">SUMIFS(
  INDIRECT("input_invoice[net]"),
  INDIRECT("input_invoice[yyyymm]"), 'P&amp;G-Inc'!G$1,
  INDIRECT("input_invoice[concept/supplier]"), 'P&amp;G-Inc'!$C123
)</f>
        <v>0</v>
      </c>
      <c r="H31" s="233">
        <f ca="1">SUMIFS(
  INDIRECT("input_invoice[net]"),
  INDIRECT("input_invoice[yyyymm]"), 'P&amp;G-Inc'!H$1,
  INDIRECT("input_invoice[concept/supplier]"), 'P&amp;G-Inc'!$C123
)</f>
        <v>0</v>
      </c>
      <c r="I31" s="233">
        <f ca="1">SUMIFS(
  INDIRECT("input_invoice[net]"),
  INDIRECT("input_invoice[yyyymm]"), 'P&amp;G-Inc'!I$1,
  INDIRECT("input_invoice[concept/supplier]"), 'P&amp;G-Inc'!$C123
)</f>
        <v>0</v>
      </c>
      <c r="J31" s="233">
        <f ca="1">SUMIFS(
  INDIRECT("input_invoice[net]"),
  INDIRECT("input_invoice[yyyymm]"), 'P&amp;G-Inc'!J$1,
  INDIRECT("input_invoice[concept/supplier]"), 'P&amp;G-Inc'!$C123
)</f>
        <v>0</v>
      </c>
      <c r="K31" s="233">
        <f ca="1">SUMIFS(
  INDIRECT("input_invoice[net]"),
  INDIRECT("input_invoice[yyyymm]"), 'P&amp;G-Inc'!K$1,
  INDIRECT("input_invoice[concept/supplier]"), 'P&amp;G-Inc'!$C123
)</f>
        <v>0</v>
      </c>
      <c r="L31" s="233">
        <f ca="1">SUMIFS(
  INDIRECT("input_invoice[net]"),
  INDIRECT("input_invoice[yyyymm]"), 'P&amp;G-Inc'!L$1,
  INDIRECT("input_invoice[concept/supplier]"), 'P&amp;G-Inc'!$C123
)</f>
        <v>0</v>
      </c>
      <c r="M31" s="233">
        <f ca="1">SUMIFS(
  INDIRECT("input_invoice[net]"),
  INDIRECT("input_invoice[yyyymm]"), 'P&amp;G-Inc'!M$1,
  INDIRECT("input_invoice[concept/supplier]"), 'P&amp;G-Inc'!$C123
)</f>
        <v>0</v>
      </c>
      <c r="N31" s="233">
        <f ca="1">SUMIFS(
  INDIRECT("input_invoice[net]"),
  INDIRECT("input_invoice[yyyymm]"), 'P&amp;G-Inc'!N$1,
  INDIRECT("input_invoice[concept/supplier]"), 'P&amp;G-Inc'!$C123
)</f>
        <v>0</v>
      </c>
      <c r="O31" s="233">
        <f ca="1">SUMIFS(
  INDIRECT("input_invoice[net]"),
  INDIRECT("input_invoice[yyyymm]"), 'P&amp;G-Inc'!O$1,
  INDIRECT("input_invoice[concept/supplier]"), 'P&amp;G-Inc'!$C123
)</f>
        <v>0</v>
      </c>
      <c r="P31" s="233">
        <f ca="1">SUMIFS(
  INDIRECT("input_invoice[net]"),
  INDIRECT("input_invoice[yyyymm]"), 'P&amp;G-Inc'!P$1,
  INDIRECT("input_invoice[concept/supplier]"), 'P&amp;G-Inc'!$C123
)</f>
        <v>0</v>
      </c>
      <c r="Q31" s="230">
        <f t="shared" ca="1" si="12"/>
        <v>0</v>
      </c>
    </row>
    <row r="32" spans="1:25" x14ac:dyDescent="0.3">
      <c r="A32" s="12"/>
      <c r="B32" s="12"/>
      <c r="C32" s="12"/>
      <c r="D32" s="12"/>
      <c r="E32" s="234" t="e">
        <f ca="1">+E29-E33</f>
        <v>#REF!</v>
      </c>
      <c r="F32" s="234" t="e">
        <f t="shared" ref="F32:M32" ca="1" si="14">+F29-F33</f>
        <v>#REF!</v>
      </c>
      <c r="G32" s="234" t="e">
        <f t="shared" ca="1" si="14"/>
        <v>#REF!</v>
      </c>
      <c r="H32" s="234" t="e">
        <f t="shared" ca="1" si="14"/>
        <v>#REF!</v>
      </c>
      <c r="I32" s="234" t="e">
        <f t="shared" ca="1" si="14"/>
        <v>#REF!</v>
      </c>
      <c r="J32" s="234" t="e">
        <f t="shared" ca="1" si="14"/>
        <v>#REF!</v>
      </c>
      <c r="K32" s="234" t="e">
        <f t="shared" ca="1" si="14"/>
        <v>#REF!</v>
      </c>
      <c r="L32" s="234" t="e">
        <f t="shared" ca="1" si="14"/>
        <v>#REF!</v>
      </c>
      <c r="M32" s="234" t="e">
        <f t="shared" ca="1" si="14"/>
        <v>#REF!</v>
      </c>
      <c r="N32" s="234"/>
      <c r="O32" s="234"/>
      <c r="P32" s="234"/>
      <c r="Q32" s="230"/>
    </row>
    <row r="33" spans="1:17" x14ac:dyDescent="0.3">
      <c r="A33" s="398" t="s">
        <v>175</v>
      </c>
      <c r="B33" s="398"/>
      <c r="C33" s="398"/>
      <c r="D33" s="399" t="s">
        <v>175</v>
      </c>
      <c r="E33" s="235" t="e">
        <f ca="1">'P&amp;G-SL'!I157+('P&amp;G-Ltd'!H72*'input-divisas'!B5)+('P&amp;G-Inc'!H61*'input-divisas'!B7)</f>
        <v>#REF!</v>
      </c>
      <c r="F33" s="235" t="e">
        <f ca="1">'P&amp;G-SL'!J157+('P&amp;G-Ltd'!I72*'input-divisas'!C5)+('P&amp;G-Inc'!I61*'input-divisas'!C7)</f>
        <v>#REF!</v>
      </c>
      <c r="G33" s="235" t="e">
        <f ca="1">'P&amp;G-SL'!K157+('P&amp;G-Ltd'!J72*'input-divisas'!D5)+('P&amp;G-Inc'!J61*'input-divisas'!D7)</f>
        <v>#REF!</v>
      </c>
      <c r="H33" s="235" t="e">
        <f ca="1">'P&amp;G-SL'!L157+('P&amp;G-Ltd'!K72*'input-divisas'!E5)+('P&amp;G-Inc'!K61*'input-divisas'!E7)</f>
        <v>#REF!</v>
      </c>
      <c r="I33" s="235" t="e">
        <f ca="1">'P&amp;G-SL'!M157+('P&amp;G-Ltd'!L72*'input-divisas'!F5)+('P&amp;G-Inc'!L61*'input-divisas'!F7)</f>
        <v>#REF!</v>
      </c>
      <c r="J33" s="235" t="e">
        <f ca="1">'P&amp;G-SL'!N157+('P&amp;G-Ltd'!M72*'input-divisas'!G5)+('P&amp;G-Inc'!M61*'input-divisas'!G7)</f>
        <v>#REF!</v>
      </c>
      <c r="K33" s="235" t="e">
        <f ca="1">'P&amp;G-SL'!O157+('P&amp;G-Ltd'!N72*'input-divisas'!H5)+('P&amp;G-Inc'!N61*'input-divisas'!H7)</f>
        <v>#REF!</v>
      </c>
      <c r="L33" s="235" t="e">
        <f ca="1">'P&amp;G-SL'!P157+('P&amp;G-Ltd'!O72*'input-divisas'!I5)+('P&amp;G-Inc'!O61*'input-divisas'!I7)</f>
        <v>#REF!</v>
      </c>
      <c r="M33" s="235" t="e">
        <f ca="1">'P&amp;G-SL'!Q157+('P&amp;G-Ltd'!P72*'input-divisas'!J5)+('P&amp;G-Inc'!P61*'input-divisas'!J7)</f>
        <v>#REF!</v>
      </c>
      <c r="N33" s="235" t="e">
        <f ca="1">'P&amp;G-SL'!R157+('P&amp;G-Ltd'!Q72*'input-divisas'!K5)+('P&amp;G-Inc'!Q61*'input-divisas'!K7)</f>
        <v>#REF!</v>
      </c>
      <c r="O33" s="235" t="e">
        <f ca="1">'P&amp;G-SL'!S157+('P&amp;G-Ltd'!R72*'input-divisas'!L5)+('P&amp;G-Inc'!R61*'input-divisas'!L7)</f>
        <v>#REF!</v>
      </c>
      <c r="P33" s="235" t="e">
        <f ca="1">'P&amp;G-SL'!T157+('P&amp;G-Ltd'!S72*'input-divisas'!M5)+('P&amp;G-Inc'!S61*'input-divisas'!M7)</f>
        <v>#REF!</v>
      </c>
      <c r="Q33" s="230" t="e">
        <f ca="1">SUM(E33:P33)</f>
        <v>#REF!</v>
      </c>
    </row>
    <row r="34" spans="1:17" x14ac:dyDescent="0.3">
      <c r="A34" s="12"/>
      <c r="B34" s="12"/>
      <c r="C34" s="12"/>
      <c r="D34" s="11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268"/>
    </row>
  </sheetData>
  <mergeCells count="21">
    <mergeCell ref="A2:D2"/>
    <mergeCell ref="A3:D3"/>
    <mergeCell ref="A4:D4"/>
    <mergeCell ref="B9:D9"/>
    <mergeCell ref="A12:D12"/>
    <mergeCell ref="A29:D29"/>
    <mergeCell ref="A33:D33"/>
    <mergeCell ref="B7:D7"/>
    <mergeCell ref="B5:D5"/>
    <mergeCell ref="A14:B14"/>
    <mergeCell ref="A26:D26"/>
    <mergeCell ref="A28:D28"/>
    <mergeCell ref="A22:D22"/>
    <mergeCell ref="A24:D24"/>
    <mergeCell ref="A25:D25"/>
    <mergeCell ref="A19:D19"/>
    <mergeCell ref="A20:D20"/>
    <mergeCell ref="A21:D21"/>
    <mergeCell ref="A17:D17"/>
    <mergeCell ref="A15:D15"/>
    <mergeCell ref="A16:D16"/>
  </mergeCells>
  <conditionalFormatting sqref="E4:P10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0159F-A905-4A38-B2DA-A845C0E21615}">
  <sheetPr>
    <tabColor rgb="FFFF0000"/>
  </sheetPr>
  <dimension ref="A1"/>
  <sheetViews>
    <sheetView workbookViewId="0">
      <selection activeCell="G23" sqref="G23"/>
    </sheetView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AFBBB-56CD-4154-8FE3-DC35AD382904}">
  <sheetPr>
    <tabColor rgb="FFFF0000"/>
  </sheetPr>
  <dimension ref="A1"/>
  <sheetViews>
    <sheetView workbookViewId="0">
      <selection activeCell="J26" sqref="J26"/>
    </sheetView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34A6-E5ED-4188-A050-B420C1820F6D}">
  <sheetPr>
    <tabColor rgb="FFFFC000"/>
  </sheetPr>
  <dimension ref="A1:M12"/>
  <sheetViews>
    <sheetView showGridLines="0" workbookViewId="0">
      <selection activeCell="E22" sqref="E22"/>
    </sheetView>
  </sheetViews>
  <sheetFormatPr baseColWidth="10" defaultRowHeight="14.4" x14ac:dyDescent="0.3"/>
  <cols>
    <col min="1" max="1" width="22.5546875" bestFit="1" customWidth="1"/>
  </cols>
  <sheetData>
    <row r="1" spans="1:13" x14ac:dyDescent="0.3">
      <c r="A1" s="319" t="s">
        <v>1446</v>
      </c>
      <c r="B1" s="304">
        <v>46023</v>
      </c>
    </row>
    <row r="2" spans="1:13" x14ac:dyDescent="0.3">
      <c r="A2" s="319" t="s">
        <v>1447</v>
      </c>
      <c r="B2" s="304">
        <v>46387</v>
      </c>
    </row>
    <row r="4" spans="1:13" x14ac:dyDescent="0.3">
      <c r="A4" s="319" t="s">
        <v>239</v>
      </c>
      <c r="B4" s="304" t="str">
        <f>TEXT(B1,"aaaamm")</f>
        <v>202601</v>
      </c>
      <c r="C4" s="305">
        <f>+B4+1</f>
        <v>202602</v>
      </c>
      <c r="D4" s="305">
        <f t="shared" ref="D4:M4" si="0">+C4+1</f>
        <v>202603</v>
      </c>
      <c r="E4" s="305">
        <f t="shared" si="0"/>
        <v>202604</v>
      </c>
      <c r="F4" s="305">
        <f t="shared" si="0"/>
        <v>202605</v>
      </c>
      <c r="G4" s="305">
        <f t="shared" si="0"/>
        <v>202606</v>
      </c>
      <c r="H4" s="305">
        <f t="shared" si="0"/>
        <v>202607</v>
      </c>
      <c r="I4" s="305">
        <f t="shared" si="0"/>
        <v>202608</v>
      </c>
      <c r="J4" s="305">
        <f t="shared" si="0"/>
        <v>202609</v>
      </c>
      <c r="K4" s="305">
        <f t="shared" si="0"/>
        <v>202610</v>
      </c>
      <c r="L4" s="305">
        <f>+K4+1</f>
        <v>202611</v>
      </c>
      <c r="M4" s="305">
        <f t="shared" si="0"/>
        <v>202612</v>
      </c>
    </row>
    <row r="6" spans="1:13" x14ac:dyDescent="0.3">
      <c r="A6" s="306" t="s">
        <v>10</v>
      </c>
      <c r="B6" s="46" t="s">
        <v>2</v>
      </c>
      <c r="C6" s="46" t="s">
        <v>13</v>
      </c>
      <c r="D6" s="46" t="s">
        <v>1418</v>
      </c>
    </row>
    <row r="8" spans="1:13" x14ac:dyDescent="0.3">
      <c r="A8" s="306" t="s">
        <v>1475</v>
      </c>
      <c r="B8" s="46" t="s">
        <v>2</v>
      </c>
      <c r="C8" s="46" t="s">
        <v>33</v>
      </c>
      <c r="D8" s="46" t="s">
        <v>34</v>
      </c>
    </row>
    <row r="9" spans="1:13" x14ac:dyDescent="0.3">
      <c r="A9" s="306" t="s">
        <v>1476</v>
      </c>
      <c r="B9" s="46" t="s">
        <v>102</v>
      </c>
      <c r="C9" s="46" t="s">
        <v>1477</v>
      </c>
    </row>
    <row r="11" spans="1:13" ht="14.4" customHeight="1" x14ac:dyDescent="0.3">
      <c r="A11" s="332" t="s">
        <v>1529</v>
      </c>
      <c r="B11" s="45" t="s">
        <v>38</v>
      </c>
      <c r="C11" s="45" t="s">
        <v>40</v>
      </c>
      <c r="D11" s="333" t="s">
        <v>42</v>
      </c>
      <c r="E11" s="45" t="s">
        <v>44</v>
      </c>
      <c r="F11" s="45" t="s">
        <v>48</v>
      </c>
    </row>
    <row r="12" spans="1:13" x14ac:dyDescent="0.3">
      <c r="A12" s="332" t="s">
        <v>1530</v>
      </c>
      <c r="B12" s="45" t="s">
        <v>421</v>
      </c>
      <c r="C12" s="45" t="s">
        <v>422</v>
      </c>
      <c r="D12" s="333" t="s">
        <v>1531</v>
      </c>
      <c r="E12" s="45" t="s">
        <v>1032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9FA0-AE56-4EF6-8A21-F39A8A309196}">
  <sheetPr>
    <tabColor rgb="FFFFC000"/>
  </sheetPr>
  <dimension ref="A1:M3"/>
  <sheetViews>
    <sheetView workbookViewId="0">
      <selection activeCell="D10" sqref="D10"/>
    </sheetView>
  </sheetViews>
  <sheetFormatPr baseColWidth="10" defaultRowHeight="14.4" x14ac:dyDescent="0.3"/>
  <sheetData>
    <row r="1" spans="1:13" x14ac:dyDescent="0.3">
      <c r="B1">
        <v>202601</v>
      </c>
      <c r="C1">
        <v>202602</v>
      </c>
      <c r="D1">
        <v>202603</v>
      </c>
      <c r="E1">
        <v>202604</v>
      </c>
      <c r="F1">
        <v>202605</v>
      </c>
      <c r="G1">
        <v>202606</v>
      </c>
      <c r="H1">
        <v>202607</v>
      </c>
      <c r="I1">
        <v>202608</v>
      </c>
      <c r="J1">
        <v>202609</v>
      </c>
      <c r="K1">
        <v>202610</v>
      </c>
      <c r="L1">
        <v>202611</v>
      </c>
      <c r="M1">
        <v>202612</v>
      </c>
    </row>
    <row r="2" spans="1:13" x14ac:dyDescent="0.3">
      <c r="A2" t="s">
        <v>499</v>
      </c>
      <c r="B2" s="60">
        <v>1.1499999999999999</v>
      </c>
      <c r="C2" s="311">
        <v>1.1448</v>
      </c>
    </row>
    <row r="3" spans="1:13" x14ac:dyDescent="0.3">
      <c r="A3" t="s">
        <v>497</v>
      </c>
      <c r="B3" s="48">
        <v>0.84</v>
      </c>
      <c r="C3" s="48">
        <v>0.85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54AF-AF58-4870-9347-146503FFCA4A}">
  <sheetPr>
    <tabColor rgb="FF00823B"/>
  </sheetPr>
  <dimension ref="A1:L385"/>
  <sheetViews>
    <sheetView showGridLines="0" workbookViewId="0"/>
  </sheetViews>
  <sheetFormatPr baseColWidth="10" defaultColWidth="11.44140625" defaultRowHeight="14.4" x14ac:dyDescent="0.3"/>
  <cols>
    <col min="1" max="1" width="6" bestFit="1" customWidth="1"/>
    <col min="2" max="2" width="2.5546875" customWidth="1"/>
    <col min="3" max="3" width="21.5546875" bestFit="1" customWidth="1"/>
    <col min="4" max="4" width="22.33203125" bestFit="1" customWidth="1"/>
    <col min="5" max="5" width="18.6640625" bestFit="1" customWidth="1"/>
    <col min="6" max="6" width="13" bestFit="1" customWidth="1"/>
    <col min="7" max="7" width="14.77734375" bestFit="1" customWidth="1"/>
    <col min="8" max="8" width="14.21875" bestFit="1" customWidth="1"/>
    <col min="9" max="9" width="9" bestFit="1" customWidth="1"/>
    <col min="10" max="11" width="10" bestFit="1" customWidth="1"/>
    <col min="12" max="12" width="12" bestFit="1" customWidth="1"/>
  </cols>
  <sheetData>
    <row r="1" spans="1:11" x14ac:dyDescent="0.3">
      <c r="A1" s="199" t="s">
        <v>1428</v>
      </c>
      <c r="B1" s="199"/>
      <c r="C1" t="s">
        <v>482</v>
      </c>
      <c r="D1" t="s">
        <v>483</v>
      </c>
      <c r="E1" t="s">
        <v>484</v>
      </c>
      <c r="F1" t="s">
        <v>485</v>
      </c>
      <c r="G1" t="s">
        <v>486</v>
      </c>
      <c r="H1" t="s">
        <v>487</v>
      </c>
      <c r="I1" t="s">
        <v>245</v>
      </c>
      <c r="J1" t="s">
        <v>244</v>
      </c>
      <c r="K1" t="s">
        <v>246</v>
      </c>
    </row>
    <row r="2" spans="1:11" x14ac:dyDescent="0.3">
      <c r="C2" s="279" t="s">
        <v>951</v>
      </c>
      <c r="D2" s="279" t="s">
        <v>22</v>
      </c>
      <c r="E2" s="279" t="s">
        <v>488</v>
      </c>
      <c r="F2">
        <v>0</v>
      </c>
      <c r="G2">
        <v>0</v>
      </c>
      <c r="H2">
        <v>0</v>
      </c>
      <c r="I2">
        <v>14.77</v>
      </c>
      <c r="J2">
        <v>81.900000000000006</v>
      </c>
      <c r="K2">
        <v>67.13</v>
      </c>
    </row>
    <row r="3" spans="1:11" x14ac:dyDescent="0.3">
      <c r="C3" s="279" t="s">
        <v>951</v>
      </c>
      <c r="D3" s="279" t="s">
        <v>22</v>
      </c>
      <c r="E3" s="279" t="s">
        <v>488</v>
      </c>
      <c r="F3">
        <v>0</v>
      </c>
      <c r="G3">
        <v>0</v>
      </c>
      <c r="H3">
        <v>0</v>
      </c>
      <c r="I3">
        <v>787.91</v>
      </c>
      <c r="J3">
        <v>4369.63</v>
      </c>
      <c r="K3">
        <v>3581.72</v>
      </c>
    </row>
    <row r="4" spans="1:11" x14ac:dyDescent="0.3">
      <c r="C4" s="279" t="s">
        <v>951</v>
      </c>
      <c r="D4" s="279" t="s">
        <v>20</v>
      </c>
      <c r="E4" s="279" t="s">
        <v>488</v>
      </c>
      <c r="F4">
        <v>0</v>
      </c>
      <c r="G4">
        <v>0</v>
      </c>
      <c r="H4">
        <v>0</v>
      </c>
      <c r="I4">
        <v>16.29</v>
      </c>
      <c r="J4">
        <v>97.76</v>
      </c>
      <c r="K4">
        <v>81.47</v>
      </c>
    </row>
    <row r="5" spans="1:11" x14ac:dyDescent="0.3">
      <c r="C5" s="279" t="s">
        <v>951</v>
      </c>
      <c r="D5" s="279" t="s">
        <v>8</v>
      </c>
      <c r="E5" s="279" t="s">
        <v>488</v>
      </c>
      <c r="F5">
        <v>0</v>
      </c>
      <c r="G5">
        <v>0</v>
      </c>
      <c r="H5">
        <v>1</v>
      </c>
      <c r="I5">
        <v>209.89</v>
      </c>
      <c r="J5">
        <v>1209.1199999999999</v>
      </c>
      <c r="K5">
        <v>999.23</v>
      </c>
    </row>
    <row r="6" spans="1:11" x14ac:dyDescent="0.3">
      <c r="C6" s="279" t="s">
        <v>951</v>
      </c>
      <c r="D6" s="279" t="s">
        <v>26</v>
      </c>
      <c r="E6" s="279" t="s">
        <v>488</v>
      </c>
      <c r="F6">
        <v>0</v>
      </c>
      <c r="G6">
        <v>0</v>
      </c>
      <c r="H6">
        <v>0</v>
      </c>
      <c r="I6">
        <v>78.67</v>
      </c>
      <c r="J6">
        <v>453.32</v>
      </c>
      <c r="K6">
        <v>374.65</v>
      </c>
    </row>
    <row r="7" spans="1:11" x14ac:dyDescent="0.3">
      <c r="C7" s="279" t="s">
        <v>951</v>
      </c>
      <c r="D7" s="279" t="s">
        <v>28</v>
      </c>
      <c r="E7" s="279" t="s">
        <v>488</v>
      </c>
      <c r="F7">
        <v>0</v>
      </c>
      <c r="G7">
        <v>0</v>
      </c>
      <c r="H7">
        <v>0</v>
      </c>
      <c r="I7">
        <v>49.49</v>
      </c>
      <c r="J7">
        <v>285.10000000000002</v>
      </c>
      <c r="K7">
        <v>235.61</v>
      </c>
    </row>
    <row r="8" spans="1:11" x14ac:dyDescent="0.3">
      <c r="C8" s="279" t="s">
        <v>951</v>
      </c>
      <c r="D8" s="279" t="s">
        <v>8</v>
      </c>
      <c r="E8" s="279" t="s">
        <v>488</v>
      </c>
      <c r="F8">
        <v>0</v>
      </c>
      <c r="G8">
        <v>0</v>
      </c>
      <c r="H8">
        <v>0</v>
      </c>
      <c r="I8">
        <v>21943.85</v>
      </c>
      <c r="J8">
        <v>126640.18</v>
      </c>
      <c r="K8">
        <v>104696.33</v>
      </c>
    </row>
    <row r="9" spans="1:11" x14ac:dyDescent="0.3">
      <c r="C9" s="279" t="s">
        <v>951</v>
      </c>
      <c r="D9" s="279" t="s">
        <v>22</v>
      </c>
      <c r="E9" s="279" t="s">
        <v>488</v>
      </c>
      <c r="F9">
        <v>0</v>
      </c>
      <c r="G9">
        <v>1</v>
      </c>
      <c r="H9">
        <v>0</v>
      </c>
      <c r="I9">
        <v>55.57</v>
      </c>
      <c r="J9">
        <v>320.11</v>
      </c>
      <c r="K9">
        <v>264.54000000000002</v>
      </c>
    </row>
    <row r="10" spans="1:11" x14ac:dyDescent="0.3">
      <c r="C10" s="279" t="s">
        <v>951</v>
      </c>
      <c r="D10" s="279" t="s">
        <v>181</v>
      </c>
      <c r="E10" s="279" t="s">
        <v>489</v>
      </c>
      <c r="F10">
        <v>0</v>
      </c>
      <c r="G10">
        <v>1</v>
      </c>
      <c r="H10">
        <v>0</v>
      </c>
      <c r="I10">
        <v>6.81</v>
      </c>
      <c r="J10">
        <v>40.840000000000003</v>
      </c>
      <c r="K10">
        <v>34.03</v>
      </c>
    </row>
    <row r="11" spans="1:11" x14ac:dyDescent="0.3">
      <c r="C11" s="279" t="s">
        <v>951</v>
      </c>
      <c r="D11" s="279" t="s">
        <v>24</v>
      </c>
      <c r="E11" s="279" t="s">
        <v>488</v>
      </c>
      <c r="F11">
        <v>0</v>
      </c>
      <c r="G11">
        <v>1</v>
      </c>
      <c r="H11">
        <v>0</v>
      </c>
      <c r="I11">
        <v>2.08</v>
      </c>
      <c r="J11">
        <v>11.97</v>
      </c>
      <c r="K11">
        <v>9.89</v>
      </c>
    </row>
    <row r="12" spans="1:11" x14ac:dyDescent="0.3">
      <c r="C12" s="279" t="s">
        <v>951</v>
      </c>
      <c r="D12" s="279" t="s">
        <v>32</v>
      </c>
      <c r="E12" s="279" t="s">
        <v>488</v>
      </c>
      <c r="F12">
        <v>0</v>
      </c>
      <c r="G12">
        <v>0</v>
      </c>
      <c r="H12">
        <v>0</v>
      </c>
      <c r="I12">
        <v>12.62</v>
      </c>
      <c r="J12">
        <v>86.85</v>
      </c>
      <c r="K12">
        <v>74.23</v>
      </c>
    </row>
    <row r="13" spans="1:11" x14ac:dyDescent="0.3">
      <c r="C13" s="279" t="s">
        <v>951</v>
      </c>
      <c r="D13" s="279" t="s">
        <v>20</v>
      </c>
      <c r="E13" s="279" t="s">
        <v>488</v>
      </c>
      <c r="F13">
        <v>0</v>
      </c>
      <c r="G13">
        <v>1</v>
      </c>
      <c r="H13">
        <v>0</v>
      </c>
      <c r="I13">
        <v>26.77</v>
      </c>
      <c r="J13">
        <v>154.19</v>
      </c>
      <c r="K13">
        <v>127.42</v>
      </c>
    </row>
    <row r="14" spans="1:11" x14ac:dyDescent="0.3">
      <c r="C14" s="279" t="s">
        <v>951</v>
      </c>
      <c r="D14" s="279" t="s">
        <v>181</v>
      </c>
      <c r="E14" s="279" t="s">
        <v>489</v>
      </c>
      <c r="F14">
        <v>0</v>
      </c>
      <c r="G14">
        <v>0</v>
      </c>
      <c r="H14">
        <v>0</v>
      </c>
      <c r="I14">
        <v>-2.04</v>
      </c>
      <c r="J14">
        <v>-12.25</v>
      </c>
      <c r="K14">
        <v>-10.210000000000001</v>
      </c>
    </row>
    <row r="15" spans="1:11" x14ac:dyDescent="0.3">
      <c r="C15" s="279" t="s">
        <v>951</v>
      </c>
      <c r="D15" s="279" t="s">
        <v>18</v>
      </c>
      <c r="E15" s="279" t="s">
        <v>488</v>
      </c>
      <c r="F15">
        <v>0</v>
      </c>
      <c r="G15">
        <v>1</v>
      </c>
      <c r="H15">
        <v>0</v>
      </c>
      <c r="I15">
        <v>9.2100000000000009</v>
      </c>
      <c r="J15">
        <v>53.06</v>
      </c>
      <c r="K15">
        <v>43.85</v>
      </c>
    </row>
    <row r="16" spans="1:11" x14ac:dyDescent="0.3">
      <c r="C16" s="279" t="s">
        <v>951</v>
      </c>
      <c r="D16" s="279" t="s">
        <v>8</v>
      </c>
      <c r="E16" s="279" t="s">
        <v>488</v>
      </c>
      <c r="F16">
        <v>0</v>
      </c>
      <c r="G16">
        <v>0</v>
      </c>
      <c r="H16">
        <v>0</v>
      </c>
      <c r="I16">
        <v>554.59</v>
      </c>
      <c r="J16">
        <v>3195.58</v>
      </c>
      <c r="K16">
        <v>2640.99</v>
      </c>
    </row>
    <row r="17" spans="3:11" x14ac:dyDescent="0.3">
      <c r="C17" s="279" t="s">
        <v>951</v>
      </c>
      <c r="D17" s="279" t="s">
        <v>181</v>
      </c>
      <c r="E17" s="279" t="s">
        <v>489</v>
      </c>
      <c r="F17">
        <v>0</v>
      </c>
      <c r="G17">
        <v>0</v>
      </c>
      <c r="H17">
        <v>0</v>
      </c>
      <c r="I17">
        <v>5662.6</v>
      </c>
      <c r="J17">
        <v>33976.47</v>
      </c>
      <c r="K17">
        <v>28313.87</v>
      </c>
    </row>
    <row r="18" spans="3:11" x14ac:dyDescent="0.3">
      <c r="C18" s="279" t="s">
        <v>951</v>
      </c>
      <c r="D18" s="279" t="s">
        <v>30</v>
      </c>
      <c r="E18" s="279" t="s">
        <v>488</v>
      </c>
      <c r="F18">
        <v>0</v>
      </c>
      <c r="G18">
        <v>0</v>
      </c>
      <c r="H18">
        <v>0</v>
      </c>
      <c r="I18">
        <v>21.72</v>
      </c>
      <c r="J18">
        <v>116.16</v>
      </c>
      <c r="K18">
        <v>94.44</v>
      </c>
    </row>
    <row r="19" spans="3:11" x14ac:dyDescent="0.3">
      <c r="C19" s="279" t="s">
        <v>951</v>
      </c>
      <c r="D19" s="279" t="s">
        <v>18</v>
      </c>
      <c r="E19" s="279" t="s">
        <v>488</v>
      </c>
      <c r="F19">
        <v>0</v>
      </c>
      <c r="G19">
        <v>0</v>
      </c>
      <c r="H19">
        <v>0</v>
      </c>
      <c r="I19">
        <v>4738.33</v>
      </c>
      <c r="J19">
        <v>29676.9</v>
      </c>
      <c r="K19">
        <v>24938.57</v>
      </c>
    </row>
    <row r="20" spans="3:11" x14ac:dyDescent="0.3">
      <c r="C20" s="279" t="s">
        <v>951</v>
      </c>
      <c r="D20" s="279" t="s">
        <v>28</v>
      </c>
      <c r="E20" s="279" t="s">
        <v>488</v>
      </c>
      <c r="F20">
        <v>0</v>
      </c>
      <c r="G20">
        <v>1</v>
      </c>
      <c r="H20">
        <v>0</v>
      </c>
      <c r="I20">
        <v>2.08</v>
      </c>
      <c r="J20">
        <v>11.97</v>
      </c>
      <c r="K20">
        <v>9.89</v>
      </c>
    </row>
    <row r="21" spans="3:11" x14ac:dyDescent="0.3">
      <c r="C21" s="279" t="s">
        <v>951</v>
      </c>
      <c r="D21" s="279" t="s">
        <v>20</v>
      </c>
      <c r="E21" s="279" t="s">
        <v>488</v>
      </c>
      <c r="F21">
        <v>0</v>
      </c>
      <c r="G21">
        <v>0</v>
      </c>
      <c r="H21">
        <v>0</v>
      </c>
      <c r="I21">
        <v>2825.41</v>
      </c>
      <c r="J21">
        <v>16950.919999999998</v>
      </c>
      <c r="K21">
        <v>14125.5</v>
      </c>
    </row>
    <row r="22" spans="3:11" x14ac:dyDescent="0.3">
      <c r="C22" s="279" t="s">
        <v>951</v>
      </c>
      <c r="D22" s="279" t="s">
        <v>18</v>
      </c>
      <c r="E22" s="279" t="s">
        <v>488</v>
      </c>
      <c r="F22">
        <v>0</v>
      </c>
      <c r="G22">
        <v>0</v>
      </c>
      <c r="H22">
        <v>1</v>
      </c>
      <c r="I22">
        <v>249.31</v>
      </c>
      <c r="J22">
        <v>1561.42</v>
      </c>
      <c r="K22">
        <v>1312.11</v>
      </c>
    </row>
    <row r="23" spans="3:11" x14ac:dyDescent="0.3">
      <c r="C23" s="279" t="s">
        <v>951</v>
      </c>
      <c r="D23" s="279" t="s">
        <v>30</v>
      </c>
      <c r="E23" s="279" t="s">
        <v>488</v>
      </c>
      <c r="F23">
        <v>0</v>
      </c>
      <c r="G23">
        <v>1</v>
      </c>
      <c r="H23">
        <v>0</v>
      </c>
      <c r="I23">
        <v>14.29</v>
      </c>
      <c r="J23">
        <v>82.35</v>
      </c>
      <c r="K23">
        <v>68.06</v>
      </c>
    </row>
    <row r="24" spans="3:11" x14ac:dyDescent="0.3">
      <c r="C24" s="279" t="s">
        <v>951</v>
      </c>
      <c r="D24" s="279" t="s">
        <v>18</v>
      </c>
      <c r="E24" s="279" t="s">
        <v>488</v>
      </c>
      <c r="F24">
        <v>0</v>
      </c>
      <c r="G24">
        <v>0</v>
      </c>
      <c r="H24">
        <v>0</v>
      </c>
      <c r="I24">
        <v>22.05</v>
      </c>
      <c r="J24">
        <v>138.07</v>
      </c>
      <c r="K24">
        <v>116.02</v>
      </c>
    </row>
    <row r="25" spans="3:11" x14ac:dyDescent="0.3">
      <c r="C25" s="279" t="s">
        <v>951</v>
      </c>
      <c r="D25" s="279" t="s">
        <v>181</v>
      </c>
      <c r="E25" s="279" t="s">
        <v>488</v>
      </c>
      <c r="F25">
        <v>0</v>
      </c>
      <c r="G25">
        <v>0</v>
      </c>
      <c r="H25">
        <v>0</v>
      </c>
      <c r="I25">
        <v>3.05</v>
      </c>
      <c r="J25">
        <v>18.29</v>
      </c>
      <c r="K25">
        <v>15.24</v>
      </c>
    </row>
    <row r="26" spans="3:11" x14ac:dyDescent="0.3">
      <c r="C26" s="279" t="s">
        <v>951</v>
      </c>
      <c r="D26" s="279" t="s">
        <v>8</v>
      </c>
      <c r="E26" s="279" t="s">
        <v>488</v>
      </c>
      <c r="F26">
        <v>0</v>
      </c>
      <c r="G26">
        <v>1</v>
      </c>
      <c r="H26">
        <v>0</v>
      </c>
      <c r="I26">
        <v>136.84</v>
      </c>
      <c r="J26">
        <v>788.4</v>
      </c>
      <c r="K26">
        <v>651.55999999999995</v>
      </c>
    </row>
    <row r="27" spans="3:11" x14ac:dyDescent="0.3">
      <c r="C27" s="279" t="s">
        <v>951</v>
      </c>
      <c r="D27" s="279" t="s">
        <v>24</v>
      </c>
      <c r="E27" s="279" t="s">
        <v>488</v>
      </c>
      <c r="F27">
        <v>0</v>
      </c>
      <c r="G27">
        <v>0</v>
      </c>
      <c r="H27">
        <v>0</v>
      </c>
      <c r="I27">
        <v>100.95</v>
      </c>
      <c r="J27">
        <v>605.64</v>
      </c>
      <c r="K27">
        <v>504.69</v>
      </c>
    </row>
    <row r="28" spans="3:11" x14ac:dyDescent="0.3">
      <c r="C28" s="279" t="s">
        <v>952</v>
      </c>
      <c r="D28" s="279" t="s">
        <v>181</v>
      </c>
      <c r="E28" s="279" t="s">
        <v>489</v>
      </c>
      <c r="F28">
        <v>0</v>
      </c>
      <c r="G28">
        <v>0</v>
      </c>
      <c r="H28">
        <v>0</v>
      </c>
      <c r="I28">
        <v>6197.6</v>
      </c>
      <c r="J28">
        <v>37185.18</v>
      </c>
      <c r="K28">
        <v>30987.57</v>
      </c>
    </row>
    <row r="29" spans="3:11" x14ac:dyDescent="0.3">
      <c r="C29" s="279" t="s">
        <v>952</v>
      </c>
      <c r="D29" s="279" t="s">
        <v>20</v>
      </c>
      <c r="E29" s="279" t="s">
        <v>488</v>
      </c>
      <c r="F29">
        <v>0</v>
      </c>
      <c r="G29">
        <v>1</v>
      </c>
      <c r="H29">
        <v>0</v>
      </c>
      <c r="I29">
        <v>11.42</v>
      </c>
      <c r="J29">
        <v>65.81</v>
      </c>
      <c r="K29">
        <v>54.39</v>
      </c>
    </row>
    <row r="30" spans="3:11" x14ac:dyDescent="0.3">
      <c r="C30" s="279" t="s">
        <v>952</v>
      </c>
      <c r="D30" s="279" t="s">
        <v>30</v>
      </c>
      <c r="E30" s="279" t="s">
        <v>488</v>
      </c>
      <c r="F30">
        <v>0</v>
      </c>
      <c r="G30">
        <v>1</v>
      </c>
      <c r="H30">
        <v>0</v>
      </c>
      <c r="I30">
        <v>2.85</v>
      </c>
      <c r="J30">
        <v>16.420000000000002</v>
      </c>
      <c r="K30">
        <v>13.57</v>
      </c>
    </row>
    <row r="31" spans="3:11" x14ac:dyDescent="0.3">
      <c r="C31" s="279" t="s">
        <v>952</v>
      </c>
      <c r="D31" s="279" t="s">
        <v>181</v>
      </c>
      <c r="E31" s="279" t="s">
        <v>489</v>
      </c>
      <c r="F31">
        <v>0</v>
      </c>
      <c r="G31">
        <v>0</v>
      </c>
      <c r="H31">
        <v>0</v>
      </c>
      <c r="I31">
        <v>116.93</v>
      </c>
      <c r="J31">
        <v>701.52</v>
      </c>
      <c r="K31">
        <v>584.59</v>
      </c>
    </row>
    <row r="32" spans="3:11" x14ac:dyDescent="0.3">
      <c r="C32" s="279" t="s">
        <v>952</v>
      </c>
      <c r="D32" s="279" t="s">
        <v>8</v>
      </c>
      <c r="E32" s="279" t="s">
        <v>488</v>
      </c>
      <c r="F32">
        <v>0</v>
      </c>
      <c r="G32">
        <v>0</v>
      </c>
      <c r="H32">
        <v>0</v>
      </c>
      <c r="I32">
        <v>15682.95</v>
      </c>
      <c r="J32">
        <v>90664.65</v>
      </c>
      <c r="K32">
        <v>74981.7</v>
      </c>
    </row>
    <row r="33" spans="3:11" x14ac:dyDescent="0.3">
      <c r="C33" s="279" t="s">
        <v>952</v>
      </c>
      <c r="D33" s="279" t="s">
        <v>8</v>
      </c>
      <c r="E33" s="279" t="s">
        <v>488</v>
      </c>
      <c r="F33">
        <v>0</v>
      </c>
      <c r="G33">
        <v>0</v>
      </c>
      <c r="H33">
        <v>0</v>
      </c>
      <c r="I33">
        <v>2.16</v>
      </c>
      <c r="J33">
        <v>12.44</v>
      </c>
      <c r="K33">
        <v>10.28</v>
      </c>
    </row>
    <row r="34" spans="3:11" x14ac:dyDescent="0.3">
      <c r="C34" s="279" t="s">
        <v>952</v>
      </c>
      <c r="D34" s="279" t="s">
        <v>28</v>
      </c>
      <c r="E34" s="279" t="s">
        <v>488</v>
      </c>
      <c r="F34">
        <v>0</v>
      </c>
      <c r="G34">
        <v>1</v>
      </c>
      <c r="H34">
        <v>0</v>
      </c>
      <c r="I34">
        <v>2.86</v>
      </c>
      <c r="J34">
        <v>16.47</v>
      </c>
      <c r="K34">
        <v>13.61</v>
      </c>
    </row>
    <row r="35" spans="3:11" x14ac:dyDescent="0.3">
      <c r="C35" s="279" t="s">
        <v>952</v>
      </c>
      <c r="D35" s="279" t="s">
        <v>8</v>
      </c>
      <c r="E35" s="279" t="s">
        <v>488</v>
      </c>
      <c r="F35">
        <v>0</v>
      </c>
      <c r="G35">
        <v>0</v>
      </c>
      <c r="H35">
        <v>1</v>
      </c>
      <c r="I35">
        <v>105.39</v>
      </c>
      <c r="J35">
        <v>607.22</v>
      </c>
      <c r="K35">
        <v>501.83</v>
      </c>
    </row>
    <row r="36" spans="3:11" x14ac:dyDescent="0.3">
      <c r="C36" s="279" t="s">
        <v>952</v>
      </c>
      <c r="D36" s="279" t="s">
        <v>20</v>
      </c>
      <c r="E36" s="279" t="s">
        <v>488</v>
      </c>
      <c r="F36">
        <v>0</v>
      </c>
      <c r="G36">
        <v>0</v>
      </c>
      <c r="H36">
        <v>0</v>
      </c>
      <c r="I36">
        <v>2592.27</v>
      </c>
      <c r="J36">
        <v>15552.23</v>
      </c>
      <c r="K36">
        <v>12959.94</v>
      </c>
    </row>
    <row r="37" spans="3:11" x14ac:dyDescent="0.3">
      <c r="C37" s="279" t="s">
        <v>952</v>
      </c>
      <c r="D37" s="279" t="s">
        <v>30</v>
      </c>
      <c r="E37" s="279" t="s">
        <v>488</v>
      </c>
      <c r="F37">
        <v>0</v>
      </c>
      <c r="G37">
        <v>0</v>
      </c>
      <c r="H37">
        <v>0</v>
      </c>
      <c r="I37">
        <v>10.45</v>
      </c>
      <c r="J37">
        <v>55.9</v>
      </c>
      <c r="K37">
        <v>45.45</v>
      </c>
    </row>
    <row r="38" spans="3:11" x14ac:dyDescent="0.3">
      <c r="C38" s="279" t="s">
        <v>952</v>
      </c>
      <c r="D38" s="279" t="s">
        <v>26</v>
      </c>
      <c r="E38" s="279" t="s">
        <v>488</v>
      </c>
      <c r="F38">
        <v>0</v>
      </c>
      <c r="G38">
        <v>0</v>
      </c>
      <c r="H38">
        <v>0</v>
      </c>
      <c r="I38">
        <v>53.34</v>
      </c>
      <c r="J38">
        <v>307.42</v>
      </c>
      <c r="K38">
        <v>254.08</v>
      </c>
    </row>
    <row r="39" spans="3:11" x14ac:dyDescent="0.3">
      <c r="C39" s="279" t="s">
        <v>952</v>
      </c>
      <c r="D39" s="279" t="s">
        <v>22</v>
      </c>
      <c r="E39" s="279" t="s">
        <v>488</v>
      </c>
      <c r="F39">
        <v>0</v>
      </c>
      <c r="G39">
        <v>0</v>
      </c>
      <c r="H39">
        <v>0</v>
      </c>
      <c r="I39">
        <v>955.19</v>
      </c>
      <c r="J39">
        <v>5297.24</v>
      </c>
      <c r="K39">
        <v>4342.05</v>
      </c>
    </row>
    <row r="40" spans="3:11" x14ac:dyDescent="0.3">
      <c r="C40" s="279" t="s">
        <v>952</v>
      </c>
      <c r="D40" s="279" t="s">
        <v>32</v>
      </c>
      <c r="E40" s="279" t="s">
        <v>488</v>
      </c>
      <c r="F40">
        <v>0</v>
      </c>
      <c r="G40">
        <v>0</v>
      </c>
      <c r="H40">
        <v>0</v>
      </c>
      <c r="I40">
        <v>13.81</v>
      </c>
      <c r="J40">
        <v>69.069999999999993</v>
      </c>
      <c r="K40">
        <v>55.26</v>
      </c>
    </row>
    <row r="41" spans="3:11" x14ac:dyDescent="0.3">
      <c r="C41" s="279" t="s">
        <v>952</v>
      </c>
      <c r="D41" s="279" t="s">
        <v>18</v>
      </c>
      <c r="E41" s="279" t="s">
        <v>488</v>
      </c>
      <c r="F41">
        <v>0</v>
      </c>
      <c r="G41">
        <v>1</v>
      </c>
      <c r="H41">
        <v>0</v>
      </c>
      <c r="I41">
        <v>10.27</v>
      </c>
      <c r="J41">
        <v>59.15</v>
      </c>
      <c r="K41">
        <v>48.88</v>
      </c>
    </row>
    <row r="42" spans="3:11" x14ac:dyDescent="0.3">
      <c r="C42" s="279" t="s">
        <v>952</v>
      </c>
      <c r="D42" s="279" t="s">
        <v>26</v>
      </c>
      <c r="E42" s="279" t="s">
        <v>488</v>
      </c>
      <c r="F42">
        <v>0</v>
      </c>
      <c r="G42">
        <v>1</v>
      </c>
      <c r="H42">
        <v>0</v>
      </c>
      <c r="I42">
        <v>2.86</v>
      </c>
      <c r="J42">
        <v>16.47</v>
      </c>
      <c r="K42">
        <v>13.61</v>
      </c>
    </row>
    <row r="43" spans="3:11" x14ac:dyDescent="0.3">
      <c r="C43" s="279" t="s">
        <v>952</v>
      </c>
      <c r="D43" s="279" t="s">
        <v>28</v>
      </c>
      <c r="E43" s="279" t="s">
        <v>488</v>
      </c>
      <c r="F43">
        <v>0</v>
      </c>
      <c r="G43">
        <v>0</v>
      </c>
      <c r="H43">
        <v>0</v>
      </c>
      <c r="I43">
        <v>10.56</v>
      </c>
      <c r="J43">
        <v>60.85</v>
      </c>
      <c r="K43">
        <v>50.29</v>
      </c>
    </row>
    <row r="44" spans="3:11" x14ac:dyDescent="0.3">
      <c r="C44" s="279" t="s">
        <v>952</v>
      </c>
      <c r="D44" s="279" t="s">
        <v>32</v>
      </c>
      <c r="E44" s="279" t="s">
        <v>488</v>
      </c>
      <c r="F44">
        <v>0</v>
      </c>
      <c r="G44">
        <v>0</v>
      </c>
      <c r="H44">
        <v>0</v>
      </c>
      <c r="I44">
        <v>82.39</v>
      </c>
      <c r="J44">
        <v>567</v>
      </c>
      <c r="K44">
        <v>484.61</v>
      </c>
    </row>
    <row r="45" spans="3:11" x14ac:dyDescent="0.3">
      <c r="C45" s="279" t="s">
        <v>952</v>
      </c>
      <c r="D45" s="279" t="s">
        <v>22</v>
      </c>
      <c r="E45" s="279" t="s">
        <v>488</v>
      </c>
      <c r="F45">
        <v>0</v>
      </c>
      <c r="G45">
        <v>1</v>
      </c>
      <c r="H45">
        <v>0</v>
      </c>
      <c r="I45">
        <v>13.77</v>
      </c>
      <c r="J45">
        <v>79.33</v>
      </c>
      <c r="K45">
        <v>65.56</v>
      </c>
    </row>
    <row r="46" spans="3:11" x14ac:dyDescent="0.3">
      <c r="C46" s="279" t="s">
        <v>952</v>
      </c>
      <c r="D46" s="279" t="s">
        <v>20</v>
      </c>
      <c r="E46" s="279" t="s">
        <v>488</v>
      </c>
      <c r="F46">
        <v>0</v>
      </c>
      <c r="G46">
        <v>0</v>
      </c>
      <c r="H46">
        <v>0</v>
      </c>
      <c r="I46">
        <v>54.13</v>
      </c>
      <c r="J46">
        <v>324.75</v>
      </c>
      <c r="K46">
        <v>270.62</v>
      </c>
    </row>
    <row r="47" spans="3:11" x14ac:dyDescent="0.3">
      <c r="C47" s="279" t="s">
        <v>952</v>
      </c>
      <c r="D47" s="279" t="s">
        <v>18</v>
      </c>
      <c r="E47" s="279" t="s">
        <v>488</v>
      </c>
      <c r="F47">
        <v>0</v>
      </c>
      <c r="G47">
        <v>0</v>
      </c>
      <c r="H47">
        <v>1</v>
      </c>
      <c r="I47">
        <v>164.75</v>
      </c>
      <c r="J47">
        <v>1031.6099999999999</v>
      </c>
      <c r="K47">
        <v>866.86</v>
      </c>
    </row>
    <row r="48" spans="3:11" x14ac:dyDescent="0.3">
      <c r="C48" s="279" t="s">
        <v>952</v>
      </c>
      <c r="D48" s="279" t="s">
        <v>18</v>
      </c>
      <c r="E48" s="279" t="s">
        <v>488</v>
      </c>
      <c r="F48">
        <v>0</v>
      </c>
      <c r="G48">
        <v>0</v>
      </c>
      <c r="H48">
        <v>0</v>
      </c>
      <c r="I48">
        <v>147.11000000000001</v>
      </c>
      <c r="J48">
        <v>921.36</v>
      </c>
      <c r="K48">
        <v>774.25</v>
      </c>
    </row>
    <row r="49" spans="3:11" x14ac:dyDescent="0.3">
      <c r="C49" s="279" t="s">
        <v>952</v>
      </c>
      <c r="D49" s="279" t="s">
        <v>24</v>
      </c>
      <c r="E49" s="279" t="s">
        <v>488</v>
      </c>
      <c r="F49">
        <v>0</v>
      </c>
      <c r="G49">
        <v>0</v>
      </c>
      <c r="H49">
        <v>0</v>
      </c>
      <c r="I49">
        <v>17.98</v>
      </c>
      <c r="J49">
        <v>107.86</v>
      </c>
      <c r="K49">
        <v>89.88</v>
      </c>
    </row>
    <row r="50" spans="3:11" x14ac:dyDescent="0.3">
      <c r="C50" s="279" t="s">
        <v>952</v>
      </c>
      <c r="D50" s="279" t="s">
        <v>181</v>
      </c>
      <c r="E50" s="279" t="s">
        <v>489</v>
      </c>
      <c r="F50">
        <v>0</v>
      </c>
      <c r="G50">
        <v>1</v>
      </c>
      <c r="H50">
        <v>0</v>
      </c>
      <c r="I50">
        <v>2.71</v>
      </c>
      <c r="J50">
        <v>16.28</v>
      </c>
      <c r="K50">
        <v>13.57</v>
      </c>
    </row>
    <row r="51" spans="3:11" x14ac:dyDescent="0.3">
      <c r="C51" s="279" t="s">
        <v>952</v>
      </c>
      <c r="D51" s="279" t="s">
        <v>24</v>
      </c>
      <c r="E51" s="279" t="s">
        <v>488</v>
      </c>
      <c r="F51">
        <v>0</v>
      </c>
      <c r="G51">
        <v>0</v>
      </c>
      <c r="H51">
        <v>0</v>
      </c>
      <c r="I51">
        <v>34.159999999999997</v>
      </c>
      <c r="J51">
        <v>204.93</v>
      </c>
      <c r="K51">
        <v>170.77</v>
      </c>
    </row>
    <row r="52" spans="3:11" x14ac:dyDescent="0.3">
      <c r="C52" s="279" t="s">
        <v>952</v>
      </c>
      <c r="D52" s="279" t="s">
        <v>18</v>
      </c>
      <c r="E52" s="279" t="s">
        <v>488</v>
      </c>
      <c r="F52">
        <v>0</v>
      </c>
      <c r="G52">
        <v>0</v>
      </c>
      <c r="H52">
        <v>0</v>
      </c>
      <c r="I52">
        <v>4187.72</v>
      </c>
      <c r="J52">
        <v>26227.85</v>
      </c>
      <c r="K52">
        <v>22040.13</v>
      </c>
    </row>
    <row r="53" spans="3:11" x14ac:dyDescent="0.3">
      <c r="C53" s="279" t="s">
        <v>952</v>
      </c>
      <c r="D53" s="279" t="s">
        <v>8</v>
      </c>
      <c r="E53" s="279" t="s">
        <v>488</v>
      </c>
      <c r="F53">
        <v>0</v>
      </c>
      <c r="G53">
        <v>1</v>
      </c>
      <c r="H53">
        <v>0</v>
      </c>
      <c r="I53">
        <v>211.04</v>
      </c>
      <c r="J53">
        <v>1215.79</v>
      </c>
      <c r="K53">
        <v>1004.75</v>
      </c>
    </row>
    <row r="54" spans="3:11" x14ac:dyDescent="0.3">
      <c r="C54" s="279" t="s">
        <v>953</v>
      </c>
      <c r="D54" s="279" t="s">
        <v>8</v>
      </c>
      <c r="E54" s="279" t="s">
        <v>488</v>
      </c>
      <c r="F54">
        <v>0</v>
      </c>
      <c r="G54">
        <v>0</v>
      </c>
      <c r="H54">
        <v>1</v>
      </c>
      <c r="I54">
        <v>148.9</v>
      </c>
      <c r="J54">
        <v>857.95</v>
      </c>
      <c r="K54">
        <v>709.05</v>
      </c>
    </row>
    <row r="55" spans="3:11" x14ac:dyDescent="0.3">
      <c r="C55" s="279" t="s">
        <v>953</v>
      </c>
      <c r="D55" s="279" t="s">
        <v>24</v>
      </c>
      <c r="E55" s="279" t="s">
        <v>488</v>
      </c>
      <c r="F55">
        <v>0</v>
      </c>
      <c r="G55">
        <v>0</v>
      </c>
      <c r="H55">
        <v>0</v>
      </c>
      <c r="I55">
        <v>201.98</v>
      </c>
      <c r="J55">
        <v>1211.8599999999999</v>
      </c>
      <c r="K55">
        <v>1009.88</v>
      </c>
    </row>
    <row r="56" spans="3:11" x14ac:dyDescent="0.3">
      <c r="C56" s="279" t="s">
        <v>953</v>
      </c>
      <c r="D56" s="279" t="s">
        <v>18</v>
      </c>
      <c r="E56" s="279" t="s">
        <v>488</v>
      </c>
      <c r="F56">
        <v>0</v>
      </c>
      <c r="G56">
        <v>0</v>
      </c>
      <c r="H56">
        <v>0</v>
      </c>
      <c r="I56">
        <v>64.45</v>
      </c>
      <c r="J56">
        <v>403.7</v>
      </c>
      <c r="K56">
        <v>339.25</v>
      </c>
    </row>
    <row r="57" spans="3:11" x14ac:dyDescent="0.3">
      <c r="C57" s="279" t="s">
        <v>953</v>
      </c>
      <c r="D57" s="279" t="s">
        <v>22</v>
      </c>
      <c r="E57" s="279" t="s">
        <v>488</v>
      </c>
      <c r="F57">
        <v>0</v>
      </c>
      <c r="G57">
        <v>0</v>
      </c>
      <c r="H57">
        <v>0</v>
      </c>
      <c r="I57">
        <v>1576.44</v>
      </c>
      <c r="J57">
        <v>8742.17</v>
      </c>
      <c r="K57">
        <v>7165.73</v>
      </c>
    </row>
    <row r="58" spans="3:11" x14ac:dyDescent="0.3">
      <c r="C58" s="279" t="s">
        <v>953</v>
      </c>
      <c r="D58" s="279" t="s">
        <v>18</v>
      </c>
      <c r="E58" s="279" t="s">
        <v>488</v>
      </c>
      <c r="F58">
        <v>0</v>
      </c>
      <c r="G58">
        <v>1</v>
      </c>
      <c r="H58">
        <v>0</v>
      </c>
      <c r="I58">
        <v>17.149999999999999</v>
      </c>
      <c r="J58">
        <v>98.79</v>
      </c>
      <c r="K58">
        <v>81.64</v>
      </c>
    </row>
    <row r="59" spans="3:11" x14ac:dyDescent="0.3">
      <c r="C59" s="279" t="s">
        <v>953</v>
      </c>
      <c r="D59" s="279" t="s">
        <v>8</v>
      </c>
      <c r="E59" s="279" t="s">
        <v>488</v>
      </c>
      <c r="F59">
        <v>0</v>
      </c>
      <c r="G59">
        <v>1</v>
      </c>
      <c r="H59">
        <v>0</v>
      </c>
      <c r="I59">
        <v>129.59</v>
      </c>
      <c r="J59">
        <v>746.62</v>
      </c>
      <c r="K59">
        <v>617.03</v>
      </c>
    </row>
    <row r="60" spans="3:11" x14ac:dyDescent="0.3">
      <c r="C60" s="279" t="s">
        <v>953</v>
      </c>
      <c r="D60" s="279" t="s">
        <v>26</v>
      </c>
      <c r="E60" s="279" t="s">
        <v>488</v>
      </c>
      <c r="F60">
        <v>0</v>
      </c>
      <c r="G60">
        <v>0</v>
      </c>
      <c r="H60">
        <v>0</v>
      </c>
      <c r="I60">
        <v>6.65</v>
      </c>
      <c r="J60">
        <v>38.32</v>
      </c>
      <c r="K60">
        <v>31.67</v>
      </c>
    </row>
    <row r="61" spans="3:11" x14ac:dyDescent="0.3">
      <c r="C61" s="279" t="s">
        <v>953</v>
      </c>
      <c r="D61" s="279" t="s">
        <v>181</v>
      </c>
      <c r="E61" s="279" t="s">
        <v>489</v>
      </c>
      <c r="F61">
        <v>0</v>
      </c>
      <c r="G61">
        <v>1</v>
      </c>
      <c r="H61">
        <v>0</v>
      </c>
      <c r="I61">
        <v>12.5</v>
      </c>
      <c r="J61">
        <v>75.010000000000005</v>
      </c>
      <c r="K61">
        <v>62.51</v>
      </c>
    </row>
    <row r="62" spans="3:11" x14ac:dyDescent="0.3">
      <c r="C62" s="279" t="s">
        <v>953</v>
      </c>
      <c r="D62" s="279" t="s">
        <v>18</v>
      </c>
      <c r="E62" s="279" t="s">
        <v>488</v>
      </c>
      <c r="F62">
        <v>0</v>
      </c>
      <c r="G62">
        <v>0</v>
      </c>
      <c r="H62">
        <v>0</v>
      </c>
      <c r="I62">
        <v>4721.76</v>
      </c>
      <c r="J62">
        <v>29573.21</v>
      </c>
      <c r="K62">
        <v>24851.45</v>
      </c>
    </row>
    <row r="63" spans="3:11" x14ac:dyDescent="0.3">
      <c r="C63" s="279" t="s">
        <v>953</v>
      </c>
      <c r="D63" s="279" t="s">
        <v>181</v>
      </c>
      <c r="E63" s="279" t="s">
        <v>489</v>
      </c>
      <c r="F63">
        <v>0</v>
      </c>
      <c r="G63">
        <v>0</v>
      </c>
      <c r="H63">
        <v>0</v>
      </c>
      <c r="I63">
        <v>5568.88</v>
      </c>
      <c r="J63">
        <v>33413.08</v>
      </c>
      <c r="K63">
        <v>27844.2</v>
      </c>
    </row>
    <row r="64" spans="3:11" x14ac:dyDescent="0.3">
      <c r="C64" s="279" t="s">
        <v>953</v>
      </c>
      <c r="D64" s="279" t="s">
        <v>20</v>
      </c>
      <c r="E64" s="279" t="s">
        <v>488</v>
      </c>
      <c r="F64">
        <v>0</v>
      </c>
      <c r="G64">
        <v>1</v>
      </c>
      <c r="H64">
        <v>0</v>
      </c>
      <c r="I64">
        <v>8.19</v>
      </c>
      <c r="J64">
        <v>47.18</v>
      </c>
      <c r="K64">
        <v>38.99</v>
      </c>
    </row>
    <row r="65" spans="3:11" x14ac:dyDescent="0.3">
      <c r="C65" s="279" t="s">
        <v>953</v>
      </c>
      <c r="D65" s="279" t="s">
        <v>24</v>
      </c>
      <c r="E65" s="279" t="s">
        <v>488</v>
      </c>
      <c r="F65">
        <v>0</v>
      </c>
      <c r="G65">
        <v>0</v>
      </c>
      <c r="H65">
        <v>0</v>
      </c>
      <c r="I65">
        <v>-28.46</v>
      </c>
      <c r="J65">
        <v>-170.78</v>
      </c>
      <c r="K65">
        <v>-142.32</v>
      </c>
    </row>
    <row r="66" spans="3:11" x14ac:dyDescent="0.3">
      <c r="C66" s="279" t="s">
        <v>953</v>
      </c>
      <c r="D66" s="279" t="s">
        <v>28</v>
      </c>
      <c r="E66" s="279" t="s">
        <v>488</v>
      </c>
      <c r="F66">
        <v>0</v>
      </c>
      <c r="G66">
        <v>0</v>
      </c>
      <c r="H66">
        <v>0</v>
      </c>
      <c r="I66">
        <v>52.49</v>
      </c>
      <c r="J66">
        <v>302.45</v>
      </c>
      <c r="K66">
        <v>249.96</v>
      </c>
    </row>
    <row r="67" spans="3:11" x14ac:dyDescent="0.3">
      <c r="C67" s="279" t="s">
        <v>953</v>
      </c>
      <c r="D67" s="279" t="s">
        <v>30</v>
      </c>
      <c r="E67" s="279" t="s">
        <v>488</v>
      </c>
      <c r="F67">
        <v>0</v>
      </c>
      <c r="G67">
        <v>1</v>
      </c>
      <c r="H67">
        <v>0</v>
      </c>
      <c r="I67">
        <v>11.42</v>
      </c>
      <c r="J67">
        <v>65.8</v>
      </c>
      <c r="K67">
        <v>54.38</v>
      </c>
    </row>
    <row r="68" spans="3:11" x14ac:dyDescent="0.3">
      <c r="C68" s="279" t="s">
        <v>953</v>
      </c>
      <c r="D68" s="279" t="s">
        <v>30</v>
      </c>
      <c r="E68" s="279" t="s">
        <v>488</v>
      </c>
      <c r="F68">
        <v>0</v>
      </c>
      <c r="G68">
        <v>0</v>
      </c>
      <c r="H68">
        <v>0</v>
      </c>
      <c r="I68">
        <v>22.57</v>
      </c>
      <c r="J68">
        <v>120.7</v>
      </c>
      <c r="K68">
        <v>98.13</v>
      </c>
    </row>
    <row r="69" spans="3:11" x14ac:dyDescent="0.3">
      <c r="C69" s="279" t="s">
        <v>953</v>
      </c>
      <c r="D69" s="279" t="s">
        <v>20</v>
      </c>
      <c r="E69" s="279" t="s">
        <v>488</v>
      </c>
      <c r="F69">
        <v>0</v>
      </c>
      <c r="G69">
        <v>0</v>
      </c>
      <c r="H69">
        <v>0</v>
      </c>
      <c r="I69">
        <v>133.51</v>
      </c>
      <c r="J69">
        <v>801.02</v>
      </c>
      <c r="K69">
        <v>667.49</v>
      </c>
    </row>
    <row r="70" spans="3:11" x14ac:dyDescent="0.3">
      <c r="C70" s="279" t="s">
        <v>953</v>
      </c>
      <c r="D70" s="279" t="s">
        <v>18</v>
      </c>
      <c r="E70" s="279" t="s">
        <v>488</v>
      </c>
      <c r="F70">
        <v>0</v>
      </c>
      <c r="G70">
        <v>0</v>
      </c>
      <c r="H70">
        <v>1</v>
      </c>
      <c r="I70">
        <v>111.83</v>
      </c>
      <c r="J70">
        <v>710.64</v>
      </c>
      <c r="K70">
        <v>598.80999999999995</v>
      </c>
    </row>
    <row r="71" spans="3:11" x14ac:dyDescent="0.3">
      <c r="C71" s="279" t="s">
        <v>953</v>
      </c>
      <c r="D71" s="279" t="s">
        <v>181</v>
      </c>
      <c r="E71" s="279" t="s">
        <v>489</v>
      </c>
      <c r="F71">
        <v>0</v>
      </c>
      <c r="G71">
        <v>0</v>
      </c>
      <c r="H71">
        <v>0</v>
      </c>
      <c r="I71">
        <v>8.48</v>
      </c>
      <c r="J71">
        <v>50.95</v>
      </c>
      <c r="K71">
        <v>42.47</v>
      </c>
    </row>
    <row r="72" spans="3:11" x14ac:dyDescent="0.3">
      <c r="C72" s="279" t="s">
        <v>953</v>
      </c>
      <c r="D72" s="279" t="s">
        <v>8</v>
      </c>
      <c r="E72" s="279" t="s">
        <v>488</v>
      </c>
      <c r="F72">
        <v>0</v>
      </c>
      <c r="G72">
        <v>0</v>
      </c>
      <c r="H72">
        <v>0</v>
      </c>
      <c r="I72">
        <v>286.81</v>
      </c>
      <c r="J72">
        <v>1652.59</v>
      </c>
      <c r="K72">
        <v>1365.78</v>
      </c>
    </row>
    <row r="73" spans="3:11" x14ac:dyDescent="0.3">
      <c r="C73" s="279" t="s">
        <v>953</v>
      </c>
      <c r="D73" s="279" t="s">
        <v>8</v>
      </c>
      <c r="E73" s="279" t="s">
        <v>488</v>
      </c>
      <c r="F73">
        <v>0</v>
      </c>
      <c r="G73">
        <v>0</v>
      </c>
      <c r="H73">
        <v>0</v>
      </c>
      <c r="I73">
        <v>15391.34</v>
      </c>
      <c r="J73">
        <v>88708.81</v>
      </c>
      <c r="K73">
        <v>73317.47</v>
      </c>
    </row>
    <row r="74" spans="3:11" x14ac:dyDescent="0.3">
      <c r="C74" s="279" t="s">
        <v>953</v>
      </c>
      <c r="D74" s="279" t="s">
        <v>32</v>
      </c>
      <c r="E74" s="279" t="s">
        <v>488</v>
      </c>
      <c r="F74">
        <v>0</v>
      </c>
      <c r="G74">
        <v>0</v>
      </c>
      <c r="H74">
        <v>0</v>
      </c>
      <c r="I74">
        <v>8.9700000000000006</v>
      </c>
      <c r="J74">
        <v>44.85</v>
      </c>
      <c r="K74">
        <v>35.880000000000003</v>
      </c>
    </row>
    <row r="75" spans="3:11" x14ac:dyDescent="0.3">
      <c r="C75" s="279" t="s">
        <v>953</v>
      </c>
      <c r="D75" s="279" t="s">
        <v>22</v>
      </c>
      <c r="E75" s="279" t="s">
        <v>488</v>
      </c>
      <c r="F75">
        <v>0</v>
      </c>
      <c r="G75">
        <v>1</v>
      </c>
      <c r="H75">
        <v>0</v>
      </c>
      <c r="I75">
        <v>16.23</v>
      </c>
      <c r="J75">
        <v>93.46</v>
      </c>
      <c r="K75">
        <v>77.23</v>
      </c>
    </row>
    <row r="76" spans="3:11" x14ac:dyDescent="0.3">
      <c r="C76" s="279" t="s">
        <v>953</v>
      </c>
      <c r="D76" s="279" t="s">
        <v>20</v>
      </c>
      <c r="E76" s="279" t="s">
        <v>488</v>
      </c>
      <c r="F76">
        <v>0</v>
      </c>
      <c r="G76">
        <v>0</v>
      </c>
      <c r="H76">
        <v>0</v>
      </c>
      <c r="I76">
        <v>2640.53</v>
      </c>
      <c r="J76">
        <v>15841.36</v>
      </c>
      <c r="K76">
        <v>13200.83</v>
      </c>
    </row>
    <row r="77" spans="3:11" x14ac:dyDescent="0.3">
      <c r="C77" s="279" t="s">
        <v>953</v>
      </c>
      <c r="D77" s="279" t="s">
        <v>22</v>
      </c>
      <c r="E77" s="279" t="s">
        <v>488</v>
      </c>
      <c r="F77">
        <v>0</v>
      </c>
      <c r="G77">
        <v>0</v>
      </c>
      <c r="H77">
        <v>0</v>
      </c>
      <c r="I77">
        <v>0.89</v>
      </c>
      <c r="J77">
        <v>4.95</v>
      </c>
      <c r="K77">
        <v>4.0599999999999996</v>
      </c>
    </row>
    <row r="78" spans="3:11" x14ac:dyDescent="0.3">
      <c r="C78" s="279" t="s">
        <v>953</v>
      </c>
      <c r="D78" s="279" t="s">
        <v>32</v>
      </c>
      <c r="E78" s="279" t="s">
        <v>488</v>
      </c>
      <c r="F78">
        <v>0</v>
      </c>
      <c r="G78">
        <v>0</v>
      </c>
      <c r="H78">
        <v>0</v>
      </c>
      <c r="I78">
        <v>57.3</v>
      </c>
      <c r="J78">
        <v>394.34</v>
      </c>
      <c r="K78">
        <v>337.04</v>
      </c>
    </row>
    <row r="79" spans="3:11" x14ac:dyDescent="0.3">
      <c r="C79" s="279" t="s">
        <v>954</v>
      </c>
      <c r="D79" s="279" t="s">
        <v>24</v>
      </c>
      <c r="E79" s="279" t="s">
        <v>488</v>
      </c>
      <c r="F79">
        <v>0</v>
      </c>
      <c r="G79">
        <v>0</v>
      </c>
      <c r="H79">
        <v>0</v>
      </c>
      <c r="I79">
        <v>58.32</v>
      </c>
      <c r="J79">
        <v>349.96</v>
      </c>
      <c r="K79">
        <v>291.64</v>
      </c>
    </row>
    <row r="80" spans="3:11" x14ac:dyDescent="0.3">
      <c r="C80" s="279" t="s">
        <v>954</v>
      </c>
      <c r="D80" s="279" t="s">
        <v>20</v>
      </c>
      <c r="E80" s="279" t="s">
        <v>488</v>
      </c>
      <c r="F80">
        <v>0</v>
      </c>
      <c r="G80">
        <v>1</v>
      </c>
      <c r="H80">
        <v>0</v>
      </c>
      <c r="I80">
        <v>17.8</v>
      </c>
      <c r="J80">
        <v>102.53</v>
      </c>
      <c r="K80">
        <v>84.73</v>
      </c>
    </row>
    <row r="81" spans="3:11" x14ac:dyDescent="0.3">
      <c r="C81" s="279" t="s">
        <v>954</v>
      </c>
      <c r="D81" s="279" t="s">
        <v>20</v>
      </c>
      <c r="E81" s="279" t="s">
        <v>488</v>
      </c>
      <c r="F81">
        <v>0</v>
      </c>
      <c r="G81">
        <v>0</v>
      </c>
      <c r="H81">
        <v>0</v>
      </c>
      <c r="I81">
        <v>1623.01</v>
      </c>
      <c r="J81">
        <v>9736.5300000000007</v>
      </c>
      <c r="K81">
        <v>8113.51</v>
      </c>
    </row>
    <row r="82" spans="3:11" x14ac:dyDescent="0.3">
      <c r="C82" s="279" t="s">
        <v>954</v>
      </c>
      <c r="D82" s="279" t="s">
        <v>32</v>
      </c>
      <c r="E82" s="279" t="s">
        <v>488</v>
      </c>
      <c r="F82">
        <v>0</v>
      </c>
      <c r="G82">
        <v>1</v>
      </c>
      <c r="H82">
        <v>0</v>
      </c>
      <c r="I82">
        <v>3.9</v>
      </c>
      <c r="J82">
        <v>22.46</v>
      </c>
      <c r="K82">
        <v>18.559999999999999</v>
      </c>
    </row>
    <row r="83" spans="3:11" x14ac:dyDescent="0.3">
      <c r="C83" s="279" t="s">
        <v>954</v>
      </c>
      <c r="D83" s="279" t="s">
        <v>28</v>
      </c>
      <c r="E83" s="279" t="s">
        <v>488</v>
      </c>
      <c r="F83">
        <v>0</v>
      </c>
      <c r="G83">
        <v>0</v>
      </c>
      <c r="H83">
        <v>0</v>
      </c>
      <c r="I83">
        <v>39.94</v>
      </c>
      <c r="J83">
        <v>230.18</v>
      </c>
      <c r="K83">
        <v>190.24</v>
      </c>
    </row>
    <row r="84" spans="3:11" x14ac:dyDescent="0.3">
      <c r="C84" s="279" t="s">
        <v>954</v>
      </c>
      <c r="D84" s="279" t="s">
        <v>181</v>
      </c>
      <c r="E84" s="279" t="s">
        <v>489</v>
      </c>
      <c r="F84">
        <v>0</v>
      </c>
      <c r="G84">
        <v>0</v>
      </c>
      <c r="H84">
        <v>0</v>
      </c>
      <c r="I84">
        <v>20.11</v>
      </c>
      <c r="J84">
        <v>120.69</v>
      </c>
      <c r="K84">
        <v>100.58</v>
      </c>
    </row>
    <row r="85" spans="3:11" x14ac:dyDescent="0.3">
      <c r="C85" s="279" t="s">
        <v>954</v>
      </c>
      <c r="D85" s="279" t="s">
        <v>18</v>
      </c>
      <c r="E85" s="279" t="s">
        <v>488</v>
      </c>
      <c r="F85">
        <v>0</v>
      </c>
      <c r="G85">
        <v>0</v>
      </c>
      <c r="H85">
        <v>0</v>
      </c>
      <c r="I85">
        <v>96.66</v>
      </c>
      <c r="J85">
        <v>605.46</v>
      </c>
      <c r="K85">
        <v>508.8</v>
      </c>
    </row>
    <row r="86" spans="3:11" x14ac:dyDescent="0.3">
      <c r="C86" s="279" t="s">
        <v>954</v>
      </c>
      <c r="D86" s="279" t="s">
        <v>26</v>
      </c>
      <c r="E86" s="279" t="s">
        <v>488</v>
      </c>
      <c r="F86">
        <v>0</v>
      </c>
      <c r="G86">
        <v>0</v>
      </c>
      <c r="H86">
        <v>0</v>
      </c>
      <c r="I86">
        <v>3.12</v>
      </c>
      <c r="J86">
        <v>17.95</v>
      </c>
      <c r="K86">
        <v>14.83</v>
      </c>
    </row>
    <row r="87" spans="3:11" x14ac:dyDescent="0.3">
      <c r="C87" s="279" t="s">
        <v>954</v>
      </c>
      <c r="D87" s="279" t="s">
        <v>8</v>
      </c>
      <c r="E87" s="279" t="s">
        <v>488</v>
      </c>
      <c r="F87">
        <v>0</v>
      </c>
      <c r="G87">
        <v>0</v>
      </c>
      <c r="H87">
        <v>0</v>
      </c>
      <c r="I87">
        <v>213.33</v>
      </c>
      <c r="J87">
        <v>1280.2</v>
      </c>
      <c r="K87">
        <v>1066.8699999999999</v>
      </c>
    </row>
    <row r="88" spans="3:11" x14ac:dyDescent="0.3">
      <c r="C88" s="279" t="s">
        <v>954</v>
      </c>
      <c r="D88" s="279" t="s">
        <v>32</v>
      </c>
      <c r="E88" s="279" t="s">
        <v>488</v>
      </c>
      <c r="F88">
        <v>0</v>
      </c>
      <c r="G88">
        <v>0</v>
      </c>
      <c r="H88">
        <v>0</v>
      </c>
      <c r="I88">
        <v>9.58</v>
      </c>
      <c r="J88">
        <v>47.9</v>
      </c>
      <c r="K88">
        <v>38.32</v>
      </c>
    </row>
    <row r="89" spans="3:11" x14ac:dyDescent="0.3">
      <c r="C89" s="279" t="s">
        <v>954</v>
      </c>
      <c r="D89" s="279" t="s">
        <v>8</v>
      </c>
      <c r="E89" s="279" t="s">
        <v>488</v>
      </c>
      <c r="F89">
        <v>0</v>
      </c>
      <c r="G89">
        <v>0</v>
      </c>
      <c r="H89">
        <v>1</v>
      </c>
      <c r="I89">
        <v>90.21</v>
      </c>
      <c r="J89">
        <v>519.70000000000005</v>
      </c>
      <c r="K89">
        <v>429.49</v>
      </c>
    </row>
    <row r="90" spans="3:11" x14ac:dyDescent="0.3">
      <c r="C90" s="279" t="s">
        <v>954</v>
      </c>
      <c r="D90" s="279" t="s">
        <v>18</v>
      </c>
      <c r="E90" s="279" t="s">
        <v>488</v>
      </c>
      <c r="F90">
        <v>0</v>
      </c>
      <c r="G90">
        <v>1</v>
      </c>
      <c r="H90">
        <v>0</v>
      </c>
      <c r="I90">
        <v>6.1</v>
      </c>
      <c r="J90">
        <v>35.14</v>
      </c>
      <c r="K90">
        <v>29.04</v>
      </c>
    </row>
    <row r="91" spans="3:11" x14ac:dyDescent="0.3">
      <c r="C91" s="279" t="s">
        <v>954</v>
      </c>
      <c r="D91" s="279" t="s">
        <v>18</v>
      </c>
      <c r="E91" s="279" t="s">
        <v>488</v>
      </c>
      <c r="F91">
        <v>0</v>
      </c>
      <c r="G91">
        <v>0</v>
      </c>
      <c r="H91">
        <v>1</v>
      </c>
      <c r="I91">
        <v>80.31</v>
      </c>
      <c r="J91">
        <v>502.9</v>
      </c>
      <c r="K91">
        <v>422.59</v>
      </c>
    </row>
    <row r="92" spans="3:11" x14ac:dyDescent="0.3">
      <c r="C92" s="279" t="s">
        <v>954</v>
      </c>
      <c r="D92" s="279" t="s">
        <v>18</v>
      </c>
      <c r="E92" s="279" t="s">
        <v>488</v>
      </c>
      <c r="F92">
        <v>0</v>
      </c>
      <c r="G92">
        <v>0</v>
      </c>
      <c r="H92">
        <v>0</v>
      </c>
      <c r="I92">
        <v>4400.5</v>
      </c>
      <c r="J92">
        <v>27560.62</v>
      </c>
      <c r="K92">
        <v>23160.12</v>
      </c>
    </row>
    <row r="93" spans="3:11" x14ac:dyDescent="0.3">
      <c r="C93" s="279" t="s">
        <v>954</v>
      </c>
      <c r="D93" s="279" t="s">
        <v>8</v>
      </c>
      <c r="E93" s="279" t="s">
        <v>488</v>
      </c>
      <c r="F93">
        <v>0</v>
      </c>
      <c r="G93">
        <v>1</v>
      </c>
      <c r="H93">
        <v>0</v>
      </c>
      <c r="I93">
        <v>94.06</v>
      </c>
      <c r="J93">
        <v>541.86</v>
      </c>
      <c r="K93">
        <v>447.8</v>
      </c>
    </row>
    <row r="94" spans="3:11" x14ac:dyDescent="0.3">
      <c r="C94" s="279" t="s">
        <v>954</v>
      </c>
      <c r="D94" s="279" t="s">
        <v>32</v>
      </c>
      <c r="E94" s="279" t="s">
        <v>488</v>
      </c>
      <c r="F94">
        <v>0</v>
      </c>
      <c r="G94">
        <v>0</v>
      </c>
      <c r="H94">
        <v>0</v>
      </c>
      <c r="I94">
        <v>8.5399999999999991</v>
      </c>
      <c r="J94">
        <v>58.8</v>
      </c>
      <c r="K94">
        <v>50.26</v>
      </c>
    </row>
    <row r="95" spans="3:11" x14ac:dyDescent="0.3">
      <c r="C95" s="279" t="s">
        <v>954</v>
      </c>
      <c r="D95" s="279" t="s">
        <v>30</v>
      </c>
      <c r="E95" s="279" t="s">
        <v>488</v>
      </c>
      <c r="F95">
        <v>0</v>
      </c>
      <c r="G95">
        <v>1</v>
      </c>
      <c r="H95">
        <v>0</v>
      </c>
      <c r="I95">
        <v>7.8</v>
      </c>
      <c r="J95">
        <v>44.92</v>
      </c>
      <c r="K95">
        <v>37.119999999999997</v>
      </c>
    </row>
    <row r="96" spans="3:11" x14ac:dyDescent="0.3">
      <c r="C96" s="279" t="s">
        <v>954</v>
      </c>
      <c r="D96" s="279" t="s">
        <v>181</v>
      </c>
      <c r="E96" s="279" t="s">
        <v>489</v>
      </c>
      <c r="F96">
        <v>0</v>
      </c>
      <c r="G96">
        <v>0</v>
      </c>
      <c r="H96">
        <v>0</v>
      </c>
      <c r="I96">
        <v>4219.84</v>
      </c>
      <c r="J96">
        <v>25318.85</v>
      </c>
      <c r="K96">
        <v>21099</v>
      </c>
    </row>
    <row r="97" spans="3:11" x14ac:dyDescent="0.3">
      <c r="C97" s="279" t="s">
        <v>954</v>
      </c>
      <c r="D97" s="279" t="s">
        <v>22</v>
      </c>
      <c r="E97" s="279" t="s">
        <v>488</v>
      </c>
      <c r="F97">
        <v>0</v>
      </c>
      <c r="G97">
        <v>0</v>
      </c>
      <c r="H97">
        <v>0</v>
      </c>
      <c r="I97">
        <v>646.61</v>
      </c>
      <c r="J97">
        <v>3585.96</v>
      </c>
      <c r="K97">
        <v>2939.35</v>
      </c>
    </row>
    <row r="98" spans="3:11" x14ac:dyDescent="0.3">
      <c r="C98" s="279" t="s">
        <v>954</v>
      </c>
      <c r="D98" s="279" t="s">
        <v>20</v>
      </c>
      <c r="E98" s="279" t="s">
        <v>488</v>
      </c>
      <c r="F98">
        <v>0</v>
      </c>
      <c r="G98">
        <v>0</v>
      </c>
      <c r="H98">
        <v>0</v>
      </c>
      <c r="I98">
        <v>11.74</v>
      </c>
      <c r="J98">
        <v>70.430000000000007</v>
      </c>
      <c r="K98">
        <v>58.69</v>
      </c>
    </row>
    <row r="99" spans="3:11" x14ac:dyDescent="0.3">
      <c r="C99" s="279" t="s">
        <v>954</v>
      </c>
      <c r="D99" s="279" t="s">
        <v>32</v>
      </c>
      <c r="E99" s="279" t="s">
        <v>488</v>
      </c>
      <c r="F99">
        <v>0</v>
      </c>
      <c r="G99">
        <v>1</v>
      </c>
      <c r="H99">
        <v>0</v>
      </c>
      <c r="I99">
        <v>6.76</v>
      </c>
      <c r="J99">
        <v>38.93</v>
      </c>
      <c r="K99">
        <v>32.17</v>
      </c>
    </row>
    <row r="100" spans="3:11" x14ac:dyDescent="0.3">
      <c r="C100" s="279" t="s">
        <v>954</v>
      </c>
      <c r="D100" s="279" t="s">
        <v>8</v>
      </c>
      <c r="E100" s="279" t="s">
        <v>488</v>
      </c>
      <c r="F100">
        <v>0</v>
      </c>
      <c r="G100">
        <v>0</v>
      </c>
      <c r="H100">
        <v>0</v>
      </c>
      <c r="I100">
        <v>12275.58</v>
      </c>
      <c r="J100">
        <v>70871.66</v>
      </c>
      <c r="K100">
        <v>58596.08</v>
      </c>
    </row>
    <row r="101" spans="3:11" x14ac:dyDescent="0.3">
      <c r="C101" s="279" t="s">
        <v>954</v>
      </c>
      <c r="D101" s="279" t="s">
        <v>30</v>
      </c>
      <c r="E101" s="279" t="s">
        <v>488</v>
      </c>
      <c r="F101">
        <v>0</v>
      </c>
      <c r="G101">
        <v>0</v>
      </c>
      <c r="H101">
        <v>0</v>
      </c>
      <c r="I101">
        <v>7.29</v>
      </c>
      <c r="J101">
        <v>39</v>
      </c>
      <c r="K101">
        <v>31.71</v>
      </c>
    </row>
    <row r="102" spans="3:11" x14ac:dyDescent="0.3">
      <c r="C102" s="279" t="s">
        <v>954</v>
      </c>
      <c r="D102" s="279" t="s">
        <v>181</v>
      </c>
      <c r="E102" s="279" t="s">
        <v>489</v>
      </c>
      <c r="F102">
        <v>0</v>
      </c>
      <c r="G102">
        <v>1</v>
      </c>
      <c r="H102">
        <v>0</v>
      </c>
      <c r="I102">
        <v>11.14</v>
      </c>
      <c r="J102">
        <v>66.86</v>
      </c>
      <c r="K102">
        <v>55.72</v>
      </c>
    </row>
    <row r="103" spans="3:11" x14ac:dyDescent="0.3">
      <c r="C103" s="279" t="s">
        <v>955</v>
      </c>
      <c r="D103" s="279" t="s">
        <v>18</v>
      </c>
      <c r="E103" s="279" t="s">
        <v>488</v>
      </c>
      <c r="F103">
        <v>0</v>
      </c>
      <c r="G103">
        <v>0</v>
      </c>
      <c r="H103">
        <v>0</v>
      </c>
      <c r="I103">
        <v>-25.88</v>
      </c>
      <c r="J103">
        <v>-162.09</v>
      </c>
      <c r="K103">
        <v>-136.21</v>
      </c>
    </row>
    <row r="104" spans="3:11" x14ac:dyDescent="0.3">
      <c r="C104" s="279" t="s">
        <v>955</v>
      </c>
      <c r="D104" s="279" t="s">
        <v>8</v>
      </c>
      <c r="E104" s="279" t="s">
        <v>488</v>
      </c>
      <c r="F104">
        <v>0</v>
      </c>
      <c r="G104">
        <v>1</v>
      </c>
      <c r="H104">
        <v>0</v>
      </c>
      <c r="I104">
        <v>438.46</v>
      </c>
      <c r="J104">
        <v>2526.27</v>
      </c>
      <c r="K104">
        <v>2087.81</v>
      </c>
    </row>
    <row r="105" spans="3:11" x14ac:dyDescent="0.3">
      <c r="C105" s="279" t="s">
        <v>955</v>
      </c>
      <c r="D105" s="279" t="s">
        <v>24</v>
      </c>
      <c r="E105" s="279" t="s">
        <v>488</v>
      </c>
      <c r="F105">
        <v>0</v>
      </c>
      <c r="G105">
        <v>0</v>
      </c>
      <c r="H105">
        <v>0</v>
      </c>
      <c r="I105">
        <v>93.85</v>
      </c>
      <c r="J105">
        <v>563.04999999999995</v>
      </c>
      <c r="K105">
        <v>469.2</v>
      </c>
    </row>
    <row r="106" spans="3:11" x14ac:dyDescent="0.3">
      <c r="C106" s="279" t="s">
        <v>955</v>
      </c>
      <c r="D106" s="279" t="s">
        <v>28</v>
      </c>
      <c r="E106" s="279" t="s">
        <v>488</v>
      </c>
      <c r="F106">
        <v>0</v>
      </c>
      <c r="G106">
        <v>0</v>
      </c>
      <c r="H106">
        <v>0</v>
      </c>
      <c r="I106">
        <v>17.8</v>
      </c>
      <c r="J106">
        <v>102.57</v>
      </c>
      <c r="K106">
        <v>84.77</v>
      </c>
    </row>
    <row r="107" spans="3:11" x14ac:dyDescent="0.3">
      <c r="C107" s="279" t="s">
        <v>955</v>
      </c>
      <c r="D107" s="279" t="s">
        <v>8</v>
      </c>
      <c r="E107" s="279" t="s">
        <v>488</v>
      </c>
      <c r="F107">
        <v>0</v>
      </c>
      <c r="G107">
        <v>0</v>
      </c>
      <c r="H107">
        <v>1</v>
      </c>
      <c r="I107">
        <v>71.010000000000005</v>
      </c>
      <c r="J107">
        <v>409.05</v>
      </c>
      <c r="K107">
        <v>338.04</v>
      </c>
    </row>
    <row r="108" spans="3:11" x14ac:dyDescent="0.3">
      <c r="C108" s="279" t="s">
        <v>955</v>
      </c>
      <c r="D108" s="279" t="s">
        <v>28</v>
      </c>
      <c r="E108" s="279" t="s">
        <v>488</v>
      </c>
      <c r="F108">
        <v>0</v>
      </c>
      <c r="G108">
        <v>0</v>
      </c>
      <c r="H108">
        <v>0</v>
      </c>
      <c r="I108">
        <v>97.81</v>
      </c>
      <c r="J108">
        <v>563.58000000000004</v>
      </c>
      <c r="K108">
        <v>465.77</v>
      </c>
    </row>
    <row r="109" spans="3:11" x14ac:dyDescent="0.3">
      <c r="C109" s="279" t="s">
        <v>955</v>
      </c>
      <c r="D109" s="279" t="s">
        <v>30</v>
      </c>
      <c r="E109" s="279" t="s">
        <v>488</v>
      </c>
      <c r="F109">
        <v>0</v>
      </c>
      <c r="G109">
        <v>0</v>
      </c>
      <c r="H109">
        <v>0</v>
      </c>
      <c r="I109">
        <v>8.39</v>
      </c>
      <c r="J109">
        <v>44.85</v>
      </c>
      <c r="K109">
        <v>36.46</v>
      </c>
    </row>
    <row r="110" spans="3:11" x14ac:dyDescent="0.3">
      <c r="C110" s="279" t="s">
        <v>955</v>
      </c>
      <c r="D110" s="279" t="s">
        <v>18</v>
      </c>
      <c r="E110" s="279" t="s">
        <v>488</v>
      </c>
      <c r="F110">
        <v>0</v>
      </c>
      <c r="G110">
        <v>0</v>
      </c>
      <c r="H110">
        <v>1</v>
      </c>
      <c r="I110">
        <v>161.43</v>
      </c>
      <c r="J110">
        <v>1010.71</v>
      </c>
      <c r="K110">
        <v>849.28</v>
      </c>
    </row>
    <row r="111" spans="3:11" x14ac:dyDescent="0.3">
      <c r="C111" s="279" t="s">
        <v>955</v>
      </c>
      <c r="D111" s="279" t="s">
        <v>181</v>
      </c>
      <c r="E111" s="279" t="s">
        <v>489</v>
      </c>
      <c r="F111">
        <v>0</v>
      </c>
      <c r="G111">
        <v>0</v>
      </c>
      <c r="H111">
        <v>0</v>
      </c>
      <c r="I111">
        <v>4121.1499999999996</v>
      </c>
      <c r="J111">
        <v>24727.13</v>
      </c>
      <c r="K111">
        <v>20605.97</v>
      </c>
    </row>
    <row r="112" spans="3:11" x14ac:dyDescent="0.3">
      <c r="C112" s="279" t="s">
        <v>955</v>
      </c>
      <c r="D112" s="279" t="s">
        <v>22</v>
      </c>
      <c r="E112" s="279" t="s">
        <v>488</v>
      </c>
      <c r="F112">
        <v>0</v>
      </c>
      <c r="G112">
        <v>0</v>
      </c>
      <c r="H112">
        <v>0</v>
      </c>
      <c r="I112">
        <v>28.42</v>
      </c>
      <c r="J112">
        <v>157.6</v>
      </c>
      <c r="K112">
        <v>129.18</v>
      </c>
    </row>
    <row r="113" spans="3:11" x14ac:dyDescent="0.3">
      <c r="C113" s="279" t="s">
        <v>955</v>
      </c>
      <c r="D113" s="279" t="s">
        <v>181</v>
      </c>
      <c r="E113" s="279" t="s">
        <v>489</v>
      </c>
      <c r="F113">
        <v>0</v>
      </c>
      <c r="G113">
        <v>0</v>
      </c>
      <c r="H113">
        <v>0</v>
      </c>
      <c r="I113">
        <v>66.03</v>
      </c>
      <c r="J113">
        <v>396.18</v>
      </c>
      <c r="K113">
        <v>330.15</v>
      </c>
    </row>
    <row r="114" spans="3:11" x14ac:dyDescent="0.3">
      <c r="C114" s="279" t="s">
        <v>955</v>
      </c>
      <c r="D114" s="279" t="s">
        <v>8</v>
      </c>
      <c r="E114" s="279" t="s">
        <v>488</v>
      </c>
      <c r="F114">
        <v>0</v>
      </c>
      <c r="G114">
        <v>0</v>
      </c>
      <c r="H114">
        <v>0</v>
      </c>
      <c r="I114">
        <v>182.68</v>
      </c>
      <c r="J114">
        <v>1052.6199999999999</v>
      </c>
      <c r="K114">
        <v>869.94</v>
      </c>
    </row>
    <row r="115" spans="3:11" x14ac:dyDescent="0.3">
      <c r="C115" s="279" t="s">
        <v>955</v>
      </c>
      <c r="D115" s="279" t="s">
        <v>8</v>
      </c>
      <c r="E115" s="279" t="s">
        <v>488</v>
      </c>
      <c r="F115">
        <v>0</v>
      </c>
      <c r="G115">
        <v>0</v>
      </c>
      <c r="H115">
        <v>0</v>
      </c>
      <c r="I115">
        <v>14768.9</v>
      </c>
      <c r="J115">
        <v>85481.52</v>
      </c>
      <c r="K115">
        <v>70712.62</v>
      </c>
    </row>
    <row r="116" spans="3:11" x14ac:dyDescent="0.3">
      <c r="C116" s="279" t="s">
        <v>955</v>
      </c>
      <c r="D116" s="279" t="s">
        <v>22</v>
      </c>
      <c r="E116" s="279" t="s">
        <v>488</v>
      </c>
      <c r="F116">
        <v>0</v>
      </c>
      <c r="G116">
        <v>0</v>
      </c>
      <c r="H116">
        <v>0</v>
      </c>
      <c r="I116">
        <v>418.81</v>
      </c>
      <c r="J116">
        <v>2322.58</v>
      </c>
      <c r="K116">
        <v>1903.77</v>
      </c>
    </row>
    <row r="117" spans="3:11" x14ac:dyDescent="0.3">
      <c r="C117" s="279" t="s">
        <v>955</v>
      </c>
      <c r="D117" s="279" t="s">
        <v>18</v>
      </c>
      <c r="E117" s="279" t="s">
        <v>488</v>
      </c>
      <c r="F117">
        <v>0</v>
      </c>
      <c r="G117">
        <v>0</v>
      </c>
      <c r="H117">
        <v>0</v>
      </c>
      <c r="I117">
        <v>4323.1000000000004</v>
      </c>
      <c r="J117">
        <v>27075.89</v>
      </c>
      <c r="K117">
        <v>22752.79</v>
      </c>
    </row>
    <row r="118" spans="3:11" x14ac:dyDescent="0.3">
      <c r="C118" s="279" t="s">
        <v>955</v>
      </c>
      <c r="D118" s="279" t="s">
        <v>22</v>
      </c>
      <c r="E118" s="279" t="s">
        <v>488</v>
      </c>
      <c r="F118">
        <v>0</v>
      </c>
      <c r="G118">
        <v>1</v>
      </c>
      <c r="H118">
        <v>0</v>
      </c>
      <c r="I118">
        <v>32.75</v>
      </c>
      <c r="J118">
        <v>188.71</v>
      </c>
      <c r="K118">
        <v>155.96</v>
      </c>
    </row>
    <row r="119" spans="3:11" x14ac:dyDescent="0.3">
      <c r="C119" s="279" t="s">
        <v>955</v>
      </c>
      <c r="D119" s="279" t="s">
        <v>20</v>
      </c>
      <c r="E119" s="279" t="s">
        <v>488</v>
      </c>
      <c r="F119">
        <v>0</v>
      </c>
      <c r="G119">
        <v>0</v>
      </c>
      <c r="H119">
        <v>0</v>
      </c>
      <c r="I119">
        <v>48.15</v>
      </c>
      <c r="J119">
        <v>288.92</v>
      </c>
      <c r="K119">
        <v>240.76</v>
      </c>
    </row>
    <row r="120" spans="3:11" x14ac:dyDescent="0.3">
      <c r="C120" s="279" t="s">
        <v>955</v>
      </c>
      <c r="D120" s="279" t="s">
        <v>30</v>
      </c>
      <c r="E120" s="279" t="s">
        <v>488</v>
      </c>
      <c r="F120">
        <v>0</v>
      </c>
      <c r="G120">
        <v>1</v>
      </c>
      <c r="H120">
        <v>0</v>
      </c>
      <c r="I120">
        <v>2.86</v>
      </c>
      <c r="J120">
        <v>16.47</v>
      </c>
      <c r="K120">
        <v>13.61</v>
      </c>
    </row>
    <row r="121" spans="3:11" x14ac:dyDescent="0.3">
      <c r="C121" s="279" t="s">
        <v>955</v>
      </c>
      <c r="D121" s="279" t="s">
        <v>20</v>
      </c>
      <c r="E121" s="279" t="s">
        <v>488</v>
      </c>
      <c r="F121">
        <v>0</v>
      </c>
      <c r="G121">
        <v>0</v>
      </c>
      <c r="H121">
        <v>0</v>
      </c>
      <c r="I121">
        <v>2310.7199999999998</v>
      </c>
      <c r="J121">
        <v>13863.15</v>
      </c>
      <c r="K121">
        <v>11552.43</v>
      </c>
    </row>
    <row r="122" spans="3:11" x14ac:dyDescent="0.3">
      <c r="C122" s="279" t="s">
        <v>955</v>
      </c>
      <c r="D122" s="279" t="s">
        <v>26</v>
      </c>
      <c r="E122" s="279" t="s">
        <v>488</v>
      </c>
      <c r="F122">
        <v>0</v>
      </c>
      <c r="G122">
        <v>0</v>
      </c>
      <c r="H122">
        <v>0</v>
      </c>
      <c r="I122">
        <v>12.12</v>
      </c>
      <c r="J122">
        <v>69.8</v>
      </c>
      <c r="K122">
        <v>57.68</v>
      </c>
    </row>
    <row r="123" spans="3:11" x14ac:dyDescent="0.3">
      <c r="C123" s="279" t="s">
        <v>955</v>
      </c>
      <c r="D123" s="279" t="s">
        <v>20</v>
      </c>
      <c r="E123" s="279" t="s">
        <v>488</v>
      </c>
      <c r="F123">
        <v>0</v>
      </c>
      <c r="G123">
        <v>1</v>
      </c>
      <c r="H123">
        <v>0</v>
      </c>
      <c r="I123">
        <v>21.43</v>
      </c>
      <c r="J123">
        <v>123.47</v>
      </c>
      <c r="K123">
        <v>102.04</v>
      </c>
    </row>
    <row r="124" spans="3:11" x14ac:dyDescent="0.3">
      <c r="C124" s="279" t="s">
        <v>955</v>
      </c>
      <c r="D124" s="279" t="s">
        <v>24</v>
      </c>
      <c r="E124" s="279" t="s">
        <v>488</v>
      </c>
      <c r="F124">
        <v>0</v>
      </c>
      <c r="G124">
        <v>1</v>
      </c>
      <c r="H124">
        <v>0</v>
      </c>
      <c r="I124">
        <v>11.43</v>
      </c>
      <c r="J124">
        <v>65.849999999999994</v>
      </c>
      <c r="K124">
        <v>54.42</v>
      </c>
    </row>
    <row r="125" spans="3:11" x14ac:dyDescent="0.3">
      <c r="C125" s="279" t="s">
        <v>955</v>
      </c>
      <c r="D125" s="279" t="s">
        <v>32</v>
      </c>
      <c r="E125" s="279" t="s">
        <v>488</v>
      </c>
      <c r="F125">
        <v>0</v>
      </c>
      <c r="G125">
        <v>0</v>
      </c>
      <c r="H125">
        <v>0</v>
      </c>
      <c r="I125">
        <v>249.34</v>
      </c>
      <c r="J125">
        <v>1715.97</v>
      </c>
      <c r="K125">
        <v>1466.63</v>
      </c>
    </row>
    <row r="126" spans="3:11" x14ac:dyDescent="0.3">
      <c r="C126" s="279" t="s">
        <v>955</v>
      </c>
      <c r="D126" s="279" t="s">
        <v>181</v>
      </c>
      <c r="E126" s="279" t="s">
        <v>489</v>
      </c>
      <c r="F126">
        <v>0</v>
      </c>
      <c r="G126">
        <v>1</v>
      </c>
      <c r="H126">
        <v>0</v>
      </c>
      <c r="I126">
        <v>4.7</v>
      </c>
      <c r="J126">
        <v>28.19</v>
      </c>
      <c r="K126">
        <v>23.49</v>
      </c>
    </row>
    <row r="127" spans="3:11" x14ac:dyDescent="0.3">
      <c r="C127" s="279" t="s">
        <v>956</v>
      </c>
      <c r="D127" s="279" t="s">
        <v>8</v>
      </c>
      <c r="E127" s="279" t="s">
        <v>488</v>
      </c>
      <c r="F127">
        <v>0</v>
      </c>
      <c r="G127">
        <v>0</v>
      </c>
      <c r="H127">
        <v>0</v>
      </c>
      <c r="I127">
        <v>209.71</v>
      </c>
      <c r="J127">
        <v>1208.21</v>
      </c>
      <c r="K127">
        <v>998.5</v>
      </c>
    </row>
    <row r="128" spans="3:11" x14ac:dyDescent="0.3">
      <c r="C128" s="279" t="s">
        <v>956</v>
      </c>
      <c r="D128" s="279" t="s">
        <v>8</v>
      </c>
      <c r="E128" s="279" t="s">
        <v>488</v>
      </c>
      <c r="F128">
        <v>0</v>
      </c>
      <c r="G128">
        <v>0</v>
      </c>
      <c r="H128">
        <v>1</v>
      </c>
      <c r="I128">
        <v>137.97999999999999</v>
      </c>
      <c r="J128">
        <v>794.95</v>
      </c>
      <c r="K128">
        <v>656.97</v>
      </c>
    </row>
    <row r="129" spans="3:11" x14ac:dyDescent="0.3">
      <c r="C129" s="279" t="s">
        <v>956</v>
      </c>
      <c r="D129" s="279" t="s">
        <v>28</v>
      </c>
      <c r="E129" s="279" t="s">
        <v>488</v>
      </c>
      <c r="F129">
        <v>0</v>
      </c>
      <c r="G129">
        <v>0</v>
      </c>
      <c r="H129">
        <v>0</v>
      </c>
      <c r="I129">
        <v>35.94</v>
      </c>
      <c r="J129">
        <v>207.12</v>
      </c>
      <c r="K129">
        <v>171.18</v>
      </c>
    </row>
    <row r="130" spans="3:11" x14ac:dyDescent="0.3">
      <c r="C130" s="279" t="s">
        <v>956</v>
      </c>
      <c r="D130" s="279" t="s">
        <v>18</v>
      </c>
      <c r="E130" s="279" t="s">
        <v>488</v>
      </c>
      <c r="F130">
        <v>0</v>
      </c>
      <c r="G130">
        <v>0</v>
      </c>
      <c r="H130">
        <v>0</v>
      </c>
      <c r="I130">
        <v>142.4</v>
      </c>
      <c r="J130">
        <v>891.84</v>
      </c>
      <c r="K130">
        <v>749.44</v>
      </c>
    </row>
    <row r="131" spans="3:11" x14ac:dyDescent="0.3">
      <c r="C131" s="279" t="s">
        <v>956</v>
      </c>
      <c r="D131" s="279" t="s">
        <v>20</v>
      </c>
      <c r="E131" s="279" t="s">
        <v>488</v>
      </c>
      <c r="F131">
        <v>0</v>
      </c>
      <c r="G131">
        <v>1</v>
      </c>
      <c r="H131">
        <v>0</v>
      </c>
      <c r="I131">
        <v>27.41</v>
      </c>
      <c r="J131">
        <v>157.94</v>
      </c>
      <c r="K131">
        <v>130.53</v>
      </c>
    </row>
    <row r="132" spans="3:11" x14ac:dyDescent="0.3">
      <c r="C132" s="279" t="s">
        <v>956</v>
      </c>
      <c r="D132" s="279" t="s">
        <v>181</v>
      </c>
      <c r="E132" s="279" t="s">
        <v>489</v>
      </c>
      <c r="F132">
        <v>0</v>
      </c>
      <c r="G132">
        <v>0</v>
      </c>
      <c r="H132">
        <v>0</v>
      </c>
      <c r="I132">
        <v>5462.62</v>
      </c>
      <c r="J132">
        <v>32775.370000000003</v>
      </c>
      <c r="K132">
        <v>27312.75</v>
      </c>
    </row>
    <row r="133" spans="3:11" x14ac:dyDescent="0.3">
      <c r="C133" s="279" t="s">
        <v>956</v>
      </c>
      <c r="D133" s="279" t="s">
        <v>22</v>
      </c>
      <c r="E133" s="279" t="s">
        <v>488</v>
      </c>
      <c r="F133">
        <v>0</v>
      </c>
      <c r="G133">
        <v>0</v>
      </c>
      <c r="H133">
        <v>0</v>
      </c>
      <c r="I133">
        <v>455.76</v>
      </c>
      <c r="J133">
        <v>2527.54</v>
      </c>
      <c r="K133">
        <v>2071.7800000000002</v>
      </c>
    </row>
    <row r="134" spans="3:11" x14ac:dyDescent="0.3">
      <c r="C134" s="279" t="s">
        <v>956</v>
      </c>
      <c r="D134" s="279" t="s">
        <v>18</v>
      </c>
      <c r="E134" s="279" t="s">
        <v>488</v>
      </c>
      <c r="F134">
        <v>0</v>
      </c>
      <c r="G134">
        <v>0</v>
      </c>
      <c r="H134">
        <v>1</v>
      </c>
      <c r="I134">
        <v>145.69</v>
      </c>
      <c r="J134">
        <v>912.15</v>
      </c>
      <c r="K134">
        <v>766.46</v>
      </c>
    </row>
    <row r="135" spans="3:11" x14ac:dyDescent="0.3">
      <c r="C135" s="279" t="s">
        <v>956</v>
      </c>
      <c r="D135" s="279" t="s">
        <v>28</v>
      </c>
      <c r="E135" s="279" t="s">
        <v>488</v>
      </c>
      <c r="F135">
        <v>0</v>
      </c>
      <c r="G135">
        <v>1</v>
      </c>
      <c r="H135">
        <v>0</v>
      </c>
      <c r="I135">
        <v>2.85</v>
      </c>
      <c r="J135">
        <v>16.420000000000002</v>
      </c>
      <c r="K135">
        <v>13.57</v>
      </c>
    </row>
    <row r="136" spans="3:11" x14ac:dyDescent="0.3">
      <c r="C136" s="279" t="s">
        <v>956</v>
      </c>
      <c r="D136" s="279" t="s">
        <v>32</v>
      </c>
      <c r="E136" s="279" t="s">
        <v>488</v>
      </c>
      <c r="F136">
        <v>0</v>
      </c>
      <c r="G136">
        <v>0</v>
      </c>
      <c r="H136">
        <v>0</v>
      </c>
      <c r="I136">
        <v>14.5</v>
      </c>
      <c r="J136">
        <v>99.8</v>
      </c>
      <c r="K136">
        <v>85.3</v>
      </c>
    </row>
    <row r="137" spans="3:11" x14ac:dyDescent="0.3">
      <c r="C137" s="279" t="s">
        <v>956</v>
      </c>
      <c r="D137" s="279" t="s">
        <v>32</v>
      </c>
      <c r="E137" s="279" t="s">
        <v>488</v>
      </c>
      <c r="F137">
        <v>0</v>
      </c>
      <c r="G137">
        <v>0</v>
      </c>
      <c r="H137">
        <v>0</v>
      </c>
      <c r="I137">
        <v>11.39</v>
      </c>
      <c r="J137">
        <v>65.61</v>
      </c>
      <c r="K137">
        <v>54.22</v>
      </c>
    </row>
    <row r="138" spans="3:11" x14ac:dyDescent="0.3">
      <c r="C138" s="279" t="s">
        <v>956</v>
      </c>
      <c r="D138" s="279" t="s">
        <v>8</v>
      </c>
      <c r="E138" s="279" t="s">
        <v>488</v>
      </c>
      <c r="F138">
        <v>0</v>
      </c>
      <c r="G138">
        <v>1</v>
      </c>
      <c r="H138">
        <v>0</v>
      </c>
      <c r="I138">
        <v>32.32</v>
      </c>
      <c r="J138">
        <v>186.18</v>
      </c>
      <c r="K138">
        <v>153.86000000000001</v>
      </c>
    </row>
    <row r="139" spans="3:11" x14ac:dyDescent="0.3">
      <c r="C139" s="279" t="s">
        <v>956</v>
      </c>
      <c r="D139" s="279" t="s">
        <v>20</v>
      </c>
      <c r="E139" s="279" t="s">
        <v>488</v>
      </c>
      <c r="F139">
        <v>0</v>
      </c>
      <c r="G139">
        <v>0</v>
      </c>
      <c r="H139">
        <v>0</v>
      </c>
      <c r="I139">
        <v>2827.01</v>
      </c>
      <c r="J139">
        <v>16960.310000000001</v>
      </c>
      <c r="K139">
        <v>14133.3</v>
      </c>
    </row>
    <row r="140" spans="3:11" x14ac:dyDescent="0.3">
      <c r="C140" s="279" t="s">
        <v>956</v>
      </c>
      <c r="D140" s="279" t="s">
        <v>181</v>
      </c>
      <c r="E140" s="279" t="s">
        <v>489</v>
      </c>
      <c r="F140">
        <v>0</v>
      </c>
      <c r="G140">
        <v>0</v>
      </c>
      <c r="H140">
        <v>0</v>
      </c>
      <c r="I140">
        <v>120.29</v>
      </c>
      <c r="J140">
        <v>721.78</v>
      </c>
      <c r="K140">
        <v>601.48</v>
      </c>
    </row>
    <row r="141" spans="3:11" x14ac:dyDescent="0.3">
      <c r="C141" s="279" t="s">
        <v>956</v>
      </c>
      <c r="D141" s="279" t="s">
        <v>18</v>
      </c>
      <c r="E141" s="279" t="s">
        <v>488</v>
      </c>
      <c r="F141">
        <v>0</v>
      </c>
      <c r="G141">
        <v>0</v>
      </c>
      <c r="H141">
        <v>0</v>
      </c>
      <c r="I141">
        <v>4218.1000000000004</v>
      </c>
      <c r="J141">
        <v>26418.57</v>
      </c>
      <c r="K141">
        <v>22200.47</v>
      </c>
    </row>
    <row r="142" spans="3:11" x14ac:dyDescent="0.3">
      <c r="C142" s="279" t="s">
        <v>956</v>
      </c>
      <c r="D142" s="279" t="s">
        <v>24</v>
      </c>
      <c r="E142" s="279" t="s">
        <v>488</v>
      </c>
      <c r="F142">
        <v>0</v>
      </c>
      <c r="G142">
        <v>0</v>
      </c>
      <c r="H142">
        <v>0</v>
      </c>
      <c r="I142">
        <v>78.27</v>
      </c>
      <c r="J142">
        <v>469.57</v>
      </c>
      <c r="K142">
        <v>391.3</v>
      </c>
    </row>
    <row r="143" spans="3:11" x14ac:dyDescent="0.3">
      <c r="C143" s="279" t="s">
        <v>956</v>
      </c>
      <c r="D143" s="279" t="s">
        <v>26</v>
      </c>
      <c r="E143" s="279" t="s">
        <v>488</v>
      </c>
      <c r="F143">
        <v>0</v>
      </c>
      <c r="G143">
        <v>0</v>
      </c>
      <c r="H143">
        <v>0</v>
      </c>
      <c r="I143">
        <v>64.22</v>
      </c>
      <c r="J143">
        <v>370.11</v>
      </c>
      <c r="K143">
        <v>305.89</v>
      </c>
    </row>
    <row r="144" spans="3:11" x14ac:dyDescent="0.3">
      <c r="C144" s="279" t="s">
        <v>956</v>
      </c>
      <c r="D144" s="279" t="s">
        <v>30</v>
      </c>
      <c r="E144" s="279" t="s">
        <v>488</v>
      </c>
      <c r="F144">
        <v>0</v>
      </c>
      <c r="G144">
        <v>0</v>
      </c>
      <c r="H144">
        <v>0</v>
      </c>
      <c r="I144">
        <v>11.56</v>
      </c>
      <c r="J144">
        <v>61.83</v>
      </c>
      <c r="K144">
        <v>50.27</v>
      </c>
    </row>
    <row r="145" spans="3:11" x14ac:dyDescent="0.3">
      <c r="C145" s="279" t="s">
        <v>956</v>
      </c>
      <c r="D145" s="279" t="s">
        <v>181</v>
      </c>
      <c r="E145" s="279" t="s">
        <v>489</v>
      </c>
      <c r="F145">
        <v>0</v>
      </c>
      <c r="G145">
        <v>1</v>
      </c>
      <c r="H145">
        <v>0</v>
      </c>
      <c r="I145">
        <v>4.7</v>
      </c>
      <c r="J145">
        <v>28.19</v>
      </c>
      <c r="K145">
        <v>23.49</v>
      </c>
    </row>
    <row r="146" spans="3:11" x14ac:dyDescent="0.3">
      <c r="C146" s="279" t="s">
        <v>956</v>
      </c>
      <c r="D146" s="279" t="s">
        <v>8</v>
      </c>
      <c r="E146" s="279" t="s">
        <v>488</v>
      </c>
      <c r="F146">
        <v>0</v>
      </c>
      <c r="G146">
        <v>0</v>
      </c>
      <c r="H146">
        <v>0</v>
      </c>
      <c r="I146">
        <v>13704.9</v>
      </c>
      <c r="J146">
        <v>79209.009999999995</v>
      </c>
      <c r="K146">
        <v>65504.11</v>
      </c>
    </row>
    <row r="147" spans="3:11" x14ac:dyDescent="0.3">
      <c r="C147" s="279" t="s">
        <v>956</v>
      </c>
      <c r="D147" s="279" t="s">
        <v>20</v>
      </c>
      <c r="E147" s="279" t="s">
        <v>488</v>
      </c>
      <c r="F147">
        <v>0</v>
      </c>
      <c r="G147">
        <v>0</v>
      </c>
      <c r="H147">
        <v>0</v>
      </c>
      <c r="I147">
        <v>-37.26</v>
      </c>
      <c r="J147">
        <v>-223.59</v>
      </c>
      <c r="K147">
        <v>-186.33</v>
      </c>
    </row>
    <row r="148" spans="3:11" x14ac:dyDescent="0.3">
      <c r="C148" s="279" t="s">
        <v>956</v>
      </c>
      <c r="D148" s="279" t="s">
        <v>30</v>
      </c>
      <c r="E148" s="279" t="s">
        <v>488</v>
      </c>
      <c r="F148">
        <v>0</v>
      </c>
      <c r="G148">
        <v>1</v>
      </c>
      <c r="H148">
        <v>0</v>
      </c>
      <c r="I148">
        <v>1.43</v>
      </c>
      <c r="J148">
        <v>8.2200000000000006</v>
      </c>
      <c r="K148">
        <v>6.79</v>
      </c>
    </row>
    <row r="149" spans="3:11" x14ac:dyDescent="0.3">
      <c r="C149" s="279" t="s">
        <v>956</v>
      </c>
      <c r="D149" s="279" t="s">
        <v>22</v>
      </c>
      <c r="E149" s="279" t="s">
        <v>488</v>
      </c>
      <c r="F149">
        <v>0</v>
      </c>
      <c r="G149">
        <v>1</v>
      </c>
      <c r="H149">
        <v>0</v>
      </c>
      <c r="I149">
        <v>8.19</v>
      </c>
      <c r="J149">
        <v>47.18</v>
      </c>
      <c r="K149">
        <v>38.99</v>
      </c>
    </row>
    <row r="150" spans="3:11" x14ac:dyDescent="0.3">
      <c r="C150" s="279" t="s">
        <v>956</v>
      </c>
      <c r="D150" s="279" t="s">
        <v>18</v>
      </c>
      <c r="E150" s="279" t="s">
        <v>488</v>
      </c>
      <c r="F150">
        <v>0</v>
      </c>
      <c r="G150">
        <v>1</v>
      </c>
      <c r="H150">
        <v>0</v>
      </c>
      <c r="I150">
        <v>6.1</v>
      </c>
      <c r="J150">
        <v>35.14</v>
      </c>
      <c r="K150">
        <v>29.04</v>
      </c>
    </row>
    <row r="151" spans="3:11" x14ac:dyDescent="0.3">
      <c r="C151" s="279" t="s">
        <v>956</v>
      </c>
      <c r="D151" s="279" t="s">
        <v>22</v>
      </c>
      <c r="E151" s="279" t="s">
        <v>488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3:11" x14ac:dyDescent="0.3">
      <c r="C152" s="279" t="s">
        <v>957</v>
      </c>
      <c r="D152" s="279" t="s">
        <v>18</v>
      </c>
      <c r="E152" s="279" t="s">
        <v>488</v>
      </c>
      <c r="F152">
        <v>0</v>
      </c>
      <c r="G152">
        <v>0</v>
      </c>
      <c r="H152">
        <v>0</v>
      </c>
      <c r="I152">
        <v>45.74</v>
      </c>
      <c r="J152">
        <v>286.45999999999998</v>
      </c>
      <c r="K152">
        <v>240.72</v>
      </c>
    </row>
    <row r="153" spans="3:11" x14ac:dyDescent="0.3">
      <c r="C153" s="279" t="s">
        <v>957</v>
      </c>
      <c r="D153" s="279" t="s">
        <v>8</v>
      </c>
      <c r="E153" s="279" t="s">
        <v>488</v>
      </c>
      <c r="F153">
        <v>0</v>
      </c>
      <c r="G153">
        <v>0</v>
      </c>
      <c r="H153">
        <v>0</v>
      </c>
      <c r="I153">
        <v>16280.56</v>
      </c>
      <c r="J153">
        <v>94093.39</v>
      </c>
      <c r="K153">
        <v>77812.83</v>
      </c>
    </row>
    <row r="154" spans="3:11" x14ac:dyDescent="0.3">
      <c r="C154" s="279" t="s">
        <v>957</v>
      </c>
      <c r="D154" s="279" t="s">
        <v>24</v>
      </c>
      <c r="E154" s="279" t="s">
        <v>488</v>
      </c>
      <c r="F154">
        <v>0</v>
      </c>
      <c r="G154">
        <v>1</v>
      </c>
      <c r="H154">
        <v>0</v>
      </c>
      <c r="I154">
        <v>2.85</v>
      </c>
      <c r="J154">
        <v>16.420000000000002</v>
      </c>
      <c r="K154">
        <v>13.57</v>
      </c>
    </row>
    <row r="155" spans="3:11" x14ac:dyDescent="0.3">
      <c r="C155" s="279" t="s">
        <v>957</v>
      </c>
      <c r="D155" s="279" t="s">
        <v>18</v>
      </c>
      <c r="E155" s="279" t="s">
        <v>488</v>
      </c>
      <c r="F155">
        <v>0</v>
      </c>
      <c r="G155">
        <v>0</v>
      </c>
      <c r="H155">
        <v>0</v>
      </c>
      <c r="I155">
        <v>3426.67</v>
      </c>
      <c r="J155">
        <v>21461.68</v>
      </c>
      <c r="K155">
        <v>18035.009999999998</v>
      </c>
    </row>
    <row r="156" spans="3:11" x14ac:dyDescent="0.3">
      <c r="C156" s="279" t="s">
        <v>957</v>
      </c>
      <c r="D156" s="279" t="s">
        <v>22</v>
      </c>
      <c r="E156" s="279" t="s">
        <v>488</v>
      </c>
      <c r="F156">
        <v>0</v>
      </c>
      <c r="G156">
        <v>0</v>
      </c>
      <c r="H156">
        <v>0</v>
      </c>
      <c r="I156">
        <v>1051.8800000000001</v>
      </c>
      <c r="J156">
        <v>11041.07</v>
      </c>
      <c r="K156">
        <v>9989.19</v>
      </c>
    </row>
    <row r="157" spans="3:11" x14ac:dyDescent="0.3">
      <c r="C157" s="279" t="s">
        <v>957</v>
      </c>
      <c r="D157" s="279" t="s">
        <v>34</v>
      </c>
      <c r="E157" s="279" t="s">
        <v>490</v>
      </c>
      <c r="F157">
        <v>0</v>
      </c>
      <c r="G157">
        <v>0</v>
      </c>
      <c r="H157">
        <v>0</v>
      </c>
      <c r="I157">
        <v>6</v>
      </c>
      <c r="J157">
        <v>105.95</v>
      </c>
      <c r="K157">
        <v>99.95</v>
      </c>
    </row>
    <row r="158" spans="3:11" x14ac:dyDescent="0.3">
      <c r="C158" s="279" t="s">
        <v>957</v>
      </c>
      <c r="D158" s="279" t="s">
        <v>24</v>
      </c>
      <c r="E158" s="279" t="s">
        <v>488</v>
      </c>
      <c r="F158">
        <v>0</v>
      </c>
      <c r="G158">
        <v>0</v>
      </c>
      <c r="H158">
        <v>0</v>
      </c>
      <c r="I158">
        <v>292.02</v>
      </c>
      <c r="J158">
        <v>1751.98</v>
      </c>
      <c r="K158">
        <v>1459.96</v>
      </c>
    </row>
    <row r="159" spans="3:11" x14ac:dyDescent="0.3">
      <c r="C159" s="279" t="s">
        <v>957</v>
      </c>
      <c r="D159" s="279" t="s">
        <v>32</v>
      </c>
      <c r="E159" s="279" t="s">
        <v>488</v>
      </c>
      <c r="F159">
        <v>0</v>
      </c>
      <c r="G159">
        <v>0</v>
      </c>
      <c r="H159">
        <v>0</v>
      </c>
      <c r="I159">
        <v>7.68</v>
      </c>
      <c r="J159">
        <v>52.85</v>
      </c>
      <c r="K159">
        <v>45.17</v>
      </c>
    </row>
    <row r="160" spans="3:11" x14ac:dyDescent="0.3">
      <c r="C160" s="279" t="s">
        <v>957</v>
      </c>
      <c r="D160" s="279" t="s">
        <v>18</v>
      </c>
      <c r="E160" s="279" t="s">
        <v>488</v>
      </c>
      <c r="F160">
        <v>0</v>
      </c>
      <c r="G160">
        <v>1</v>
      </c>
      <c r="H160">
        <v>0</v>
      </c>
      <c r="I160">
        <v>3.51</v>
      </c>
      <c r="J160">
        <v>20.190000000000001</v>
      </c>
      <c r="K160">
        <v>16.68</v>
      </c>
    </row>
    <row r="161" spans="3:11" x14ac:dyDescent="0.3">
      <c r="C161" s="279" t="s">
        <v>957</v>
      </c>
      <c r="D161" s="279" t="s">
        <v>20</v>
      </c>
      <c r="E161" s="279" t="s">
        <v>488</v>
      </c>
      <c r="F161">
        <v>0</v>
      </c>
      <c r="G161">
        <v>0</v>
      </c>
      <c r="H161">
        <v>0</v>
      </c>
      <c r="I161">
        <v>29.94</v>
      </c>
      <c r="J161">
        <v>179.65</v>
      </c>
      <c r="K161">
        <v>149.71</v>
      </c>
    </row>
    <row r="162" spans="3:11" x14ac:dyDescent="0.3">
      <c r="C162" s="279" t="s">
        <v>957</v>
      </c>
      <c r="D162" s="279" t="s">
        <v>181</v>
      </c>
      <c r="E162" s="279" t="s">
        <v>489</v>
      </c>
      <c r="F162">
        <v>0</v>
      </c>
      <c r="G162">
        <v>0</v>
      </c>
      <c r="H162">
        <v>0</v>
      </c>
      <c r="I162">
        <v>2.0099999999999998</v>
      </c>
      <c r="J162">
        <v>11.99</v>
      </c>
      <c r="K162">
        <v>9.98</v>
      </c>
    </row>
    <row r="163" spans="3:11" x14ac:dyDescent="0.3">
      <c r="C163" s="279" t="s">
        <v>957</v>
      </c>
      <c r="D163" s="279" t="s">
        <v>30</v>
      </c>
      <c r="E163" s="279" t="s">
        <v>488</v>
      </c>
      <c r="F163">
        <v>0</v>
      </c>
      <c r="G163">
        <v>0</v>
      </c>
      <c r="H163">
        <v>0</v>
      </c>
      <c r="I163">
        <v>22.71</v>
      </c>
      <c r="J163">
        <v>121.41</v>
      </c>
      <c r="K163">
        <v>98.7</v>
      </c>
    </row>
    <row r="164" spans="3:11" x14ac:dyDescent="0.3">
      <c r="C164" s="279" t="s">
        <v>957</v>
      </c>
      <c r="D164" s="279" t="s">
        <v>8</v>
      </c>
      <c r="E164" s="279" t="s">
        <v>488</v>
      </c>
      <c r="F164">
        <v>0</v>
      </c>
      <c r="G164">
        <v>0</v>
      </c>
      <c r="H164">
        <v>1</v>
      </c>
      <c r="I164">
        <v>108.17</v>
      </c>
      <c r="J164">
        <v>623.25</v>
      </c>
      <c r="K164">
        <v>515.08000000000004</v>
      </c>
    </row>
    <row r="165" spans="3:11" x14ac:dyDescent="0.3">
      <c r="C165" s="279" t="s">
        <v>957</v>
      </c>
      <c r="D165" s="279" t="s">
        <v>8</v>
      </c>
      <c r="E165" s="279" t="s">
        <v>488</v>
      </c>
      <c r="F165">
        <v>0</v>
      </c>
      <c r="G165">
        <v>1</v>
      </c>
      <c r="H165">
        <v>0</v>
      </c>
      <c r="I165">
        <v>55.48</v>
      </c>
      <c r="J165">
        <v>319.63</v>
      </c>
      <c r="K165">
        <v>264.14999999999998</v>
      </c>
    </row>
    <row r="166" spans="3:11" x14ac:dyDescent="0.3">
      <c r="C166" s="279" t="s">
        <v>957</v>
      </c>
      <c r="D166" s="279" t="s">
        <v>18</v>
      </c>
      <c r="E166" s="279" t="s">
        <v>488</v>
      </c>
      <c r="F166">
        <v>0</v>
      </c>
      <c r="G166">
        <v>0</v>
      </c>
      <c r="H166">
        <v>1</v>
      </c>
      <c r="I166">
        <v>17.989999999999998</v>
      </c>
      <c r="J166">
        <v>112.7</v>
      </c>
      <c r="K166">
        <v>94.71</v>
      </c>
    </row>
    <row r="167" spans="3:11" x14ac:dyDescent="0.3">
      <c r="C167" s="279" t="s">
        <v>957</v>
      </c>
      <c r="D167" s="279" t="s">
        <v>32</v>
      </c>
      <c r="E167" s="279" t="s">
        <v>488</v>
      </c>
      <c r="F167">
        <v>0</v>
      </c>
      <c r="G167">
        <v>0</v>
      </c>
      <c r="H167">
        <v>0</v>
      </c>
      <c r="I167">
        <v>-6.71</v>
      </c>
      <c r="J167">
        <v>-38.659999999999997</v>
      </c>
      <c r="K167">
        <v>-31.95</v>
      </c>
    </row>
    <row r="168" spans="3:11" x14ac:dyDescent="0.3">
      <c r="C168" s="279" t="s">
        <v>957</v>
      </c>
      <c r="D168" s="279" t="s">
        <v>34</v>
      </c>
      <c r="E168" s="279" t="s">
        <v>490</v>
      </c>
      <c r="F168">
        <v>0</v>
      </c>
      <c r="G168">
        <v>0</v>
      </c>
      <c r="H168">
        <v>0</v>
      </c>
      <c r="I168">
        <v>9.7799999999999994</v>
      </c>
      <c r="J168">
        <v>4758</v>
      </c>
      <c r="K168">
        <v>4748.22</v>
      </c>
    </row>
    <row r="169" spans="3:11" x14ac:dyDescent="0.3">
      <c r="C169" s="279" t="s">
        <v>957</v>
      </c>
      <c r="D169" s="279" t="s">
        <v>20</v>
      </c>
      <c r="E169" s="279" t="s">
        <v>488</v>
      </c>
      <c r="F169">
        <v>0</v>
      </c>
      <c r="G169">
        <v>1</v>
      </c>
      <c r="H169">
        <v>0</v>
      </c>
      <c r="I169">
        <v>4.67</v>
      </c>
      <c r="J169">
        <v>26.92</v>
      </c>
      <c r="K169">
        <v>22.25</v>
      </c>
    </row>
    <row r="170" spans="3:11" x14ac:dyDescent="0.3">
      <c r="C170" s="279" t="s">
        <v>957</v>
      </c>
      <c r="D170" s="279" t="s">
        <v>181</v>
      </c>
      <c r="E170" s="279" t="s">
        <v>489</v>
      </c>
      <c r="F170">
        <v>0</v>
      </c>
      <c r="G170">
        <v>0</v>
      </c>
      <c r="H170">
        <v>0</v>
      </c>
      <c r="I170">
        <v>5330.99</v>
      </c>
      <c r="J170">
        <v>31985.18</v>
      </c>
      <c r="K170">
        <v>26654.19</v>
      </c>
    </row>
    <row r="171" spans="3:11" x14ac:dyDescent="0.3">
      <c r="C171" s="279" t="s">
        <v>957</v>
      </c>
      <c r="D171" s="279" t="s">
        <v>26</v>
      </c>
      <c r="E171" s="279" t="s">
        <v>488</v>
      </c>
      <c r="F171">
        <v>0</v>
      </c>
      <c r="G171">
        <v>0</v>
      </c>
      <c r="H171">
        <v>0</v>
      </c>
      <c r="I171">
        <v>34.29</v>
      </c>
      <c r="J171">
        <v>197.55</v>
      </c>
      <c r="K171">
        <v>163.26</v>
      </c>
    </row>
    <row r="172" spans="3:11" x14ac:dyDescent="0.3">
      <c r="C172" s="279" t="s">
        <v>957</v>
      </c>
      <c r="D172" s="279" t="s">
        <v>22</v>
      </c>
      <c r="E172" s="279" t="s">
        <v>488</v>
      </c>
      <c r="F172">
        <v>0</v>
      </c>
      <c r="G172">
        <v>1</v>
      </c>
      <c r="H172">
        <v>0</v>
      </c>
      <c r="I172">
        <v>4.67</v>
      </c>
      <c r="J172">
        <v>26.92</v>
      </c>
      <c r="K172">
        <v>22.25</v>
      </c>
    </row>
    <row r="173" spans="3:11" x14ac:dyDescent="0.3">
      <c r="C173" s="279" t="s">
        <v>957</v>
      </c>
      <c r="D173" s="279" t="s">
        <v>20</v>
      </c>
      <c r="E173" s="279" t="s">
        <v>488</v>
      </c>
      <c r="F173">
        <v>0</v>
      </c>
      <c r="G173">
        <v>0</v>
      </c>
      <c r="H173">
        <v>0</v>
      </c>
      <c r="I173">
        <v>2753.98</v>
      </c>
      <c r="J173">
        <v>16522.400000000001</v>
      </c>
      <c r="K173">
        <v>13768.42</v>
      </c>
    </row>
    <row r="174" spans="3:11" x14ac:dyDescent="0.3">
      <c r="C174" s="279" t="s">
        <v>957</v>
      </c>
      <c r="D174" s="279" t="s">
        <v>8</v>
      </c>
      <c r="E174" s="279" t="s">
        <v>488</v>
      </c>
      <c r="F174">
        <v>0</v>
      </c>
      <c r="G174">
        <v>0</v>
      </c>
      <c r="H174">
        <v>0</v>
      </c>
      <c r="I174">
        <v>204.64</v>
      </c>
      <c r="J174">
        <v>1179.31</v>
      </c>
      <c r="K174">
        <v>974.67</v>
      </c>
    </row>
    <row r="175" spans="3:11" x14ac:dyDescent="0.3">
      <c r="C175" s="279" t="s">
        <v>957</v>
      </c>
      <c r="D175" s="279" t="s">
        <v>32</v>
      </c>
      <c r="E175" s="279" t="s">
        <v>488</v>
      </c>
      <c r="F175">
        <v>0</v>
      </c>
      <c r="G175">
        <v>1</v>
      </c>
      <c r="H175">
        <v>0</v>
      </c>
      <c r="I175">
        <v>6.76</v>
      </c>
      <c r="J175">
        <v>38.93</v>
      </c>
      <c r="K175">
        <v>32.17</v>
      </c>
    </row>
    <row r="176" spans="3:11" x14ac:dyDescent="0.3">
      <c r="C176" s="279" t="s">
        <v>957</v>
      </c>
      <c r="D176" s="279" t="s">
        <v>32</v>
      </c>
      <c r="E176" s="279" t="s">
        <v>488</v>
      </c>
      <c r="F176">
        <v>0</v>
      </c>
      <c r="G176">
        <v>1</v>
      </c>
      <c r="H176">
        <v>0</v>
      </c>
      <c r="I176">
        <v>6.89</v>
      </c>
      <c r="J176">
        <v>39.68</v>
      </c>
      <c r="K176">
        <v>32.79</v>
      </c>
    </row>
    <row r="177" spans="3:11" x14ac:dyDescent="0.3">
      <c r="C177" s="279" t="s">
        <v>957</v>
      </c>
      <c r="D177" s="279" t="s">
        <v>24</v>
      </c>
      <c r="E177" s="279" t="s">
        <v>488</v>
      </c>
      <c r="F177">
        <v>0</v>
      </c>
      <c r="G177">
        <v>0</v>
      </c>
      <c r="H177">
        <v>0</v>
      </c>
      <c r="I177">
        <v>14.44</v>
      </c>
      <c r="J177">
        <v>86.63</v>
      </c>
      <c r="K177">
        <v>72.19</v>
      </c>
    </row>
    <row r="178" spans="3:11" x14ac:dyDescent="0.3">
      <c r="C178" s="279" t="s">
        <v>957</v>
      </c>
      <c r="D178" s="279" t="s">
        <v>22</v>
      </c>
      <c r="E178" s="279" t="s">
        <v>488</v>
      </c>
      <c r="F178">
        <v>0</v>
      </c>
      <c r="G178">
        <v>0</v>
      </c>
      <c r="H178">
        <v>0</v>
      </c>
      <c r="I178">
        <v>18.39</v>
      </c>
      <c r="J178">
        <v>102.02</v>
      </c>
      <c r="K178">
        <v>83.63</v>
      </c>
    </row>
    <row r="179" spans="3:11" x14ac:dyDescent="0.3">
      <c r="C179" s="279" t="s">
        <v>958</v>
      </c>
      <c r="D179" s="279" t="s">
        <v>34</v>
      </c>
      <c r="E179" s="279" t="s">
        <v>490</v>
      </c>
      <c r="F179">
        <v>0</v>
      </c>
      <c r="G179">
        <v>0</v>
      </c>
      <c r="H179">
        <v>0</v>
      </c>
      <c r="I179">
        <v>34.94</v>
      </c>
      <c r="J179">
        <v>15704.7</v>
      </c>
      <c r="K179">
        <v>15669.76</v>
      </c>
    </row>
    <row r="180" spans="3:11" x14ac:dyDescent="0.3">
      <c r="C180" s="279" t="s">
        <v>958</v>
      </c>
      <c r="D180" s="279" t="s">
        <v>18</v>
      </c>
      <c r="E180" s="279" t="s">
        <v>488</v>
      </c>
      <c r="F180">
        <v>0</v>
      </c>
      <c r="G180">
        <v>0</v>
      </c>
      <c r="H180">
        <v>0</v>
      </c>
      <c r="I180">
        <v>3087.52</v>
      </c>
      <c r="J180">
        <v>19337.59</v>
      </c>
      <c r="K180">
        <v>16250.07</v>
      </c>
    </row>
    <row r="181" spans="3:11" x14ac:dyDescent="0.3">
      <c r="C181" s="279" t="s">
        <v>958</v>
      </c>
      <c r="D181" s="279" t="s">
        <v>20</v>
      </c>
      <c r="E181" s="279" t="s">
        <v>488</v>
      </c>
      <c r="F181">
        <v>0</v>
      </c>
      <c r="G181">
        <v>0</v>
      </c>
      <c r="H181">
        <v>0</v>
      </c>
      <c r="I181">
        <v>3575.81</v>
      </c>
      <c r="J181">
        <v>21452.93</v>
      </c>
      <c r="K181">
        <v>17877.12</v>
      </c>
    </row>
    <row r="182" spans="3:11" x14ac:dyDescent="0.3">
      <c r="C182" s="279" t="s">
        <v>958</v>
      </c>
      <c r="D182" s="279" t="s">
        <v>22</v>
      </c>
      <c r="E182" s="279" t="s">
        <v>488</v>
      </c>
      <c r="F182">
        <v>0</v>
      </c>
      <c r="G182">
        <v>0</v>
      </c>
      <c r="H182">
        <v>0</v>
      </c>
      <c r="I182">
        <v>19.100000000000001</v>
      </c>
      <c r="J182">
        <v>105.9</v>
      </c>
      <c r="K182">
        <v>86.8</v>
      </c>
    </row>
    <row r="183" spans="3:11" x14ac:dyDescent="0.3">
      <c r="C183" s="279" t="s">
        <v>958</v>
      </c>
      <c r="D183" s="279" t="s">
        <v>28</v>
      </c>
      <c r="E183" s="279" t="s">
        <v>488</v>
      </c>
      <c r="F183">
        <v>0</v>
      </c>
      <c r="G183">
        <v>1</v>
      </c>
      <c r="H183">
        <v>0</v>
      </c>
      <c r="I183">
        <v>6.23</v>
      </c>
      <c r="J183">
        <v>35.9</v>
      </c>
      <c r="K183">
        <v>29.67</v>
      </c>
    </row>
    <row r="184" spans="3:11" x14ac:dyDescent="0.3">
      <c r="C184" s="279" t="s">
        <v>958</v>
      </c>
      <c r="D184" s="279" t="s">
        <v>22</v>
      </c>
      <c r="E184" s="279" t="s">
        <v>488</v>
      </c>
      <c r="F184">
        <v>0</v>
      </c>
      <c r="G184">
        <v>1</v>
      </c>
      <c r="H184">
        <v>0</v>
      </c>
      <c r="I184">
        <v>24.94</v>
      </c>
      <c r="J184">
        <v>143.68</v>
      </c>
      <c r="K184">
        <v>118.74</v>
      </c>
    </row>
    <row r="185" spans="3:11" x14ac:dyDescent="0.3">
      <c r="C185" s="279" t="s">
        <v>958</v>
      </c>
      <c r="D185" s="279" t="s">
        <v>181</v>
      </c>
      <c r="E185" s="279" t="s">
        <v>489</v>
      </c>
      <c r="F185">
        <v>0</v>
      </c>
      <c r="G185">
        <v>0</v>
      </c>
      <c r="H185">
        <v>0</v>
      </c>
      <c r="I185">
        <v>19.510000000000002</v>
      </c>
      <c r="J185">
        <v>116.98</v>
      </c>
      <c r="K185">
        <v>97.47</v>
      </c>
    </row>
    <row r="186" spans="3:11" x14ac:dyDescent="0.3">
      <c r="C186" s="279" t="s">
        <v>958</v>
      </c>
      <c r="D186" s="279" t="s">
        <v>18</v>
      </c>
      <c r="E186" s="279" t="s">
        <v>488</v>
      </c>
      <c r="F186">
        <v>0</v>
      </c>
      <c r="G186">
        <v>0</v>
      </c>
      <c r="H186">
        <v>1</v>
      </c>
      <c r="I186">
        <v>73.11</v>
      </c>
      <c r="J186">
        <v>457.9</v>
      </c>
      <c r="K186">
        <v>384.79</v>
      </c>
    </row>
    <row r="187" spans="3:11" x14ac:dyDescent="0.3">
      <c r="C187" s="279" t="s">
        <v>958</v>
      </c>
      <c r="D187" s="279" t="s">
        <v>18</v>
      </c>
      <c r="E187" s="279" t="s">
        <v>488</v>
      </c>
      <c r="F187">
        <v>0</v>
      </c>
      <c r="G187">
        <v>0</v>
      </c>
      <c r="H187">
        <v>0</v>
      </c>
      <c r="I187">
        <v>53.54</v>
      </c>
      <c r="J187">
        <v>335.36</v>
      </c>
      <c r="K187">
        <v>281.82</v>
      </c>
    </row>
    <row r="188" spans="3:11" x14ac:dyDescent="0.3">
      <c r="C188" s="279" t="s">
        <v>958</v>
      </c>
      <c r="D188" s="279" t="s">
        <v>32</v>
      </c>
      <c r="E188" s="279" t="s">
        <v>488</v>
      </c>
      <c r="F188">
        <v>0</v>
      </c>
      <c r="G188">
        <v>0</v>
      </c>
      <c r="H188">
        <v>0</v>
      </c>
      <c r="I188">
        <v>9.61</v>
      </c>
      <c r="J188">
        <v>48.06</v>
      </c>
      <c r="K188">
        <v>38.450000000000003</v>
      </c>
    </row>
    <row r="189" spans="3:11" x14ac:dyDescent="0.3">
      <c r="C189" s="279" t="s">
        <v>958</v>
      </c>
      <c r="D189" s="279" t="s">
        <v>181</v>
      </c>
      <c r="E189" s="279" t="s">
        <v>489</v>
      </c>
      <c r="F189">
        <v>0</v>
      </c>
      <c r="G189">
        <v>0</v>
      </c>
      <c r="H189">
        <v>0</v>
      </c>
      <c r="I189">
        <v>4647.29</v>
      </c>
      <c r="J189">
        <v>27881.99</v>
      </c>
      <c r="K189">
        <v>23234.7</v>
      </c>
    </row>
    <row r="190" spans="3:11" x14ac:dyDescent="0.3">
      <c r="C190" s="279" t="s">
        <v>958</v>
      </c>
      <c r="D190" s="279" t="s">
        <v>30</v>
      </c>
      <c r="E190" s="279" t="s">
        <v>488</v>
      </c>
      <c r="F190">
        <v>0</v>
      </c>
      <c r="G190">
        <v>1</v>
      </c>
      <c r="H190">
        <v>0</v>
      </c>
      <c r="I190">
        <v>3.9</v>
      </c>
      <c r="J190">
        <v>22.46</v>
      </c>
      <c r="K190">
        <v>18.559999999999999</v>
      </c>
    </row>
    <row r="191" spans="3:11" x14ac:dyDescent="0.3">
      <c r="C191" s="279" t="s">
        <v>958</v>
      </c>
      <c r="D191" s="279" t="s">
        <v>24</v>
      </c>
      <c r="E191" s="279" t="s">
        <v>488</v>
      </c>
      <c r="F191">
        <v>0</v>
      </c>
      <c r="G191">
        <v>1</v>
      </c>
      <c r="H191">
        <v>0</v>
      </c>
      <c r="I191">
        <v>4.55</v>
      </c>
      <c r="J191">
        <v>26.21</v>
      </c>
      <c r="K191">
        <v>21.66</v>
      </c>
    </row>
    <row r="192" spans="3:11" x14ac:dyDescent="0.3">
      <c r="C192" s="279" t="s">
        <v>958</v>
      </c>
      <c r="D192" s="279" t="s">
        <v>8</v>
      </c>
      <c r="E192" s="279" t="s">
        <v>488</v>
      </c>
      <c r="F192">
        <v>0</v>
      </c>
      <c r="G192">
        <v>0</v>
      </c>
      <c r="H192">
        <v>1</v>
      </c>
      <c r="I192">
        <v>58.63</v>
      </c>
      <c r="J192">
        <v>337.9</v>
      </c>
      <c r="K192">
        <v>279.27</v>
      </c>
    </row>
    <row r="193" spans="3:11" x14ac:dyDescent="0.3">
      <c r="C193" s="279" t="s">
        <v>958</v>
      </c>
      <c r="D193" s="279" t="s">
        <v>24</v>
      </c>
      <c r="E193" s="279" t="s">
        <v>488</v>
      </c>
      <c r="F193">
        <v>0</v>
      </c>
      <c r="G193">
        <v>0</v>
      </c>
      <c r="H193">
        <v>0</v>
      </c>
      <c r="I193">
        <v>49.93</v>
      </c>
      <c r="J193">
        <v>299.55</v>
      </c>
      <c r="K193">
        <v>249.62</v>
      </c>
    </row>
    <row r="194" spans="3:11" x14ac:dyDescent="0.3">
      <c r="C194" s="279" t="s">
        <v>958</v>
      </c>
      <c r="D194" s="279" t="s">
        <v>34</v>
      </c>
      <c r="E194" s="279" t="s">
        <v>490</v>
      </c>
      <c r="F194">
        <v>0</v>
      </c>
      <c r="G194">
        <v>0</v>
      </c>
      <c r="H194">
        <v>0</v>
      </c>
      <c r="I194">
        <v>0</v>
      </c>
      <c r="J194">
        <v>104.85</v>
      </c>
      <c r="K194">
        <v>104.85</v>
      </c>
    </row>
    <row r="195" spans="3:11" x14ac:dyDescent="0.3">
      <c r="C195" s="279" t="s">
        <v>958</v>
      </c>
      <c r="D195" s="279" t="s">
        <v>8</v>
      </c>
      <c r="E195" s="279" t="s">
        <v>488</v>
      </c>
      <c r="F195">
        <v>0</v>
      </c>
      <c r="G195">
        <v>1</v>
      </c>
      <c r="H195">
        <v>0</v>
      </c>
      <c r="I195">
        <v>102.38</v>
      </c>
      <c r="J195">
        <v>589.79999999999995</v>
      </c>
      <c r="K195">
        <v>487.42</v>
      </c>
    </row>
    <row r="196" spans="3:11" x14ac:dyDescent="0.3">
      <c r="C196" s="279" t="s">
        <v>958</v>
      </c>
      <c r="D196" s="279" t="s">
        <v>30</v>
      </c>
      <c r="E196" s="279" t="s">
        <v>488</v>
      </c>
      <c r="F196">
        <v>0</v>
      </c>
      <c r="G196">
        <v>0</v>
      </c>
      <c r="H196">
        <v>0</v>
      </c>
      <c r="I196">
        <v>85.43</v>
      </c>
      <c r="J196">
        <v>456.84</v>
      </c>
      <c r="K196">
        <v>371.41</v>
      </c>
    </row>
    <row r="197" spans="3:11" x14ac:dyDescent="0.3">
      <c r="C197" s="279" t="s">
        <v>958</v>
      </c>
      <c r="D197" s="279" t="s">
        <v>20</v>
      </c>
      <c r="E197" s="279" t="s">
        <v>488</v>
      </c>
      <c r="F197">
        <v>0</v>
      </c>
      <c r="G197">
        <v>1</v>
      </c>
      <c r="H197">
        <v>0</v>
      </c>
      <c r="I197">
        <v>4.93</v>
      </c>
      <c r="J197">
        <v>28.39</v>
      </c>
      <c r="K197">
        <v>23.46</v>
      </c>
    </row>
    <row r="198" spans="3:11" x14ac:dyDescent="0.3">
      <c r="C198" s="279" t="s">
        <v>958</v>
      </c>
      <c r="D198" s="279" t="s">
        <v>20</v>
      </c>
      <c r="E198" s="279" t="s">
        <v>488</v>
      </c>
      <c r="F198">
        <v>0</v>
      </c>
      <c r="G198">
        <v>0</v>
      </c>
      <c r="H198">
        <v>0</v>
      </c>
      <c r="I198">
        <v>44.77</v>
      </c>
      <c r="J198">
        <v>268.67</v>
      </c>
      <c r="K198">
        <v>223.9</v>
      </c>
    </row>
    <row r="199" spans="3:11" x14ac:dyDescent="0.3">
      <c r="C199" s="279" t="s">
        <v>958</v>
      </c>
      <c r="D199" s="279" t="s">
        <v>24</v>
      </c>
      <c r="E199" s="279" t="s">
        <v>488</v>
      </c>
      <c r="F199">
        <v>0</v>
      </c>
      <c r="G199">
        <v>0</v>
      </c>
      <c r="H199">
        <v>0</v>
      </c>
      <c r="I199">
        <v>924.32</v>
      </c>
      <c r="J199">
        <v>5545.69</v>
      </c>
      <c r="K199">
        <v>4621.3599999999997</v>
      </c>
    </row>
    <row r="200" spans="3:11" x14ac:dyDescent="0.3">
      <c r="C200" s="279" t="s">
        <v>958</v>
      </c>
      <c r="D200" s="279" t="s">
        <v>26</v>
      </c>
      <c r="E200" s="279" t="s">
        <v>488</v>
      </c>
      <c r="F200">
        <v>0</v>
      </c>
      <c r="G200">
        <v>0</v>
      </c>
      <c r="H200">
        <v>0</v>
      </c>
      <c r="I200">
        <v>87.54</v>
      </c>
      <c r="J200">
        <v>504.35</v>
      </c>
      <c r="K200">
        <v>416.81</v>
      </c>
    </row>
    <row r="201" spans="3:11" x14ac:dyDescent="0.3">
      <c r="C201" s="279" t="s">
        <v>958</v>
      </c>
      <c r="D201" s="279" t="s">
        <v>28</v>
      </c>
      <c r="E201" s="279" t="s">
        <v>488</v>
      </c>
      <c r="F201">
        <v>0</v>
      </c>
      <c r="G201">
        <v>0</v>
      </c>
      <c r="H201">
        <v>0</v>
      </c>
      <c r="I201">
        <v>91.79</v>
      </c>
      <c r="J201">
        <v>528.88</v>
      </c>
      <c r="K201">
        <v>437.09</v>
      </c>
    </row>
    <row r="202" spans="3:11" x14ac:dyDescent="0.3">
      <c r="C202" s="279" t="s">
        <v>958</v>
      </c>
      <c r="D202" s="279" t="s">
        <v>8</v>
      </c>
      <c r="E202" s="279" t="s">
        <v>488</v>
      </c>
      <c r="F202">
        <v>0</v>
      </c>
      <c r="G202">
        <v>0</v>
      </c>
      <c r="H202">
        <v>0</v>
      </c>
      <c r="I202">
        <v>11487.23</v>
      </c>
      <c r="J202">
        <v>66493.14</v>
      </c>
      <c r="K202">
        <v>55005.91</v>
      </c>
    </row>
    <row r="203" spans="3:11" x14ac:dyDescent="0.3">
      <c r="C203" s="279" t="s">
        <v>958</v>
      </c>
      <c r="D203" s="279" t="s">
        <v>32</v>
      </c>
      <c r="E203" s="279" t="s">
        <v>488</v>
      </c>
      <c r="F203">
        <v>0</v>
      </c>
      <c r="G203">
        <v>0</v>
      </c>
      <c r="H203">
        <v>0</v>
      </c>
      <c r="I203">
        <v>9.43</v>
      </c>
      <c r="J203">
        <v>64.900000000000006</v>
      </c>
      <c r="K203">
        <v>55.47</v>
      </c>
    </row>
    <row r="204" spans="3:11" x14ac:dyDescent="0.3">
      <c r="C204" s="279" t="s">
        <v>958</v>
      </c>
      <c r="D204" s="279" t="s">
        <v>181</v>
      </c>
      <c r="E204" s="279" t="s">
        <v>489</v>
      </c>
      <c r="F204">
        <v>0</v>
      </c>
      <c r="G204">
        <v>1</v>
      </c>
      <c r="H204">
        <v>0</v>
      </c>
      <c r="I204">
        <v>11.76</v>
      </c>
      <c r="J204">
        <v>70.58</v>
      </c>
      <c r="K204">
        <v>58.82</v>
      </c>
    </row>
    <row r="205" spans="3:11" x14ac:dyDescent="0.3">
      <c r="C205" s="279" t="s">
        <v>958</v>
      </c>
      <c r="D205" s="279" t="s">
        <v>8</v>
      </c>
      <c r="E205" s="279" t="s">
        <v>488</v>
      </c>
      <c r="F205">
        <v>0</v>
      </c>
      <c r="G205">
        <v>0</v>
      </c>
      <c r="H205">
        <v>0</v>
      </c>
      <c r="I205">
        <v>243.88</v>
      </c>
      <c r="J205">
        <v>1405.29</v>
      </c>
      <c r="K205">
        <v>1161.4100000000001</v>
      </c>
    </row>
    <row r="206" spans="3:11" x14ac:dyDescent="0.3">
      <c r="C206" s="279" t="s">
        <v>958</v>
      </c>
      <c r="D206" s="279" t="s">
        <v>18</v>
      </c>
      <c r="E206" s="279" t="s">
        <v>488</v>
      </c>
      <c r="F206">
        <v>0</v>
      </c>
      <c r="G206">
        <v>1</v>
      </c>
      <c r="H206">
        <v>0</v>
      </c>
      <c r="I206">
        <v>16.37</v>
      </c>
      <c r="J206">
        <v>94.3</v>
      </c>
      <c r="K206">
        <v>77.930000000000007</v>
      </c>
    </row>
    <row r="207" spans="3:11" x14ac:dyDescent="0.3">
      <c r="C207" s="279" t="s">
        <v>958</v>
      </c>
      <c r="D207" s="279" t="s">
        <v>22</v>
      </c>
      <c r="E207" s="279" t="s">
        <v>488</v>
      </c>
      <c r="F207">
        <v>0</v>
      </c>
      <c r="G207">
        <v>0</v>
      </c>
      <c r="H207">
        <v>0</v>
      </c>
      <c r="I207">
        <v>2972.22</v>
      </c>
      <c r="J207">
        <v>16483.3</v>
      </c>
      <c r="K207">
        <v>13511.08</v>
      </c>
    </row>
    <row r="208" spans="3:11" x14ac:dyDescent="0.3">
      <c r="C208" s="279" t="s">
        <v>959</v>
      </c>
      <c r="D208" s="279" t="s">
        <v>34</v>
      </c>
      <c r="E208" s="279" t="s">
        <v>490</v>
      </c>
      <c r="F208">
        <v>0</v>
      </c>
      <c r="G208">
        <v>0</v>
      </c>
      <c r="H208">
        <v>0</v>
      </c>
      <c r="I208">
        <v>10.38</v>
      </c>
      <c r="J208">
        <v>366.65</v>
      </c>
      <c r="K208">
        <v>356.27</v>
      </c>
    </row>
    <row r="209" spans="3:12" x14ac:dyDescent="0.3">
      <c r="C209" s="279" t="s">
        <v>959</v>
      </c>
      <c r="D209" s="279" t="s">
        <v>20</v>
      </c>
      <c r="E209" s="279" t="s">
        <v>488</v>
      </c>
      <c r="F209">
        <v>0</v>
      </c>
      <c r="G209">
        <v>1</v>
      </c>
      <c r="H209">
        <v>0</v>
      </c>
      <c r="I209">
        <v>11.3</v>
      </c>
      <c r="J209">
        <v>65.099999999999994</v>
      </c>
      <c r="K209">
        <v>53.8</v>
      </c>
    </row>
    <row r="210" spans="3:12" x14ac:dyDescent="0.3">
      <c r="C210" s="279" t="s">
        <v>959</v>
      </c>
      <c r="D210" s="279" t="s">
        <v>26</v>
      </c>
      <c r="E210" s="279" t="s">
        <v>488</v>
      </c>
      <c r="F210">
        <v>0</v>
      </c>
      <c r="G210">
        <v>0</v>
      </c>
      <c r="H210">
        <v>0</v>
      </c>
      <c r="I210">
        <v>100.68</v>
      </c>
      <c r="J210">
        <v>580.1</v>
      </c>
      <c r="K210">
        <v>479.42</v>
      </c>
    </row>
    <row r="211" spans="3:12" x14ac:dyDescent="0.3">
      <c r="C211" s="279" t="s">
        <v>959</v>
      </c>
      <c r="D211" s="279" t="s">
        <v>18</v>
      </c>
      <c r="E211" s="279" t="s">
        <v>488</v>
      </c>
      <c r="F211">
        <v>0</v>
      </c>
      <c r="G211">
        <v>0</v>
      </c>
      <c r="H211">
        <v>0</v>
      </c>
      <c r="I211">
        <v>3931.51</v>
      </c>
      <c r="J211">
        <v>24623.919999999998</v>
      </c>
      <c r="K211">
        <v>20692.41</v>
      </c>
    </row>
    <row r="212" spans="3:12" x14ac:dyDescent="0.3">
      <c r="C212" s="279" t="s">
        <v>959</v>
      </c>
      <c r="D212" s="279" t="s">
        <v>181</v>
      </c>
      <c r="E212" s="279" t="s">
        <v>489</v>
      </c>
      <c r="F212">
        <v>0</v>
      </c>
      <c r="G212">
        <v>0</v>
      </c>
      <c r="H212">
        <v>0</v>
      </c>
      <c r="I212">
        <v>123.83</v>
      </c>
      <c r="J212">
        <v>742.8</v>
      </c>
      <c r="K212">
        <v>618.97</v>
      </c>
    </row>
    <row r="213" spans="3:12" x14ac:dyDescent="0.3">
      <c r="C213" s="279" t="s">
        <v>959</v>
      </c>
      <c r="D213" s="279" t="s">
        <v>8</v>
      </c>
      <c r="E213" s="279" t="s">
        <v>488</v>
      </c>
      <c r="F213">
        <v>0</v>
      </c>
      <c r="G213">
        <v>1</v>
      </c>
      <c r="H213">
        <v>0</v>
      </c>
      <c r="I213">
        <v>33.74</v>
      </c>
      <c r="J213">
        <v>194.4</v>
      </c>
      <c r="K213">
        <v>160.66</v>
      </c>
    </row>
    <row r="214" spans="3:12" x14ac:dyDescent="0.3">
      <c r="C214" s="279" t="s">
        <v>959</v>
      </c>
      <c r="D214" s="279" t="s">
        <v>24</v>
      </c>
      <c r="E214" s="279" t="s">
        <v>488</v>
      </c>
      <c r="F214">
        <v>0</v>
      </c>
      <c r="G214">
        <v>0</v>
      </c>
      <c r="H214">
        <v>0</v>
      </c>
      <c r="I214">
        <v>943.8</v>
      </c>
      <c r="J214">
        <v>5662.42</v>
      </c>
      <c r="K214">
        <v>4718.62</v>
      </c>
      <c r="L214" s="55"/>
    </row>
    <row r="215" spans="3:12" x14ac:dyDescent="0.3">
      <c r="C215" s="279" t="s">
        <v>959</v>
      </c>
      <c r="D215" s="279" t="s">
        <v>22</v>
      </c>
      <c r="E215" s="279" t="s">
        <v>488</v>
      </c>
      <c r="F215">
        <v>0</v>
      </c>
      <c r="G215">
        <v>0</v>
      </c>
      <c r="H215">
        <v>0</v>
      </c>
      <c r="I215">
        <v>3084.92</v>
      </c>
      <c r="J215">
        <v>19769.79</v>
      </c>
      <c r="K215">
        <v>16684.87</v>
      </c>
      <c r="L215" s="55"/>
    </row>
    <row r="216" spans="3:12" x14ac:dyDescent="0.3">
      <c r="C216" s="280" t="s">
        <v>959</v>
      </c>
      <c r="D216" s="280" t="s">
        <v>34</v>
      </c>
      <c r="E216" s="280" t="s">
        <v>490</v>
      </c>
      <c r="F216">
        <v>0</v>
      </c>
      <c r="G216">
        <v>0</v>
      </c>
      <c r="H216">
        <v>0</v>
      </c>
      <c r="I216">
        <v>8.2799999999999994</v>
      </c>
      <c r="J216">
        <v>14374.37</v>
      </c>
      <c r="K216">
        <v>14366.09</v>
      </c>
      <c r="L216" s="260"/>
    </row>
    <row r="217" spans="3:12" x14ac:dyDescent="0.3">
      <c r="C217" s="279" t="s">
        <v>959</v>
      </c>
      <c r="D217" s="279" t="s">
        <v>32</v>
      </c>
      <c r="E217" s="279" t="s">
        <v>488</v>
      </c>
      <c r="F217">
        <v>0</v>
      </c>
      <c r="G217">
        <v>0</v>
      </c>
      <c r="H217">
        <v>0</v>
      </c>
      <c r="I217">
        <v>40.14</v>
      </c>
      <c r="J217">
        <v>214.71</v>
      </c>
      <c r="K217">
        <v>174.57</v>
      </c>
      <c r="L217" s="55"/>
    </row>
    <row r="218" spans="3:12" x14ac:dyDescent="0.3">
      <c r="C218" s="279" t="s">
        <v>959</v>
      </c>
      <c r="D218" s="279" t="s">
        <v>28</v>
      </c>
      <c r="E218" s="279" t="s">
        <v>488</v>
      </c>
      <c r="F218">
        <v>0</v>
      </c>
      <c r="G218">
        <v>0</v>
      </c>
      <c r="H218">
        <v>0</v>
      </c>
      <c r="I218">
        <v>50.77</v>
      </c>
      <c r="J218">
        <v>292.51</v>
      </c>
      <c r="K218">
        <v>241.74</v>
      </c>
      <c r="L218" s="55"/>
    </row>
    <row r="219" spans="3:12" x14ac:dyDescent="0.3">
      <c r="C219" s="280" t="s">
        <v>959</v>
      </c>
      <c r="D219" s="280" t="s">
        <v>181</v>
      </c>
      <c r="E219" s="280" t="s">
        <v>489</v>
      </c>
      <c r="F219">
        <v>0</v>
      </c>
      <c r="G219">
        <v>1</v>
      </c>
      <c r="H219">
        <v>0</v>
      </c>
      <c r="I219">
        <v>7.8</v>
      </c>
      <c r="J219">
        <v>46.79</v>
      </c>
      <c r="K219">
        <v>38.99</v>
      </c>
      <c r="L219" s="260"/>
    </row>
    <row r="220" spans="3:12" x14ac:dyDescent="0.3">
      <c r="C220" s="279" t="s">
        <v>959</v>
      </c>
      <c r="D220" s="279" t="s">
        <v>32</v>
      </c>
      <c r="E220" s="279" t="s">
        <v>488</v>
      </c>
      <c r="F220">
        <v>0</v>
      </c>
      <c r="G220">
        <v>0</v>
      </c>
      <c r="H220">
        <v>0</v>
      </c>
      <c r="I220">
        <v>15.88</v>
      </c>
      <c r="J220">
        <v>84.95</v>
      </c>
      <c r="K220">
        <v>69.069999999999993</v>
      </c>
      <c r="L220" s="55"/>
    </row>
    <row r="221" spans="3:12" x14ac:dyDescent="0.3">
      <c r="C221" s="279" t="s">
        <v>959</v>
      </c>
      <c r="D221" s="279" t="s">
        <v>8</v>
      </c>
      <c r="E221" s="279" t="s">
        <v>488</v>
      </c>
      <c r="F221">
        <v>0</v>
      </c>
      <c r="G221">
        <v>0</v>
      </c>
      <c r="H221">
        <v>1</v>
      </c>
      <c r="I221">
        <v>29.8</v>
      </c>
      <c r="J221">
        <v>171.65</v>
      </c>
      <c r="K221">
        <v>141.85</v>
      </c>
      <c r="L221" s="55"/>
    </row>
    <row r="222" spans="3:12" x14ac:dyDescent="0.3">
      <c r="C222" s="279" t="s">
        <v>959</v>
      </c>
      <c r="D222" s="279" t="s">
        <v>30</v>
      </c>
      <c r="E222" s="279" t="s">
        <v>488</v>
      </c>
      <c r="F222">
        <v>0</v>
      </c>
      <c r="G222">
        <v>0</v>
      </c>
      <c r="H222">
        <v>0</v>
      </c>
      <c r="I222">
        <v>12.71</v>
      </c>
      <c r="J222">
        <v>67.95</v>
      </c>
      <c r="K222">
        <v>55.24</v>
      </c>
      <c r="L222" s="55"/>
    </row>
    <row r="223" spans="3:12" x14ac:dyDescent="0.3">
      <c r="C223" s="279" t="s">
        <v>959</v>
      </c>
      <c r="D223" s="279" t="s">
        <v>22</v>
      </c>
      <c r="E223" s="279" t="s">
        <v>488</v>
      </c>
      <c r="F223">
        <v>0</v>
      </c>
      <c r="G223">
        <v>0</v>
      </c>
      <c r="H223">
        <v>0</v>
      </c>
      <c r="I223">
        <v>12.62</v>
      </c>
      <c r="J223">
        <v>70</v>
      </c>
      <c r="K223">
        <v>57.38</v>
      </c>
      <c r="L223" s="55"/>
    </row>
    <row r="224" spans="3:12" x14ac:dyDescent="0.3">
      <c r="C224" s="280" t="s">
        <v>959</v>
      </c>
      <c r="D224" s="280" t="s">
        <v>18</v>
      </c>
      <c r="E224" s="280" t="s">
        <v>488</v>
      </c>
      <c r="F224">
        <v>0</v>
      </c>
      <c r="G224">
        <v>1</v>
      </c>
      <c r="H224">
        <v>0</v>
      </c>
      <c r="I224">
        <v>3.9</v>
      </c>
      <c r="J224">
        <v>22.46</v>
      </c>
      <c r="K224">
        <v>18.559999999999999</v>
      </c>
      <c r="L224" s="260"/>
    </row>
    <row r="225" spans="3:12" x14ac:dyDescent="0.3">
      <c r="C225" s="279" t="s">
        <v>959</v>
      </c>
      <c r="D225" s="279" t="s">
        <v>18</v>
      </c>
      <c r="E225" s="279" t="s">
        <v>488</v>
      </c>
      <c r="F225">
        <v>0</v>
      </c>
      <c r="G225">
        <v>0</v>
      </c>
      <c r="H225">
        <v>0</v>
      </c>
      <c r="I225">
        <v>47.72</v>
      </c>
      <c r="J225">
        <v>298.93</v>
      </c>
      <c r="K225">
        <v>251.21</v>
      </c>
      <c r="L225" s="55"/>
    </row>
    <row r="226" spans="3:12" x14ac:dyDescent="0.3">
      <c r="C226" s="279" t="s">
        <v>959</v>
      </c>
      <c r="D226" s="279" t="s">
        <v>18</v>
      </c>
      <c r="E226" s="279" t="s">
        <v>488</v>
      </c>
      <c r="F226">
        <v>0</v>
      </c>
      <c r="G226">
        <v>0</v>
      </c>
      <c r="H226">
        <v>1</v>
      </c>
      <c r="I226">
        <v>30.42</v>
      </c>
      <c r="J226">
        <v>190.5</v>
      </c>
      <c r="K226">
        <v>160.08000000000001</v>
      </c>
      <c r="L226" s="55"/>
    </row>
    <row r="227" spans="3:12" x14ac:dyDescent="0.3">
      <c r="C227" s="280" t="s">
        <v>959</v>
      </c>
      <c r="D227" s="280" t="s">
        <v>181</v>
      </c>
      <c r="E227" s="280" t="s">
        <v>489</v>
      </c>
      <c r="F227">
        <v>0</v>
      </c>
      <c r="G227">
        <v>0</v>
      </c>
      <c r="H227">
        <v>0</v>
      </c>
      <c r="I227">
        <v>4562.3599999999997</v>
      </c>
      <c r="J227">
        <v>27373.9</v>
      </c>
      <c r="K227">
        <v>22811.53</v>
      </c>
      <c r="L227" s="260"/>
    </row>
    <row r="228" spans="3:12" x14ac:dyDescent="0.3">
      <c r="C228" s="279" t="s">
        <v>959</v>
      </c>
      <c r="D228" s="279" t="s">
        <v>32</v>
      </c>
      <c r="E228" s="279" t="s">
        <v>488</v>
      </c>
      <c r="F228">
        <v>0</v>
      </c>
      <c r="G228">
        <v>0</v>
      </c>
      <c r="H228">
        <v>0</v>
      </c>
      <c r="I228">
        <v>8.98</v>
      </c>
      <c r="J228">
        <v>44.9</v>
      </c>
      <c r="K228">
        <v>35.92</v>
      </c>
      <c r="L228" s="55"/>
    </row>
    <row r="229" spans="3:12" x14ac:dyDescent="0.3">
      <c r="C229" s="279" t="s">
        <v>959</v>
      </c>
      <c r="D229" s="279" t="s">
        <v>8</v>
      </c>
      <c r="E229" s="279" t="s">
        <v>488</v>
      </c>
      <c r="F229">
        <v>0</v>
      </c>
      <c r="G229">
        <v>0</v>
      </c>
      <c r="H229">
        <v>0</v>
      </c>
      <c r="I229">
        <v>15473.9</v>
      </c>
      <c r="J229">
        <v>89444.92</v>
      </c>
      <c r="K229">
        <v>73971.02</v>
      </c>
      <c r="L229" s="55"/>
    </row>
    <row r="230" spans="3:12" x14ac:dyDescent="0.3">
      <c r="C230" s="280" t="s">
        <v>959</v>
      </c>
      <c r="D230" s="280" t="s">
        <v>20</v>
      </c>
      <c r="E230" s="280" t="s">
        <v>488</v>
      </c>
      <c r="F230">
        <v>0</v>
      </c>
      <c r="G230">
        <v>0</v>
      </c>
      <c r="H230">
        <v>0</v>
      </c>
      <c r="I230">
        <v>17.73</v>
      </c>
      <c r="J230">
        <v>106.43</v>
      </c>
      <c r="K230">
        <v>88.68</v>
      </c>
      <c r="L230" s="260"/>
    </row>
    <row r="231" spans="3:12" x14ac:dyDescent="0.3">
      <c r="C231" s="279" t="s">
        <v>959</v>
      </c>
      <c r="D231" s="279" t="s">
        <v>8</v>
      </c>
      <c r="E231" s="279" t="s">
        <v>488</v>
      </c>
      <c r="F231">
        <v>0</v>
      </c>
      <c r="G231">
        <v>0</v>
      </c>
      <c r="H231">
        <v>0</v>
      </c>
      <c r="I231">
        <v>372.64</v>
      </c>
      <c r="J231">
        <v>2175.11</v>
      </c>
      <c r="K231">
        <v>1802.47</v>
      </c>
      <c r="L231" s="55"/>
    </row>
    <row r="232" spans="3:12" x14ac:dyDescent="0.3">
      <c r="C232" s="279" t="s">
        <v>959</v>
      </c>
      <c r="D232" s="279" t="s">
        <v>32</v>
      </c>
      <c r="E232" s="279" t="s">
        <v>488</v>
      </c>
      <c r="F232">
        <v>0</v>
      </c>
      <c r="G232">
        <v>0</v>
      </c>
      <c r="H232">
        <v>0</v>
      </c>
      <c r="I232">
        <v>4.9800000000000004</v>
      </c>
      <c r="J232">
        <v>24.9</v>
      </c>
      <c r="K232">
        <v>19.920000000000002</v>
      </c>
      <c r="L232" s="55"/>
    </row>
    <row r="233" spans="3:12" x14ac:dyDescent="0.3">
      <c r="C233" s="279" t="s">
        <v>959</v>
      </c>
      <c r="D233" s="279" t="s">
        <v>20</v>
      </c>
      <c r="E233" s="279" t="s">
        <v>488</v>
      </c>
      <c r="F233">
        <v>0</v>
      </c>
      <c r="G233">
        <v>0</v>
      </c>
      <c r="H233">
        <v>0</v>
      </c>
      <c r="I233">
        <v>3272.25</v>
      </c>
      <c r="J233">
        <v>19631.939999999999</v>
      </c>
      <c r="K233">
        <v>16359.68</v>
      </c>
      <c r="L233" s="55"/>
    </row>
    <row r="234" spans="3:12" x14ac:dyDescent="0.3">
      <c r="C234" s="279" t="s">
        <v>959</v>
      </c>
      <c r="D234" s="279" t="s">
        <v>28</v>
      </c>
      <c r="E234" s="279" t="s">
        <v>488</v>
      </c>
      <c r="F234">
        <v>0</v>
      </c>
      <c r="G234">
        <v>1</v>
      </c>
      <c r="H234">
        <v>0</v>
      </c>
      <c r="I234">
        <v>7.01</v>
      </c>
      <c r="J234">
        <v>40.36</v>
      </c>
      <c r="K234">
        <v>33.35</v>
      </c>
      <c r="L234" s="55"/>
    </row>
    <row r="235" spans="3:12" x14ac:dyDescent="0.3">
      <c r="C235" s="279" t="s">
        <v>960</v>
      </c>
      <c r="D235" s="279" t="s">
        <v>22</v>
      </c>
      <c r="E235" s="279" t="s">
        <v>488</v>
      </c>
      <c r="F235">
        <v>0</v>
      </c>
      <c r="G235">
        <v>0</v>
      </c>
      <c r="H235">
        <v>0</v>
      </c>
      <c r="I235">
        <v>2.3199999999999998</v>
      </c>
      <c r="J235">
        <v>12.85</v>
      </c>
      <c r="K235">
        <v>10.53</v>
      </c>
      <c r="L235" s="55"/>
    </row>
    <row r="236" spans="3:12" x14ac:dyDescent="0.3">
      <c r="C236" s="279" t="s">
        <v>960</v>
      </c>
      <c r="D236" s="279" t="s">
        <v>22</v>
      </c>
      <c r="E236" s="279" t="s">
        <v>488</v>
      </c>
      <c r="F236">
        <v>0</v>
      </c>
      <c r="G236">
        <v>0</v>
      </c>
      <c r="H236">
        <v>0</v>
      </c>
      <c r="I236">
        <v>3227.39</v>
      </c>
      <c r="J236">
        <v>17898.080000000002</v>
      </c>
      <c r="K236">
        <v>14670.69</v>
      </c>
      <c r="L236" s="55"/>
    </row>
    <row r="237" spans="3:12" x14ac:dyDescent="0.3">
      <c r="C237" s="279" t="s">
        <v>960</v>
      </c>
      <c r="D237" s="279" t="s">
        <v>181</v>
      </c>
      <c r="E237" s="279" t="s">
        <v>489</v>
      </c>
      <c r="F237">
        <v>0</v>
      </c>
      <c r="G237">
        <v>0</v>
      </c>
      <c r="H237">
        <v>0</v>
      </c>
      <c r="I237">
        <v>5192.83</v>
      </c>
      <c r="J237">
        <v>31159.49</v>
      </c>
      <c r="K237">
        <v>25966.66</v>
      </c>
      <c r="L237" s="55"/>
    </row>
    <row r="238" spans="3:12" x14ac:dyDescent="0.3">
      <c r="C238" s="279" t="s">
        <v>960</v>
      </c>
      <c r="D238" s="279" t="s">
        <v>8</v>
      </c>
      <c r="E238" s="279" t="s">
        <v>488</v>
      </c>
      <c r="F238">
        <v>0</v>
      </c>
      <c r="G238">
        <v>0</v>
      </c>
      <c r="H238">
        <v>0</v>
      </c>
      <c r="I238">
        <v>15941.58</v>
      </c>
      <c r="J238">
        <v>92294.01</v>
      </c>
      <c r="K238">
        <v>76352.429999999993</v>
      </c>
      <c r="L238" s="55"/>
    </row>
    <row r="239" spans="3:12" x14ac:dyDescent="0.3">
      <c r="C239" s="279" t="s">
        <v>960</v>
      </c>
      <c r="D239" s="279" t="s">
        <v>8</v>
      </c>
      <c r="E239" s="279" t="s">
        <v>488</v>
      </c>
      <c r="F239">
        <v>0</v>
      </c>
      <c r="G239">
        <v>1</v>
      </c>
      <c r="H239">
        <v>0</v>
      </c>
      <c r="I239">
        <v>40.67</v>
      </c>
      <c r="J239">
        <v>234.32</v>
      </c>
      <c r="K239">
        <v>193.65</v>
      </c>
      <c r="L239" s="55"/>
    </row>
    <row r="240" spans="3:12" x14ac:dyDescent="0.3">
      <c r="C240" s="279" t="s">
        <v>960</v>
      </c>
      <c r="D240" s="279" t="s">
        <v>26</v>
      </c>
      <c r="E240" s="279" t="s">
        <v>488</v>
      </c>
      <c r="F240">
        <v>0</v>
      </c>
      <c r="G240">
        <v>0</v>
      </c>
      <c r="H240">
        <v>0</v>
      </c>
      <c r="I240">
        <v>104.06</v>
      </c>
      <c r="J240">
        <v>599.61</v>
      </c>
      <c r="K240">
        <v>495.55</v>
      </c>
      <c r="L240" s="55"/>
    </row>
    <row r="241" spans="3:12" x14ac:dyDescent="0.3">
      <c r="C241" s="279" t="s">
        <v>960</v>
      </c>
      <c r="D241" s="279" t="s">
        <v>34</v>
      </c>
      <c r="E241" s="279" t="s">
        <v>490</v>
      </c>
      <c r="F241">
        <v>0</v>
      </c>
      <c r="G241">
        <v>0</v>
      </c>
      <c r="H241">
        <v>0</v>
      </c>
      <c r="I241">
        <v>23.75</v>
      </c>
      <c r="J241">
        <v>15133.39</v>
      </c>
      <c r="K241">
        <v>15109.64</v>
      </c>
      <c r="L241" s="55"/>
    </row>
    <row r="242" spans="3:12" x14ac:dyDescent="0.3">
      <c r="C242" s="279" t="s">
        <v>960</v>
      </c>
      <c r="D242" s="279" t="s">
        <v>181</v>
      </c>
      <c r="E242" s="279" t="s">
        <v>489</v>
      </c>
      <c r="F242">
        <v>0</v>
      </c>
      <c r="G242">
        <v>1</v>
      </c>
      <c r="H242">
        <v>0</v>
      </c>
      <c r="I242">
        <v>9.4</v>
      </c>
      <c r="J242">
        <v>56.37</v>
      </c>
      <c r="K242">
        <v>46.97</v>
      </c>
    </row>
    <row r="243" spans="3:12" x14ac:dyDescent="0.3">
      <c r="C243" s="279" t="s">
        <v>960</v>
      </c>
      <c r="D243" s="279" t="s">
        <v>8</v>
      </c>
      <c r="E243" s="279" t="s">
        <v>488</v>
      </c>
      <c r="F243">
        <v>0</v>
      </c>
      <c r="G243">
        <v>0</v>
      </c>
      <c r="H243">
        <v>0</v>
      </c>
      <c r="I243">
        <v>153.11000000000001</v>
      </c>
      <c r="J243">
        <v>880.79</v>
      </c>
      <c r="K243">
        <v>727.68</v>
      </c>
    </row>
    <row r="244" spans="3:12" x14ac:dyDescent="0.3">
      <c r="C244" s="279" t="s">
        <v>960</v>
      </c>
      <c r="D244" s="279" t="s">
        <v>28</v>
      </c>
      <c r="E244" s="279" t="s">
        <v>488</v>
      </c>
      <c r="F244">
        <v>0</v>
      </c>
      <c r="G244">
        <v>0</v>
      </c>
      <c r="H244">
        <v>0</v>
      </c>
      <c r="I244">
        <v>8.65</v>
      </c>
      <c r="J244">
        <v>49.8</v>
      </c>
      <c r="K244">
        <v>41.15</v>
      </c>
    </row>
    <row r="245" spans="3:12" x14ac:dyDescent="0.3">
      <c r="C245" s="279" t="s">
        <v>960</v>
      </c>
      <c r="D245" s="279" t="s">
        <v>18</v>
      </c>
      <c r="E245" s="279" t="s">
        <v>488</v>
      </c>
      <c r="F245">
        <v>0</v>
      </c>
      <c r="G245">
        <v>0</v>
      </c>
      <c r="H245">
        <v>0</v>
      </c>
      <c r="I245">
        <v>26.67</v>
      </c>
      <c r="J245">
        <v>167.11</v>
      </c>
      <c r="K245">
        <v>140.44</v>
      </c>
    </row>
    <row r="246" spans="3:12" x14ac:dyDescent="0.3">
      <c r="C246" s="279" t="s">
        <v>960</v>
      </c>
      <c r="D246" s="279" t="s">
        <v>24</v>
      </c>
      <c r="E246" s="279" t="s">
        <v>488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3:12" x14ac:dyDescent="0.3">
      <c r="C247" s="279" t="s">
        <v>960</v>
      </c>
      <c r="D247" s="279" t="s">
        <v>18</v>
      </c>
      <c r="E247" s="279" t="s">
        <v>488</v>
      </c>
      <c r="F247">
        <v>0</v>
      </c>
      <c r="G247">
        <v>1</v>
      </c>
      <c r="H247">
        <v>0</v>
      </c>
      <c r="I247">
        <v>8.19</v>
      </c>
      <c r="J247">
        <v>47.18</v>
      </c>
      <c r="K247">
        <v>38.99</v>
      </c>
    </row>
    <row r="248" spans="3:12" x14ac:dyDescent="0.3">
      <c r="C248" s="279" t="s">
        <v>960</v>
      </c>
      <c r="D248" s="279" t="s">
        <v>20</v>
      </c>
      <c r="E248" s="279" t="s">
        <v>488</v>
      </c>
      <c r="F248">
        <v>0</v>
      </c>
      <c r="G248">
        <v>0</v>
      </c>
      <c r="H248">
        <v>0</v>
      </c>
      <c r="I248">
        <v>4304.3599999999997</v>
      </c>
      <c r="J248">
        <v>25823.86</v>
      </c>
      <c r="K248">
        <v>21519.49</v>
      </c>
    </row>
    <row r="249" spans="3:12" x14ac:dyDescent="0.3">
      <c r="C249" s="279" t="s">
        <v>960</v>
      </c>
      <c r="D249" s="279" t="s">
        <v>20</v>
      </c>
      <c r="E249" s="279" t="s">
        <v>488</v>
      </c>
      <c r="F249">
        <v>0</v>
      </c>
      <c r="G249">
        <v>1</v>
      </c>
      <c r="H249">
        <v>0</v>
      </c>
      <c r="I249">
        <v>10.81</v>
      </c>
      <c r="J249">
        <v>62.28</v>
      </c>
      <c r="K249">
        <v>51.47</v>
      </c>
    </row>
    <row r="250" spans="3:12" x14ac:dyDescent="0.3">
      <c r="C250" s="279" t="s">
        <v>960</v>
      </c>
      <c r="D250" s="279" t="s">
        <v>32</v>
      </c>
      <c r="E250" s="279" t="s">
        <v>488</v>
      </c>
      <c r="F250">
        <v>0</v>
      </c>
      <c r="G250">
        <v>0</v>
      </c>
      <c r="H250">
        <v>0</v>
      </c>
      <c r="I250">
        <v>7.58</v>
      </c>
      <c r="J250">
        <v>37.9</v>
      </c>
      <c r="K250">
        <v>30.32</v>
      </c>
    </row>
    <row r="251" spans="3:12" x14ac:dyDescent="0.3">
      <c r="C251" s="279" t="s">
        <v>960</v>
      </c>
      <c r="D251" s="279" t="s">
        <v>18</v>
      </c>
      <c r="E251" s="279" t="s">
        <v>488</v>
      </c>
      <c r="F251">
        <v>0</v>
      </c>
      <c r="G251">
        <v>0</v>
      </c>
      <c r="H251">
        <v>0</v>
      </c>
      <c r="I251">
        <v>4760.8</v>
      </c>
      <c r="J251">
        <v>29817.74</v>
      </c>
      <c r="K251">
        <v>25056.94</v>
      </c>
    </row>
    <row r="252" spans="3:12" x14ac:dyDescent="0.3">
      <c r="C252" s="279" t="s">
        <v>960</v>
      </c>
      <c r="D252" s="279" t="s">
        <v>22</v>
      </c>
      <c r="E252" s="279" t="s">
        <v>488</v>
      </c>
      <c r="F252">
        <v>0</v>
      </c>
      <c r="G252">
        <v>1</v>
      </c>
      <c r="H252">
        <v>0</v>
      </c>
      <c r="I252">
        <v>1.66</v>
      </c>
      <c r="J252">
        <v>9.56</v>
      </c>
      <c r="K252">
        <v>7.9</v>
      </c>
    </row>
    <row r="253" spans="3:12" x14ac:dyDescent="0.3">
      <c r="C253" s="279" t="s">
        <v>960</v>
      </c>
      <c r="D253" s="279" t="s">
        <v>32</v>
      </c>
      <c r="E253" s="279" t="s">
        <v>488</v>
      </c>
      <c r="F253">
        <v>0</v>
      </c>
      <c r="G253">
        <v>0</v>
      </c>
      <c r="H253">
        <v>0</v>
      </c>
      <c r="I253">
        <v>14.35</v>
      </c>
      <c r="J253">
        <v>76.75</v>
      </c>
      <c r="K253">
        <v>62.4</v>
      </c>
    </row>
    <row r="254" spans="3:12" x14ac:dyDescent="0.3">
      <c r="C254" s="279" t="s">
        <v>960</v>
      </c>
      <c r="D254" s="279" t="s">
        <v>24</v>
      </c>
      <c r="E254" s="279" t="s">
        <v>488</v>
      </c>
      <c r="F254">
        <v>0</v>
      </c>
      <c r="G254">
        <v>1</v>
      </c>
      <c r="H254">
        <v>0</v>
      </c>
      <c r="I254">
        <v>8.0500000000000007</v>
      </c>
      <c r="J254">
        <v>46.36</v>
      </c>
      <c r="K254">
        <v>38.31</v>
      </c>
    </row>
    <row r="255" spans="3:12" x14ac:dyDescent="0.3">
      <c r="C255" s="279" t="s">
        <v>960</v>
      </c>
      <c r="D255" s="279" t="s">
        <v>24</v>
      </c>
      <c r="E255" s="279" t="s">
        <v>488</v>
      </c>
      <c r="F255">
        <v>0</v>
      </c>
      <c r="G255">
        <v>0</v>
      </c>
      <c r="H255">
        <v>0</v>
      </c>
      <c r="I255">
        <v>807.84</v>
      </c>
      <c r="J255">
        <v>4846.83</v>
      </c>
      <c r="K255">
        <v>4038.98</v>
      </c>
    </row>
    <row r="256" spans="3:12" x14ac:dyDescent="0.3">
      <c r="C256" s="279" t="s">
        <v>960</v>
      </c>
      <c r="D256" s="279" t="s">
        <v>32</v>
      </c>
      <c r="E256" s="279" t="s">
        <v>488</v>
      </c>
      <c r="F256">
        <v>0</v>
      </c>
      <c r="G256">
        <v>0</v>
      </c>
      <c r="H256">
        <v>0</v>
      </c>
      <c r="I256">
        <v>-15.88</v>
      </c>
      <c r="J256">
        <v>-84.95</v>
      </c>
      <c r="K256">
        <v>-69.069999999999993</v>
      </c>
    </row>
    <row r="257" spans="3:11" x14ac:dyDescent="0.3">
      <c r="C257" s="279" t="s">
        <v>960</v>
      </c>
      <c r="D257" s="279" t="s">
        <v>34</v>
      </c>
      <c r="E257" s="279" t="s">
        <v>490</v>
      </c>
      <c r="F257">
        <v>0</v>
      </c>
      <c r="G257">
        <v>0</v>
      </c>
      <c r="H257">
        <v>0</v>
      </c>
      <c r="I257">
        <v>0</v>
      </c>
      <c r="J257">
        <v>207.8</v>
      </c>
      <c r="K257">
        <v>207.8</v>
      </c>
    </row>
    <row r="258" spans="3:11" x14ac:dyDescent="0.3">
      <c r="C258" s="279" t="s">
        <v>960</v>
      </c>
      <c r="D258" s="279" t="s">
        <v>20</v>
      </c>
      <c r="E258" s="279" t="s">
        <v>488</v>
      </c>
      <c r="F258">
        <v>0</v>
      </c>
      <c r="G258">
        <v>0</v>
      </c>
      <c r="H258">
        <v>0</v>
      </c>
      <c r="I258">
        <v>19.649999999999999</v>
      </c>
      <c r="J258">
        <v>117.85</v>
      </c>
      <c r="K258">
        <v>98.2</v>
      </c>
    </row>
    <row r="259" spans="3:11" x14ac:dyDescent="0.3">
      <c r="C259" s="279" t="s">
        <v>960</v>
      </c>
      <c r="D259" s="279" t="s">
        <v>181</v>
      </c>
      <c r="E259" s="279" t="s">
        <v>489</v>
      </c>
      <c r="F259">
        <v>0</v>
      </c>
      <c r="G259">
        <v>0</v>
      </c>
      <c r="H259">
        <v>0</v>
      </c>
      <c r="I259">
        <v>13.2</v>
      </c>
      <c r="J259">
        <v>79.13</v>
      </c>
      <c r="K259">
        <v>65.92</v>
      </c>
    </row>
    <row r="260" spans="3:11" x14ac:dyDescent="0.3">
      <c r="C260" s="279" t="s">
        <v>960</v>
      </c>
      <c r="D260" s="279" t="s">
        <v>30</v>
      </c>
      <c r="E260" s="279" t="s">
        <v>488</v>
      </c>
      <c r="F260">
        <v>0</v>
      </c>
      <c r="G260">
        <v>1</v>
      </c>
      <c r="H260">
        <v>0</v>
      </c>
      <c r="I260">
        <v>26.92</v>
      </c>
      <c r="J260">
        <v>155.09</v>
      </c>
      <c r="K260">
        <v>128.16999999999999</v>
      </c>
    </row>
    <row r="261" spans="3:11" x14ac:dyDescent="0.3">
      <c r="C261" s="279" t="s">
        <v>960</v>
      </c>
      <c r="D261" s="279" t="s">
        <v>8</v>
      </c>
      <c r="E261" s="279" t="s">
        <v>488</v>
      </c>
      <c r="F261">
        <v>0</v>
      </c>
      <c r="G261">
        <v>0</v>
      </c>
      <c r="H261">
        <v>1</v>
      </c>
      <c r="I261">
        <v>71.2</v>
      </c>
      <c r="J261">
        <v>410.25</v>
      </c>
      <c r="K261">
        <v>339.05</v>
      </c>
    </row>
    <row r="262" spans="3:11" x14ac:dyDescent="0.3">
      <c r="C262" s="279" t="s">
        <v>960</v>
      </c>
      <c r="D262" s="279" t="s">
        <v>18</v>
      </c>
      <c r="E262" s="279" t="s">
        <v>488</v>
      </c>
      <c r="F262">
        <v>0</v>
      </c>
      <c r="G262">
        <v>0</v>
      </c>
      <c r="H262">
        <v>1</v>
      </c>
      <c r="I262">
        <v>57.5</v>
      </c>
      <c r="J262">
        <v>360.15</v>
      </c>
      <c r="K262">
        <v>302.64999999999998</v>
      </c>
    </row>
    <row r="263" spans="3:11" x14ac:dyDescent="0.3">
      <c r="C263" s="279" t="s">
        <v>1007</v>
      </c>
      <c r="D263" s="279" t="s">
        <v>181</v>
      </c>
      <c r="E263" s="279" t="s">
        <v>488</v>
      </c>
      <c r="F263">
        <v>0</v>
      </c>
      <c r="G263">
        <v>1</v>
      </c>
      <c r="H263">
        <v>0</v>
      </c>
      <c r="I263">
        <v>21.79</v>
      </c>
      <c r="J263">
        <v>130.75</v>
      </c>
      <c r="K263">
        <v>108.96</v>
      </c>
    </row>
    <row r="264" spans="3:11" x14ac:dyDescent="0.3">
      <c r="C264" s="279" t="s">
        <v>1007</v>
      </c>
      <c r="D264" s="279" t="s">
        <v>26</v>
      </c>
      <c r="E264" s="279" t="s">
        <v>488</v>
      </c>
      <c r="F264">
        <v>0</v>
      </c>
      <c r="G264">
        <v>0</v>
      </c>
      <c r="H264">
        <v>0</v>
      </c>
      <c r="I264">
        <v>45.21</v>
      </c>
      <c r="J264">
        <v>260.45</v>
      </c>
      <c r="K264">
        <v>215.24</v>
      </c>
    </row>
    <row r="265" spans="3:11" x14ac:dyDescent="0.3">
      <c r="C265" s="279" t="s">
        <v>1007</v>
      </c>
      <c r="D265" s="279" t="s">
        <v>30</v>
      </c>
      <c r="E265" s="279" t="s">
        <v>488</v>
      </c>
      <c r="F265">
        <v>0</v>
      </c>
      <c r="G265">
        <v>0</v>
      </c>
      <c r="H265">
        <v>0</v>
      </c>
      <c r="I265">
        <v>6.89</v>
      </c>
      <c r="J265">
        <v>36.869999999999997</v>
      </c>
      <c r="K265">
        <v>29.98</v>
      </c>
    </row>
    <row r="266" spans="3:11" x14ac:dyDescent="0.3">
      <c r="C266" s="279" t="s">
        <v>1007</v>
      </c>
      <c r="D266" s="279" t="s">
        <v>18</v>
      </c>
      <c r="E266" s="279" t="s">
        <v>488</v>
      </c>
      <c r="F266">
        <v>0</v>
      </c>
      <c r="G266">
        <v>1</v>
      </c>
      <c r="H266">
        <v>0</v>
      </c>
      <c r="I266">
        <v>12.29</v>
      </c>
      <c r="J266">
        <v>70.790000000000006</v>
      </c>
      <c r="K266">
        <v>58.5</v>
      </c>
    </row>
    <row r="267" spans="3:11" x14ac:dyDescent="0.3">
      <c r="C267" s="279" t="s">
        <v>1007</v>
      </c>
      <c r="D267" s="279" t="s">
        <v>20</v>
      </c>
      <c r="E267" s="279" t="s">
        <v>488</v>
      </c>
      <c r="F267">
        <v>0</v>
      </c>
      <c r="G267">
        <v>0</v>
      </c>
      <c r="H267">
        <v>0</v>
      </c>
      <c r="I267">
        <v>6838.38</v>
      </c>
      <c r="J267">
        <v>41026.019999999997</v>
      </c>
      <c r="K267">
        <v>34187.620000000003</v>
      </c>
    </row>
    <row r="268" spans="3:11" x14ac:dyDescent="0.3">
      <c r="C268" s="279" t="s">
        <v>1007</v>
      </c>
      <c r="D268" s="279" t="s">
        <v>24</v>
      </c>
      <c r="E268" s="279" t="s">
        <v>488</v>
      </c>
      <c r="F268">
        <v>0</v>
      </c>
      <c r="G268">
        <v>1</v>
      </c>
      <c r="H268">
        <v>0</v>
      </c>
      <c r="I268">
        <v>44.82</v>
      </c>
      <c r="J268">
        <v>258.23</v>
      </c>
      <c r="K268">
        <v>213.41</v>
      </c>
    </row>
    <row r="269" spans="3:11" x14ac:dyDescent="0.3">
      <c r="C269" s="279" t="s">
        <v>1007</v>
      </c>
      <c r="D269" s="279" t="s">
        <v>32</v>
      </c>
      <c r="E269" s="279" t="s">
        <v>488</v>
      </c>
      <c r="F269">
        <v>0</v>
      </c>
      <c r="G269">
        <v>0</v>
      </c>
      <c r="H269">
        <v>0</v>
      </c>
      <c r="I269">
        <v>9.5299999999999994</v>
      </c>
      <c r="J269">
        <v>54.9</v>
      </c>
      <c r="K269">
        <v>45.37</v>
      </c>
    </row>
    <row r="270" spans="3:11" x14ac:dyDescent="0.3">
      <c r="C270" s="279" t="s">
        <v>1007</v>
      </c>
      <c r="D270" s="279" t="s">
        <v>22</v>
      </c>
      <c r="E270" s="279" t="s">
        <v>488</v>
      </c>
      <c r="F270">
        <v>0</v>
      </c>
      <c r="G270">
        <v>0</v>
      </c>
      <c r="H270">
        <v>0</v>
      </c>
      <c r="I270">
        <v>10.86</v>
      </c>
      <c r="J270">
        <v>60.21</v>
      </c>
      <c r="K270">
        <v>49.35</v>
      </c>
    </row>
    <row r="271" spans="3:11" x14ac:dyDescent="0.3">
      <c r="C271" s="279" t="s">
        <v>1007</v>
      </c>
      <c r="D271" s="279" t="s">
        <v>24</v>
      </c>
      <c r="E271" s="279" t="s">
        <v>488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3:11" x14ac:dyDescent="0.3">
      <c r="C272" s="279" t="s">
        <v>1007</v>
      </c>
      <c r="D272" s="279" t="s">
        <v>18</v>
      </c>
      <c r="E272" s="279" t="s">
        <v>488</v>
      </c>
      <c r="F272">
        <v>0</v>
      </c>
      <c r="G272">
        <v>0</v>
      </c>
      <c r="H272">
        <v>0</v>
      </c>
      <c r="I272">
        <v>5268.92</v>
      </c>
      <c r="J272">
        <v>32999.61</v>
      </c>
      <c r="K272">
        <v>27730.69</v>
      </c>
    </row>
    <row r="273" spans="3:11" x14ac:dyDescent="0.3">
      <c r="C273" s="279" t="s">
        <v>1007</v>
      </c>
      <c r="D273" s="279" t="s">
        <v>34</v>
      </c>
      <c r="E273" s="279" t="s">
        <v>490</v>
      </c>
      <c r="F273">
        <v>0</v>
      </c>
      <c r="G273">
        <v>0</v>
      </c>
      <c r="H273">
        <v>0</v>
      </c>
      <c r="I273">
        <v>0</v>
      </c>
      <c r="J273">
        <v>47.76</v>
      </c>
      <c r="K273">
        <v>47.76</v>
      </c>
    </row>
    <row r="274" spans="3:11" x14ac:dyDescent="0.3">
      <c r="C274" s="279" t="s">
        <v>1007</v>
      </c>
      <c r="D274" s="279" t="s">
        <v>24</v>
      </c>
      <c r="E274" s="279" t="s">
        <v>488</v>
      </c>
      <c r="F274">
        <v>0</v>
      </c>
      <c r="G274">
        <v>0</v>
      </c>
      <c r="H274">
        <v>0</v>
      </c>
      <c r="I274">
        <v>838.18</v>
      </c>
      <c r="J274">
        <v>5028.71</v>
      </c>
      <c r="K274">
        <v>4190.5200000000004</v>
      </c>
    </row>
    <row r="275" spans="3:11" x14ac:dyDescent="0.3">
      <c r="C275" s="279" t="s">
        <v>1007</v>
      </c>
      <c r="D275" s="279" t="s">
        <v>181</v>
      </c>
      <c r="E275" s="279" t="s">
        <v>488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3:11" x14ac:dyDescent="0.3">
      <c r="C276" s="279" t="s">
        <v>1007</v>
      </c>
      <c r="D276" s="279" t="s">
        <v>18</v>
      </c>
      <c r="E276" s="279" t="s">
        <v>488</v>
      </c>
      <c r="F276">
        <v>0</v>
      </c>
      <c r="G276">
        <v>0</v>
      </c>
      <c r="H276">
        <v>1</v>
      </c>
      <c r="I276">
        <v>-6.85</v>
      </c>
      <c r="J276">
        <v>-42.9</v>
      </c>
      <c r="K276">
        <v>-36.049999999999997</v>
      </c>
    </row>
    <row r="277" spans="3:11" x14ac:dyDescent="0.3">
      <c r="C277" s="279" t="s">
        <v>1007</v>
      </c>
      <c r="D277" s="279" t="s">
        <v>22</v>
      </c>
      <c r="E277" s="279" t="s">
        <v>488</v>
      </c>
      <c r="F277">
        <v>0</v>
      </c>
      <c r="G277">
        <v>1</v>
      </c>
      <c r="H277">
        <v>0</v>
      </c>
      <c r="I277">
        <v>9.61</v>
      </c>
      <c r="J277">
        <v>55.35</v>
      </c>
      <c r="K277">
        <v>45.74</v>
      </c>
    </row>
    <row r="278" spans="3:11" x14ac:dyDescent="0.3">
      <c r="C278" s="279" t="s">
        <v>1007</v>
      </c>
      <c r="D278" s="279" t="s">
        <v>28</v>
      </c>
      <c r="E278" s="279" t="s">
        <v>488</v>
      </c>
      <c r="F278">
        <v>0</v>
      </c>
      <c r="G278">
        <v>0</v>
      </c>
      <c r="H278">
        <v>0</v>
      </c>
      <c r="I278">
        <v>87.09</v>
      </c>
      <c r="J278">
        <v>501.8</v>
      </c>
      <c r="K278">
        <v>414.71</v>
      </c>
    </row>
    <row r="279" spans="3:11" x14ac:dyDescent="0.3">
      <c r="C279" s="279" t="s">
        <v>1007</v>
      </c>
      <c r="D279" s="279" t="s">
        <v>18</v>
      </c>
      <c r="E279" s="279" t="s">
        <v>488</v>
      </c>
      <c r="F279">
        <v>0</v>
      </c>
      <c r="G279">
        <v>0</v>
      </c>
      <c r="H279">
        <v>0</v>
      </c>
      <c r="I279">
        <v>5.91</v>
      </c>
      <c r="J279">
        <v>36.94</v>
      </c>
      <c r="K279">
        <v>31.03</v>
      </c>
    </row>
    <row r="280" spans="3:11" x14ac:dyDescent="0.3">
      <c r="C280" s="279" t="s">
        <v>1007</v>
      </c>
      <c r="D280" s="279" t="s">
        <v>22</v>
      </c>
      <c r="E280" s="279" t="s">
        <v>488</v>
      </c>
      <c r="F280">
        <v>0</v>
      </c>
      <c r="G280">
        <v>0</v>
      </c>
      <c r="H280">
        <v>0</v>
      </c>
      <c r="I280">
        <v>4281.84</v>
      </c>
      <c r="J280">
        <v>23744.86</v>
      </c>
      <c r="K280">
        <v>19463.02</v>
      </c>
    </row>
    <row r="281" spans="3:11" x14ac:dyDescent="0.3">
      <c r="C281" s="279" t="s">
        <v>1007</v>
      </c>
      <c r="D281" s="279" t="s">
        <v>8</v>
      </c>
      <c r="E281" s="279" t="s">
        <v>488</v>
      </c>
      <c r="F281">
        <v>0</v>
      </c>
      <c r="G281">
        <v>1</v>
      </c>
      <c r="H281">
        <v>0</v>
      </c>
      <c r="I281">
        <v>163.71</v>
      </c>
      <c r="J281">
        <v>943.15</v>
      </c>
      <c r="K281">
        <v>779.44</v>
      </c>
    </row>
    <row r="282" spans="3:11" x14ac:dyDescent="0.3">
      <c r="C282" s="279" t="s">
        <v>1007</v>
      </c>
      <c r="D282" s="279" t="s">
        <v>20</v>
      </c>
      <c r="E282" s="279" t="s">
        <v>488</v>
      </c>
      <c r="F282">
        <v>0</v>
      </c>
      <c r="G282">
        <v>0</v>
      </c>
      <c r="H282">
        <v>0</v>
      </c>
      <c r="I282">
        <v>42.41</v>
      </c>
      <c r="J282">
        <v>254.47</v>
      </c>
      <c r="K282">
        <v>212.05</v>
      </c>
    </row>
    <row r="283" spans="3:11" x14ac:dyDescent="0.3">
      <c r="C283" s="279" t="s">
        <v>1007</v>
      </c>
      <c r="D283" s="279" t="s">
        <v>34</v>
      </c>
      <c r="E283" s="279" t="s">
        <v>490</v>
      </c>
      <c r="F283">
        <v>0</v>
      </c>
      <c r="G283">
        <v>0</v>
      </c>
      <c r="H283">
        <v>0</v>
      </c>
      <c r="I283">
        <v>27.6</v>
      </c>
      <c r="J283">
        <v>16289.88</v>
      </c>
      <c r="K283">
        <v>16262.28</v>
      </c>
    </row>
    <row r="284" spans="3:11" x14ac:dyDescent="0.3">
      <c r="C284" s="279" t="s">
        <v>1007</v>
      </c>
      <c r="D284" s="279" t="s">
        <v>32</v>
      </c>
      <c r="E284" s="279" t="s">
        <v>488</v>
      </c>
      <c r="F284">
        <v>0</v>
      </c>
      <c r="G284">
        <v>0</v>
      </c>
      <c r="H284">
        <v>0</v>
      </c>
      <c r="I284">
        <v>79.56</v>
      </c>
      <c r="J284">
        <v>397.77</v>
      </c>
      <c r="K284">
        <v>318.20999999999998</v>
      </c>
    </row>
    <row r="285" spans="3:11" x14ac:dyDescent="0.3">
      <c r="C285" s="279" t="s">
        <v>1007</v>
      </c>
      <c r="D285" s="279" t="s">
        <v>30</v>
      </c>
      <c r="E285" s="279" t="s">
        <v>488</v>
      </c>
      <c r="F285">
        <v>0</v>
      </c>
      <c r="G285">
        <v>1</v>
      </c>
      <c r="H285">
        <v>0</v>
      </c>
      <c r="I285">
        <v>71.709999999999994</v>
      </c>
      <c r="J285">
        <v>413.18</v>
      </c>
      <c r="K285">
        <v>341.47</v>
      </c>
    </row>
    <row r="286" spans="3:11" x14ac:dyDescent="0.3">
      <c r="C286" s="279" t="s">
        <v>1007</v>
      </c>
      <c r="D286" s="279" t="s">
        <v>181</v>
      </c>
      <c r="E286" s="279" t="s">
        <v>489</v>
      </c>
      <c r="F286">
        <v>0</v>
      </c>
      <c r="G286">
        <v>0</v>
      </c>
      <c r="H286">
        <v>0</v>
      </c>
      <c r="I286">
        <v>55.56</v>
      </c>
      <c r="J286">
        <v>333.45</v>
      </c>
      <c r="K286">
        <v>277.88</v>
      </c>
    </row>
    <row r="287" spans="3:11" x14ac:dyDescent="0.3">
      <c r="C287" s="279" t="s">
        <v>1007</v>
      </c>
      <c r="D287" s="279" t="s">
        <v>32</v>
      </c>
      <c r="E287" s="279" t="s">
        <v>488</v>
      </c>
      <c r="F287">
        <v>0</v>
      </c>
      <c r="G287">
        <v>0</v>
      </c>
      <c r="H287">
        <v>0</v>
      </c>
      <c r="I287">
        <v>6.96</v>
      </c>
      <c r="J287">
        <v>47.9</v>
      </c>
      <c r="K287">
        <v>40.94</v>
      </c>
    </row>
    <row r="288" spans="3:11" x14ac:dyDescent="0.3">
      <c r="C288" s="279" t="s">
        <v>1007</v>
      </c>
      <c r="D288" s="279" t="s">
        <v>181</v>
      </c>
      <c r="E288" s="279" t="s">
        <v>489</v>
      </c>
      <c r="F288">
        <v>0</v>
      </c>
      <c r="G288">
        <v>0</v>
      </c>
      <c r="H288">
        <v>0</v>
      </c>
      <c r="I288">
        <v>6141.78</v>
      </c>
      <c r="J288">
        <v>36850.449999999997</v>
      </c>
      <c r="K288">
        <v>30708.66</v>
      </c>
    </row>
    <row r="289" spans="3:11" x14ac:dyDescent="0.3">
      <c r="C289" s="279" t="s">
        <v>1007</v>
      </c>
      <c r="D289" s="279" t="s">
        <v>8</v>
      </c>
      <c r="E289" s="279" t="s">
        <v>488</v>
      </c>
      <c r="F289">
        <v>0</v>
      </c>
      <c r="G289">
        <v>0</v>
      </c>
      <c r="H289">
        <v>0</v>
      </c>
      <c r="I289">
        <v>20434.54</v>
      </c>
      <c r="J289">
        <v>118800.94</v>
      </c>
      <c r="K289">
        <v>98366.399999999994</v>
      </c>
    </row>
    <row r="290" spans="3:11" x14ac:dyDescent="0.3">
      <c r="C290" s="279" t="s">
        <v>1007</v>
      </c>
      <c r="D290" s="279" t="s">
        <v>8</v>
      </c>
      <c r="E290" s="279" t="s">
        <v>488</v>
      </c>
      <c r="F290">
        <v>0</v>
      </c>
      <c r="G290">
        <v>0</v>
      </c>
      <c r="H290">
        <v>0</v>
      </c>
      <c r="I290">
        <v>104.49</v>
      </c>
      <c r="J290">
        <v>602.12</v>
      </c>
      <c r="K290">
        <v>497.63</v>
      </c>
    </row>
    <row r="291" spans="3:11" x14ac:dyDescent="0.3">
      <c r="C291" s="279" t="s">
        <v>1007</v>
      </c>
      <c r="D291" s="279" t="s">
        <v>20</v>
      </c>
      <c r="E291" s="279" t="s">
        <v>488</v>
      </c>
      <c r="F291">
        <v>0</v>
      </c>
      <c r="G291">
        <v>1</v>
      </c>
      <c r="H291">
        <v>0</v>
      </c>
      <c r="I291">
        <v>7.99</v>
      </c>
      <c r="J291">
        <v>46.07</v>
      </c>
      <c r="K291">
        <v>38.08</v>
      </c>
    </row>
    <row r="292" spans="3:11" x14ac:dyDescent="0.3">
      <c r="C292" s="279" t="s">
        <v>1007</v>
      </c>
      <c r="D292" s="279" t="s">
        <v>32</v>
      </c>
      <c r="E292" s="279" t="s">
        <v>488</v>
      </c>
      <c r="F292">
        <v>0</v>
      </c>
      <c r="G292">
        <v>0</v>
      </c>
      <c r="H292">
        <v>0</v>
      </c>
      <c r="I292">
        <v>18.559999999999999</v>
      </c>
      <c r="J292">
        <v>92.82</v>
      </c>
      <c r="K292">
        <v>74.260000000000005</v>
      </c>
    </row>
    <row r="293" spans="3:11" x14ac:dyDescent="0.3">
      <c r="C293" s="279" t="s">
        <v>1103</v>
      </c>
      <c r="D293" s="279" t="s">
        <v>18</v>
      </c>
      <c r="E293" s="279" t="s">
        <v>488</v>
      </c>
      <c r="F293">
        <v>0</v>
      </c>
      <c r="G293">
        <v>0</v>
      </c>
      <c r="H293">
        <v>0</v>
      </c>
      <c r="I293">
        <v>-21.57</v>
      </c>
      <c r="J293">
        <v>-135.08000000000001</v>
      </c>
      <c r="K293">
        <v>-113.51</v>
      </c>
    </row>
    <row r="294" spans="3:11" x14ac:dyDescent="0.3">
      <c r="C294" s="279" t="s">
        <v>1103</v>
      </c>
      <c r="D294" s="279" t="s">
        <v>20</v>
      </c>
      <c r="E294" s="279" t="s">
        <v>488</v>
      </c>
      <c r="F294">
        <v>0</v>
      </c>
      <c r="G294">
        <v>0</v>
      </c>
      <c r="H294">
        <v>0</v>
      </c>
      <c r="I294">
        <v>323.63</v>
      </c>
      <c r="J294">
        <v>1941.59</v>
      </c>
      <c r="K294">
        <v>1617.96</v>
      </c>
    </row>
    <row r="295" spans="3:11" x14ac:dyDescent="0.3">
      <c r="C295" s="279" t="s">
        <v>1103</v>
      </c>
      <c r="D295" s="279" t="s">
        <v>181</v>
      </c>
      <c r="E295" s="279" t="s">
        <v>488</v>
      </c>
      <c r="F295">
        <v>0</v>
      </c>
      <c r="G295">
        <v>1</v>
      </c>
      <c r="H295">
        <v>0</v>
      </c>
      <c r="I295">
        <v>3.3</v>
      </c>
      <c r="J295">
        <v>19.8</v>
      </c>
      <c r="K295">
        <v>16.5</v>
      </c>
    </row>
    <row r="296" spans="3:11" x14ac:dyDescent="0.3">
      <c r="C296" s="279" t="s">
        <v>1103</v>
      </c>
      <c r="D296" s="279" t="s">
        <v>22</v>
      </c>
      <c r="E296" s="279" t="s">
        <v>488</v>
      </c>
      <c r="F296">
        <v>0</v>
      </c>
      <c r="G296">
        <v>0</v>
      </c>
      <c r="H296">
        <v>0</v>
      </c>
      <c r="I296">
        <v>3605.25</v>
      </c>
      <c r="J296">
        <v>19993.54</v>
      </c>
      <c r="K296">
        <v>16388.29</v>
      </c>
    </row>
    <row r="297" spans="3:11" x14ac:dyDescent="0.3">
      <c r="C297" s="279" t="s">
        <v>1103</v>
      </c>
      <c r="D297" s="279" t="s">
        <v>28</v>
      </c>
      <c r="E297" s="279" t="s">
        <v>488</v>
      </c>
      <c r="F297">
        <v>0</v>
      </c>
      <c r="G297">
        <v>0</v>
      </c>
      <c r="H297">
        <v>0</v>
      </c>
      <c r="I297">
        <v>47.5</v>
      </c>
      <c r="J297">
        <v>273.64999999999998</v>
      </c>
      <c r="K297">
        <v>226.15</v>
      </c>
    </row>
    <row r="298" spans="3:11" x14ac:dyDescent="0.3">
      <c r="C298" s="279" t="s">
        <v>1103</v>
      </c>
      <c r="D298" s="279" t="s">
        <v>32</v>
      </c>
      <c r="E298" s="279" t="s">
        <v>488</v>
      </c>
      <c r="F298">
        <v>0</v>
      </c>
      <c r="G298">
        <v>0</v>
      </c>
      <c r="H298">
        <v>0</v>
      </c>
      <c r="I298">
        <v>81.41</v>
      </c>
      <c r="J298">
        <v>560.27</v>
      </c>
      <c r="K298">
        <v>478.86</v>
      </c>
    </row>
    <row r="299" spans="3:11" x14ac:dyDescent="0.3">
      <c r="C299" s="279" t="s">
        <v>1103</v>
      </c>
      <c r="D299" s="279" t="s">
        <v>181</v>
      </c>
      <c r="E299" s="279" t="s">
        <v>489</v>
      </c>
      <c r="F299">
        <v>0</v>
      </c>
      <c r="G299">
        <v>0</v>
      </c>
      <c r="H299">
        <v>0</v>
      </c>
      <c r="I299">
        <v>-37.03</v>
      </c>
      <c r="J299">
        <v>-222.11</v>
      </c>
      <c r="K299">
        <v>-185.1</v>
      </c>
    </row>
    <row r="300" spans="3:11" x14ac:dyDescent="0.3">
      <c r="C300" s="279" t="s">
        <v>1103</v>
      </c>
      <c r="D300" s="279" t="s">
        <v>24</v>
      </c>
      <c r="E300" s="279" t="s">
        <v>488</v>
      </c>
      <c r="F300">
        <v>0</v>
      </c>
      <c r="G300">
        <v>0</v>
      </c>
      <c r="H300">
        <v>0</v>
      </c>
      <c r="I300">
        <v>37.979999999999997</v>
      </c>
      <c r="J300">
        <v>227.85</v>
      </c>
      <c r="K300">
        <v>189.87</v>
      </c>
    </row>
    <row r="301" spans="3:11" x14ac:dyDescent="0.3">
      <c r="C301" s="279" t="s">
        <v>1103</v>
      </c>
      <c r="D301" s="279" t="s">
        <v>34</v>
      </c>
      <c r="E301" s="279" t="s">
        <v>490</v>
      </c>
      <c r="F301">
        <v>0</v>
      </c>
      <c r="G301">
        <v>0</v>
      </c>
      <c r="H301">
        <v>0</v>
      </c>
      <c r="I301">
        <v>0</v>
      </c>
      <c r="J301">
        <v>-153.76</v>
      </c>
      <c r="K301">
        <v>-153.76</v>
      </c>
    </row>
    <row r="302" spans="3:11" x14ac:dyDescent="0.3">
      <c r="C302" s="279" t="s">
        <v>1103</v>
      </c>
      <c r="D302" s="279" t="s">
        <v>30</v>
      </c>
      <c r="E302" s="279" t="s">
        <v>488</v>
      </c>
      <c r="F302">
        <v>0</v>
      </c>
      <c r="G302">
        <v>1</v>
      </c>
      <c r="H302">
        <v>0</v>
      </c>
      <c r="I302">
        <v>24.7</v>
      </c>
      <c r="J302">
        <v>142.29</v>
      </c>
      <c r="K302">
        <v>117.59</v>
      </c>
    </row>
    <row r="303" spans="3:11" x14ac:dyDescent="0.3">
      <c r="C303" s="279" t="s">
        <v>1103</v>
      </c>
      <c r="D303" s="279" t="s">
        <v>8</v>
      </c>
      <c r="E303" s="279" t="s">
        <v>488</v>
      </c>
      <c r="F303">
        <v>0</v>
      </c>
      <c r="G303">
        <v>0</v>
      </c>
      <c r="H303">
        <v>0</v>
      </c>
      <c r="I303">
        <v>-17.190000000000001</v>
      </c>
      <c r="J303">
        <v>-99.02</v>
      </c>
      <c r="K303">
        <v>-81.83</v>
      </c>
    </row>
    <row r="304" spans="3:11" x14ac:dyDescent="0.3">
      <c r="C304" s="279" t="s">
        <v>1103</v>
      </c>
      <c r="D304" s="279" t="s">
        <v>34</v>
      </c>
      <c r="E304" s="279" t="s">
        <v>490</v>
      </c>
      <c r="F304">
        <v>0</v>
      </c>
      <c r="G304">
        <v>0</v>
      </c>
      <c r="H304">
        <v>0</v>
      </c>
      <c r="I304">
        <v>31.34</v>
      </c>
      <c r="J304">
        <v>8267.2000000000007</v>
      </c>
      <c r="K304">
        <v>8235.86</v>
      </c>
    </row>
    <row r="305" spans="3:11" x14ac:dyDescent="0.3">
      <c r="C305" s="279" t="s">
        <v>1103</v>
      </c>
      <c r="D305" s="279" t="s">
        <v>24</v>
      </c>
      <c r="E305" s="279" t="s">
        <v>488</v>
      </c>
      <c r="F305">
        <v>0</v>
      </c>
      <c r="G305">
        <v>0</v>
      </c>
      <c r="H305">
        <v>0</v>
      </c>
      <c r="I305">
        <v>1067.03</v>
      </c>
      <c r="J305">
        <v>6401.79</v>
      </c>
      <c r="K305">
        <v>5334.76</v>
      </c>
    </row>
    <row r="306" spans="3:11" x14ac:dyDescent="0.3">
      <c r="C306" s="279" t="s">
        <v>1103</v>
      </c>
      <c r="D306" s="279" t="s">
        <v>20</v>
      </c>
      <c r="E306" s="279" t="s">
        <v>488</v>
      </c>
      <c r="F306">
        <v>0</v>
      </c>
      <c r="G306">
        <v>1</v>
      </c>
      <c r="H306">
        <v>0</v>
      </c>
      <c r="I306">
        <v>8.4499999999999993</v>
      </c>
      <c r="J306">
        <v>48.68</v>
      </c>
      <c r="K306">
        <v>40.229999999999997</v>
      </c>
    </row>
    <row r="307" spans="3:11" x14ac:dyDescent="0.3">
      <c r="C307" s="279" t="s">
        <v>1103</v>
      </c>
      <c r="D307" s="279" t="s">
        <v>20</v>
      </c>
      <c r="E307" s="279" t="s">
        <v>488</v>
      </c>
      <c r="F307">
        <v>0</v>
      </c>
      <c r="G307">
        <v>0</v>
      </c>
      <c r="H307">
        <v>0</v>
      </c>
      <c r="I307">
        <v>5150.28</v>
      </c>
      <c r="J307">
        <v>30899</v>
      </c>
      <c r="K307">
        <v>25748.7</v>
      </c>
    </row>
    <row r="308" spans="3:11" x14ac:dyDescent="0.3">
      <c r="C308" s="279" t="s">
        <v>1103</v>
      </c>
      <c r="D308" s="279" t="s">
        <v>8</v>
      </c>
      <c r="E308" s="279" t="s">
        <v>488</v>
      </c>
      <c r="F308">
        <v>0</v>
      </c>
      <c r="G308">
        <v>0</v>
      </c>
      <c r="H308">
        <v>0</v>
      </c>
      <c r="I308">
        <v>14800.03</v>
      </c>
      <c r="J308">
        <v>85422.58</v>
      </c>
      <c r="K308">
        <v>70622.55</v>
      </c>
    </row>
    <row r="309" spans="3:11" x14ac:dyDescent="0.3">
      <c r="C309" s="279" t="s">
        <v>1103</v>
      </c>
      <c r="D309" s="279" t="s">
        <v>32</v>
      </c>
      <c r="E309" s="279" t="s">
        <v>488</v>
      </c>
      <c r="F309">
        <v>0</v>
      </c>
      <c r="G309">
        <v>0</v>
      </c>
      <c r="H309">
        <v>0</v>
      </c>
      <c r="I309">
        <v>4.9800000000000004</v>
      </c>
      <c r="J309">
        <v>24.9</v>
      </c>
      <c r="K309">
        <v>19.920000000000002</v>
      </c>
    </row>
    <row r="310" spans="3:11" x14ac:dyDescent="0.3">
      <c r="C310" s="279" t="s">
        <v>1103</v>
      </c>
      <c r="D310" s="279" t="s">
        <v>26</v>
      </c>
      <c r="E310" s="279" t="s">
        <v>488</v>
      </c>
      <c r="F310">
        <v>0</v>
      </c>
      <c r="G310">
        <v>0</v>
      </c>
      <c r="H310">
        <v>0</v>
      </c>
      <c r="I310">
        <v>17.850000000000001</v>
      </c>
      <c r="J310">
        <v>102.85</v>
      </c>
      <c r="K310">
        <v>85</v>
      </c>
    </row>
    <row r="311" spans="3:11" x14ac:dyDescent="0.3">
      <c r="C311" s="279" t="s">
        <v>1103</v>
      </c>
      <c r="D311" s="279" t="s">
        <v>22</v>
      </c>
      <c r="E311" s="279" t="s">
        <v>488</v>
      </c>
      <c r="F311">
        <v>0</v>
      </c>
      <c r="G311">
        <v>0</v>
      </c>
      <c r="H311">
        <v>0</v>
      </c>
      <c r="I311">
        <v>-12.53</v>
      </c>
      <c r="J311">
        <v>-69.48</v>
      </c>
      <c r="K311">
        <v>-56.95</v>
      </c>
    </row>
    <row r="312" spans="3:11" x14ac:dyDescent="0.3">
      <c r="C312" s="279" t="s">
        <v>1103</v>
      </c>
      <c r="D312" s="279" t="s">
        <v>24</v>
      </c>
      <c r="E312" s="279" t="s">
        <v>488</v>
      </c>
      <c r="F312">
        <v>0</v>
      </c>
      <c r="G312">
        <v>1</v>
      </c>
      <c r="H312">
        <v>0</v>
      </c>
      <c r="I312">
        <v>10.34</v>
      </c>
      <c r="J312">
        <v>59.56</v>
      </c>
      <c r="K312">
        <v>49.22</v>
      </c>
    </row>
    <row r="313" spans="3:11" x14ac:dyDescent="0.3">
      <c r="C313" s="279" t="s">
        <v>1103</v>
      </c>
      <c r="D313" s="279" t="s">
        <v>181</v>
      </c>
      <c r="E313" s="279" t="s">
        <v>489</v>
      </c>
      <c r="F313">
        <v>0</v>
      </c>
      <c r="G313">
        <v>0</v>
      </c>
      <c r="H313">
        <v>0</v>
      </c>
      <c r="I313">
        <v>4404.13</v>
      </c>
      <c r="J313">
        <v>26422.46</v>
      </c>
      <c r="K313">
        <v>22018.32</v>
      </c>
    </row>
    <row r="314" spans="3:11" x14ac:dyDescent="0.3">
      <c r="C314" s="279" t="s">
        <v>1103</v>
      </c>
      <c r="D314" s="279" t="s">
        <v>22</v>
      </c>
      <c r="E314" s="279" t="s">
        <v>488</v>
      </c>
      <c r="F314">
        <v>0</v>
      </c>
      <c r="G314">
        <v>1</v>
      </c>
      <c r="H314">
        <v>0</v>
      </c>
      <c r="I314">
        <v>7.99</v>
      </c>
      <c r="J314">
        <v>46.07</v>
      </c>
      <c r="K314">
        <v>38.08</v>
      </c>
    </row>
    <row r="315" spans="3:11" x14ac:dyDescent="0.3">
      <c r="C315" s="279" t="s">
        <v>1103</v>
      </c>
      <c r="D315" s="279" t="s">
        <v>30</v>
      </c>
      <c r="E315" s="279" t="s">
        <v>488</v>
      </c>
      <c r="F315">
        <v>0</v>
      </c>
      <c r="G315">
        <v>0</v>
      </c>
      <c r="H315">
        <v>0</v>
      </c>
      <c r="I315">
        <v>239.42</v>
      </c>
      <c r="J315">
        <v>1280.27</v>
      </c>
      <c r="K315">
        <v>1040.8499999999999</v>
      </c>
    </row>
    <row r="316" spans="3:11" x14ac:dyDescent="0.3">
      <c r="C316" s="279" t="s">
        <v>1103</v>
      </c>
      <c r="D316" s="279" t="s">
        <v>18</v>
      </c>
      <c r="E316" s="279" t="s">
        <v>488</v>
      </c>
      <c r="F316">
        <v>0</v>
      </c>
      <c r="G316">
        <v>0</v>
      </c>
      <c r="H316">
        <v>0</v>
      </c>
      <c r="I316">
        <v>3328.77</v>
      </c>
      <c r="J316">
        <v>20848.939999999999</v>
      </c>
      <c r="K316">
        <v>17520.169999999998</v>
      </c>
    </row>
    <row r="317" spans="3:11" x14ac:dyDescent="0.3">
      <c r="C317" s="279" t="s">
        <v>1103</v>
      </c>
      <c r="D317" s="279" t="s">
        <v>8</v>
      </c>
      <c r="E317" s="279" t="s">
        <v>488</v>
      </c>
      <c r="F317">
        <v>0</v>
      </c>
      <c r="G317">
        <v>1</v>
      </c>
      <c r="H317">
        <v>0</v>
      </c>
      <c r="I317">
        <v>90.26</v>
      </c>
      <c r="J317">
        <v>519.96</v>
      </c>
      <c r="K317">
        <v>429.7</v>
      </c>
    </row>
    <row r="318" spans="3:11" x14ac:dyDescent="0.3">
      <c r="C318" s="279" t="s">
        <v>1178</v>
      </c>
      <c r="D318" s="279" t="s">
        <v>20</v>
      </c>
      <c r="E318" s="279" t="s">
        <v>488</v>
      </c>
      <c r="F318">
        <v>0</v>
      </c>
      <c r="G318">
        <v>0</v>
      </c>
      <c r="H318">
        <v>0</v>
      </c>
      <c r="I318">
        <v>-212.22</v>
      </c>
      <c r="J318">
        <v>-1273.3599999999999</v>
      </c>
      <c r="K318">
        <v>-1061.1400000000001</v>
      </c>
    </row>
    <row r="319" spans="3:11" x14ac:dyDescent="0.3">
      <c r="C319" s="279" t="s">
        <v>1178</v>
      </c>
      <c r="D319" s="279" t="s">
        <v>18</v>
      </c>
      <c r="E319" s="279" t="s">
        <v>488</v>
      </c>
      <c r="F319">
        <v>0</v>
      </c>
      <c r="G319">
        <v>0</v>
      </c>
      <c r="H319">
        <v>0</v>
      </c>
      <c r="I319">
        <v>102.57</v>
      </c>
      <c r="J319">
        <v>642.35</v>
      </c>
      <c r="K319">
        <v>539.78</v>
      </c>
    </row>
    <row r="320" spans="3:11" x14ac:dyDescent="0.3">
      <c r="C320" s="279" t="s">
        <v>1178</v>
      </c>
      <c r="D320" s="279" t="s">
        <v>28</v>
      </c>
      <c r="E320" s="279" t="s">
        <v>488</v>
      </c>
      <c r="F320">
        <v>0</v>
      </c>
      <c r="G320">
        <v>0</v>
      </c>
      <c r="H320">
        <v>0</v>
      </c>
      <c r="I320">
        <v>88.77</v>
      </c>
      <c r="J320">
        <v>511.48</v>
      </c>
      <c r="K320">
        <v>422.71</v>
      </c>
    </row>
    <row r="321" spans="3:11" x14ac:dyDescent="0.3">
      <c r="C321" s="279" t="s">
        <v>1178</v>
      </c>
      <c r="D321" s="279" t="s">
        <v>18</v>
      </c>
      <c r="E321" s="279" t="s">
        <v>488</v>
      </c>
      <c r="F321">
        <v>0</v>
      </c>
      <c r="G321">
        <v>1</v>
      </c>
      <c r="H321">
        <v>0</v>
      </c>
      <c r="I321">
        <v>24.55</v>
      </c>
      <c r="J321">
        <v>141.44</v>
      </c>
      <c r="K321">
        <v>116.89</v>
      </c>
    </row>
    <row r="322" spans="3:11" x14ac:dyDescent="0.3">
      <c r="C322" s="279" t="s">
        <v>1178</v>
      </c>
      <c r="D322" s="279" t="s">
        <v>20</v>
      </c>
      <c r="E322" s="279" t="s">
        <v>488</v>
      </c>
      <c r="F322">
        <v>0</v>
      </c>
      <c r="G322">
        <v>1</v>
      </c>
      <c r="H322">
        <v>0</v>
      </c>
      <c r="I322">
        <v>44.75</v>
      </c>
      <c r="J322">
        <v>257.83999999999997</v>
      </c>
      <c r="K322">
        <v>213.09</v>
      </c>
    </row>
    <row r="323" spans="3:11" x14ac:dyDescent="0.3">
      <c r="C323" s="279" t="s">
        <v>1178</v>
      </c>
      <c r="D323" s="279" t="s">
        <v>32</v>
      </c>
      <c r="E323" s="279" t="s">
        <v>488</v>
      </c>
      <c r="F323">
        <v>0</v>
      </c>
      <c r="G323">
        <v>0</v>
      </c>
      <c r="H323">
        <v>0</v>
      </c>
      <c r="I323">
        <v>14.03</v>
      </c>
      <c r="J323">
        <v>80.849999999999994</v>
      </c>
      <c r="K323">
        <v>66.819999999999993</v>
      </c>
    </row>
    <row r="324" spans="3:11" x14ac:dyDescent="0.3">
      <c r="C324" s="279" t="s">
        <v>1178</v>
      </c>
      <c r="D324" s="279" t="s">
        <v>34</v>
      </c>
      <c r="E324" s="279" t="s">
        <v>490</v>
      </c>
      <c r="F324">
        <v>0</v>
      </c>
      <c r="G324">
        <v>0</v>
      </c>
      <c r="H324">
        <v>0</v>
      </c>
      <c r="I324">
        <v>0</v>
      </c>
      <c r="J324">
        <v>-24.95</v>
      </c>
      <c r="K324">
        <v>-24.95</v>
      </c>
    </row>
    <row r="325" spans="3:11" x14ac:dyDescent="0.3">
      <c r="C325" s="279" t="s">
        <v>1178</v>
      </c>
      <c r="D325" s="279" t="s">
        <v>181</v>
      </c>
      <c r="E325" s="279" t="s">
        <v>489</v>
      </c>
      <c r="F325">
        <v>0</v>
      </c>
      <c r="G325">
        <v>0</v>
      </c>
      <c r="H325">
        <v>0</v>
      </c>
      <c r="I325">
        <v>3130.1</v>
      </c>
      <c r="J325">
        <v>18779.439999999999</v>
      </c>
      <c r="K325">
        <v>15649.32</v>
      </c>
    </row>
    <row r="326" spans="3:11" x14ac:dyDescent="0.3">
      <c r="C326" s="279" t="s">
        <v>1178</v>
      </c>
      <c r="D326" s="279" t="s">
        <v>32</v>
      </c>
      <c r="E326" s="279" t="s">
        <v>488</v>
      </c>
      <c r="F326">
        <v>0</v>
      </c>
      <c r="G326">
        <v>0</v>
      </c>
      <c r="H326">
        <v>0</v>
      </c>
      <c r="I326">
        <v>65.61</v>
      </c>
      <c r="J326">
        <v>328.07</v>
      </c>
      <c r="K326">
        <v>262.45999999999998</v>
      </c>
    </row>
    <row r="327" spans="3:11" x14ac:dyDescent="0.3">
      <c r="C327" s="279" t="s">
        <v>1178</v>
      </c>
      <c r="D327" s="279" t="s">
        <v>24</v>
      </c>
      <c r="E327" s="279" t="s">
        <v>488</v>
      </c>
      <c r="F327">
        <v>0</v>
      </c>
      <c r="G327">
        <v>0</v>
      </c>
      <c r="H327">
        <v>0</v>
      </c>
      <c r="I327">
        <v>-12.03</v>
      </c>
      <c r="J327">
        <v>-72.23</v>
      </c>
      <c r="K327">
        <v>-60.2</v>
      </c>
    </row>
    <row r="328" spans="3:11" x14ac:dyDescent="0.3">
      <c r="C328" s="279" t="s">
        <v>1178</v>
      </c>
      <c r="D328" s="279" t="s">
        <v>32</v>
      </c>
      <c r="E328" s="279" t="s">
        <v>488</v>
      </c>
      <c r="F328">
        <v>0</v>
      </c>
      <c r="G328">
        <v>0</v>
      </c>
      <c r="H328">
        <v>0</v>
      </c>
      <c r="I328">
        <v>61.51</v>
      </c>
      <c r="J328">
        <v>423.42</v>
      </c>
      <c r="K328">
        <v>361.91</v>
      </c>
    </row>
    <row r="329" spans="3:11" x14ac:dyDescent="0.3">
      <c r="C329" s="279" t="s">
        <v>1178</v>
      </c>
      <c r="D329" s="279" t="s">
        <v>18</v>
      </c>
      <c r="E329" s="279" t="s">
        <v>488</v>
      </c>
      <c r="F329">
        <v>0</v>
      </c>
      <c r="G329">
        <v>0</v>
      </c>
      <c r="H329">
        <v>0</v>
      </c>
      <c r="I329">
        <v>3872.97</v>
      </c>
      <c r="J329">
        <v>24257.35</v>
      </c>
      <c r="K329">
        <v>20384.38</v>
      </c>
    </row>
    <row r="330" spans="3:11" x14ac:dyDescent="0.3">
      <c r="C330" s="279" t="s">
        <v>1178</v>
      </c>
      <c r="D330" s="279" t="s">
        <v>22</v>
      </c>
      <c r="E330" s="279" t="s">
        <v>488</v>
      </c>
      <c r="F330">
        <v>0</v>
      </c>
      <c r="G330">
        <v>1</v>
      </c>
      <c r="H330">
        <v>0</v>
      </c>
      <c r="I330">
        <v>17.05</v>
      </c>
      <c r="J330">
        <v>98.2</v>
      </c>
      <c r="K330">
        <v>81.150000000000006</v>
      </c>
    </row>
    <row r="331" spans="3:11" x14ac:dyDescent="0.3">
      <c r="C331" s="279" t="s">
        <v>1178</v>
      </c>
      <c r="D331" s="279" t="s">
        <v>181</v>
      </c>
      <c r="E331" s="279" t="s">
        <v>489</v>
      </c>
      <c r="F331">
        <v>0</v>
      </c>
      <c r="G331">
        <v>0</v>
      </c>
      <c r="H331">
        <v>0</v>
      </c>
      <c r="I331">
        <v>10.69</v>
      </c>
      <c r="J331">
        <v>64.03</v>
      </c>
      <c r="K331">
        <v>53.34</v>
      </c>
    </row>
    <row r="332" spans="3:11" x14ac:dyDescent="0.3">
      <c r="C332" s="279" t="s">
        <v>1178</v>
      </c>
      <c r="D332" s="279" t="s">
        <v>20</v>
      </c>
      <c r="E332" s="279" t="s">
        <v>488</v>
      </c>
      <c r="F332">
        <v>0</v>
      </c>
      <c r="G332">
        <v>0</v>
      </c>
      <c r="H332">
        <v>0</v>
      </c>
      <c r="I332">
        <v>5331</v>
      </c>
      <c r="J332">
        <v>31982.49</v>
      </c>
      <c r="K332">
        <v>26651.49</v>
      </c>
    </row>
    <row r="333" spans="3:11" x14ac:dyDescent="0.3">
      <c r="C333" s="279" t="s">
        <v>1178</v>
      </c>
      <c r="D333" s="279" t="s">
        <v>8</v>
      </c>
      <c r="E333" s="279" t="s">
        <v>488</v>
      </c>
      <c r="F333">
        <v>0</v>
      </c>
      <c r="G333">
        <v>1</v>
      </c>
      <c r="H333">
        <v>0</v>
      </c>
      <c r="I333">
        <v>189.1</v>
      </c>
      <c r="J333">
        <v>1089.47</v>
      </c>
      <c r="K333">
        <v>900.37</v>
      </c>
    </row>
    <row r="334" spans="3:11" x14ac:dyDescent="0.3">
      <c r="C334" s="279" t="s">
        <v>1178</v>
      </c>
      <c r="D334" s="279" t="s">
        <v>30</v>
      </c>
      <c r="E334" s="279" t="s">
        <v>488</v>
      </c>
      <c r="F334">
        <v>0</v>
      </c>
      <c r="G334">
        <v>0</v>
      </c>
      <c r="H334">
        <v>0</v>
      </c>
      <c r="I334">
        <v>167.74</v>
      </c>
      <c r="J334">
        <v>897.05</v>
      </c>
      <c r="K334">
        <v>729.31</v>
      </c>
    </row>
    <row r="335" spans="3:11" x14ac:dyDescent="0.3">
      <c r="C335" s="279" t="s">
        <v>1178</v>
      </c>
      <c r="D335" s="279" t="s">
        <v>26</v>
      </c>
      <c r="E335" s="279" t="s">
        <v>488</v>
      </c>
      <c r="F335">
        <v>0</v>
      </c>
      <c r="G335">
        <v>0</v>
      </c>
      <c r="H335">
        <v>0</v>
      </c>
      <c r="I335">
        <v>24.27</v>
      </c>
      <c r="J335">
        <v>139.85</v>
      </c>
      <c r="K335">
        <v>115.58</v>
      </c>
    </row>
    <row r="336" spans="3:11" x14ac:dyDescent="0.3">
      <c r="C336" s="279" t="s">
        <v>1178</v>
      </c>
      <c r="D336" s="279" t="s">
        <v>8</v>
      </c>
      <c r="E336" s="279" t="s">
        <v>488</v>
      </c>
      <c r="F336">
        <v>0</v>
      </c>
      <c r="G336">
        <v>0</v>
      </c>
      <c r="H336">
        <v>0</v>
      </c>
      <c r="I336">
        <v>14459.96</v>
      </c>
      <c r="J336">
        <v>83626.289999999994</v>
      </c>
      <c r="K336">
        <v>69166.33</v>
      </c>
    </row>
    <row r="337" spans="3:11" x14ac:dyDescent="0.3">
      <c r="C337" s="279" t="s">
        <v>1178</v>
      </c>
      <c r="D337" s="279" t="s">
        <v>22</v>
      </c>
      <c r="E337" s="279" t="s">
        <v>488</v>
      </c>
      <c r="F337">
        <v>0</v>
      </c>
      <c r="G337">
        <v>0</v>
      </c>
      <c r="H337">
        <v>0</v>
      </c>
      <c r="I337">
        <v>-12.05</v>
      </c>
      <c r="J337">
        <v>-66.849999999999994</v>
      </c>
      <c r="K337">
        <v>-54.8</v>
      </c>
    </row>
    <row r="338" spans="3:11" x14ac:dyDescent="0.3">
      <c r="C338" s="279" t="s">
        <v>1178</v>
      </c>
      <c r="D338" s="279" t="s">
        <v>30</v>
      </c>
      <c r="E338" s="279" t="s">
        <v>488</v>
      </c>
      <c r="F338">
        <v>0</v>
      </c>
      <c r="G338">
        <v>1</v>
      </c>
      <c r="H338">
        <v>0</v>
      </c>
      <c r="I338">
        <v>44.95</v>
      </c>
      <c r="J338">
        <v>258.87</v>
      </c>
      <c r="K338">
        <v>213.92</v>
      </c>
    </row>
    <row r="339" spans="3:11" x14ac:dyDescent="0.3">
      <c r="C339" s="279" t="s">
        <v>1178</v>
      </c>
      <c r="D339" s="279" t="s">
        <v>24</v>
      </c>
      <c r="E339" s="279" t="s">
        <v>488</v>
      </c>
      <c r="F339">
        <v>0</v>
      </c>
      <c r="G339">
        <v>0</v>
      </c>
      <c r="H339">
        <v>0</v>
      </c>
      <c r="I339">
        <v>1108.6300000000001</v>
      </c>
      <c r="J339">
        <v>6651.07</v>
      </c>
      <c r="K339">
        <v>5542.44</v>
      </c>
    </row>
    <row r="340" spans="3:11" x14ac:dyDescent="0.3">
      <c r="C340" s="279" t="s">
        <v>1178</v>
      </c>
      <c r="D340" s="279" t="s">
        <v>34</v>
      </c>
      <c r="E340" s="279" t="s">
        <v>490</v>
      </c>
      <c r="F340">
        <v>0</v>
      </c>
      <c r="G340">
        <v>0</v>
      </c>
      <c r="H340">
        <v>0</v>
      </c>
      <c r="I340">
        <v>46.84</v>
      </c>
      <c r="J340">
        <v>10333.370000000001</v>
      </c>
      <c r="K340">
        <v>10286.530000000001</v>
      </c>
    </row>
    <row r="341" spans="3:11" x14ac:dyDescent="0.3">
      <c r="C341" s="279" t="s">
        <v>1178</v>
      </c>
      <c r="D341" s="279" t="s">
        <v>8</v>
      </c>
      <c r="E341" s="279" t="s">
        <v>488</v>
      </c>
      <c r="F341">
        <v>0</v>
      </c>
      <c r="G341">
        <v>0</v>
      </c>
      <c r="H341">
        <v>0</v>
      </c>
      <c r="I341">
        <v>-1674.11</v>
      </c>
      <c r="J341">
        <v>-9646</v>
      </c>
      <c r="K341">
        <v>-7971.89</v>
      </c>
    </row>
    <row r="342" spans="3:11" x14ac:dyDescent="0.3">
      <c r="C342" s="279" t="s">
        <v>1178</v>
      </c>
      <c r="D342" s="279" t="s">
        <v>22</v>
      </c>
      <c r="E342" s="279" t="s">
        <v>488</v>
      </c>
      <c r="F342">
        <v>0</v>
      </c>
      <c r="G342">
        <v>0</v>
      </c>
      <c r="H342">
        <v>0</v>
      </c>
      <c r="I342">
        <v>4078.16</v>
      </c>
      <c r="J342">
        <v>22616.75</v>
      </c>
      <c r="K342">
        <v>18538.59</v>
      </c>
    </row>
    <row r="343" spans="3:11" x14ac:dyDescent="0.3">
      <c r="C343" s="279" t="s">
        <v>1268</v>
      </c>
      <c r="D343" s="279" t="s">
        <v>22</v>
      </c>
      <c r="E343" s="279" t="s">
        <v>488</v>
      </c>
      <c r="F343">
        <v>0</v>
      </c>
      <c r="G343">
        <v>1</v>
      </c>
      <c r="H343">
        <v>0</v>
      </c>
      <c r="I343">
        <v>20.399999999999999</v>
      </c>
      <c r="J343">
        <v>117.5</v>
      </c>
      <c r="K343">
        <v>97.1</v>
      </c>
    </row>
    <row r="344" spans="3:11" x14ac:dyDescent="0.3">
      <c r="C344" s="279" t="s">
        <v>1268</v>
      </c>
      <c r="D344" s="279" t="s">
        <v>32</v>
      </c>
      <c r="E344" s="279" t="s">
        <v>488</v>
      </c>
      <c r="F344">
        <v>0</v>
      </c>
      <c r="G344">
        <v>0</v>
      </c>
      <c r="H344">
        <v>0</v>
      </c>
      <c r="I344">
        <v>18.68</v>
      </c>
      <c r="J344">
        <v>99.9</v>
      </c>
      <c r="K344">
        <v>81.22</v>
      </c>
    </row>
    <row r="345" spans="3:11" x14ac:dyDescent="0.3">
      <c r="C345" s="279" t="s">
        <v>1268</v>
      </c>
      <c r="D345" s="279" t="s">
        <v>18</v>
      </c>
      <c r="E345" s="279" t="s">
        <v>488</v>
      </c>
      <c r="F345">
        <v>0</v>
      </c>
      <c r="G345">
        <v>0</v>
      </c>
      <c r="H345">
        <v>0</v>
      </c>
      <c r="I345">
        <v>3740.04</v>
      </c>
      <c r="J345">
        <v>23424.720000000001</v>
      </c>
      <c r="K345">
        <v>19684.68</v>
      </c>
    </row>
    <row r="346" spans="3:11" x14ac:dyDescent="0.3">
      <c r="C346" s="279" t="s">
        <v>1268</v>
      </c>
      <c r="D346" s="279" t="s">
        <v>22</v>
      </c>
      <c r="E346" s="279" t="s">
        <v>488</v>
      </c>
      <c r="F346">
        <v>0</v>
      </c>
      <c r="G346">
        <v>0</v>
      </c>
      <c r="H346">
        <v>0</v>
      </c>
      <c r="I346">
        <v>4409.54</v>
      </c>
      <c r="J346">
        <v>24454.41</v>
      </c>
      <c r="K346">
        <v>20044.87</v>
      </c>
    </row>
    <row r="347" spans="3:11" x14ac:dyDescent="0.3">
      <c r="C347" s="279" t="s">
        <v>1268</v>
      </c>
      <c r="D347" s="279" t="s">
        <v>8</v>
      </c>
      <c r="E347" s="279" t="s">
        <v>488</v>
      </c>
      <c r="F347">
        <v>0</v>
      </c>
      <c r="G347">
        <v>1</v>
      </c>
      <c r="H347">
        <v>0</v>
      </c>
      <c r="I347">
        <v>174.95</v>
      </c>
      <c r="J347">
        <v>1007.9</v>
      </c>
      <c r="K347">
        <v>832.95</v>
      </c>
    </row>
    <row r="348" spans="3:11" x14ac:dyDescent="0.3">
      <c r="C348" s="279" t="s">
        <v>1268</v>
      </c>
      <c r="D348" s="279" t="s">
        <v>26</v>
      </c>
      <c r="E348" s="279" t="s">
        <v>488</v>
      </c>
      <c r="F348">
        <v>0</v>
      </c>
      <c r="G348">
        <v>0</v>
      </c>
      <c r="H348">
        <v>0</v>
      </c>
      <c r="I348">
        <v>36.94</v>
      </c>
      <c r="J348">
        <v>212.81</v>
      </c>
      <c r="K348">
        <v>175.87</v>
      </c>
    </row>
    <row r="349" spans="3:11" x14ac:dyDescent="0.3">
      <c r="C349" s="279" t="s">
        <v>1268</v>
      </c>
      <c r="D349" s="279" t="s">
        <v>20</v>
      </c>
      <c r="E349" s="279" t="s">
        <v>488</v>
      </c>
      <c r="F349">
        <v>0</v>
      </c>
      <c r="G349">
        <v>0</v>
      </c>
      <c r="H349">
        <v>0</v>
      </c>
      <c r="I349">
        <v>-19.649999999999999</v>
      </c>
      <c r="J349">
        <v>-117.9</v>
      </c>
      <c r="K349">
        <v>-98.25</v>
      </c>
    </row>
    <row r="350" spans="3:11" x14ac:dyDescent="0.3">
      <c r="C350" s="279" t="s">
        <v>1268</v>
      </c>
      <c r="D350" s="279" t="s">
        <v>32</v>
      </c>
      <c r="E350" s="279" t="s">
        <v>488</v>
      </c>
      <c r="F350">
        <v>0</v>
      </c>
      <c r="G350">
        <v>0</v>
      </c>
      <c r="H350">
        <v>0</v>
      </c>
      <c r="I350">
        <v>33.24</v>
      </c>
      <c r="J350">
        <v>166.23</v>
      </c>
      <c r="K350">
        <v>132.99</v>
      </c>
    </row>
    <row r="351" spans="3:11" x14ac:dyDescent="0.3">
      <c r="C351" s="279" t="s">
        <v>1268</v>
      </c>
      <c r="D351" s="279" t="s">
        <v>20</v>
      </c>
      <c r="E351" s="279" t="s">
        <v>488</v>
      </c>
      <c r="F351">
        <v>0</v>
      </c>
      <c r="G351">
        <v>1</v>
      </c>
      <c r="H351">
        <v>0</v>
      </c>
      <c r="I351">
        <v>11.52</v>
      </c>
      <c r="J351">
        <v>66.34</v>
      </c>
      <c r="K351">
        <v>54.82</v>
      </c>
    </row>
    <row r="352" spans="3:11" x14ac:dyDescent="0.3">
      <c r="C352" s="279" t="s">
        <v>1268</v>
      </c>
      <c r="D352" s="279" t="s">
        <v>24</v>
      </c>
      <c r="E352" s="279" t="s">
        <v>488</v>
      </c>
      <c r="F352">
        <v>0</v>
      </c>
      <c r="G352">
        <v>1</v>
      </c>
      <c r="H352">
        <v>0</v>
      </c>
      <c r="I352">
        <v>12.14</v>
      </c>
      <c r="J352">
        <v>69.94</v>
      </c>
      <c r="K352">
        <v>57.8</v>
      </c>
    </row>
    <row r="353" spans="3:11" x14ac:dyDescent="0.3">
      <c r="C353" s="279" t="s">
        <v>1268</v>
      </c>
      <c r="D353" s="279" t="s">
        <v>30</v>
      </c>
      <c r="E353" s="279" t="s">
        <v>488</v>
      </c>
      <c r="F353">
        <v>0</v>
      </c>
      <c r="G353">
        <v>0</v>
      </c>
      <c r="H353">
        <v>0</v>
      </c>
      <c r="I353">
        <v>294.74</v>
      </c>
      <c r="J353">
        <v>1576.24</v>
      </c>
      <c r="K353">
        <v>1281.5</v>
      </c>
    </row>
    <row r="354" spans="3:11" x14ac:dyDescent="0.3">
      <c r="C354" s="279" t="s">
        <v>1268</v>
      </c>
      <c r="D354" s="279" t="s">
        <v>18</v>
      </c>
      <c r="E354" s="279" t="s">
        <v>488</v>
      </c>
      <c r="F354">
        <v>0</v>
      </c>
      <c r="G354">
        <v>0</v>
      </c>
      <c r="H354">
        <v>0</v>
      </c>
      <c r="I354">
        <v>-61.43</v>
      </c>
      <c r="J354">
        <v>-384.65</v>
      </c>
      <c r="K354">
        <v>-323.22000000000003</v>
      </c>
    </row>
    <row r="355" spans="3:11" x14ac:dyDescent="0.3">
      <c r="C355" s="279" t="s">
        <v>1268</v>
      </c>
      <c r="D355" s="279" t="s">
        <v>181</v>
      </c>
      <c r="E355" s="279" t="s">
        <v>489</v>
      </c>
      <c r="F355">
        <v>0</v>
      </c>
      <c r="G355">
        <v>0</v>
      </c>
      <c r="H355">
        <v>0</v>
      </c>
      <c r="I355">
        <v>9.0399999999999991</v>
      </c>
      <c r="J355">
        <v>54.17</v>
      </c>
      <c r="K355">
        <v>45.13</v>
      </c>
    </row>
    <row r="356" spans="3:11" x14ac:dyDescent="0.3">
      <c r="C356" s="279" t="s">
        <v>1268</v>
      </c>
      <c r="D356" s="279" t="s">
        <v>8</v>
      </c>
      <c r="E356" s="279" t="s">
        <v>488</v>
      </c>
      <c r="F356">
        <v>0</v>
      </c>
      <c r="G356">
        <v>0</v>
      </c>
      <c r="H356">
        <v>0</v>
      </c>
      <c r="I356">
        <v>199.38</v>
      </c>
      <c r="J356">
        <v>1148.75</v>
      </c>
      <c r="K356">
        <v>949.37</v>
      </c>
    </row>
    <row r="357" spans="3:11" x14ac:dyDescent="0.3">
      <c r="C357" s="279" t="s">
        <v>1268</v>
      </c>
      <c r="D357" s="279" t="s">
        <v>18</v>
      </c>
      <c r="E357" s="279" t="s">
        <v>488</v>
      </c>
      <c r="F357">
        <v>0</v>
      </c>
      <c r="G357">
        <v>1</v>
      </c>
      <c r="H357">
        <v>0</v>
      </c>
      <c r="I357">
        <v>4.8499999999999996</v>
      </c>
      <c r="J357">
        <v>27.96</v>
      </c>
      <c r="K357">
        <v>23.11</v>
      </c>
    </row>
    <row r="358" spans="3:11" x14ac:dyDescent="0.3">
      <c r="C358" s="279" t="s">
        <v>1268</v>
      </c>
      <c r="D358" s="279" t="s">
        <v>32</v>
      </c>
      <c r="E358" s="279" t="s">
        <v>488</v>
      </c>
      <c r="F358">
        <v>0</v>
      </c>
      <c r="G358">
        <v>0</v>
      </c>
      <c r="H358">
        <v>0</v>
      </c>
      <c r="I358">
        <v>8.5500000000000007</v>
      </c>
      <c r="J358">
        <v>58.82</v>
      </c>
      <c r="K358">
        <v>50.27</v>
      </c>
    </row>
    <row r="359" spans="3:11" x14ac:dyDescent="0.3">
      <c r="C359" s="279" t="s">
        <v>1268</v>
      </c>
      <c r="D359" s="279" t="s">
        <v>8</v>
      </c>
      <c r="E359" s="279" t="s">
        <v>488</v>
      </c>
      <c r="F359">
        <v>0</v>
      </c>
      <c r="G359">
        <v>0</v>
      </c>
      <c r="H359">
        <v>0</v>
      </c>
      <c r="I359">
        <v>15183.49</v>
      </c>
      <c r="J359">
        <v>87583.76</v>
      </c>
      <c r="K359">
        <v>72400.27</v>
      </c>
    </row>
    <row r="360" spans="3:11" x14ac:dyDescent="0.3">
      <c r="C360" s="279" t="s">
        <v>1268</v>
      </c>
      <c r="D360" s="279" t="s">
        <v>181</v>
      </c>
      <c r="E360" s="279" t="s">
        <v>489</v>
      </c>
      <c r="F360">
        <v>0</v>
      </c>
      <c r="G360">
        <v>0</v>
      </c>
      <c r="H360">
        <v>0</v>
      </c>
      <c r="I360">
        <v>3876.93</v>
      </c>
      <c r="J360">
        <v>23261.05</v>
      </c>
      <c r="K360">
        <v>19384.12</v>
      </c>
    </row>
    <row r="361" spans="3:11" x14ac:dyDescent="0.3">
      <c r="C361" s="279" t="s">
        <v>1268</v>
      </c>
      <c r="D361" s="279" t="s">
        <v>24</v>
      </c>
      <c r="E361" s="279" t="s">
        <v>488</v>
      </c>
      <c r="F361">
        <v>0</v>
      </c>
      <c r="G361">
        <v>0</v>
      </c>
      <c r="H361">
        <v>0</v>
      </c>
      <c r="I361">
        <v>1215.74</v>
      </c>
      <c r="J361">
        <v>7293.68</v>
      </c>
      <c r="K361">
        <v>6077.94</v>
      </c>
    </row>
    <row r="362" spans="3:11" x14ac:dyDescent="0.3">
      <c r="C362" s="279" t="s">
        <v>1268</v>
      </c>
      <c r="D362" s="279" t="s">
        <v>28</v>
      </c>
      <c r="E362" s="279" t="s">
        <v>488</v>
      </c>
      <c r="F362">
        <v>0</v>
      </c>
      <c r="G362">
        <v>0</v>
      </c>
      <c r="H362">
        <v>0</v>
      </c>
      <c r="I362">
        <v>209.72</v>
      </c>
      <c r="J362">
        <v>1208.4000000000001</v>
      </c>
      <c r="K362">
        <v>998.68</v>
      </c>
    </row>
    <row r="363" spans="3:11" x14ac:dyDescent="0.3">
      <c r="C363" s="279" t="s">
        <v>1268</v>
      </c>
      <c r="D363" s="279" t="s">
        <v>34</v>
      </c>
      <c r="E363" s="279" t="s">
        <v>490</v>
      </c>
      <c r="F363">
        <v>0</v>
      </c>
      <c r="G363">
        <v>0</v>
      </c>
      <c r="H363">
        <v>0</v>
      </c>
      <c r="I363">
        <v>83.63</v>
      </c>
      <c r="J363">
        <v>15632.69</v>
      </c>
      <c r="K363">
        <v>15549.06</v>
      </c>
    </row>
    <row r="364" spans="3:11" x14ac:dyDescent="0.3">
      <c r="C364" s="279" t="s">
        <v>1268</v>
      </c>
      <c r="D364" s="279" t="s">
        <v>20</v>
      </c>
      <c r="E364" s="279" t="s">
        <v>488</v>
      </c>
      <c r="F364">
        <v>0</v>
      </c>
      <c r="G364">
        <v>0</v>
      </c>
      <c r="H364">
        <v>0</v>
      </c>
      <c r="I364">
        <v>5520.83</v>
      </c>
      <c r="J364">
        <v>33121.72</v>
      </c>
      <c r="K364">
        <v>27600.89</v>
      </c>
    </row>
    <row r="365" spans="3:11" x14ac:dyDescent="0.3">
      <c r="C365" s="279" t="s">
        <v>1310</v>
      </c>
      <c r="D365" s="279" t="s">
        <v>20</v>
      </c>
      <c r="E365" s="279" t="s">
        <v>488</v>
      </c>
      <c r="F365">
        <v>0</v>
      </c>
      <c r="G365">
        <v>0</v>
      </c>
      <c r="H365">
        <v>0</v>
      </c>
      <c r="I365">
        <v>-8.98</v>
      </c>
      <c r="J365">
        <v>-53.87</v>
      </c>
      <c r="K365">
        <v>-44.89</v>
      </c>
    </row>
    <row r="366" spans="3:11" x14ac:dyDescent="0.3">
      <c r="C366" s="279" t="s">
        <v>1310</v>
      </c>
      <c r="D366" s="279" t="s">
        <v>181</v>
      </c>
      <c r="E366" s="279" t="s">
        <v>489</v>
      </c>
      <c r="F366">
        <v>0</v>
      </c>
      <c r="G366">
        <v>0</v>
      </c>
      <c r="H366">
        <v>0</v>
      </c>
      <c r="I366">
        <v>-4.0599999999999996</v>
      </c>
      <c r="J366">
        <v>-24.37</v>
      </c>
      <c r="K366">
        <v>-20.309999999999999</v>
      </c>
    </row>
    <row r="367" spans="3:11" x14ac:dyDescent="0.3">
      <c r="C367" s="279" t="s">
        <v>1310</v>
      </c>
      <c r="D367" s="279" t="s">
        <v>18</v>
      </c>
      <c r="E367" s="279" t="s">
        <v>488</v>
      </c>
      <c r="F367">
        <v>0</v>
      </c>
      <c r="G367">
        <v>1</v>
      </c>
      <c r="H367">
        <v>0</v>
      </c>
      <c r="I367">
        <v>30.25</v>
      </c>
      <c r="J367">
        <v>174.28</v>
      </c>
      <c r="K367">
        <v>144.03</v>
      </c>
    </row>
    <row r="368" spans="3:11" x14ac:dyDescent="0.3">
      <c r="C368" s="279" t="s">
        <v>1310</v>
      </c>
      <c r="D368" s="279" t="s">
        <v>8</v>
      </c>
      <c r="E368" s="279" t="s">
        <v>488</v>
      </c>
      <c r="F368">
        <v>0</v>
      </c>
      <c r="G368">
        <v>1</v>
      </c>
      <c r="H368">
        <v>0</v>
      </c>
      <c r="I368">
        <v>121.2</v>
      </c>
      <c r="J368">
        <v>698.29</v>
      </c>
      <c r="K368">
        <v>577.09</v>
      </c>
    </row>
    <row r="369" spans="3:11" x14ac:dyDescent="0.3">
      <c r="C369" s="279" t="s">
        <v>1310</v>
      </c>
      <c r="D369" s="279" t="s">
        <v>34</v>
      </c>
      <c r="E369" s="279" t="s">
        <v>490</v>
      </c>
      <c r="F369">
        <v>0</v>
      </c>
      <c r="G369">
        <v>0</v>
      </c>
      <c r="H369">
        <v>0</v>
      </c>
      <c r="I369">
        <v>0</v>
      </c>
      <c r="J369">
        <v>-359.91</v>
      </c>
      <c r="K369">
        <v>-359.91</v>
      </c>
    </row>
    <row r="370" spans="3:11" x14ac:dyDescent="0.3">
      <c r="C370" s="279" t="s">
        <v>1310</v>
      </c>
      <c r="D370" s="279" t="s">
        <v>34</v>
      </c>
      <c r="E370" s="279" t="s">
        <v>490</v>
      </c>
      <c r="F370">
        <v>0</v>
      </c>
      <c r="G370">
        <v>0</v>
      </c>
      <c r="H370">
        <v>0</v>
      </c>
      <c r="I370">
        <v>12.62</v>
      </c>
      <c r="J370">
        <v>11159.68</v>
      </c>
      <c r="K370">
        <v>11147.06</v>
      </c>
    </row>
    <row r="371" spans="3:11" x14ac:dyDescent="0.3">
      <c r="C371" s="279" t="s">
        <v>1310</v>
      </c>
      <c r="D371" s="279" t="s">
        <v>22</v>
      </c>
      <c r="E371" s="279" t="s">
        <v>488</v>
      </c>
      <c r="F371">
        <v>0</v>
      </c>
      <c r="G371">
        <v>0</v>
      </c>
      <c r="H371">
        <v>0</v>
      </c>
      <c r="I371">
        <v>2326.92</v>
      </c>
      <c r="J371">
        <v>12904.75</v>
      </c>
      <c r="K371">
        <v>10577.83</v>
      </c>
    </row>
    <row r="372" spans="3:11" x14ac:dyDescent="0.3">
      <c r="C372" s="279" t="s">
        <v>1310</v>
      </c>
      <c r="D372" s="279" t="s">
        <v>28</v>
      </c>
      <c r="E372" s="279" t="s">
        <v>488</v>
      </c>
      <c r="F372">
        <v>0</v>
      </c>
      <c r="G372">
        <v>0</v>
      </c>
      <c r="H372">
        <v>0</v>
      </c>
      <c r="I372">
        <v>5.54</v>
      </c>
      <c r="J372">
        <v>31.9</v>
      </c>
      <c r="K372">
        <v>26.36</v>
      </c>
    </row>
    <row r="373" spans="3:11" x14ac:dyDescent="0.3">
      <c r="C373" s="279" t="s">
        <v>1310</v>
      </c>
      <c r="D373" s="279" t="s">
        <v>181</v>
      </c>
      <c r="E373" s="279" t="s">
        <v>489</v>
      </c>
      <c r="F373">
        <v>0</v>
      </c>
      <c r="G373">
        <v>0</v>
      </c>
      <c r="H373">
        <v>0</v>
      </c>
      <c r="I373">
        <v>2732.93</v>
      </c>
      <c r="J373">
        <v>16395.89</v>
      </c>
      <c r="K373">
        <v>13662.95</v>
      </c>
    </row>
    <row r="374" spans="3:11" x14ac:dyDescent="0.3">
      <c r="C374" s="279" t="s">
        <v>1310</v>
      </c>
      <c r="D374" s="279" t="s">
        <v>30</v>
      </c>
      <c r="E374" s="279" t="s">
        <v>488</v>
      </c>
      <c r="F374">
        <v>0</v>
      </c>
      <c r="G374">
        <v>1</v>
      </c>
      <c r="H374">
        <v>0</v>
      </c>
      <c r="I374">
        <v>28.15</v>
      </c>
      <c r="J374">
        <v>162.24</v>
      </c>
      <c r="K374">
        <v>134.09</v>
      </c>
    </row>
    <row r="375" spans="3:11" x14ac:dyDescent="0.3">
      <c r="C375" s="279" t="s">
        <v>1310</v>
      </c>
      <c r="D375" s="279" t="s">
        <v>20</v>
      </c>
      <c r="E375" s="279" t="s">
        <v>488</v>
      </c>
      <c r="F375">
        <v>0</v>
      </c>
      <c r="G375">
        <v>0</v>
      </c>
      <c r="H375">
        <v>0</v>
      </c>
      <c r="I375">
        <v>4443.93</v>
      </c>
      <c r="J375">
        <v>26661.1</v>
      </c>
      <c r="K375">
        <v>22217.17</v>
      </c>
    </row>
    <row r="376" spans="3:11" x14ac:dyDescent="0.3">
      <c r="C376" s="279" t="s">
        <v>1310</v>
      </c>
      <c r="D376" s="279" t="s">
        <v>22</v>
      </c>
      <c r="E376" s="279" t="s">
        <v>488</v>
      </c>
      <c r="F376">
        <v>0</v>
      </c>
      <c r="G376">
        <v>1</v>
      </c>
      <c r="H376">
        <v>0</v>
      </c>
      <c r="I376">
        <v>31.93</v>
      </c>
      <c r="J376">
        <v>184.01</v>
      </c>
      <c r="K376">
        <v>152.08000000000001</v>
      </c>
    </row>
    <row r="377" spans="3:11" x14ac:dyDescent="0.3">
      <c r="C377" s="279" t="s">
        <v>1310</v>
      </c>
      <c r="D377" s="279" t="s">
        <v>20</v>
      </c>
      <c r="E377" s="279" t="s">
        <v>488</v>
      </c>
      <c r="F377">
        <v>0</v>
      </c>
      <c r="G377">
        <v>1</v>
      </c>
      <c r="H377">
        <v>0</v>
      </c>
      <c r="I377">
        <v>8.0500000000000007</v>
      </c>
      <c r="J377">
        <v>46.36</v>
      </c>
      <c r="K377">
        <v>38.31</v>
      </c>
    </row>
    <row r="378" spans="3:11" x14ac:dyDescent="0.3">
      <c r="C378" s="279" t="s">
        <v>1310</v>
      </c>
      <c r="D378" s="279" t="s">
        <v>18</v>
      </c>
      <c r="E378" s="279" t="s">
        <v>488</v>
      </c>
      <c r="F378">
        <v>0</v>
      </c>
      <c r="G378">
        <v>0</v>
      </c>
      <c r="H378">
        <v>0</v>
      </c>
      <c r="I378">
        <v>3008.05</v>
      </c>
      <c r="J378">
        <v>18839.740000000002</v>
      </c>
      <c r="K378">
        <v>15831.69</v>
      </c>
    </row>
    <row r="379" spans="3:11" x14ac:dyDescent="0.3">
      <c r="C379" s="279" t="s">
        <v>1310</v>
      </c>
      <c r="D379" s="279" t="s">
        <v>18</v>
      </c>
      <c r="E379" s="279" t="s">
        <v>488</v>
      </c>
      <c r="F379">
        <v>0</v>
      </c>
      <c r="G379">
        <v>0</v>
      </c>
      <c r="H379">
        <v>0</v>
      </c>
      <c r="I379">
        <v>-32.35</v>
      </c>
      <c r="J379">
        <v>-202.6</v>
      </c>
      <c r="K379">
        <v>-170.25</v>
      </c>
    </row>
    <row r="380" spans="3:11" x14ac:dyDescent="0.3">
      <c r="C380" s="279" t="s">
        <v>1310</v>
      </c>
      <c r="D380" s="279" t="s">
        <v>8</v>
      </c>
      <c r="E380" s="279" t="s">
        <v>488</v>
      </c>
      <c r="F380">
        <v>0</v>
      </c>
      <c r="G380">
        <v>0</v>
      </c>
      <c r="H380">
        <v>0</v>
      </c>
      <c r="I380">
        <v>110.15</v>
      </c>
      <c r="J380">
        <v>634.66999999999996</v>
      </c>
      <c r="K380">
        <v>524.52</v>
      </c>
    </row>
    <row r="381" spans="3:11" x14ac:dyDescent="0.3">
      <c r="C381" s="279" t="s">
        <v>1310</v>
      </c>
      <c r="D381" s="279" t="s">
        <v>32</v>
      </c>
      <c r="E381" s="279" t="s">
        <v>488</v>
      </c>
      <c r="F381">
        <v>0</v>
      </c>
      <c r="G381">
        <v>0</v>
      </c>
      <c r="H381">
        <v>0</v>
      </c>
      <c r="I381">
        <v>38.630000000000003</v>
      </c>
      <c r="J381">
        <v>265.85000000000002</v>
      </c>
      <c r="K381">
        <v>227.22</v>
      </c>
    </row>
    <row r="382" spans="3:11" x14ac:dyDescent="0.3">
      <c r="C382" s="279" t="s">
        <v>1310</v>
      </c>
      <c r="D382" s="279" t="s">
        <v>24</v>
      </c>
      <c r="E382" s="279" t="s">
        <v>488</v>
      </c>
      <c r="F382">
        <v>0</v>
      </c>
      <c r="G382">
        <v>0</v>
      </c>
      <c r="H382">
        <v>0</v>
      </c>
      <c r="I382">
        <v>715.57</v>
      </c>
      <c r="J382">
        <v>4292.96</v>
      </c>
      <c r="K382">
        <v>3577.39</v>
      </c>
    </row>
    <row r="383" spans="3:11" x14ac:dyDescent="0.3">
      <c r="C383" s="279" t="s">
        <v>1310</v>
      </c>
      <c r="D383" s="279" t="s">
        <v>22</v>
      </c>
      <c r="E383" s="279" t="s">
        <v>488</v>
      </c>
      <c r="F383">
        <v>0</v>
      </c>
      <c r="G383">
        <v>0</v>
      </c>
      <c r="H383">
        <v>0</v>
      </c>
      <c r="I383">
        <v>22.88</v>
      </c>
      <c r="J383">
        <v>126.9</v>
      </c>
      <c r="K383">
        <v>104.02</v>
      </c>
    </row>
    <row r="384" spans="3:11" x14ac:dyDescent="0.3">
      <c r="C384" s="279" t="s">
        <v>1310</v>
      </c>
      <c r="D384" s="279" t="s">
        <v>8</v>
      </c>
      <c r="E384" s="279" t="s">
        <v>488</v>
      </c>
      <c r="F384">
        <v>0</v>
      </c>
      <c r="G384">
        <v>0</v>
      </c>
      <c r="H384">
        <v>0</v>
      </c>
      <c r="I384">
        <v>9511.51</v>
      </c>
      <c r="J384">
        <v>54978.31</v>
      </c>
      <c r="K384">
        <v>45466.8</v>
      </c>
    </row>
    <row r="385" spans="3:11" x14ac:dyDescent="0.3">
      <c r="C385" s="279" t="s">
        <v>1310</v>
      </c>
      <c r="D385" s="279" t="s">
        <v>26</v>
      </c>
      <c r="E385" s="279" t="s">
        <v>488</v>
      </c>
      <c r="F385">
        <v>0</v>
      </c>
      <c r="G385">
        <v>0</v>
      </c>
      <c r="H385">
        <v>0</v>
      </c>
      <c r="I385">
        <v>8.31</v>
      </c>
      <c r="J385">
        <v>47.9</v>
      </c>
      <c r="K385">
        <v>39.590000000000003</v>
      </c>
    </row>
  </sheetData>
  <hyperlinks>
    <hyperlink ref="A1" location="'P&amp;G-SL'!A1" display="Volver" xr:uid="{69B1599F-F629-4251-9B4D-DF5AB55CEBE1}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296B-27DD-4189-AD8F-D14B37A00B74}">
  <sheetPr>
    <tabColor rgb="FF00823B"/>
  </sheetPr>
  <dimension ref="A1:K239"/>
  <sheetViews>
    <sheetView showGridLines="0" workbookViewId="0"/>
  </sheetViews>
  <sheetFormatPr baseColWidth="10" defaultColWidth="11.44140625" defaultRowHeight="14.4" x14ac:dyDescent="0.3"/>
  <cols>
    <col min="1" max="1" width="6" bestFit="1" customWidth="1"/>
    <col min="2" max="2" width="2.5546875" customWidth="1"/>
    <col min="3" max="3" width="12" bestFit="1" customWidth="1"/>
    <col min="4" max="4" width="13.33203125" customWidth="1"/>
    <col min="5" max="5" width="14.109375" customWidth="1"/>
    <col min="6" max="7" width="14.6640625" customWidth="1"/>
    <col min="9" max="9" width="14" customWidth="1"/>
    <col min="10" max="10" width="65.33203125" customWidth="1"/>
    <col min="11" max="11" width="120.44140625" customWidth="1"/>
  </cols>
  <sheetData>
    <row r="1" spans="1:11" x14ac:dyDescent="0.3">
      <c r="A1" s="199" t="s">
        <v>1428</v>
      </c>
      <c r="B1" s="199"/>
      <c r="C1" t="s">
        <v>239</v>
      </c>
      <c r="D1" t="s">
        <v>1444</v>
      </c>
      <c r="E1" t="s">
        <v>1445</v>
      </c>
      <c r="F1" t="s">
        <v>244</v>
      </c>
      <c r="G1" t="s">
        <v>248</v>
      </c>
      <c r="H1" t="s">
        <v>245</v>
      </c>
      <c r="I1" t="s">
        <v>246</v>
      </c>
      <c r="J1" t="s">
        <v>1441</v>
      </c>
      <c r="K1" t="s">
        <v>1442</v>
      </c>
    </row>
    <row r="2" spans="1:11" x14ac:dyDescent="0.3">
      <c r="C2">
        <v>202601</v>
      </c>
      <c r="D2" t="s">
        <v>1449</v>
      </c>
      <c r="E2" t="s">
        <v>2</v>
      </c>
      <c r="F2" s="47">
        <f>+i_marketplaces_sl[[#This Row],[tax]]+i_marketplaces_sl[[#This Row],[net]]</f>
        <v>1717.837</v>
      </c>
      <c r="G2" s="276">
        <v>0.21</v>
      </c>
      <c r="H2" s="47">
        <f>+i_marketplaces_sl[[#This Row],[tax_rate]]*i_marketplaces_sl[[#This Row],[net]]</f>
        <v>298.137</v>
      </c>
      <c r="I2" s="55">
        <v>1419.7</v>
      </c>
      <c r="J2" t="s">
        <v>1448</v>
      </c>
    </row>
    <row r="3" spans="1:11" x14ac:dyDescent="0.3">
      <c r="C3">
        <v>202602</v>
      </c>
      <c r="D3" t="s">
        <v>1450</v>
      </c>
      <c r="E3" t="s">
        <v>2</v>
      </c>
      <c r="F3" s="47">
        <f>+i_marketplaces_sl[[#This Row],[tax]]+i_marketplaces_sl[[#This Row],[net]]</f>
        <v>1365.3882000000001</v>
      </c>
      <c r="G3" s="276">
        <v>0.21</v>
      </c>
      <c r="H3" s="47">
        <f>+i_marketplaces_sl[[#This Row],[tax_rate]]*i_marketplaces_sl[[#This Row],[net]]</f>
        <v>236.9682</v>
      </c>
      <c r="I3" s="55">
        <v>1128.42</v>
      </c>
      <c r="J3" t="s">
        <v>1451</v>
      </c>
    </row>
    <row r="4" spans="1:11" x14ac:dyDescent="0.3">
      <c r="C4">
        <v>202602</v>
      </c>
      <c r="D4" t="s">
        <v>1537</v>
      </c>
      <c r="E4" t="s">
        <v>1418</v>
      </c>
      <c r="F4" s="47">
        <f>+i_marketplaces_sl[[#This Row],[tax]]+i_marketplaces_sl[[#This Row],[net]]</f>
        <v>1746.6</v>
      </c>
      <c r="G4" s="276">
        <v>0</v>
      </c>
      <c r="H4" s="47">
        <f>+i_marketplaces_sl[[#This Row],[tax_rate]]*i_marketplaces_sl[[#This Row],[net]]</f>
        <v>0</v>
      </c>
      <c r="I4" s="55">
        <v>1746.6</v>
      </c>
      <c r="J4" t="s">
        <v>1536</v>
      </c>
      <c r="K4" t="s">
        <v>1538</v>
      </c>
    </row>
    <row r="5" spans="1:11" x14ac:dyDescent="0.3">
      <c r="C5">
        <v>202603</v>
      </c>
      <c r="D5" t="s">
        <v>1569</v>
      </c>
      <c r="E5" t="s">
        <v>13</v>
      </c>
      <c r="F5" s="47">
        <f>+i_marketplaces_sl[[#This Row],[tax]]+i_marketplaces_sl[[#This Row],[net]]</f>
        <v>15609.96</v>
      </c>
      <c r="G5" s="276">
        <v>0</v>
      </c>
      <c r="H5" s="47">
        <f>+i_marketplaces_sl[[#This Row],[tax_rate]]*i_marketplaces_sl[[#This Row],[net]]</f>
        <v>0</v>
      </c>
      <c r="I5" s="55">
        <v>15609.96</v>
      </c>
      <c r="J5" t="s">
        <v>1570</v>
      </c>
    </row>
    <row r="212" spans="3:3" x14ac:dyDescent="0.3">
      <c r="C212" s="55"/>
    </row>
    <row r="213" spans="3:3" x14ac:dyDescent="0.3">
      <c r="C213" s="55"/>
    </row>
    <row r="214" spans="3:3" x14ac:dyDescent="0.3">
      <c r="C214" s="260"/>
    </row>
    <row r="215" spans="3:3" x14ac:dyDescent="0.3">
      <c r="C215" s="55"/>
    </row>
    <row r="216" spans="3:3" x14ac:dyDescent="0.3">
      <c r="C216" s="55"/>
    </row>
    <row r="217" spans="3:3" x14ac:dyDescent="0.3">
      <c r="C217" s="260"/>
    </row>
    <row r="218" spans="3:3" x14ac:dyDescent="0.3">
      <c r="C218" s="55"/>
    </row>
    <row r="219" spans="3:3" x14ac:dyDescent="0.3">
      <c r="C219" s="55"/>
    </row>
    <row r="220" spans="3:3" x14ac:dyDescent="0.3">
      <c r="C220" s="55"/>
    </row>
    <row r="221" spans="3:3" x14ac:dyDescent="0.3">
      <c r="C221" s="55"/>
    </row>
    <row r="222" spans="3:3" x14ac:dyDescent="0.3">
      <c r="C222" s="260"/>
    </row>
    <row r="223" spans="3:3" x14ac:dyDescent="0.3">
      <c r="C223" s="55"/>
    </row>
    <row r="224" spans="3:3" x14ac:dyDescent="0.3">
      <c r="C224" s="55"/>
    </row>
    <row r="225" spans="3:3" x14ac:dyDescent="0.3">
      <c r="C225" s="260"/>
    </row>
    <row r="226" spans="3:3" x14ac:dyDescent="0.3">
      <c r="C226" s="55"/>
    </row>
    <row r="227" spans="3:3" x14ac:dyDescent="0.3">
      <c r="C227" s="55"/>
    </row>
    <row r="228" spans="3:3" x14ac:dyDescent="0.3">
      <c r="C228" s="260"/>
    </row>
    <row r="229" spans="3:3" x14ac:dyDescent="0.3">
      <c r="C229" s="55"/>
    </row>
    <row r="230" spans="3:3" x14ac:dyDescent="0.3">
      <c r="C230" s="55"/>
    </row>
    <row r="231" spans="3:3" x14ac:dyDescent="0.3">
      <c r="C231" s="55"/>
    </row>
    <row r="232" spans="3:3" x14ac:dyDescent="0.3">
      <c r="C232" s="55"/>
    </row>
    <row r="233" spans="3:3" x14ac:dyDescent="0.3">
      <c r="C233" s="55"/>
    </row>
    <row r="234" spans="3:3" x14ac:dyDescent="0.3">
      <c r="C234" s="55"/>
    </row>
    <row r="235" spans="3:3" x14ac:dyDescent="0.3">
      <c r="C235" s="55"/>
    </row>
    <row r="236" spans="3:3" x14ac:dyDescent="0.3">
      <c r="C236" s="55"/>
    </row>
    <row r="237" spans="3:3" x14ac:dyDescent="0.3">
      <c r="C237" s="55"/>
    </row>
    <row r="238" spans="3:3" x14ac:dyDescent="0.3">
      <c r="C238" s="55"/>
    </row>
    <row r="239" spans="3:3" x14ac:dyDescent="0.3">
      <c r="C239" s="55"/>
    </row>
  </sheetData>
  <dataValidations count="2">
    <dataValidation type="decimal" allowBlank="1" showInputMessage="1" showErrorMessage="1" errorTitle="Tiene que ser un porcentaje" error="Tiene que ser un porcentaje" sqref="G2:G5" xr:uid="{61730098-C430-404A-8950-3F1180F7705A}">
      <formula1>0</formula1>
      <formula2>1</formula2>
    </dataValidation>
    <dataValidation allowBlank="1" showInputMessage="1" showErrorMessage="1" errorTitle="No puedes dejar esta celda vacía" error="No puedes dejar esta celda vacía" sqref="I12" xr:uid="{517F0A12-D126-4D08-98B9-F67896EEE699}"/>
  </dataValidations>
  <hyperlinks>
    <hyperlink ref="A1" location="'P&amp;G-SL'!A1" display="Volver" xr:uid="{B32BD6A6-8B60-4C6D-B75B-AF92107B9B06}"/>
  </hyperlink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4D53A8D-7C85-450F-8790-1674DF9CEEB7}">
          <x14:formula1>
            <xm:f>params!$B$4:$M$4</xm:f>
          </x14:formula1>
          <xm:sqref>C2:C5</xm:sqref>
        </x14:dataValidation>
        <x14:dataValidation type="list" allowBlank="1" showInputMessage="1" showErrorMessage="1" xr:uid="{B92A6B78-EDBB-43ED-9BCE-F2AEE8BF940D}">
          <x14:formula1>
            <xm:f>params!$B$6:$XFD$6</xm:f>
          </x14:formula1>
          <xm:sqref>E2:E5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E34C-8250-41CB-BFBE-48A5D9B6BCA8}">
  <sheetPr>
    <tabColor rgb="FF00823B"/>
  </sheetPr>
  <dimension ref="A1:I240"/>
  <sheetViews>
    <sheetView showGridLines="0" workbookViewId="0">
      <selection activeCell="C4" sqref="C4"/>
    </sheetView>
  </sheetViews>
  <sheetFormatPr baseColWidth="10" defaultColWidth="11.44140625" defaultRowHeight="14.4" x14ac:dyDescent="0.3"/>
  <cols>
    <col min="1" max="1" width="6" bestFit="1" customWidth="1"/>
    <col min="2" max="2" width="2.5546875" customWidth="1"/>
    <col min="3" max="3" width="12" style="312" bestFit="1" customWidth="1"/>
    <col min="8" max="8" width="59.33203125" bestFit="1" customWidth="1"/>
    <col min="9" max="9" width="48.5546875" customWidth="1"/>
  </cols>
  <sheetData>
    <row r="1" spans="1:9" x14ac:dyDescent="0.3">
      <c r="A1" s="199" t="s">
        <v>1428</v>
      </c>
      <c r="B1" s="199"/>
      <c r="C1" s="312" t="s">
        <v>239</v>
      </c>
      <c r="D1" t="s">
        <v>244</v>
      </c>
      <c r="E1" t="s">
        <v>248</v>
      </c>
      <c r="F1" t="s">
        <v>245</v>
      </c>
      <c r="G1" t="s">
        <v>246</v>
      </c>
      <c r="H1" t="s">
        <v>1441</v>
      </c>
      <c r="I1" t="s">
        <v>1442</v>
      </c>
    </row>
    <row r="2" spans="1:9" x14ac:dyDescent="0.3">
      <c r="C2" s="312" t="s">
        <v>1178</v>
      </c>
      <c r="D2" s="47">
        <f>+i_suplidos_sl[[#This Row],[tax]]+i_suplidos_sl[[#This Row],[net]]</f>
        <v>-422.97</v>
      </c>
      <c r="E2" s="276">
        <v>0</v>
      </c>
      <c r="F2" s="47">
        <f>+i_suplidos_sl[[#This Row],[tax_rate]]*i_suplidos_sl[[#This Row],[net]]</f>
        <v>0</v>
      </c>
      <c r="G2" s="55">
        <v>-422.97</v>
      </c>
      <c r="H2" t="s">
        <v>1540</v>
      </c>
    </row>
    <row r="3" spans="1:9" x14ac:dyDescent="0.3">
      <c r="C3" s="312">
        <v>202602</v>
      </c>
      <c r="D3" s="47">
        <f>+i_suplidos_sl[[#This Row],[tax]]+i_suplidos_sl[[#This Row],[net]]</f>
        <v>-522.54</v>
      </c>
      <c r="E3" s="276">
        <v>0</v>
      </c>
      <c r="F3" s="47">
        <f>+i_suplidos_sl[[#This Row],[tax_rate]]*i_suplidos_sl[[#This Row],[net]]</f>
        <v>0</v>
      </c>
      <c r="G3">
        <v>-522.54</v>
      </c>
      <c r="H3" t="s">
        <v>1542</v>
      </c>
    </row>
    <row r="4" spans="1:9" x14ac:dyDescent="0.3">
      <c r="C4" s="312" t="s">
        <v>1178</v>
      </c>
      <c r="D4" s="47">
        <f>+i_suplidos_sl[[#This Row],[tax]]+i_suplidos_sl[[#This Row],[net]]</f>
        <v>-1753.49</v>
      </c>
      <c r="E4" s="276">
        <v>0</v>
      </c>
      <c r="F4" s="47">
        <f>+i_suplidos_sl[[#This Row],[tax_rate]]*i_suplidos_sl[[#This Row],[net]]</f>
        <v>0</v>
      </c>
      <c r="G4">
        <v>-1753.49</v>
      </c>
      <c r="H4" t="s">
        <v>1539</v>
      </c>
    </row>
    <row r="213" spans="3:3" x14ac:dyDescent="0.3">
      <c r="C213" s="315"/>
    </row>
    <row r="214" spans="3:3" x14ac:dyDescent="0.3">
      <c r="C214" s="315"/>
    </row>
    <row r="215" spans="3:3" x14ac:dyDescent="0.3">
      <c r="C215" s="316"/>
    </row>
    <row r="216" spans="3:3" x14ac:dyDescent="0.3">
      <c r="C216" s="315"/>
    </row>
    <row r="217" spans="3:3" x14ac:dyDescent="0.3">
      <c r="C217" s="315"/>
    </row>
    <row r="218" spans="3:3" x14ac:dyDescent="0.3">
      <c r="C218" s="316"/>
    </row>
    <row r="219" spans="3:3" x14ac:dyDescent="0.3">
      <c r="C219" s="315"/>
    </row>
    <row r="220" spans="3:3" x14ac:dyDescent="0.3">
      <c r="C220" s="315"/>
    </row>
    <row r="221" spans="3:3" x14ac:dyDescent="0.3">
      <c r="C221" s="315"/>
    </row>
    <row r="222" spans="3:3" x14ac:dyDescent="0.3">
      <c r="C222" s="315"/>
    </row>
    <row r="223" spans="3:3" x14ac:dyDescent="0.3">
      <c r="C223" s="316"/>
    </row>
    <row r="224" spans="3:3" x14ac:dyDescent="0.3">
      <c r="C224" s="315"/>
    </row>
    <row r="225" spans="3:3" x14ac:dyDescent="0.3">
      <c r="C225" s="315"/>
    </row>
    <row r="226" spans="3:3" x14ac:dyDescent="0.3">
      <c r="C226" s="316"/>
    </row>
    <row r="227" spans="3:3" x14ac:dyDescent="0.3">
      <c r="C227" s="315"/>
    </row>
    <row r="228" spans="3:3" x14ac:dyDescent="0.3">
      <c r="C228" s="315"/>
    </row>
    <row r="229" spans="3:3" x14ac:dyDescent="0.3">
      <c r="C229" s="316"/>
    </row>
    <row r="230" spans="3:3" x14ac:dyDescent="0.3">
      <c r="C230" s="315"/>
    </row>
    <row r="231" spans="3:3" x14ac:dyDescent="0.3">
      <c r="C231" s="315"/>
    </row>
    <row r="232" spans="3:3" x14ac:dyDescent="0.3">
      <c r="C232" s="315"/>
    </row>
    <row r="233" spans="3:3" x14ac:dyDescent="0.3">
      <c r="C233" s="315"/>
    </row>
    <row r="234" spans="3:3" x14ac:dyDescent="0.3">
      <c r="C234" s="315"/>
    </row>
    <row r="235" spans="3:3" x14ac:dyDescent="0.3">
      <c r="C235" s="315"/>
    </row>
    <row r="236" spans="3:3" x14ac:dyDescent="0.3">
      <c r="C236" s="315"/>
    </row>
    <row r="237" spans="3:3" x14ac:dyDescent="0.3">
      <c r="C237" s="315"/>
    </row>
    <row r="238" spans="3:3" x14ac:dyDescent="0.3">
      <c r="C238" s="315"/>
    </row>
    <row r="239" spans="3:3" x14ac:dyDescent="0.3">
      <c r="C239" s="315"/>
    </row>
    <row r="240" spans="3:3" x14ac:dyDescent="0.3">
      <c r="C240" s="315"/>
    </row>
  </sheetData>
  <dataValidations count="1">
    <dataValidation type="decimal" allowBlank="1" showInputMessage="1" showErrorMessage="1" errorTitle="Tiene que ser un porcentaje" error="Tiene que ser un porcentaje" sqref="E2:E4" xr:uid="{38AF9ECC-30BC-4FAB-AD3D-E409FD0D739E}">
      <formula1>0</formula1>
      <formula2>1</formula2>
    </dataValidation>
  </dataValidations>
  <hyperlinks>
    <hyperlink ref="A1" location="'P&amp;G-SL'!A1" display="Volver" xr:uid="{6E968B5D-35CC-43F0-8947-DD20785FF3DF}"/>
  </hyperlink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9E2449-B700-40DC-899A-5C8CFD19EB12}">
          <x14:formula1>
            <xm:f>params!$B$4:$M$4</xm:f>
          </x14:formula1>
          <xm:sqref>C2:C4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FCFA-C5C0-46D3-BC68-8CEACB31E011}">
  <sheetPr>
    <tabColor rgb="FF00823B"/>
  </sheetPr>
  <dimension ref="A1:K240"/>
  <sheetViews>
    <sheetView showGridLines="0" workbookViewId="0"/>
  </sheetViews>
  <sheetFormatPr baseColWidth="10" defaultColWidth="11.44140625" defaultRowHeight="14.4" x14ac:dyDescent="0.3"/>
  <cols>
    <col min="1" max="1" width="6" bestFit="1" customWidth="1"/>
    <col min="2" max="2" width="2.5546875" customWidth="1"/>
    <col min="3" max="3" width="12" bestFit="1" customWidth="1"/>
    <col min="10" max="10" width="59.33203125" bestFit="1" customWidth="1"/>
    <col min="11" max="11" width="48.5546875" customWidth="1"/>
  </cols>
  <sheetData>
    <row r="1" spans="1:11" x14ac:dyDescent="0.3">
      <c r="A1" s="199" t="s">
        <v>1428</v>
      </c>
      <c r="B1" s="199"/>
      <c r="C1" t="s">
        <v>239</v>
      </c>
      <c r="D1" t="s">
        <v>1444</v>
      </c>
      <c r="E1" t="s">
        <v>1445</v>
      </c>
      <c r="F1" t="s">
        <v>244</v>
      </c>
      <c r="G1" t="s">
        <v>248</v>
      </c>
      <c r="H1" t="s">
        <v>245</v>
      </c>
      <c r="I1" t="s">
        <v>246</v>
      </c>
      <c r="J1" t="s">
        <v>1441</v>
      </c>
      <c r="K1" t="s">
        <v>1442</v>
      </c>
    </row>
    <row r="2" spans="1:11" x14ac:dyDescent="0.3">
      <c r="C2" t="s">
        <v>1178</v>
      </c>
      <c r="D2" t="s">
        <v>1454</v>
      </c>
      <c r="E2" t="s">
        <v>1453</v>
      </c>
      <c r="F2" s="47">
        <f>+i_rapels_sl[[#This Row],[tax]]+i_rapels_sl[[#This Row],[net]]</f>
        <v>-1353.9295</v>
      </c>
      <c r="G2" s="276">
        <v>0.21</v>
      </c>
      <c r="H2" s="47">
        <f>+i_rapels_sl[[#This Row],[tax_rate]]*i_rapels_sl[[#This Row],[net]]</f>
        <v>-234.9795</v>
      </c>
      <c r="I2" s="55">
        <v>-1118.95</v>
      </c>
      <c r="J2" t="s">
        <v>1455</v>
      </c>
    </row>
    <row r="213" spans="3:3" x14ac:dyDescent="0.3">
      <c r="C213" s="55"/>
    </row>
    <row r="214" spans="3:3" x14ac:dyDescent="0.3">
      <c r="C214" s="55"/>
    </row>
    <row r="215" spans="3:3" x14ac:dyDescent="0.3">
      <c r="C215" s="260"/>
    </row>
    <row r="216" spans="3:3" x14ac:dyDescent="0.3">
      <c r="C216" s="55"/>
    </row>
    <row r="217" spans="3:3" x14ac:dyDescent="0.3">
      <c r="C217" s="55"/>
    </row>
    <row r="218" spans="3:3" x14ac:dyDescent="0.3">
      <c r="C218" s="260"/>
    </row>
    <row r="219" spans="3:3" x14ac:dyDescent="0.3">
      <c r="C219" s="55"/>
    </row>
    <row r="220" spans="3:3" x14ac:dyDescent="0.3">
      <c r="C220" s="55"/>
    </row>
    <row r="221" spans="3:3" x14ac:dyDescent="0.3">
      <c r="C221" s="55"/>
    </row>
    <row r="222" spans="3:3" x14ac:dyDescent="0.3">
      <c r="C222" s="55"/>
    </row>
    <row r="223" spans="3:3" x14ac:dyDescent="0.3">
      <c r="C223" s="260"/>
    </row>
    <row r="224" spans="3:3" x14ac:dyDescent="0.3">
      <c r="C224" s="55"/>
    </row>
    <row r="225" spans="3:3" x14ac:dyDescent="0.3">
      <c r="C225" s="55"/>
    </row>
    <row r="226" spans="3:3" x14ac:dyDescent="0.3">
      <c r="C226" s="260"/>
    </row>
    <row r="227" spans="3:3" x14ac:dyDescent="0.3">
      <c r="C227" s="55"/>
    </row>
    <row r="228" spans="3:3" x14ac:dyDescent="0.3">
      <c r="C228" s="55"/>
    </row>
    <row r="229" spans="3:3" x14ac:dyDescent="0.3">
      <c r="C229" s="260"/>
    </row>
    <row r="230" spans="3:3" x14ac:dyDescent="0.3">
      <c r="C230" s="55"/>
    </row>
    <row r="231" spans="3:3" x14ac:dyDescent="0.3">
      <c r="C231" s="55"/>
    </row>
    <row r="232" spans="3:3" x14ac:dyDescent="0.3">
      <c r="C232" s="55"/>
    </row>
    <row r="233" spans="3:3" x14ac:dyDescent="0.3">
      <c r="C233" s="55"/>
    </row>
    <row r="234" spans="3:3" x14ac:dyDescent="0.3">
      <c r="C234" s="55"/>
    </row>
    <row r="235" spans="3:3" x14ac:dyDescent="0.3">
      <c r="C235" s="55"/>
    </row>
    <row r="236" spans="3:3" x14ac:dyDescent="0.3">
      <c r="C236" s="55"/>
    </row>
    <row r="237" spans="3:3" x14ac:dyDescent="0.3">
      <c r="C237" s="55"/>
    </row>
    <row r="238" spans="3:3" x14ac:dyDescent="0.3">
      <c r="C238" s="55"/>
    </row>
    <row r="239" spans="3:3" x14ac:dyDescent="0.3">
      <c r="C239" s="55"/>
    </row>
    <row r="240" spans="3:3" x14ac:dyDescent="0.3">
      <c r="C240" s="55"/>
    </row>
  </sheetData>
  <dataValidations count="1">
    <dataValidation type="decimal" allowBlank="1" showInputMessage="1" showErrorMessage="1" errorTitle="Tiene que ser un porcentaje" error="Tiene que ser un porcentaje" sqref="G2" xr:uid="{01A9276B-1A01-4F53-8687-F7FD54F17745}">
      <formula1>0</formula1>
      <formula2>1</formula2>
    </dataValidation>
  </dataValidations>
  <hyperlinks>
    <hyperlink ref="A1" location="'P&amp;G-SL'!A1" display="Volver" xr:uid="{96B25C4F-5F6E-4081-ACCD-A0F92555711F}"/>
  </hyperlink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BB4263-15DB-47A6-9B8D-8F0F2DE8B235}">
          <x14:formula1>
            <xm:f>params!$B$4:$M$4</xm:f>
          </x14:formula1>
          <xm:sqref>C2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5E83-49FE-4F34-A332-C71C0693EC20}">
  <sheetPr>
    <tabColor rgb="FF00823B"/>
  </sheetPr>
  <dimension ref="A1:K241"/>
  <sheetViews>
    <sheetView showGridLines="0" workbookViewId="0"/>
  </sheetViews>
  <sheetFormatPr baseColWidth="10" defaultColWidth="11.44140625" defaultRowHeight="14.4" x14ac:dyDescent="0.3"/>
  <cols>
    <col min="1" max="1" width="6" bestFit="1" customWidth="1"/>
    <col min="2" max="2" width="2.5546875" customWidth="1"/>
    <col min="3" max="3" width="13.44140625" style="312" customWidth="1"/>
    <col min="4" max="4" width="12" bestFit="1" customWidth="1"/>
    <col min="5" max="5" width="29.33203125" customWidth="1"/>
    <col min="8" max="8" width="11.44140625" style="276"/>
    <col min="11" max="11" width="59.6640625" customWidth="1"/>
  </cols>
  <sheetData>
    <row r="1" spans="1:11" x14ac:dyDescent="0.3">
      <c r="A1" s="199" t="s">
        <v>1428</v>
      </c>
      <c r="B1" s="199"/>
      <c r="C1" s="312" t="s">
        <v>239</v>
      </c>
      <c r="D1" t="s">
        <v>1456</v>
      </c>
      <c r="E1" t="s">
        <v>1457</v>
      </c>
      <c r="F1" t="s">
        <v>1460</v>
      </c>
      <c r="G1" t="s">
        <v>244</v>
      </c>
      <c r="H1" s="276" t="s">
        <v>248</v>
      </c>
      <c r="I1" t="s">
        <v>245</v>
      </c>
      <c r="J1" t="s">
        <v>246</v>
      </c>
      <c r="K1" t="s">
        <v>1442</v>
      </c>
    </row>
    <row r="2" spans="1:11" x14ac:dyDescent="0.3">
      <c r="C2" s="312" t="s">
        <v>1178</v>
      </c>
      <c r="D2" t="s">
        <v>1458</v>
      </c>
      <c r="E2" t="s">
        <v>1463</v>
      </c>
      <c r="F2" t="s">
        <v>18</v>
      </c>
      <c r="G2">
        <v>-58.82</v>
      </c>
      <c r="H2" s="276">
        <v>0.19</v>
      </c>
      <c r="I2" s="47">
        <f>-i_adjustments_sl[[#This Row],[gross]]/(1+i_adjustments_sl[[#This Row],[tax_rate]])+i_adjustments_sl[[#This Row],[gross]]</f>
        <v>-9.3914285714285697</v>
      </c>
      <c r="J2" s="47">
        <f>+i_adjustments_sl[[#This Row],[gross]]-i_adjustments_sl[[#This Row],[tax]]</f>
        <v>-49.428571428571431</v>
      </c>
      <c r="K2" t="s">
        <v>1461</v>
      </c>
    </row>
    <row r="3" spans="1:11" x14ac:dyDescent="0.3">
      <c r="C3" s="312" t="s">
        <v>1178</v>
      </c>
      <c r="D3" t="s">
        <v>1459</v>
      </c>
      <c r="E3" t="s">
        <v>1463</v>
      </c>
      <c r="F3" t="s">
        <v>18</v>
      </c>
      <c r="G3">
        <v>-56.91</v>
      </c>
      <c r="H3" s="276">
        <v>0.19</v>
      </c>
      <c r="I3" s="47">
        <f>-i_adjustments_sl[[#This Row],[gross]]/(1+i_adjustments_sl[[#This Row],[tax_rate]])+i_adjustments_sl[[#This Row],[gross]]</f>
        <v>-9.0864705882352936</v>
      </c>
      <c r="J3" s="47">
        <f>+i_adjustments_sl[[#This Row],[gross]]-i_adjustments_sl[[#This Row],[tax]]</f>
        <v>-47.823529411764703</v>
      </c>
      <c r="K3" t="s">
        <v>1462</v>
      </c>
    </row>
    <row r="4" spans="1:11" x14ac:dyDescent="0.3">
      <c r="C4" s="312" t="s">
        <v>1178</v>
      </c>
      <c r="D4" t="s">
        <v>1465</v>
      </c>
      <c r="E4" t="s">
        <v>1464</v>
      </c>
      <c r="F4" t="s">
        <v>8</v>
      </c>
      <c r="G4">
        <v>88.94</v>
      </c>
      <c r="H4" s="276">
        <v>0.21</v>
      </c>
      <c r="I4" s="47">
        <f>-i_adjustments_sl[[#This Row],[gross]]/(1+i_adjustments_sl[[#This Row],[tax_rate]])+i_adjustments_sl[[#This Row],[gross]]</f>
        <v>15.435867768595045</v>
      </c>
      <c r="J4" s="47">
        <f>+i_adjustments_sl[[#This Row],[gross]]-i_adjustments_sl[[#This Row],[tax]]</f>
        <v>73.504132231404952</v>
      </c>
      <c r="K4" t="s">
        <v>1466</v>
      </c>
    </row>
    <row r="5" spans="1:11" x14ac:dyDescent="0.3">
      <c r="C5" s="312" t="s">
        <v>1178</v>
      </c>
      <c r="D5" t="s">
        <v>1467</v>
      </c>
      <c r="E5" t="s">
        <v>1464</v>
      </c>
      <c r="F5" t="s">
        <v>8</v>
      </c>
      <c r="G5">
        <v>57.15</v>
      </c>
      <c r="H5" s="276">
        <v>0.21</v>
      </c>
      <c r="I5" s="47">
        <f>-i_adjustments_sl[[#This Row],[gross]]/(1+i_adjustments_sl[[#This Row],[tax_rate]])+i_adjustments_sl[[#This Row],[gross]]</f>
        <v>9.9185950413223125</v>
      </c>
      <c r="J5" s="47">
        <f>+i_adjustments_sl[[#This Row],[gross]]-i_adjustments_sl[[#This Row],[tax]]</f>
        <v>47.231404958677686</v>
      </c>
      <c r="K5" t="s">
        <v>1468</v>
      </c>
    </row>
    <row r="6" spans="1:11" x14ac:dyDescent="0.3">
      <c r="C6" s="312">
        <v>202602</v>
      </c>
      <c r="D6" t="s">
        <v>1459</v>
      </c>
      <c r="E6" t="s">
        <v>1463</v>
      </c>
      <c r="F6" t="s">
        <v>18</v>
      </c>
      <c r="G6">
        <v>56.91</v>
      </c>
      <c r="H6" s="276">
        <v>0.19</v>
      </c>
      <c r="I6" s="47">
        <f>-i_adjustments_sl[[#This Row],[gross]]/(1+i_adjustments_sl[[#This Row],[tax_rate]])+i_adjustments_sl[[#This Row],[gross]]</f>
        <v>9.0864705882352936</v>
      </c>
      <c r="J6" s="47">
        <f>+i_adjustments_sl[[#This Row],[gross]]-i_adjustments_sl[[#This Row],[tax]]</f>
        <v>47.823529411764703</v>
      </c>
      <c r="K6" t="s">
        <v>1469</v>
      </c>
    </row>
    <row r="7" spans="1:11" x14ac:dyDescent="0.3">
      <c r="C7" s="313">
        <v>202602</v>
      </c>
      <c r="D7" t="s">
        <v>1470</v>
      </c>
      <c r="E7" t="s">
        <v>1464</v>
      </c>
      <c r="F7" t="s">
        <v>22</v>
      </c>
      <c r="G7">
        <v>-243.99</v>
      </c>
      <c r="H7" s="276">
        <v>0.22</v>
      </c>
      <c r="I7" s="47">
        <f>-i_adjustments_sl[[#This Row],[gross]]/(1+i_adjustments_sl[[#This Row],[tax_rate]])+i_adjustments_sl[[#This Row],[gross]]</f>
        <v>-43.998196721311473</v>
      </c>
      <c r="J7" s="47">
        <f>+i_adjustments_sl[[#This Row],[gross]]-i_adjustments_sl[[#This Row],[tax]]</f>
        <v>-199.99180327868854</v>
      </c>
      <c r="K7" t="s">
        <v>1468</v>
      </c>
    </row>
    <row r="214" spans="4:4" x14ac:dyDescent="0.3">
      <c r="D214" s="55"/>
    </row>
    <row r="215" spans="4:4" x14ac:dyDescent="0.3">
      <c r="D215" s="55"/>
    </row>
    <row r="216" spans="4:4" x14ac:dyDescent="0.3">
      <c r="D216" s="260"/>
    </row>
    <row r="217" spans="4:4" x14ac:dyDescent="0.3">
      <c r="D217" s="55"/>
    </row>
    <row r="218" spans="4:4" x14ac:dyDescent="0.3">
      <c r="D218" s="55"/>
    </row>
    <row r="219" spans="4:4" x14ac:dyDescent="0.3">
      <c r="D219" s="260"/>
    </row>
    <row r="220" spans="4:4" x14ac:dyDescent="0.3">
      <c r="D220" s="55"/>
    </row>
    <row r="221" spans="4:4" x14ac:dyDescent="0.3">
      <c r="D221" s="55"/>
    </row>
    <row r="222" spans="4:4" x14ac:dyDescent="0.3">
      <c r="D222" s="55"/>
    </row>
    <row r="223" spans="4:4" x14ac:dyDescent="0.3">
      <c r="D223" s="55"/>
    </row>
    <row r="224" spans="4:4" x14ac:dyDescent="0.3">
      <c r="D224" s="260"/>
    </row>
    <row r="225" spans="4:4" x14ac:dyDescent="0.3">
      <c r="D225" s="55"/>
    </row>
    <row r="226" spans="4:4" x14ac:dyDescent="0.3">
      <c r="D226" s="55"/>
    </row>
    <row r="227" spans="4:4" x14ac:dyDescent="0.3">
      <c r="D227" s="260"/>
    </row>
    <row r="228" spans="4:4" x14ac:dyDescent="0.3">
      <c r="D228" s="55"/>
    </row>
    <row r="229" spans="4:4" x14ac:dyDescent="0.3">
      <c r="D229" s="55"/>
    </row>
    <row r="230" spans="4:4" x14ac:dyDescent="0.3">
      <c r="D230" s="260"/>
    </row>
    <row r="231" spans="4:4" x14ac:dyDescent="0.3">
      <c r="D231" s="55"/>
    </row>
    <row r="232" spans="4:4" x14ac:dyDescent="0.3">
      <c r="D232" s="55"/>
    </row>
    <row r="233" spans="4:4" x14ac:dyDescent="0.3">
      <c r="D233" s="55"/>
    </row>
    <row r="234" spans="4:4" x14ac:dyDescent="0.3">
      <c r="D234" s="55"/>
    </row>
    <row r="235" spans="4:4" x14ac:dyDescent="0.3">
      <c r="D235" s="55"/>
    </row>
    <row r="236" spans="4:4" x14ac:dyDescent="0.3">
      <c r="D236" s="55"/>
    </row>
    <row r="237" spans="4:4" x14ac:dyDescent="0.3">
      <c r="D237" s="55"/>
    </row>
    <row r="238" spans="4:4" x14ac:dyDescent="0.3">
      <c r="D238" s="55"/>
    </row>
    <row r="239" spans="4:4" x14ac:dyDescent="0.3">
      <c r="D239" s="55"/>
    </row>
    <row r="240" spans="4:4" x14ac:dyDescent="0.3">
      <c r="D240" s="55"/>
    </row>
    <row r="241" spans="4:4" x14ac:dyDescent="0.3">
      <c r="D241" s="55"/>
    </row>
  </sheetData>
  <hyperlinks>
    <hyperlink ref="A1" location="'P&amp;G-SL'!A1" display="Volver" xr:uid="{80A5E10A-81EB-4983-A08F-2859161970D7}"/>
  </hyperlink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AF152A0-4F98-4C6D-B71C-E6197458624C}">
          <x14:formula1>
            <xm:f>params!$B$4:$M$4</xm:f>
          </x14:formula1>
          <xm:sqref>C2:C7</xm:sqref>
        </x14:dataValidation>
        <x14:dataValidation type="list" allowBlank="1" showInputMessage="1" showErrorMessage="1" xr:uid="{04583647-BEB4-45F8-A05A-C7137546867E}">
          <x14:formula1>
            <xm:f>'P&amp;G-SL'!$F$26:$F$28</xm:f>
          </x14:formula1>
          <xm:sqref>E2:E7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B421-589F-4613-82D8-13F6F2290471}">
  <sheetPr>
    <tabColor rgb="FF00823B"/>
  </sheetPr>
  <dimension ref="A1:L240"/>
  <sheetViews>
    <sheetView showGridLines="0" workbookViewId="0">
      <selection activeCell="D9" sqref="D9"/>
    </sheetView>
  </sheetViews>
  <sheetFormatPr baseColWidth="10" defaultColWidth="11.44140625" defaultRowHeight="14.4" x14ac:dyDescent="0.3"/>
  <cols>
    <col min="1" max="1" width="6" bestFit="1" customWidth="1"/>
    <col min="2" max="2" width="2.5546875" customWidth="1"/>
    <col min="3" max="3" width="12" style="312" bestFit="1" customWidth="1"/>
    <col min="11" max="11" width="57.33203125" bestFit="1" customWidth="1"/>
    <col min="12" max="12" width="44.5546875" customWidth="1"/>
  </cols>
  <sheetData>
    <row r="1" spans="1:12" x14ac:dyDescent="0.3">
      <c r="A1" s="199" t="s">
        <v>1428</v>
      </c>
      <c r="B1" s="199"/>
      <c r="C1" s="312" t="s">
        <v>239</v>
      </c>
      <c r="D1" t="s">
        <v>1444</v>
      </c>
      <c r="E1" t="s">
        <v>1457</v>
      </c>
      <c r="F1" t="s">
        <v>1474</v>
      </c>
      <c r="G1" t="s">
        <v>244</v>
      </c>
      <c r="H1" t="s">
        <v>248</v>
      </c>
      <c r="I1" t="s">
        <v>245</v>
      </c>
      <c r="J1" t="s">
        <v>246</v>
      </c>
      <c r="K1" t="s">
        <v>1441</v>
      </c>
      <c r="L1" t="s">
        <v>1442</v>
      </c>
    </row>
    <row r="2" spans="1:12" x14ac:dyDescent="0.3">
      <c r="C2" s="312">
        <v>202601</v>
      </c>
      <c r="D2" t="s">
        <v>1472</v>
      </c>
      <c r="E2" t="s">
        <v>2</v>
      </c>
      <c r="F2" t="s">
        <v>102</v>
      </c>
      <c r="G2" s="47">
        <f>+i_sharedservices_sl[[#This Row],[tax]]+i_sharedservices_sl[[#This Row],[net]]</f>
        <v>1441.3278</v>
      </c>
      <c r="H2" s="276">
        <v>0.21</v>
      </c>
      <c r="I2" s="47">
        <f>+i_sharedservices_sl[[#This Row],[tax_rate]]*i_sharedservices_sl[[#This Row],[net]]</f>
        <v>250.14780000000002</v>
      </c>
      <c r="J2" s="55">
        <v>1191.18</v>
      </c>
      <c r="K2" t="s">
        <v>1473</v>
      </c>
      <c r="L2" t="s">
        <v>1478</v>
      </c>
    </row>
    <row r="3" spans="1:12" x14ac:dyDescent="0.3">
      <c r="C3" s="312" t="s">
        <v>1178</v>
      </c>
      <c r="D3" t="s">
        <v>1479</v>
      </c>
      <c r="E3" t="s">
        <v>2</v>
      </c>
      <c r="F3" t="s">
        <v>1477</v>
      </c>
      <c r="G3" s="47">
        <f>+i_sharedservices_sl[[#This Row],[tax]]+i_sharedservices_sl[[#This Row],[net]]</f>
        <v>2010.0036</v>
      </c>
      <c r="H3" s="276">
        <v>0.21</v>
      </c>
      <c r="I3" s="47">
        <f>+i_sharedservices_sl[[#This Row],[tax_rate]]*i_sharedservices_sl[[#This Row],[net]]</f>
        <v>348.84359999999998</v>
      </c>
      <c r="J3" s="55">
        <v>1661.16</v>
      </c>
      <c r="K3" t="s">
        <v>1480</v>
      </c>
      <c r="L3" t="s">
        <v>1481</v>
      </c>
    </row>
    <row r="4" spans="1:12" x14ac:dyDescent="0.3">
      <c r="C4" s="312">
        <v>202602</v>
      </c>
      <c r="D4" t="s">
        <v>1482</v>
      </c>
      <c r="E4" t="s">
        <v>2</v>
      </c>
      <c r="F4" t="s">
        <v>102</v>
      </c>
      <c r="G4" s="47">
        <f>+i_sharedservices_sl[[#This Row],[tax]]+i_sharedservices_sl[[#This Row],[net]]</f>
        <v>1441.3278</v>
      </c>
      <c r="H4" s="276">
        <v>0.21</v>
      </c>
      <c r="I4" s="47">
        <f>+i_sharedservices_sl[[#This Row],[tax_rate]]*i_sharedservices_sl[[#This Row],[net]]</f>
        <v>250.14780000000002</v>
      </c>
      <c r="J4" s="55">
        <v>1191.18</v>
      </c>
      <c r="K4" t="s">
        <v>1483</v>
      </c>
      <c r="L4" t="s">
        <v>1478</v>
      </c>
    </row>
    <row r="5" spans="1:12" x14ac:dyDescent="0.3">
      <c r="C5" s="312" t="s">
        <v>1178</v>
      </c>
      <c r="D5" t="s">
        <v>1485</v>
      </c>
      <c r="E5" t="s">
        <v>33</v>
      </c>
      <c r="G5" s="47">
        <f>+i_sharedservices_sl[[#This Row],[tax]]+i_sharedservices_sl[[#This Row],[net]]</f>
        <v>10732.87</v>
      </c>
      <c r="H5" s="276">
        <v>0</v>
      </c>
      <c r="I5" s="47">
        <f>+i_sharedservices_sl[[#This Row],[tax_rate]]*i_sharedservices_sl[[#This Row],[net]]</f>
        <v>0</v>
      </c>
      <c r="J5" s="55">
        <v>10732.87</v>
      </c>
      <c r="K5" t="s">
        <v>1484</v>
      </c>
      <c r="L5" t="s">
        <v>1491</v>
      </c>
    </row>
    <row r="6" spans="1:12" x14ac:dyDescent="0.3">
      <c r="C6" s="312" t="s">
        <v>1178</v>
      </c>
      <c r="D6" t="s">
        <v>1488</v>
      </c>
      <c r="E6" t="s">
        <v>34</v>
      </c>
      <c r="G6" s="47">
        <f>+i_sharedservices_sl[[#This Row],[tax]]+i_sharedservices_sl[[#This Row],[net]]</f>
        <v>7334.44</v>
      </c>
      <c r="H6" s="276">
        <v>0</v>
      </c>
      <c r="I6" s="47">
        <f>+i_sharedservices_sl[[#This Row],[tax_rate]]*i_sharedservices_sl[[#This Row],[net]]</f>
        <v>0</v>
      </c>
      <c r="J6" s="55">
        <v>7334.44</v>
      </c>
      <c r="K6" t="s">
        <v>1489</v>
      </c>
      <c r="L6" t="s">
        <v>1490</v>
      </c>
    </row>
    <row r="7" spans="1:12" x14ac:dyDescent="0.3">
      <c r="C7" s="312">
        <v>202602</v>
      </c>
      <c r="D7" t="s">
        <v>1494</v>
      </c>
      <c r="E7" t="s">
        <v>33</v>
      </c>
      <c r="G7" s="47">
        <f>+i_sharedservices_sl[[#This Row],[tax]]+i_sharedservices_sl[[#This Row],[net]]</f>
        <v>13068.98</v>
      </c>
      <c r="H7" s="276">
        <v>0</v>
      </c>
      <c r="I7" s="47">
        <f>+i_sharedservices_sl[[#This Row],[tax_rate]]*i_sharedservices_sl[[#This Row],[net]]</f>
        <v>0</v>
      </c>
      <c r="J7" s="55">
        <v>13068.98</v>
      </c>
      <c r="K7" t="s">
        <v>1493</v>
      </c>
      <c r="L7" t="s">
        <v>1497</v>
      </c>
    </row>
    <row r="8" spans="1:12" x14ac:dyDescent="0.3">
      <c r="C8" s="312">
        <v>202602</v>
      </c>
      <c r="D8" t="s">
        <v>1495</v>
      </c>
      <c r="E8" t="s">
        <v>34</v>
      </c>
      <c r="G8" s="47">
        <f>+i_sharedservices_sl[[#This Row],[tax]]+i_sharedservices_sl[[#This Row],[net]]</f>
        <v>8462.36</v>
      </c>
      <c r="H8" s="276">
        <v>0</v>
      </c>
      <c r="I8" s="47">
        <f>+i_sharedservices_sl[[#This Row],[tax_rate]]*i_sharedservices_sl[[#This Row],[net]]</f>
        <v>0</v>
      </c>
      <c r="J8" s="55">
        <v>8462.36</v>
      </c>
      <c r="K8" t="s">
        <v>1496</v>
      </c>
      <c r="L8" t="s">
        <v>1498</v>
      </c>
    </row>
    <row r="9" spans="1:12" x14ac:dyDescent="0.3">
      <c r="C9" s="312">
        <v>202602</v>
      </c>
      <c r="D9" t="s">
        <v>1528</v>
      </c>
      <c r="G9" s="47">
        <f>+i_sharedservices_sl[[#This Row],[tax]]+i_sharedservices_sl[[#This Row],[net]]</f>
        <v>0</v>
      </c>
      <c r="I9" s="47">
        <f>+i_sharedservices_sl[[#This Row],[tax_rate]]*i_sharedservices_sl[[#This Row],[net]]</f>
        <v>0</v>
      </c>
      <c r="J9" s="55"/>
    </row>
    <row r="213" spans="3:3" x14ac:dyDescent="0.3">
      <c r="C213" s="315"/>
    </row>
    <row r="214" spans="3:3" x14ac:dyDescent="0.3">
      <c r="C214" s="315"/>
    </row>
    <row r="215" spans="3:3" x14ac:dyDescent="0.3">
      <c r="C215" s="316"/>
    </row>
    <row r="216" spans="3:3" x14ac:dyDescent="0.3">
      <c r="C216" s="315"/>
    </row>
    <row r="217" spans="3:3" x14ac:dyDescent="0.3">
      <c r="C217" s="315"/>
    </row>
    <row r="218" spans="3:3" x14ac:dyDescent="0.3">
      <c r="C218" s="316"/>
    </row>
    <row r="219" spans="3:3" x14ac:dyDescent="0.3">
      <c r="C219" s="315"/>
    </row>
    <row r="220" spans="3:3" x14ac:dyDescent="0.3">
      <c r="C220" s="315"/>
    </row>
    <row r="221" spans="3:3" x14ac:dyDescent="0.3">
      <c r="C221" s="315"/>
    </row>
    <row r="222" spans="3:3" x14ac:dyDescent="0.3">
      <c r="C222" s="315"/>
    </row>
    <row r="223" spans="3:3" x14ac:dyDescent="0.3">
      <c r="C223" s="316"/>
    </row>
    <row r="224" spans="3:3" x14ac:dyDescent="0.3">
      <c r="C224" s="315"/>
    </row>
    <row r="225" spans="3:3" x14ac:dyDescent="0.3">
      <c r="C225" s="315"/>
    </row>
    <row r="226" spans="3:3" x14ac:dyDescent="0.3">
      <c r="C226" s="316"/>
    </row>
    <row r="227" spans="3:3" x14ac:dyDescent="0.3">
      <c r="C227" s="315"/>
    </row>
    <row r="228" spans="3:3" x14ac:dyDescent="0.3">
      <c r="C228" s="315"/>
    </row>
    <row r="229" spans="3:3" x14ac:dyDescent="0.3">
      <c r="C229" s="316"/>
    </row>
    <row r="230" spans="3:3" x14ac:dyDescent="0.3">
      <c r="C230" s="315"/>
    </row>
    <row r="231" spans="3:3" x14ac:dyDescent="0.3">
      <c r="C231" s="315"/>
    </row>
    <row r="232" spans="3:3" x14ac:dyDescent="0.3">
      <c r="C232" s="315"/>
    </row>
    <row r="233" spans="3:3" x14ac:dyDescent="0.3">
      <c r="C233" s="315"/>
    </row>
    <row r="234" spans="3:3" x14ac:dyDescent="0.3">
      <c r="C234" s="315"/>
    </row>
    <row r="235" spans="3:3" x14ac:dyDescent="0.3">
      <c r="C235" s="315"/>
    </row>
    <row r="236" spans="3:3" x14ac:dyDescent="0.3">
      <c r="C236" s="315"/>
    </row>
    <row r="237" spans="3:3" x14ac:dyDescent="0.3">
      <c r="C237" s="315"/>
    </row>
    <row r="238" spans="3:3" x14ac:dyDescent="0.3">
      <c r="C238" s="315"/>
    </row>
    <row r="239" spans="3:3" x14ac:dyDescent="0.3">
      <c r="C239" s="315"/>
    </row>
    <row r="240" spans="3:3" x14ac:dyDescent="0.3">
      <c r="C240" s="315"/>
    </row>
  </sheetData>
  <dataValidations count="1">
    <dataValidation type="decimal" allowBlank="1" showInputMessage="1" showErrorMessage="1" errorTitle="Tiene que ser un porcentaje" error="Tiene que ser un porcentaje" sqref="H2:H9" xr:uid="{6D525DC7-6CBD-49A4-8089-82B0E9B5D055}">
      <formula1>0</formula1>
      <formula2>1</formula2>
    </dataValidation>
  </dataValidations>
  <hyperlinks>
    <hyperlink ref="A1" location="'P&amp;G-SL'!A1" display="Volver" xr:uid="{51265BB6-F666-4E33-8CAE-CA9F242FFFBF}"/>
  </hyperlink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8D6F65E-5999-4B4B-AADF-966643FF4F6E}">
          <x14:formula1>
            <xm:f>params!$B$4:$M$4</xm:f>
          </x14:formula1>
          <xm:sqref>C2:C9</xm:sqref>
        </x14:dataValidation>
        <x14:dataValidation type="list" allowBlank="1" showInputMessage="1" showErrorMessage="1" xr:uid="{658E3214-074D-4951-A97D-20C634451513}">
          <x14:formula1>
            <xm:f>params!$B$8:$XFD$8</xm:f>
          </x14:formula1>
          <xm:sqref>E2:E9</xm:sqref>
        </x14:dataValidation>
        <x14:dataValidation type="list" allowBlank="1" showInputMessage="1" showErrorMessage="1" xr:uid="{E744BF5D-EC6F-4417-9252-46E48FB70F04}">
          <x14:formula1>
            <xm:f>params!$B$9:$XFD$9</xm:f>
          </x14:formula1>
          <xm:sqref>F2:F9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F303-1D9D-4453-AF6E-12B2752473E1}">
  <sheetPr>
    <tabColor rgb="FFFF0000"/>
  </sheetPr>
  <dimension ref="A1:M24"/>
  <sheetViews>
    <sheetView workbookViewId="0">
      <selection activeCell="J12" sqref="J12"/>
    </sheetView>
  </sheetViews>
  <sheetFormatPr baseColWidth="10" defaultRowHeight="14.4" x14ac:dyDescent="0.3"/>
  <cols>
    <col min="1" max="1" width="6" bestFit="1" customWidth="1"/>
    <col min="2" max="2" width="2.88671875" customWidth="1"/>
    <col min="4" max="4" width="20.6640625" bestFit="1" customWidth="1"/>
    <col min="5" max="5" width="13.44140625" style="320" customWidth="1"/>
    <col min="6" max="6" width="16.88671875" bestFit="1" customWidth="1"/>
    <col min="7" max="7" width="11.5546875" style="55"/>
    <col min="8" max="8" width="12.6640625" style="276" customWidth="1"/>
    <col min="12" max="12" width="59.44140625" bestFit="1" customWidth="1"/>
    <col min="13" max="13" width="32.6640625" customWidth="1"/>
  </cols>
  <sheetData>
    <row r="1" spans="1:13" x14ac:dyDescent="0.3">
      <c r="A1" s="199" t="s">
        <v>1428</v>
      </c>
      <c r="C1" t="s">
        <v>239</v>
      </c>
      <c r="D1" t="s">
        <v>1500</v>
      </c>
      <c r="E1" s="320" t="s">
        <v>1443</v>
      </c>
      <c r="F1" t="s">
        <v>249</v>
      </c>
      <c r="G1" s="55" t="s">
        <v>244</v>
      </c>
      <c r="H1" s="276" t="s">
        <v>912</v>
      </c>
      <c r="I1" t="s">
        <v>911</v>
      </c>
      <c r="J1" t="s">
        <v>246</v>
      </c>
      <c r="K1" t="s">
        <v>251</v>
      </c>
      <c r="L1" t="s">
        <v>1441</v>
      </c>
      <c r="M1" t="s">
        <v>1195</v>
      </c>
    </row>
    <row r="2" spans="1:13" ht="14.4" customHeight="1" x14ac:dyDescent="0.3">
      <c r="C2">
        <v>202601</v>
      </c>
      <c r="D2" t="s">
        <v>1257</v>
      </c>
      <c r="E2" s="320">
        <v>46050</v>
      </c>
      <c r="F2" t="s">
        <v>40</v>
      </c>
      <c r="G2" s="55">
        <f>+g_manufacturing_sl[[#This Row],[tax_iva]]+g_manufacturing_sl[[#This Row],[net]]</f>
        <v>31.2654</v>
      </c>
      <c r="H2" s="276">
        <v>7.0000000000000007E-2</v>
      </c>
      <c r="I2" s="47">
        <f>+g_manufacturing_sl[[#This Row],[tax_rate_iva]]*g_manufacturing_sl[[#This Row],[net]]</f>
        <v>2.0454000000000003</v>
      </c>
      <c r="J2">
        <v>29.22</v>
      </c>
      <c r="K2" t="s">
        <v>488</v>
      </c>
      <c r="L2" t="s">
        <v>1512</v>
      </c>
      <c r="M2" t="s">
        <v>1514</v>
      </c>
    </row>
    <row r="3" spans="1:13" x14ac:dyDescent="0.3">
      <c r="C3">
        <v>202601</v>
      </c>
      <c r="D3" t="s">
        <v>1272</v>
      </c>
      <c r="E3" s="320">
        <v>45688</v>
      </c>
      <c r="F3" t="s">
        <v>38</v>
      </c>
      <c r="G3" s="55">
        <f>+g_manufacturing_sl[[#This Row],[tax_iva]]+g_manufacturing_sl[[#This Row],[net]]</f>
        <v>5412.0153999999993</v>
      </c>
      <c r="H3" s="276">
        <v>0.21</v>
      </c>
      <c r="I3" s="47">
        <f>+g_manufacturing_sl[[#This Row],[tax_rate_iva]]*g_manufacturing_sl[[#This Row],[net]]</f>
        <v>939.27539999999988</v>
      </c>
      <c r="J3">
        <v>4472.74</v>
      </c>
      <c r="K3" t="s">
        <v>488</v>
      </c>
      <c r="L3" t="s">
        <v>1503</v>
      </c>
    </row>
    <row r="4" spans="1:13" x14ac:dyDescent="0.3">
      <c r="C4">
        <v>202601</v>
      </c>
      <c r="D4" t="s">
        <v>1205</v>
      </c>
      <c r="E4" s="320">
        <v>46037</v>
      </c>
      <c r="F4" t="s">
        <v>38</v>
      </c>
      <c r="G4" s="55">
        <f>+g_manufacturing_sl[[#This Row],[tax_iva]]+g_manufacturing_sl[[#This Row],[net]]</f>
        <v>3126.1680999999999</v>
      </c>
      <c r="H4" s="276">
        <v>0.21</v>
      </c>
      <c r="I4" s="47">
        <f>+g_manufacturing_sl[[#This Row],[tax_rate_iva]]*g_manufacturing_sl[[#This Row],[net]]</f>
        <v>542.55809999999997</v>
      </c>
      <c r="J4">
        <v>2583.61</v>
      </c>
      <c r="K4" t="s">
        <v>488</v>
      </c>
      <c r="L4" t="s">
        <v>1501</v>
      </c>
    </row>
    <row r="5" spans="1:13" x14ac:dyDescent="0.3">
      <c r="C5">
        <v>202601</v>
      </c>
      <c r="D5" t="s">
        <v>1246</v>
      </c>
      <c r="E5" s="320">
        <v>45680</v>
      </c>
      <c r="F5" t="s">
        <v>38</v>
      </c>
      <c r="G5" s="55">
        <f>+g_manufacturing_sl[[#This Row],[tax_iva]]+g_manufacturing_sl[[#This Row],[net]]</f>
        <v>11807.893899999999</v>
      </c>
      <c r="H5" s="276">
        <v>0.21</v>
      </c>
      <c r="I5" s="47">
        <f>+g_manufacturing_sl[[#This Row],[tax_rate_iva]]*g_manufacturing_sl[[#This Row],[net]]</f>
        <v>2049.3038999999999</v>
      </c>
      <c r="J5">
        <v>9758.59</v>
      </c>
      <c r="K5" t="s">
        <v>488</v>
      </c>
      <c r="L5" t="s">
        <v>1502</v>
      </c>
    </row>
    <row r="6" spans="1:13" x14ac:dyDescent="0.3">
      <c r="C6">
        <v>202601</v>
      </c>
      <c r="D6" t="s">
        <v>1378</v>
      </c>
      <c r="E6" s="320">
        <v>46042</v>
      </c>
      <c r="F6" t="s">
        <v>38</v>
      </c>
      <c r="G6" s="55">
        <f>+g_manufacturing_sl[[#This Row],[tax_iva]]+g_manufacturing_sl[[#This Row],[net]]</f>
        <v>1310.5994000000001</v>
      </c>
      <c r="H6" s="276">
        <v>0.21</v>
      </c>
      <c r="I6" s="47">
        <f>+g_manufacturing_sl[[#This Row],[tax_rate_iva]]*g_manufacturing_sl[[#This Row],[net]]</f>
        <v>227.45940000000002</v>
      </c>
      <c r="J6">
        <v>1083.1400000000001</v>
      </c>
      <c r="K6" t="s">
        <v>488</v>
      </c>
      <c r="L6" t="s">
        <v>1504</v>
      </c>
    </row>
    <row r="7" spans="1:13" x14ac:dyDescent="0.3">
      <c r="C7">
        <v>202601</v>
      </c>
      <c r="D7" t="s">
        <v>1203</v>
      </c>
      <c r="E7" s="320">
        <v>46037</v>
      </c>
      <c r="F7" t="s">
        <v>408</v>
      </c>
      <c r="G7" s="55">
        <f>+g_manufacturing_sl[[#This Row],[tax_iva]]+g_manufacturing_sl[[#This Row],[net]]</f>
        <v>6943.6738000000005</v>
      </c>
      <c r="H7" s="276">
        <v>0.19</v>
      </c>
      <c r="I7" s="47">
        <f>+g_manufacturing_sl[[#This Row],[tax_rate_iva]]*g_manufacturing_sl[[#This Row],[net]]</f>
        <v>1108.6538</v>
      </c>
      <c r="J7">
        <v>5835.02</v>
      </c>
      <c r="K7" t="s">
        <v>488</v>
      </c>
      <c r="L7" t="s">
        <v>1505</v>
      </c>
    </row>
    <row r="8" spans="1:13" x14ac:dyDescent="0.3">
      <c r="C8">
        <v>202601</v>
      </c>
      <c r="D8" t="s">
        <v>1263</v>
      </c>
      <c r="E8" s="320">
        <v>46053</v>
      </c>
      <c r="F8" t="s">
        <v>408</v>
      </c>
      <c r="G8" s="55">
        <f>+g_manufacturing_sl[[#This Row],[tax_iva]]+g_manufacturing_sl[[#This Row],[net]]</f>
        <v>4525.0821000000005</v>
      </c>
      <c r="H8" s="276">
        <v>0.19</v>
      </c>
      <c r="I8" s="47">
        <f>+g_manufacturing_sl[[#This Row],[tax_rate_iva]]*g_manufacturing_sl[[#This Row],[net]]</f>
        <v>722.49210000000005</v>
      </c>
      <c r="J8">
        <v>3802.59</v>
      </c>
      <c r="K8" t="s">
        <v>488</v>
      </c>
      <c r="L8" t="s">
        <v>1506</v>
      </c>
    </row>
    <row r="9" spans="1:13" x14ac:dyDescent="0.3">
      <c r="C9">
        <v>202601</v>
      </c>
      <c r="D9" t="s">
        <v>1265</v>
      </c>
      <c r="E9" s="320">
        <v>46053</v>
      </c>
      <c r="F9" t="s">
        <v>408</v>
      </c>
      <c r="G9" s="55">
        <f>+g_manufacturing_sl[[#This Row],[tax_iva]]+g_manufacturing_sl[[#This Row],[net]]</f>
        <v>110.075</v>
      </c>
      <c r="H9" s="276">
        <v>0.19</v>
      </c>
      <c r="I9" s="47">
        <f>+g_manufacturing_sl[[#This Row],[tax_rate_iva]]*g_manufacturing_sl[[#This Row],[net]]</f>
        <v>17.574999999999999</v>
      </c>
      <c r="J9">
        <v>92.5</v>
      </c>
      <c r="K9" t="s">
        <v>488</v>
      </c>
      <c r="L9" t="s">
        <v>1507</v>
      </c>
    </row>
    <row r="10" spans="1:13" x14ac:dyDescent="0.3">
      <c r="C10">
        <v>202601</v>
      </c>
      <c r="D10" t="s">
        <v>1267</v>
      </c>
      <c r="E10" s="320">
        <v>46053</v>
      </c>
      <c r="F10" t="s">
        <v>407</v>
      </c>
      <c r="G10" s="55">
        <f>+g_manufacturing_sl[[#This Row],[tax_iva]]+g_manufacturing_sl[[#This Row],[net]]</f>
        <v>35064.965100000001</v>
      </c>
      <c r="H10" s="276">
        <v>0.21</v>
      </c>
      <c r="I10" s="47">
        <f>+g_manufacturing_sl[[#This Row],[tax_rate_iva]]*g_manufacturing_sl[[#This Row],[net]]</f>
        <v>6085.6550999999999</v>
      </c>
      <c r="J10">
        <v>28979.31</v>
      </c>
      <c r="K10" t="s">
        <v>488</v>
      </c>
      <c r="L10" t="s">
        <v>1511</v>
      </c>
    </row>
    <row r="11" spans="1:13" x14ac:dyDescent="0.3">
      <c r="C11">
        <v>202602</v>
      </c>
      <c r="D11" t="s">
        <v>1341</v>
      </c>
      <c r="E11" s="320">
        <v>46080</v>
      </c>
      <c r="F11" t="s">
        <v>40</v>
      </c>
      <c r="G11" s="55">
        <f>+g_manufacturing_sl[[#This Row],[tax_iva]]+g_manufacturing_sl[[#This Row],[net]]</f>
        <v>64.028800000000004</v>
      </c>
      <c r="H11" s="276">
        <v>7.0000000000000007E-2</v>
      </c>
      <c r="I11" s="47">
        <f>+g_manufacturing_sl[[#This Row],[tax_rate_iva]]*g_manufacturing_sl[[#This Row],[net]]</f>
        <v>4.1888000000000005</v>
      </c>
      <c r="J11">
        <v>59.84</v>
      </c>
      <c r="K11" t="s">
        <v>488</v>
      </c>
      <c r="L11" t="s">
        <v>1513</v>
      </c>
    </row>
    <row r="12" spans="1:13" x14ac:dyDescent="0.3">
      <c r="C12">
        <v>202602</v>
      </c>
      <c r="D12" t="s">
        <v>1362</v>
      </c>
      <c r="E12" s="320">
        <v>46057</v>
      </c>
      <c r="F12" t="s">
        <v>38</v>
      </c>
      <c r="G12" s="55">
        <f>+g_manufacturing_sl[[#This Row],[tax_iva]]+g_manufacturing_sl[[#This Row],[net]]</f>
        <v>921.46339999999998</v>
      </c>
      <c r="H12" s="276">
        <v>0.21</v>
      </c>
      <c r="I12" s="47">
        <f>+g_manufacturing_sl[[#This Row],[tax_rate_iva]]*g_manufacturing_sl[[#This Row],[net]]</f>
        <v>159.92339999999999</v>
      </c>
      <c r="J12">
        <v>761.54</v>
      </c>
      <c r="K12" t="s">
        <v>488</v>
      </c>
      <c r="L12" t="s">
        <v>1515</v>
      </c>
    </row>
    <row r="13" spans="1:13" x14ac:dyDescent="0.3">
      <c r="C13">
        <v>202602</v>
      </c>
      <c r="D13" t="s">
        <v>1368</v>
      </c>
      <c r="E13" s="320">
        <v>46063</v>
      </c>
      <c r="F13" t="s">
        <v>38</v>
      </c>
      <c r="G13" s="55">
        <f>+g_manufacturing_sl[[#This Row],[tax_iva]]+g_manufacturing_sl[[#This Row],[net]]</f>
        <v>5661.6021000000001</v>
      </c>
      <c r="H13" s="276">
        <v>0.21</v>
      </c>
      <c r="I13" s="47">
        <f>+g_manufacturing_sl[[#This Row],[tax_rate_iva]]*g_manufacturing_sl[[#This Row],[net]]</f>
        <v>982.59209999999996</v>
      </c>
      <c r="J13">
        <v>4679.01</v>
      </c>
      <c r="K13" t="s">
        <v>488</v>
      </c>
      <c r="L13" t="s">
        <v>1516</v>
      </c>
    </row>
    <row r="14" spans="1:13" x14ac:dyDescent="0.3">
      <c r="C14">
        <v>202602</v>
      </c>
      <c r="D14" t="s">
        <v>1366</v>
      </c>
      <c r="E14" s="320">
        <v>46070</v>
      </c>
      <c r="F14" t="s">
        <v>38</v>
      </c>
      <c r="G14" s="55">
        <f>+g_manufacturing_sl[[#This Row],[tax_iva]]+g_manufacturing_sl[[#This Row],[net]]</f>
        <v>5309.0685999999996</v>
      </c>
      <c r="H14" s="276">
        <v>0.21</v>
      </c>
      <c r="I14" s="47">
        <f>+g_manufacturing_sl[[#This Row],[tax_rate_iva]]*g_manufacturing_sl[[#This Row],[net]]</f>
        <v>921.40859999999998</v>
      </c>
      <c r="J14">
        <v>4387.66</v>
      </c>
      <c r="K14" t="s">
        <v>488</v>
      </c>
      <c r="L14" t="s">
        <v>1517</v>
      </c>
    </row>
    <row r="15" spans="1:13" x14ac:dyDescent="0.3">
      <c r="C15">
        <v>202602</v>
      </c>
      <c r="D15" t="s">
        <v>1339</v>
      </c>
      <c r="E15" s="320">
        <v>46077</v>
      </c>
      <c r="F15" t="s">
        <v>38</v>
      </c>
      <c r="G15" s="55">
        <f>+g_manufacturing_sl[[#This Row],[tax_iva]]+g_manufacturing_sl[[#This Row],[net]]</f>
        <v>1843.9916000000001</v>
      </c>
      <c r="H15" s="276">
        <v>0.21</v>
      </c>
      <c r="I15" s="47">
        <f>+g_manufacturing_sl[[#This Row],[tax_rate_iva]]*g_manufacturing_sl[[#This Row],[net]]</f>
        <v>320.03159999999997</v>
      </c>
      <c r="J15">
        <v>1523.96</v>
      </c>
      <c r="K15" t="s">
        <v>488</v>
      </c>
      <c r="L15" t="s">
        <v>1518</v>
      </c>
    </row>
    <row r="16" spans="1:13" x14ac:dyDescent="0.3">
      <c r="C16">
        <v>202602</v>
      </c>
      <c r="D16" t="s">
        <v>1335</v>
      </c>
      <c r="E16" s="320">
        <v>46079</v>
      </c>
      <c r="F16" t="s">
        <v>38</v>
      </c>
      <c r="G16" s="55">
        <f>+g_manufacturing_sl[[#This Row],[tax_iva]]+g_manufacturing_sl[[#This Row],[net]]</f>
        <v>5926.9551000000001</v>
      </c>
      <c r="H16" s="276">
        <v>0.21</v>
      </c>
      <c r="I16" s="47">
        <f>+g_manufacturing_sl[[#This Row],[tax_rate_iva]]*g_manufacturing_sl[[#This Row],[net]]</f>
        <v>1028.6451</v>
      </c>
      <c r="J16">
        <v>4898.3100000000004</v>
      </c>
      <c r="K16" t="s">
        <v>488</v>
      </c>
      <c r="L16" t="s">
        <v>1519</v>
      </c>
    </row>
    <row r="17" spans="3:13" x14ac:dyDescent="0.3">
      <c r="C17">
        <v>202602</v>
      </c>
      <c r="D17" t="s">
        <v>1316</v>
      </c>
      <c r="E17" s="320">
        <v>46081</v>
      </c>
      <c r="F17" t="s">
        <v>38</v>
      </c>
      <c r="G17" s="55">
        <f>+g_manufacturing_sl[[#This Row],[tax_iva]]+g_manufacturing_sl[[#This Row],[net]]</f>
        <v>1179.9799</v>
      </c>
      <c r="H17" s="276">
        <v>0.21</v>
      </c>
      <c r="I17" s="47">
        <f>+g_manufacturing_sl[[#This Row],[tax_rate_iva]]*g_manufacturing_sl[[#This Row],[net]]</f>
        <v>204.78990000000002</v>
      </c>
      <c r="J17">
        <v>975.19</v>
      </c>
      <c r="K17" t="s">
        <v>488</v>
      </c>
      <c r="L17" t="s">
        <v>1520</v>
      </c>
    </row>
    <row r="18" spans="3:13" x14ac:dyDescent="0.3">
      <c r="C18">
        <v>202602</v>
      </c>
      <c r="D18" t="s">
        <v>1364</v>
      </c>
      <c r="E18" s="320">
        <v>46081</v>
      </c>
      <c r="F18" t="s">
        <v>38</v>
      </c>
      <c r="G18" s="55">
        <f>+g_manufacturing_sl[[#This Row],[tax_iva]]+g_manufacturing_sl[[#This Row],[net]]</f>
        <v>6971.3666000000003</v>
      </c>
      <c r="H18" s="276">
        <v>0.21</v>
      </c>
      <c r="I18" s="47">
        <f>+g_manufacturing_sl[[#This Row],[tax_rate_iva]]*g_manufacturing_sl[[#This Row],[net]]</f>
        <v>1209.9066</v>
      </c>
      <c r="J18">
        <v>5761.46</v>
      </c>
      <c r="K18" t="s">
        <v>488</v>
      </c>
      <c r="L18" t="s">
        <v>1521</v>
      </c>
    </row>
    <row r="19" spans="3:13" x14ac:dyDescent="0.3">
      <c r="C19">
        <v>202602</v>
      </c>
      <c r="D19" t="s">
        <v>1314</v>
      </c>
      <c r="E19" s="320">
        <v>46081</v>
      </c>
      <c r="F19" t="s">
        <v>408</v>
      </c>
      <c r="G19" s="55">
        <f>+g_manufacturing_sl[[#This Row],[tax_iva]]+g_manufacturing_sl[[#This Row],[net]]</f>
        <v>50.575000000000003</v>
      </c>
      <c r="H19" s="276">
        <v>0.19</v>
      </c>
      <c r="I19" s="47">
        <f>+g_manufacturing_sl[[#This Row],[tax_rate_iva]]*g_manufacturing_sl[[#This Row],[net]]</f>
        <v>8.0749999999999993</v>
      </c>
      <c r="J19">
        <v>42.5</v>
      </c>
      <c r="K19" t="s">
        <v>488</v>
      </c>
      <c r="L19" t="s">
        <v>1508</v>
      </c>
    </row>
    <row r="20" spans="3:13" x14ac:dyDescent="0.3">
      <c r="C20">
        <v>202602</v>
      </c>
      <c r="D20" t="s">
        <v>1318</v>
      </c>
      <c r="E20" s="320">
        <v>46081</v>
      </c>
      <c r="F20" t="s">
        <v>408</v>
      </c>
      <c r="G20" s="55">
        <f>+g_manufacturing_sl[[#This Row],[tax_iva]]+g_manufacturing_sl[[#This Row],[net]]</f>
        <v>4092.3980999999999</v>
      </c>
      <c r="H20" s="276">
        <v>0.19</v>
      </c>
      <c r="I20" s="47">
        <f>+g_manufacturing_sl[[#This Row],[tax_rate_iva]]*g_manufacturing_sl[[#This Row],[net]]</f>
        <v>653.40809999999999</v>
      </c>
      <c r="J20">
        <v>3438.99</v>
      </c>
      <c r="K20" t="s">
        <v>488</v>
      </c>
      <c r="L20" t="s">
        <v>1509</v>
      </c>
    </row>
    <row r="21" spans="3:13" x14ac:dyDescent="0.3">
      <c r="C21">
        <v>202602</v>
      </c>
      <c r="D21" t="s">
        <v>1415</v>
      </c>
      <c r="E21" s="320">
        <v>46069</v>
      </c>
      <c r="F21" t="s">
        <v>408</v>
      </c>
      <c r="G21" s="55">
        <f>+g_manufacturing_sl[[#This Row],[tax_iva]]+g_manufacturing_sl[[#This Row],[net]]</f>
        <v>4098.1576999999997</v>
      </c>
      <c r="H21" s="276">
        <v>0.19</v>
      </c>
      <c r="I21" s="47">
        <f>+g_manufacturing_sl[[#This Row],[tax_rate_iva]]*g_manufacturing_sl[[#This Row],[net]]</f>
        <v>654.32770000000005</v>
      </c>
      <c r="J21">
        <v>3443.83</v>
      </c>
      <c r="K21" t="s">
        <v>488</v>
      </c>
      <c r="L21" t="s">
        <v>1510</v>
      </c>
    </row>
    <row r="22" spans="3:13" x14ac:dyDescent="0.3">
      <c r="C22">
        <v>202602</v>
      </c>
      <c r="D22" t="s">
        <v>1320</v>
      </c>
      <c r="E22" s="320">
        <v>46081</v>
      </c>
      <c r="F22" t="s">
        <v>407</v>
      </c>
      <c r="G22" s="55">
        <f>+g_manufacturing_sl[[#This Row],[tax_iva]]+g_manufacturing_sl[[#This Row],[net]]</f>
        <v>40547.850200000001</v>
      </c>
      <c r="H22" s="276">
        <v>0.21</v>
      </c>
      <c r="I22" s="47">
        <f>+g_manufacturing_sl[[#This Row],[tax_rate_iva]]*g_manufacturing_sl[[#This Row],[net]]</f>
        <v>7037.2302</v>
      </c>
      <c r="J22">
        <v>33510.620000000003</v>
      </c>
      <c r="K22" t="s">
        <v>488</v>
      </c>
      <c r="L22" t="s">
        <v>1522</v>
      </c>
    </row>
    <row r="23" spans="3:13" x14ac:dyDescent="0.3">
      <c r="C23">
        <v>202603</v>
      </c>
      <c r="D23" t="s">
        <v>1346</v>
      </c>
      <c r="E23" s="320">
        <v>46090</v>
      </c>
      <c r="F23" t="s">
        <v>38</v>
      </c>
      <c r="G23" s="55">
        <f>+g_manufacturing_sl[[#This Row],[tax_iva]]+g_manufacturing_sl[[#This Row],[net]]</f>
        <v>844.56790000000001</v>
      </c>
      <c r="H23" s="276">
        <v>0.21</v>
      </c>
      <c r="I23" s="47">
        <f>+g_manufacturing_sl[[#This Row],[tax_rate_iva]]*g_manufacturing_sl[[#This Row],[net]]</f>
        <v>146.5779</v>
      </c>
      <c r="J23">
        <v>697.99</v>
      </c>
      <c r="K23" t="s">
        <v>488</v>
      </c>
      <c r="L23" t="s">
        <v>1523</v>
      </c>
    </row>
    <row r="24" spans="3:13" x14ac:dyDescent="0.3">
      <c r="C24">
        <v>202603</v>
      </c>
      <c r="D24" s="321" t="s">
        <v>1525</v>
      </c>
      <c r="E24" s="320">
        <v>46094</v>
      </c>
      <c r="F24" t="s">
        <v>1499</v>
      </c>
      <c r="G24" s="55">
        <f>+g_manufacturing_sl[[#This Row],[tax_iva]]+g_manufacturing_sl[[#This Row],[net]]</f>
        <v>570</v>
      </c>
      <c r="H24" s="276">
        <v>0</v>
      </c>
      <c r="I24" s="47">
        <f>+g_manufacturing_sl[[#This Row],[tax_rate_iva]]*g_manufacturing_sl[[#This Row],[net]]</f>
        <v>0</v>
      </c>
      <c r="J24">
        <v>570</v>
      </c>
      <c r="K24" t="s">
        <v>488</v>
      </c>
      <c r="L24" t="s">
        <v>1526</v>
      </c>
      <c r="M24" t="s">
        <v>1524</v>
      </c>
    </row>
  </sheetData>
  <hyperlinks>
    <hyperlink ref="A1" location="'P&amp;G-SL'!A1" display="Volver" xr:uid="{71A141BE-3015-424C-8BFD-193D2666230E}"/>
  </hyperlink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F824-4D9B-4283-AC55-AFAA07CA11B2}">
  <sheetPr>
    <tabColor rgb="FFFF0000"/>
  </sheetPr>
  <dimension ref="A1:L55"/>
  <sheetViews>
    <sheetView workbookViewId="0">
      <selection activeCell="E25" sqref="E25"/>
    </sheetView>
  </sheetViews>
  <sheetFormatPr baseColWidth="10" defaultRowHeight="14.4" x14ac:dyDescent="0.3"/>
  <cols>
    <col min="1" max="1" width="6" bestFit="1" customWidth="1"/>
    <col min="2" max="2" width="2.88671875" customWidth="1"/>
    <col min="4" max="4" width="31.33203125" bestFit="1" customWidth="1"/>
    <col min="5" max="5" width="28.44140625" bestFit="1" customWidth="1"/>
    <col min="6" max="6" width="11.44140625" style="55"/>
    <col min="7" max="7" width="12.6640625" style="276" customWidth="1"/>
    <col min="11" max="11" width="59.44140625" bestFit="1" customWidth="1"/>
    <col min="12" max="12" width="32.6640625" customWidth="1"/>
  </cols>
  <sheetData>
    <row r="1" spans="1:12" x14ac:dyDescent="0.3">
      <c r="A1" s="199" t="s">
        <v>1428</v>
      </c>
      <c r="C1" t="s">
        <v>239</v>
      </c>
      <c r="D1" t="s">
        <v>1500</v>
      </c>
      <c r="E1" t="s">
        <v>249</v>
      </c>
      <c r="F1" s="55" t="s">
        <v>244</v>
      </c>
      <c r="G1" s="276" t="s">
        <v>912</v>
      </c>
      <c r="H1" t="s">
        <v>911</v>
      </c>
      <c r="I1" t="s">
        <v>246</v>
      </c>
      <c r="J1" t="s">
        <v>251</v>
      </c>
      <c r="K1" t="s">
        <v>1441</v>
      </c>
      <c r="L1" t="s">
        <v>1195</v>
      </c>
    </row>
    <row r="2" spans="1:12" hidden="1" x14ac:dyDescent="0.3">
      <c r="C2">
        <v>202601</v>
      </c>
      <c r="D2" s="334">
        <v>837917747</v>
      </c>
      <c r="E2" s="276" t="s">
        <v>1032</v>
      </c>
      <c r="F2" s="47">
        <f>+g_shipping_sl[[#This Row],[tax_iva]]+g_shipping_sl[[#This Row],[net]]</f>
        <v>5.04</v>
      </c>
      <c r="G2" s="276">
        <v>0</v>
      </c>
      <c r="H2" s="55">
        <f>+g_shipping_sl[[#This Row],[tax_rate_iva]]*g_shipping_sl[[#This Row],[net]]</f>
        <v>0</v>
      </c>
      <c r="I2" s="55">
        <v>5.04</v>
      </c>
      <c r="J2" t="s">
        <v>488</v>
      </c>
      <c r="K2" t="s">
        <v>1549</v>
      </c>
    </row>
    <row r="3" spans="1:12" x14ac:dyDescent="0.3">
      <c r="C3">
        <v>202601</v>
      </c>
      <c r="D3" s="334" t="s">
        <v>1252</v>
      </c>
      <c r="E3" s="276" t="s">
        <v>425</v>
      </c>
      <c r="F3" s="47">
        <f>+g_shipping_sl[[#This Row],[tax_iva]]+g_shipping_sl[[#This Row],[net]]</f>
        <v>3.9929999999999999</v>
      </c>
      <c r="G3" s="276">
        <v>0.21</v>
      </c>
      <c r="H3" s="55">
        <f>+g_shipping_sl[[#This Row],[tax_rate_iva]]*g_shipping_sl[[#This Row],[net]]</f>
        <v>0.69299999999999995</v>
      </c>
      <c r="I3" s="55">
        <v>3.3</v>
      </c>
      <c r="J3" t="s">
        <v>488</v>
      </c>
      <c r="K3" t="s">
        <v>1553</v>
      </c>
    </row>
    <row r="4" spans="1:12" hidden="1" x14ac:dyDescent="0.3">
      <c r="C4">
        <v>202601</v>
      </c>
      <c r="D4" s="334">
        <v>326899416</v>
      </c>
      <c r="E4" s="276" t="s">
        <v>1032</v>
      </c>
      <c r="F4" s="47">
        <f>+g_shipping_sl[[#This Row],[tax_iva]]+g_shipping_sl[[#This Row],[net]]</f>
        <v>602.88</v>
      </c>
      <c r="G4" s="276">
        <v>0</v>
      </c>
      <c r="H4" s="55">
        <f>+g_shipping_sl[[#This Row],[tax_rate_iva]]*g_shipping_sl[[#This Row],[net]]</f>
        <v>0</v>
      </c>
      <c r="I4" s="55">
        <v>602.88</v>
      </c>
      <c r="J4" t="s">
        <v>488</v>
      </c>
      <c r="K4" t="s">
        <v>1546</v>
      </c>
    </row>
    <row r="5" spans="1:12" hidden="1" x14ac:dyDescent="0.3">
      <c r="C5">
        <v>202601</v>
      </c>
      <c r="D5" s="334">
        <v>326821409</v>
      </c>
      <c r="E5" s="276" t="s">
        <v>1032</v>
      </c>
      <c r="F5" s="47">
        <f>+g_shipping_sl[[#This Row],[tax_iva]]+g_shipping_sl[[#This Row],[net]]</f>
        <v>204.42</v>
      </c>
      <c r="G5" s="276">
        <v>0</v>
      </c>
      <c r="H5" s="55">
        <f>+g_shipping_sl[[#This Row],[tax_rate_iva]]*g_shipping_sl[[#This Row],[net]]</f>
        <v>0</v>
      </c>
      <c r="I5" s="55">
        <v>204.42</v>
      </c>
      <c r="J5" t="s">
        <v>488</v>
      </c>
      <c r="K5" t="s">
        <v>1543</v>
      </c>
    </row>
    <row r="6" spans="1:12" hidden="1" x14ac:dyDescent="0.3">
      <c r="C6">
        <v>202601</v>
      </c>
      <c r="D6" s="334">
        <v>326838548</v>
      </c>
      <c r="E6" s="276" t="s">
        <v>1032</v>
      </c>
      <c r="F6" s="47">
        <f>+g_shipping_sl[[#This Row],[tax_iva]]+g_shipping_sl[[#This Row],[net]]</f>
        <v>440.99</v>
      </c>
      <c r="G6" s="276">
        <v>0</v>
      </c>
      <c r="H6" s="55">
        <f>+g_shipping_sl[[#This Row],[tax_rate_iva]]*g_shipping_sl[[#This Row],[net]]</f>
        <v>0</v>
      </c>
      <c r="I6" s="55">
        <v>440.99</v>
      </c>
      <c r="J6" t="s">
        <v>488</v>
      </c>
      <c r="K6" t="s">
        <v>1544</v>
      </c>
    </row>
    <row r="7" spans="1:12" hidden="1" x14ac:dyDescent="0.3">
      <c r="C7">
        <v>202601</v>
      </c>
      <c r="D7" s="334">
        <v>326867966</v>
      </c>
      <c r="E7" s="276" t="s">
        <v>1032</v>
      </c>
      <c r="F7" s="47">
        <f>+g_shipping_sl[[#This Row],[tax_iva]]+g_shipping_sl[[#This Row],[net]]</f>
        <v>2253.2800000000002</v>
      </c>
      <c r="G7" s="276">
        <v>0</v>
      </c>
      <c r="H7" s="55">
        <f>+g_shipping_sl[[#This Row],[tax_rate_iva]]*g_shipping_sl[[#This Row],[net]]</f>
        <v>0</v>
      </c>
      <c r="I7" s="55">
        <v>2253.2800000000002</v>
      </c>
      <c r="J7" t="s">
        <v>488</v>
      </c>
      <c r="K7" t="s">
        <v>1545</v>
      </c>
    </row>
    <row r="8" spans="1:12" hidden="1" x14ac:dyDescent="0.3">
      <c r="C8">
        <v>202601</v>
      </c>
      <c r="D8" s="334">
        <v>837858124</v>
      </c>
      <c r="E8" s="276" t="s">
        <v>1032</v>
      </c>
      <c r="F8" s="47">
        <f>+g_shipping_sl[[#This Row],[tax_iva]]+g_shipping_sl[[#This Row],[net]]</f>
        <v>57.25</v>
      </c>
      <c r="G8" s="276">
        <v>0</v>
      </c>
      <c r="H8" s="55">
        <f>+g_shipping_sl[[#This Row],[tax_rate_iva]]*g_shipping_sl[[#This Row],[net]]</f>
        <v>0</v>
      </c>
      <c r="I8" s="55">
        <v>57.25</v>
      </c>
      <c r="J8" t="s">
        <v>488</v>
      </c>
      <c r="K8" t="s">
        <v>1547</v>
      </c>
    </row>
    <row r="9" spans="1:12" hidden="1" x14ac:dyDescent="0.3">
      <c r="C9">
        <v>202601</v>
      </c>
      <c r="D9" s="334">
        <v>837882632</v>
      </c>
      <c r="E9" s="276" t="s">
        <v>1032</v>
      </c>
      <c r="F9" s="47">
        <f>+g_shipping_sl[[#This Row],[tax_iva]]+g_shipping_sl[[#This Row],[net]]</f>
        <v>14.96</v>
      </c>
      <c r="G9" s="276">
        <v>0</v>
      </c>
      <c r="H9" s="55">
        <f>+g_shipping_sl[[#This Row],[tax_rate_iva]]*g_shipping_sl[[#This Row],[net]]</f>
        <v>0</v>
      </c>
      <c r="I9" s="55">
        <v>14.96</v>
      </c>
      <c r="J9" t="s">
        <v>488</v>
      </c>
      <c r="K9" t="s">
        <v>1548</v>
      </c>
    </row>
    <row r="10" spans="1:12" hidden="1" x14ac:dyDescent="0.3">
      <c r="C10">
        <v>202601</v>
      </c>
      <c r="D10" s="334">
        <v>837954641</v>
      </c>
      <c r="E10" s="276" t="s">
        <v>1032</v>
      </c>
      <c r="F10" s="47">
        <f>+g_shipping_sl[[#This Row],[tax_iva]]+g_shipping_sl[[#This Row],[net]]</f>
        <v>12.81</v>
      </c>
      <c r="G10" s="276">
        <v>0</v>
      </c>
      <c r="H10" s="55">
        <f>+g_shipping_sl[[#This Row],[tax_rate_iva]]*g_shipping_sl[[#This Row],[net]]</f>
        <v>0</v>
      </c>
      <c r="I10" s="55">
        <v>12.81</v>
      </c>
      <c r="J10" t="s">
        <v>488</v>
      </c>
      <c r="K10" t="s">
        <v>1550</v>
      </c>
    </row>
    <row r="11" spans="1:12" hidden="1" x14ac:dyDescent="0.3">
      <c r="C11">
        <v>202601</v>
      </c>
      <c r="D11" s="334">
        <v>4004566874</v>
      </c>
      <c r="E11" s="276" t="s">
        <v>422</v>
      </c>
      <c r="F11" s="47">
        <f>+g_shipping_sl[[#This Row],[tax_iva]]+g_shipping_sl[[#This Row],[net]]</f>
        <v>481.53159999999997</v>
      </c>
      <c r="G11" s="276">
        <v>0.21</v>
      </c>
      <c r="H11" s="55">
        <f>+g_shipping_sl[[#This Row],[tax_rate_iva]]*g_shipping_sl[[#This Row],[net]]</f>
        <v>83.571599999999989</v>
      </c>
      <c r="I11" s="55">
        <v>397.96</v>
      </c>
      <c r="J11" t="s">
        <v>488</v>
      </c>
      <c r="K11" t="s">
        <v>1552</v>
      </c>
    </row>
    <row r="12" spans="1:12" hidden="1" x14ac:dyDescent="0.3">
      <c r="C12">
        <v>202601</v>
      </c>
      <c r="D12" s="334">
        <v>20260014</v>
      </c>
      <c r="E12" s="276" t="s">
        <v>421</v>
      </c>
      <c r="F12" s="47">
        <f>+g_shipping_sl[[#This Row],[tax_iva]]+g_shipping_sl[[#This Row],[net]]</f>
        <v>14906.304599999999</v>
      </c>
      <c r="G12" s="276">
        <v>0.21</v>
      </c>
      <c r="H12" s="55">
        <f>+g_shipping_sl[[#This Row],[tax_rate_iva]]*g_shipping_sl[[#This Row],[net]]</f>
        <v>2587.0446000000002</v>
      </c>
      <c r="I12" s="55">
        <v>12319.26</v>
      </c>
      <c r="J12" t="s">
        <v>488</v>
      </c>
      <c r="K12" t="s">
        <v>1551</v>
      </c>
    </row>
    <row r="13" spans="1:12" hidden="1" x14ac:dyDescent="0.3">
      <c r="C13">
        <v>202601</v>
      </c>
      <c r="D13" s="334">
        <v>837993499</v>
      </c>
      <c r="E13" s="276" t="s">
        <v>1032</v>
      </c>
      <c r="F13" s="47">
        <f>+g_shipping_sl[[#This Row],[tax_iva]]+g_shipping_sl[[#This Row],[net]]</f>
        <v>10.46</v>
      </c>
      <c r="G13" s="276">
        <v>0</v>
      </c>
      <c r="H13" s="55">
        <f>+g_shipping_sl[[#This Row],[tax_rate_iva]]*g_shipping_sl[[#This Row],[net]]</f>
        <v>0</v>
      </c>
      <c r="I13" s="55">
        <v>10.46</v>
      </c>
      <c r="J13" t="s">
        <v>488</v>
      </c>
      <c r="K13" t="s">
        <v>1558</v>
      </c>
    </row>
    <row r="14" spans="1:12" hidden="1" x14ac:dyDescent="0.3">
      <c r="C14">
        <v>202601</v>
      </c>
      <c r="D14" s="334">
        <v>326966374</v>
      </c>
      <c r="E14" s="276" t="s">
        <v>1032</v>
      </c>
      <c r="F14" s="47">
        <f>+g_shipping_sl[[#This Row],[tax_iva]]+g_shipping_sl[[#This Row],[net]]</f>
        <v>604.6</v>
      </c>
      <c r="G14" s="276">
        <v>0</v>
      </c>
      <c r="H14" s="55">
        <f>+g_shipping_sl[[#This Row],[tax_rate_iva]]*g_shipping_sl[[#This Row],[net]]</f>
        <v>0</v>
      </c>
      <c r="I14" s="55">
        <v>604.6</v>
      </c>
      <c r="J14" t="s">
        <v>488</v>
      </c>
      <c r="K14" t="s">
        <v>1554</v>
      </c>
    </row>
    <row r="15" spans="1:12" hidden="1" x14ac:dyDescent="0.3">
      <c r="C15">
        <v>202601</v>
      </c>
      <c r="D15" s="334">
        <v>838043671</v>
      </c>
      <c r="E15" s="276" t="s">
        <v>1032</v>
      </c>
      <c r="F15" s="47">
        <f>+g_shipping_sl[[#This Row],[tax_iva]]+g_shipping_sl[[#This Row],[net]]</f>
        <v>98.86</v>
      </c>
      <c r="G15" s="276">
        <v>0</v>
      </c>
      <c r="H15" s="55">
        <f>+g_shipping_sl[[#This Row],[tax_rate_iva]]*g_shipping_sl[[#This Row],[net]]</f>
        <v>0</v>
      </c>
      <c r="I15" s="55">
        <v>98.86</v>
      </c>
      <c r="J15" t="s">
        <v>488</v>
      </c>
      <c r="K15" t="s">
        <v>1559</v>
      </c>
    </row>
    <row r="16" spans="1:12" hidden="1" x14ac:dyDescent="0.3">
      <c r="C16">
        <v>202602</v>
      </c>
      <c r="D16" s="334">
        <v>326997856</v>
      </c>
      <c r="E16" s="276" t="s">
        <v>1032</v>
      </c>
      <c r="F16" s="47">
        <f>+g_shipping_sl[[#This Row],[tax_iva]]+g_shipping_sl[[#This Row],[net]]</f>
        <v>643.82000000000005</v>
      </c>
      <c r="G16" s="276">
        <v>0</v>
      </c>
      <c r="H16" s="55">
        <f>+g_shipping_sl[[#This Row],[tax_rate_iva]]*g_shipping_sl[[#This Row],[net]]</f>
        <v>0</v>
      </c>
      <c r="I16" s="55">
        <v>643.82000000000005</v>
      </c>
      <c r="J16" t="s">
        <v>488</v>
      </c>
      <c r="K16" t="s">
        <v>1555</v>
      </c>
    </row>
    <row r="17" spans="3:12" hidden="1" x14ac:dyDescent="0.3">
      <c r="C17">
        <v>202602</v>
      </c>
      <c r="D17" s="334">
        <v>838088024</v>
      </c>
      <c r="E17" s="276" t="s">
        <v>1032</v>
      </c>
      <c r="F17" s="47">
        <f>+g_shipping_sl[[#This Row],[tax_iva]]+g_shipping_sl[[#This Row],[net]]</f>
        <v>40.32</v>
      </c>
      <c r="G17" s="276">
        <v>0</v>
      </c>
      <c r="H17" s="55">
        <f>+g_shipping_sl[[#This Row],[tax_rate_iva]]*g_shipping_sl[[#This Row],[net]]</f>
        <v>0</v>
      </c>
      <c r="I17" s="55">
        <v>40.32</v>
      </c>
      <c r="J17" t="s">
        <v>488</v>
      </c>
      <c r="K17" t="s">
        <v>1560</v>
      </c>
    </row>
    <row r="18" spans="3:12" hidden="1" x14ac:dyDescent="0.3">
      <c r="C18">
        <v>202602</v>
      </c>
      <c r="D18" s="334">
        <v>327030108</v>
      </c>
      <c r="E18" s="276" t="s">
        <v>1032</v>
      </c>
      <c r="F18" s="47">
        <f>+g_shipping_sl[[#This Row],[tax_iva]]+g_shipping_sl[[#This Row],[net]]</f>
        <v>629.73</v>
      </c>
      <c r="G18" s="276">
        <v>0</v>
      </c>
      <c r="H18" s="55">
        <f>+g_shipping_sl[[#This Row],[tax_rate_iva]]*g_shipping_sl[[#This Row],[net]]</f>
        <v>0</v>
      </c>
      <c r="I18" s="55">
        <v>629.73</v>
      </c>
      <c r="J18" t="s">
        <v>488</v>
      </c>
      <c r="K18" t="s">
        <v>1556</v>
      </c>
    </row>
    <row r="19" spans="3:12" hidden="1" x14ac:dyDescent="0.3">
      <c r="C19">
        <v>202602</v>
      </c>
      <c r="D19" s="334">
        <v>327061645</v>
      </c>
      <c r="E19" s="276" t="s">
        <v>1032</v>
      </c>
      <c r="F19" s="47">
        <f>+g_shipping_sl[[#This Row],[tax_iva]]+g_shipping_sl[[#This Row],[net]]</f>
        <v>512.62</v>
      </c>
      <c r="G19" s="276">
        <v>0</v>
      </c>
      <c r="H19" s="55">
        <f>+g_shipping_sl[[#This Row],[tax_rate_iva]]*g_shipping_sl[[#This Row],[net]]</f>
        <v>0</v>
      </c>
      <c r="I19" s="55">
        <v>512.62</v>
      </c>
      <c r="J19" t="s">
        <v>488</v>
      </c>
      <c r="K19" t="s">
        <v>1557</v>
      </c>
    </row>
    <row r="20" spans="3:12" hidden="1" x14ac:dyDescent="0.3">
      <c r="C20">
        <v>202602</v>
      </c>
      <c r="D20" s="334">
        <v>4004608215</v>
      </c>
      <c r="E20" s="276" t="s">
        <v>422</v>
      </c>
      <c r="F20" s="47">
        <f>+g_shipping_sl[[#This Row],[tax_iva]]+g_shipping_sl[[#This Row],[net]]</f>
        <v>117.0917</v>
      </c>
      <c r="G20" s="276">
        <v>0.21</v>
      </c>
      <c r="H20" s="55">
        <f>+g_shipping_sl[[#This Row],[tax_rate_iva]]*g_shipping_sl[[#This Row],[net]]</f>
        <v>20.3217</v>
      </c>
      <c r="I20" s="55">
        <v>96.77</v>
      </c>
      <c r="J20" t="s">
        <v>488</v>
      </c>
      <c r="K20" t="s">
        <v>1561</v>
      </c>
    </row>
    <row r="21" spans="3:12" hidden="1" x14ac:dyDescent="0.3">
      <c r="C21">
        <v>202602</v>
      </c>
      <c r="D21" s="334">
        <v>20260082</v>
      </c>
      <c r="E21" s="276" t="s">
        <v>421</v>
      </c>
      <c r="F21" s="47">
        <f>+g_shipping_sl[[#This Row],[tax_iva]]+g_shipping_sl[[#This Row],[net]]</f>
        <v>19295.894199999999</v>
      </c>
      <c r="G21" s="276">
        <v>0.21</v>
      </c>
      <c r="H21" s="55">
        <f>+g_shipping_sl[[#This Row],[tax_rate_iva]]*g_shipping_sl[[#This Row],[net]]</f>
        <v>3348.8741999999997</v>
      </c>
      <c r="I21" s="55">
        <v>15947.02</v>
      </c>
      <c r="J21" t="s">
        <v>488</v>
      </c>
      <c r="K21" t="s">
        <v>1563</v>
      </c>
    </row>
    <row r="22" spans="3:12" hidden="1" x14ac:dyDescent="0.3">
      <c r="C22">
        <v>202602</v>
      </c>
      <c r="D22" s="334">
        <v>4004608216</v>
      </c>
      <c r="E22" s="276" t="s">
        <v>422</v>
      </c>
      <c r="F22" s="47">
        <f>+g_shipping_sl[[#This Row],[tax_iva]]+g_shipping_sl[[#This Row],[net]]</f>
        <v>17.601499999999998</v>
      </c>
      <c r="G22" s="276">
        <v>7.0000000000000007E-2</v>
      </c>
      <c r="H22" s="55">
        <f>+g_shipping_sl[[#This Row],[tax_rate_iva]]*g_shipping_sl[[#This Row],[net]]</f>
        <v>1.1515</v>
      </c>
      <c r="I22" s="55">
        <v>16.45</v>
      </c>
      <c r="J22" t="s">
        <v>488</v>
      </c>
      <c r="K22" t="s">
        <v>1562</v>
      </c>
    </row>
    <row r="23" spans="3:12" hidden="1" x14ac:dyDescent="0.3">
      <c r="C23">
        <v>202601</v>
      </c>
      <c r="D23" s="334">
        <v>4004550727</v>
      </c>
      <c r="E23" s="276" t="s">
        <v>422</v>
      </c>
      <c r="F23" s="47">
        <f>+g_shipping_sl[[#This Row],[tax_iva]]+g_shipping_sl[[#This Row],[net]]</f>
        <v>188.51800000000003</v>
      </c>
      <c r="G23" s="276">
        <v>0.21</v>
      </c>
      <c r="H23" s="55">
        <f>+g_shipping_sl[[#This Row],[tax_rate_iva]]*g_shipping_sl[[#This Row],[net]]</f>
        <v>32.718000000000004</v>
      </c>
      <c r="I23" s="55">
        <v>155.80000000000001</v>
      </c>
      <c r="J23" t="s">
        <v>488</v>
      </c>
      <c r="K23" t="s">
        <v>1568</v>
      </c>
    </row>
    <row r="24" spans="3:12" hidden="1" x14ac:dyDescent="0.3">
      <c r="C24">
        <v>202601</v>
      </c>
      <c r="D24" s="334"/>
      <c r="E24" s="276" t="s">
        <v>422</v>
      </c>
      <c r="F24" s="47">
        <f>+g_shipping_sl[[#This Row],[tax_iva]]+g_shipping_sl[[#This Row],[net]]</f>
        <v>22.8017</v>
      </c>
      <c r="G24" s="276">
        <v>7.0000000000000007E-2</v>
      </c>
      <c r="H24" s="55">
        <f>+g_shipping_sl[[#This Row],[tax_rate_iva]]*g_shipping_sl[[#This Row],[net]]</f>
        <v>1.4917</v>
      </c>
      <c r="I24" s="55">
        <v>21.31</v>
      </c>
      <c r="J24" t="s">
        <v>488</v>
      </c>
      <c r="L24" t="s">
        <v>1571</v>
      </c>
    </row>
    <row r="25" spans="3:12" x14ac:dyDescent="0.3">
      <c r="D25" s="320"/>
      <c r="E25" s="276"/>
      <c r="F25"/>
    </row>
    <row r="26" spans="3:12" x14ac:dyDescent="0.3">
      <c r="D26" s="320"/>
      <c r="E26" s="276"/>
      <c r="F26"/>
    </row>
    <row r="27" spans="3:12" x14ac:dyDescent="0.3">
      <c r="D27" s="320"/>
      <c r="E27" s="276"/>
      <c r="F27"/>
    </row>
    <row r="28" spans="3:12" x14ac:dyDescent="0.3">
      <c r="D28" s="320"/>
      <c r="E28" s="276"/>
      <c r="F28"/>
    </row>
    <row r="29" spans="3:12" x14ac:dyDescent="0.3">
      <c r="D29" s="320"/>
      <c r="E29" s="276"/>
      <c r="F29"/>
    </row>
    <row r="30" spans="3:12" x14ac:dyDescent="0.3">
      <c r="D30" s="320"/>
      <c r="E30" s="276"/>
      <c r="F30"/>
    </row>
    <row r="31" spans="3:12" x14ac:dyDescent="0.3">
      <c r="D31" s="320"/>
      <c r="E31" s="276"/>
      <c r="F31"/>
    </row>
    <row r="32" spans="3:12" x14ac:dyDescent="0.3">
      <c r="D32" s="320"/>
      <c r="E32" s="276"/>
      <c r="F32"/>
    </row>
    <row r="33" spans="4:6" x14ac:dyDescent="0.3">
      <c r="D33" s="320"/>
      <c r="E33" s="276"/>
      <c r="F33"/>
    </row>
    <row r="34" spans="4:6" x14ac:dyDescent="0.3">
      <c r="D34" s="320"/>
      <c r="E34" s="276"/>
      <c r="F34"/>
    </row>
    <row r="35" spans="4:6" x14ac:dyDescent="0.3">
      <c r="D35" s="320"/>
      <c r="E35" s="276"/>
      <c r="F35"/>
    </row>
    <row r="36" spans="4:6" x14ac:dyDescent="0.3">
      <c r="D36" s="320"/>
      <c r="E36" s="276"/>
      <c r="F36"/>
    </row>
    <row r="37" spans="4:6" x14ac:dyDescent="0.3">
      <c r="D37" s="320"/>
      <c r="E37" s="276"/>
      <c r="F37"/>
    </row>
    <row r="38" spans="4:6" x14ac:dyDescent="0.3">
      <c r="D38" s="320"/>
      <c r="E38" s="276"/>
      <c r="F38"/>
    </row>
    <row r="39" spans="4:6" x14ac:dyDescent="0.3">
      <c r="D39" s="320"/>
      <c r="E39" s="276"/>
      <c r="F39"/>
    </row>
    <row r="40" spans="4:6" x14ac:dyDescent="0.3">
      <c r="D40" s="320"/>
      <c r="E40" s="276"/>
      <c r="F40"/>
    </row>
    <row r="41" spans="4:6" x14ac:dyDescent="0.3">
      <c r="D41" s="320"/>
      <c r="E41" s="276"/>
      <c r="F41"/>
    </row>
    <row r="42" spans="4:6" x14ac:dyDescent="0.3">
      <c r="D42" s="320"/>
      <c r="E42" s="276"/>
      <c r="F42"/>
    </row>
    <row r="43" spans="4:6" x14ac:dyDescent="0.3">
      <c r="D43" s="320"/>
      <c r="E43" s="276"/>
      <c r="F43"/>
    </row>
    <row r="44" spans="4:6" x14ac:dyDescent="0.3">
      <c r="D44" s="320"/>
      <c r="E44" s="276"/>
      <c r="F44"/>
    </row>
    <row r="45" spans="4:6" x14ac:dyDescent="0.3">
      <c r="D45" s="320"/>
      <c r="E45" s="276"/>
      <c r="F45"/>
    </row>
    <row r="46" spans="4:6" x14ac:dyDescent="0.3">
      <c r="D46" s="320"/>
      <c r="E46" s="276"/>
      <c r="F46"/>
    </row>
    <row r="47" spans="4:6" x14ac:dyDescent="0.3">
      <c r="D47" s="320"/>
      <c r="E47" s="276"/>
      <c r="F47"/>
    </row>
    <row r="48" spans="4:6" x14ac:dyDescent="0.3">
      <c r="D48" s="320"/>
      <c r="E48" s="276"/>
      <c r="F48"/>
    </row>
    <row r="49" spans="4:6" x14ac:dyDescent="0.3">
      <c r="D49" s="320"/>
      <c r="E49" s="276"/>
      <c r="F49"/>
    </row>
    <row r="50" spans="4:6" x14ac:dyDescent="0.3">
      <c r="D50" s="320"/>
      <c r="E50" s="276"/>
      <c r="F50"/>
    </row>
    <row r="51" spans="4:6" x14ac:dyDescent="0.3">
      <c r="D51" s="320"/>
      <c r="E51" s="276"/>
      <c r="F51"/>
    </row>
    <row r="52" spans="4:6" x14ac:dyDescent="0.3">
      <c r="D52" s="320"/>
      <c r="E52" s="276"/>
      <c r="F52"/>
    </row>
    <row r="53" spans="4:6" x14ac:dyDescent="0.3">
      <c r="D53" s="320"/>
      <c r="E53" s="276"/>
      <c r="F53"/>
    </row>
    <row r="54" spans="4:6" x14ac:dyDescent="0.3">
      <c r="D54" s="320"/>
      <c r="E54" s="276"/>
      <c r="F54"/>
    </row>
    <row r="55" spans="4:6" x14ac:dyDescent="0.3">
      <c r="D55" s="320"/>
      <c r="E55" s="276"/>
      <c r="F55"/>
    </row>
  </sheetData>
  <hyperlinks>
    <hyperlink ref="A1" location="'P&amp;G-SL'!A1" display="Volver" xr:uid="{7D4C4D02-1ADA-41CD-B372-B94947AC5C51}"/>
  </hyperlink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314F-450F-4830-9882-93FF34A7B4E1}">
  <sheetPr>
    <tabColor rgb="FFFF0000"/>
  </sheetPr>
  <dimension ref="A1:I3"/>
  <sheetViews>
    <sheetView workbookViewId="0"/>
  </sheetViews>
  <sheetFormatPr baseColWidth="10" defaultColWidth="11.44140625" defaultRowHeight="14.4" x14ac:dyDescent="0.3"/>
  <cols>
    <col min="1" max="1" width="6" bestFit="1" customWidth="1"/>
    <col min="2" max="2" width="2.88671875" customWidth="1"/>
    <col min="3" max="3" width="14.6640625" customWidth="1"/>
    <col min="4" max="4" width="12.33203125" bestFit="1" customWidth="1"/>
    <col min="5" max="6" width="12.33203125" customWidth="1"/>
    <col min="9" max="9" width="34.6640625" customWidth="1"/>
  </cols>
  <sheetData>
    <row r="1" spans="1:9" x14ac:dyDescent="0.3">
      <c r="A1" s="199" t="s">
        <v>1428</v>
      </c>
      <c r="C1" t="s">
        <v>239</v>
      </c>
      <c r="D1" t="s">
        <v>1572</v>
      </c>
      <c r="E1" t="s">
        <v>1573</v>
      </c>
      <c r="F1" t="s">
        <v>1574</v>
      </c>
      <c r="G1" t="s">
        <v>251</v>
      </c>
      <c r="H1" t="s">
        <v>1575</v>
      </c>
      <c r="I1" t="s">
        <v>1195</v>
      </c>
    </row>
    <row r="2" spans="1:9" x14ac:dyDescent="0.3">
      <c r="C2" s="244">
        <v>202601</v>
      </c>
      <c r="D2" s="55">
        <v>13737</v>
      </c>
      <c r="E2" s="55">
        <v>1272</v>
      </c>
      <c r="F2" s="55">
        <v>471</v>
      </c>
      <c r="G2" t="s">
        <v>488</v>
      </c>
    </row>
    <row r="3" spans="1:9" x14ac:dyDescent="0.3">
      <c r="C3" s="244">
        <v>202602</v>
      </c>
      <c r="D3" s="55">
        <v>16662</v>
      </c>
      <c r="E3" s="273">
        <v>1596</v>
      </c>
      <c r="F3" s="273">
        <v>744</v>
      </c>
      <c r="G3" t="s">
        <v>488</v>
      </c>
    </row>
  </sheetData>
  <hyperlinks>
    <hyperlink ref="A1" location="'P&amp;G-SL'!A1" display="Volver" xr:uid="{A2AB2BBA-EA60-48D7-9AF4-A35A26BE2ACB}"/>
  </hyperlink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lessThan" allowBlank="1" showInputMessage="1" showErrorMessage="1" xr:uid="{7B7605F3-53C9-4907-A8CE-32BBC983BA67}">
          <x14:formula1>
            <xm:f>params!$B$4:$M$4</xm:f>
          </x14:formula1>
          <xm:sqref>C2:C3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C0AF-DE93-4882-8B54-D6BA3F3499B9}">
  <sheetPr>
    <tabColor rgb="FFFF0000"/>
  </sheetPr>
  <dimension ref="A1:H7"/>
  <sheetViews>
    <sheetView workbookViewId="0"/>
  </sheetViews>
  <sheetFormatPr baseColWidth="10" defaultColWidth="11.44140625" defaultRowHeight="14.4" x14ac:dyDescent="0.3"/>
  <cols>
    <col min="1" max="1" width="6" bestFit="1" customWidth="1"/>
    <col min="2" max="2" width="2.88671875" customWidth="1"/>
    <col min="3" max="4" width="14.6640625" customWidth="1"/>
    <col min="5" max="5" width="12.33203125" bestFit="1" customWidth="1"/>
    <col min="8" max="8" width="34.6640625" customWidth="1"/>
  </cols>
  <sheetData>
    <row r="1" spans="1:8" x14ac:dyDescent="0.3">
      <c r="A1" s="199" t="s">
        <v>1428</v>
      </c>
      <c r="C1" t="s">
        <v>239</v>
      </c>
      <c r="D1" t="s">
        <v>249</v>
      </c>
      <c r="E1" t="s">
        <v>1572</v>
      </c>
      <c r="F1" t="s">
        <v>251</v>
      </c>
      <c r="G1" t="s">
        <v>1575</v>
      </c>
      <c r="H1" t="s">
        <v>1195</v>
      </c>
    </row>
    <row r="2" spans="1:8" x14ac:dyDescent="0.3">
      <c r="C2" s="244" t="s">
        <v>1178</v>
      </c>
      <c r="D2" s="355" t="s">
        <v>9</v>
      </c>
      <c r="E2" s="310">
        <v>2623.76</v>
      </c>
      <c r="F2" t="s">
        <v>488</v>
      </c>
    </row>
    <row r="3" spans="1:8" x14ac:dyDescent="0.3">
      <c r="C3" s="244" t="s">
        <v>1178</v>
      </c>
      <c r="D3" s="355" t="s">
        <v>67</v>
      </c>
      <c r="E3" s="55">
        <v>1366.48</v>
      </c>
      <c r="F3" t="s">
        <v>488</v>
      </c>
    </row>
    <row r="4" spans="1:8" x14ac:dyDescent="0.3">
      <c r="C4" t="s">
        <v>1178</v>
      </c>
      <c r="D4" t="s">
        <v>73</v>
      </c>
      <c r="E4" s="55">
        <v>10</v>
      </c>
      <c r="F4" t="s">
        <v>488</v>
      </c>
      <c r="H4" s="279"/>
    </row>
    <row r="5" spans="1:8" x14ac:dyDescent="0.3">
      <c r="C5" s="312">
        <v>202602</v>
      </c>
      <c r="D5" s="355" t="s">
        <v>9</v>
      </c>
      <c r="E5" s="55">
        <v>2221.5</v>
      </c>
      <c r="F5" t="s">
        <v>488</v>
      </c>
      <c r="H5" s="279"/>
    </row>
    <row r="6" spans="1:8" x14ac:dyDescent="0.3">
      <c r="C6" s="312">
        <v>202602</v>
      </c>
      <c r="D6" s="355" t="s">
        <v>67</v>
      </c>
      <c r="E6" s="55">
        <v>1172</v>
      </c>
      <c r="F6" t="s">
        <v>488</v>
      </c>
      <c r="H6" s="279"/>
    </row>
    <row r="7" spans="1:8" x14ac:dyDescent="0.3">
      <c r="C7" s="312">
        <v>202602</v>
      </c>
      <c r="D7" t="s">
        <v>73</v>
      </c>
      <c r="E7" s="55">
        <v>10</v>
      </c>
      <c r="F7" t="s">
        <v>488</v>
      </c>
      <c r="H7" s="279"/>
    </row>
  </sheetData>
  <dataValidations count="1">
    <dataValidation operator="lessThan" allowBlank="1" showInputMessage="1" showErrorMessage="1" sqref="D2:D7" xr:uid="{F68F5372-6A46-4AD9-96F0-1C375495C5FA}"/>
  </dataValidations>
  <hyperlinks>
    <hyperlink ref="A1" location="'P&amp;G-SL'!A1" display="Volver" xr:uid="{22CA4138-27E6-478D-B61E-EC8B9A014542}"/>
  </hyperlink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lessThan" allowBlank="1" showInputMessage="1" showErrorMessage="1" xr:uid="{C5FA7D44-8E68-49DF-9313-0B30A5CDCBD4}">
          <x14:formula1>
            <xm:f>params!$B$4:$M$4</xm:f>
          </x14:formula1>
          <xm:sqref>C2:C7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F8CE-30C2-4FAD-88D6-F57149479CC8}">
  <sheetPr>
    <tabColor theme="1"/>
  </sheetPr>
  <dimension ref="A1:S976"/>
  <sheetViews>
    <sheetView zoomScale="88" zoomScaleNormal="88" workbookViewId="0">
      <pane ySplit="1" topLeftCell="A820" activePane="bottomLeft" state="frozen"/>
      <selection activeCell="F1" sqref="F1"/>
      <selection pane="bottomLeft" activeCell="C820" sqref="C820"/>
    </sheetView>
  </sheetViews>
  <sheetFormatPr baseColWidth="10" defaultColWidth="11.44140625" defaultRowHeight="14.4" x14ac:dyDescent="0.3"/>
  <cols>
    <col min="1" max="1" width="11.6640625" customWidth="1"/>
    <col min="2" max="2" width="11.6640625" style="22" customWidth="1"/>
    <col min="3" max="3" width="32.33203125" style="48" customWidth="1"/>
    <col min="4" max="5" width="12.33203125" style="43" customWidth="1"/>
    <col min="6" max="6" width="49.33203125" customWidth="1"/>
    <col min="7" max="9" width="16.6640625" style="47" customWidth="1"/>
    <col min="10" max="10" width="11.44140625" style="47"/>
    <col min="11" max="11" width="14.44140625" bestFit="1" customWidth="1"/>
    <col min="12" max="14" width="14.44140625" customWidth="1"/>
    <col min="17" max="17" width="53.44140625" customWidth="1"/>
    <col min="18" max="18" width="11.44140625" bestFit="1" customWidth="1"/>
    <col min="19" max="19" width="39.6640625" customWidth="1"/>
  </cols>
  <sheetData>
    <row r="1" spans="1:19" x14ac:dyDescent="0.3">
      <c r="A1" t="s">
        <v>239</v>
      </c>
      <c r="B1" s="22" t="s">
        <v>916</v>
      </c>
      <c r="C1" s="48" t="s">
        <v>240</v>
      </c>
      <c r="D1" s="43" t="s">
        <v>241</v>
      </c>
      <c r="E1" s="43" t="s">
        <v>242</v>
      </c>
      <c r="F1" t="s">
        <v>243</v>
      </c>
      <c r="G1" s="253" t="s">
        <v>244</v>
      </c>
      <c r="H1" s="253" t="s">
        <v>911</v>
      </c>
      <c r="I1" s="253" t="s">
        <v>913</v>
      </c>
      <c r="J1" s="47" t="s">
        <v>246</v>
      </c>
      <c r="K1" s="253" t="s">
        <v>247</v>
      </c>
      <c r="L1" t="s">
        <v>912</v>
      </c>
      <c r="M1" t="s">
        <v>914</v>
      </c>
      <c r="N1" s="253" t="s">
        <v>249</v>
      </c>
      <c r="O1" s="253" t="s">
        <v>250</v>
      </c>
      <c r="P1" s="253" t="s">
        <v>251</v>
      </c>
      <c r="Q1" t="s">
        <v>516</v>
      </c>
      <c r="R1" t="s">
        <v>925</v>
      </c>
      <c r="S1" t="s">
        <v>1195</v>
      </c>
    </row>
    <row r="2" spans="1:19" ht="15" hidden="1" customHeight="1" x14ac:dyDescent="0.3">
      <c r="A2" s="88">
        <v>202501</v>
      </c>
      <c r="B2" s="22" t="s">
        <v>917</v>
      </c>
      <c r="C2" s="89" t="s">
        <v>252</v>
      </c>
      <c r="D2" s="90">
        <v>45604</v>
      </c>
      <c r="E2" s="90">
        <v>45604</v>
      </c>
      <c r="F2" s="88" t="s">
        <v>119</v>
      </c>
      <c r="G2" s="47">
        <f>MAX(+input_invoice[[#This Row],[net]]+input_invoice[[#This Row],[tax_iva]]+input_invoice[[#This Row],[tax_irpf]],input_invoice[[#This Row],[net]])</f>
        <v>364.68240000000003</v>
      </c>
      <c r="H2" s="91">
        <f>input_invoice[[#This Row],[net]]*(MAX(input_invoice[[#This Row],[tax_rate_iva]],0)/100)</f>
        <v>72.248400000000004</v>
      </c>
      <c r="I2" s="91">
        <f>-input_invoice[[#This Row],[net]]*input_invoice[[#This Row],[tax_rate_irpf]]/100</f>
        <v>-51.606000000000002</v>
      </c>
      <c r="J2" s="91">
        <v>344.04</v>
      </c>
      <c r="K2" s="88" t="str">
        <f t="shared" ref="K2" si="0">_xlfn.TEXTBEFORE(F2," - ")</f>
        <v>administrative</v>
      </c>
      <c r="L2" s="88">
        <v>21</v>
      </c>
      <c r="M2" s="88">
        <v>15</v>
      </c>
      <c r="N2" s="88" t="str">
        <f>VLOOKUP(input_invoice[[#This Row],[concept/supplier]],'sel-invoice'!D:E,2,0)</f>
        <v>otros</v>
      </c>
      <c r="O2" s="88" t="str">
        <f>VLOOKUP(input_invoice[[#This Row],[concept/supplier]],'sel-invoice'!D:F,3,0)</f>
        <v>SL</v>
      </c>
      <c r="P2" s="88" t="str">
        <f>IF(input_invoice[[#This Row],[entity]]="SL","EUR",IF(input_invoice[[#This Row],[entity]]="Ltd","GBP",IF(input_invoice[[#This Row],[entity]]="Inc","USD","XXX")))</f>
        <v>EUR</v>
      </c>
      <c r="Q2" s="199" t="s">
        <v>530</v>
      </c>
    </row>
    <row r="3" spans="1:19" ht="15" hidden="1" customHeight="1" x14ac:dyDescent="0.3">
      <c r="A3">
        <v>202501</v>
      </c>
      <c r="B3" s="22" t="s">
        <v>917</v>
      </c>
      <c r="C3" s="48" t="s">
        <v>271</v>
      </c>
      <c r="D3" s="43">
        <v>45658</v>
      </c>
      <c r="E3" s="43">
        <v>45658</v>
      </c>
      <c r="F3" t="s">
        <v>81</v>
      </c>
      <c r="G3" s="47">
        <f>MAX(+input_invoice[[#This Row],[net]]+input_invoice[[#This Row],[tax_iva]]+input_invoice[[#This Row],[tax_irpf]],input_invoice[[#This Row],[net]])</f>
        <v>95.59</v>
      </c>
      <c r="H3" s="47">
        <f>input_invoice[[#This Row],[net]]*(MAX(input_invoice[[#This Row],[tax_rate_iva]],0)/100)</f>
        <v>16.59</v>
      </c>
      <c r="I3" s="47">
        <f>-input_invoice[[#This Row],[net]]*input_invoice[[#This Row],[tax_rate_irpf]]/100</f>
        <v>0</v>
      </c>
      <c r="J3" s="47">
        <v>79</v>
      </c>
      <c r="K3" t="str">
        <f t="shared" ref="K3:K5" si="1">_xlfn.TEXTBEFORE(F3," - ")</f>
        <v>returns</v>
      </c>
      <c r="L3">
        <v>21</v>
      </c>
      <c r="N3" t="str">
        <f>VLOOKUP(input_invoice[[#This Row],[concept/supplier]],'sel-invoice'!D:E,2,0)</f>
        <v>rever</v>
      </c>
      <c r="O3" t="str">
        <f>VLOOKUP(input_invoice[[#This Row],[concept/supplier]],'sel-invoice'!D:F,3,0)</f>
        <v>SL</v>
      </c>
      <c r="P3" t="str">
        <f>IF(input_invoice[[#This Row],[entity]]="SL","EUR",IF(input_invoice[[#This Row],[entity]]="Ltd","GBP",IF(input_invoice[[#This Row],[entity]]="Inc","USD","XXX")))</f>
        <v>EUR</v>
      </c>
    </row>
    <row r="4" spans="1:19" ht="15" hidden="1" customHeight="1" x14ac:dyDescent="0.3">
      <c r="A4">
        <v>202501</v>
      </c>
      <c r="B4" s="22" t="s">
        <v>917</v>
      </c>
      <c r="C4" s="48" t="s">
        <v>272</v>
      </c>
      <c r="D4" s="43">
        <v>45659</v>
      </c>
      <c r="E4" s="43">
        <v>45659</v>
      </c>
      <c r="F4" t="s">
        <v>81</v>
      </c>
      <c r="G4" s="47">
        <f>MAX(+input_invoice[[#This Row],[net]]+input_invoice[[#This Row],[tax_iva]]+input_invoice[[#This Row],[tax_irpf]],input_invoice[[#This Row],[net]])</f>
        <v>385.71169999999995</v>
      </c>
      <c r="H4" s="47">
        <f>input_invoice[[#This Row],[net]]*(MAX(input_invoice[[#This Row],[tax_rate_iva]],0)/100)</f>
        <v>66.941699999999997</v>
      </c>
      <c r="I4" s="47">
        <f>-input_invoice[[#This Row],[net]]*input_invoice[[#This Row],[tax_rate_irpf]]/100</f>
        <v>0</v>
      </c>
      <c r="J4" s="47">
        <v>318.77</v>
      </c>
      <c r="K4" t="str">
        <f t="shared" si="1"/>
        <v>returns</v>
      </c>
      <c r="L4">
        <v>21</v>
      </c>
      <c r="N4" t="str">
        <f>VLOOKUP(input_invoice[[#This Row],[concept/supplier]],'sel-invoice'!D:E,2,0)</f>
        <v>rever</v>
      </c>
      <c r="O4" t="str">
        <f>VLOOKUP(input_invoice[[#This Row],[concept/supplier]],'sel-invoice'!D:F,3,0)</f>
        <v>SL</v>
      </c>
      <c r="P4" t="str">
        <f>IF(input_invoice[[#This Row],[entity]]="SL","EUR",IF(input_invoice[[#This Row],[entity]]="Ltd","GBP",IF(input_invoice[[#This Row],[entity]]="Inc","USD","XXX")))</f>
        <v>EUR</v>
      </c>
    </row>
    <row r="5" spans="1:19" ht="15" hidden="1" customHeight="1" x14ac:dyDescent="0.3">
      <c r="A5">
        <v>202501</v>
      </c>
      <c r="B5" s="22" t="s">
        <v>917</v>
      </c>
      <c r="C5" s="48" t="s">
        <v>273</v>
      </c>
      <c r="D5" s="43">
        <v>45659</v>
      </c>
      <c r="E5" s="43">
        <v>45659</v>
      </c>
      <c r="F5" t="s">
        <v>81</v>
      </c>
      <c r="G5" s="47">
        <f>MAX(+input_invoice[[#This Row],[net]]+input_invoice[[#This Row],[tax_iva]]+input_invoice[[#This Row],[tax_irpf]],input_invoice[[#This Row],[net]])</f>
        <v>1257.3399999999999</v>
      </c>
      <c r="H5" s="47">
        <f>input_invoice[[#This Row],[net]]*(MAX(input_invoice[[#This Row],[tax_rate_iva]],0)/100)</f>
        <v>0</v>
      </c>
      <c r="I5" s="47">
        <f>-input_invoice[[#This Row],[net]]*input_invoice[[#This Row],[tax_rate_irpf]]/100</f>
        <v>0</v>
      </c>
      <c r="J5" s="47">
        <v>1257.3399999999999</v>
      </c>
      <c r="K5" t="str">
        <f t="shared" si="1"/>
        <v>returns</v>
      </c>
      <c r="L5">
        <v>0</v>
      </c>
      <c r="N5" t="str">
        <f>VLOOKUP(input_invoice[[#This Row],[concept/supplier]],'sel-invoice'!D:E,2,0)</f>
        <v>rever</v>
      </c>
      <c r="O5" t="str">
        <f>VLOOKUP(input_invoice[[#This Row],[concept/supplier]],'sel-invoice'!D:F,3,0)</f>
        <v>SL</v>
      </c>
      <c r="P5" t="str">
        <f>IF(input_invoice[[#This Row],[entity]]="SL","EUR",IF(input_invoice[[#This Row],[entity]]="Ltd","GBP",IF(input_invoice[[#This Row],[entity]]="Inc","USD","XXX")))</f>
        <v>EUR</v>
      </c>
    </row>
    <row r="6" spans="1:19" ht="15" hidden="1" customHeight="1" x14ac:dyDescent="0.3">
      <c r="A6">
        <v>202501</v>
      </c>
      <c r="B6" s="22" t="s">
        <v>917</v>
      </c>
      <c r="C6" s="48" t="s">
        <v>254</v>
      </c>
      <c r="D6" s="43">
        <v>45659</v>
      </c>
      <c r="E6" s="43">
        <v>45659</v>
      </c>
      <c r="F6" t="s">
        <v>113</v>
      </c>
      <c r="G6" s="47">
        <f>MAX(+input_invoice[[#This Row],[net]]+input_invoice[[#This Row],[tax_iva]]+input_invoice[[#This Row],[tax_irpf]],input_invoice[[#This Row],[net]])</f>
        <v>18.149999999999999</v>
      </c>
      <c r="H6" s="47">
        <f>input_invoice[[#This Row],[net]]*(MAX(input_invoice[[#This Row],[tax_rate_iva]],0)/100)</f>
        <v>3.15</v>
      </c>
      <c r="I6" s="47">
        <f>-input_invoice[[#This Row],[net]]*input_invoice[[#This Row],[tax_rate_irpf]]/100</f>
        <v>0</v>
      </c>
      <c r="J6" s="47">
        <v>15</v>
      </c>
      <c r="K6" t="str">
        <f t="shared" ref="K6:K37" si="2">_xlfn.TEXTBEFORE(F6," - ")</f>
        <v>administrative</v>
      </c>
      <c r="L6">
        <v>21</v>
      </c>
      <c r="N6" t="str">
        <f>VLOOKUP(input_invoice[[#This Row],[concept/supplier]],'sel-invoice'!D:E,2,0)</f>
        <v>Torras y asociados</v>
      </c>
      <c r="O6" t="str">
        <f>VLOOKUP(input_invoice[[#This Row],[concept/supplier]],'sel-invoice'!D:F,3,0)</f>
        <v>SL</v>
      </c>
      <c r="P6" t="str">
        <f>IF(input_invoice[[#This Row],[entity]]="SL","EUR",IF(input_invoice[[#This Row],[entity]]="Ltd","GBP",IF(input_invoice[[#This Row],[entity]]="Inc","USD","XXX")))</f>
        <v>EUR</v>
      </c>
      <c r="Q6" s="199" t="s">
        <v>531</v>
      </c>
      <c r="R6" s="259" t="b">
        <v>1</v>
      </c>
    </row>
    <row r="7" spans="1:19" ht="15" hidden="1" customHeight="1" x14ac:dyDescent="0.3">
      <c r="A7">
        <v>202501</v>
      </c>
      <c r="B7" s="22" t="s">
        <v>917</v>
      </c>
      <c r="C7" s="48">
        <v>202500007627</v>
      </c>
      <c r="D7" s="43">
        <v>45659</v>
      </c>
      <c r="E7" s="43">
        <v>45659</v>
      </c>
      <c r="F7" t="s">
        <v>56</v>
      </c>
      <c r="G7" s="47">
        <f>MAX(+input_invoice[[#This Row],[net]]+input_invoice[[#This Row],[tax_iva]]+input_invoice[[#This Row],[tax_irpf]],input_invoice[[#This Row],[net]])</f>
        <v>58.4</v>
      </c>
      <c r="H7" s="47">
        <f>input_invoice[[#This Row],[net]]*(MAX(input_invoice[[#This Row],[tax_rate_iva]],0)/100)</f>
        <v>0</v>
      </c>
      <c r="I7" s="47">
        <f>-input_invoice[[#This Row],[net]]*input_invoice[[#This Row],[tax_rate_irpf]]/100</f>
        <v>0</v>
      </c>
      <c r="J7" s="47">
        <v>58.4</v>
      </c>
      <c r="K7" t="str">
        <f t="shared" si="2"/>
        <v>logistics</v>
      </c>
      <c r="N7" t="str">
        <f>VLOOKUP(input_invoice[[#This Row],[concept/supplier]],'sel-invoice'!D:E,2,0)</f>
        <v>UPS FR</v>
      </c>
      <c r="O7" t="str">
        <f>VLOOKUP(input_invoice[[#This Row],[concept/supplier]],'sel-invoice'!D:F,3,0)</f>
        <v>SL</v>
      </c>
      <c r="P7" t="str">
        <f>IF(input_invoice[[#This Row],[entity]]="SL","EUR",IF(input_invoice[[#This Row],[entity]]="Ltd","GBP",IF(input_invoice[[#This Row],[entity]]="Inc","USD","XXX")))</f>
        <v>EUR</v>
      </c>
      <c r="Q7" s="199" t="s">
        <v>879</v>
      </c>
      <c r="R7" s="259" t="b">
        <v>1</v>
      </c>
    </row>
    <row r="8" spans="1:19" ht="15" hidden="1" customHeight="1" x14ac:dyDescent="0.3">
      <c r="A8">
        <v>202505</v>
      </c>
      <c r="B8" s="22" t="s">
        <v>917</v>
      </c>
      <c r="C8" s="198">
        <v>45662</v>
      </c>
      <c r="D8" s="198">
        <v>45662</v>
      </c>
      <c r="E8" s="198">
        <v>45662</v>
      </c>
      <c r="F8" t="s">
        <v>517</v>
      </c>
      <c r="G8" s="47">
        <f>MAX(+input_invoice[[#This Row],[net]]+input_invoice[[#This Row],[tax_iva]]+input_invoice[[#This Row],[tax_irpf]],input_invoice[[#This Row],[net]])</f>
        <v>1150</v>
      </c>
      <c r="H8" s="47">
        <f>input_invoice[[#This Row],[net]]*(MAX(input_invoice[[#This Row],[tax_rate_iva]],0)/100)</f>
        <v>0</v>
      </c>
      <c r="I8" s="47">
        <f>-input_invoice[[#This Row],[net]]*input_invoice[[#This Row],[tax_rate_irpf]]/100</f>
        <v>0</v>
      </c>
      <c r="J8" s="47">
        <v>1150</v>
      </c>
      <c r="K8" t="str">
        <f t="shared" si="2"/>
        <v>administrative</v>
      </c>
      <c r="L8">
        <v>0</v>
      </c>
      <c r="N8" t="str">
        <f>VLOOKUP(input_invoice[[#This Row],[concept/supplier]],'sel-invoice'!D:E,2,0)</f>
        <v>Continuum</v>
      </c>
      <c r="O8" t="str">
        <f>VLOOKUP(input_invoice[[#This Row],[concept/supplier]],'sel-invoice'!D:F,3,0)</f>
        <v>Inc</v>
      </c>
      <c r="P8" t="str">
        <f>IF(input_invoice[[#This Row],[entity]]="SL","EUR",IF(input_invoice[[#This Row],[entity]]="Ltd","GBP",IF(input_invoice[[#This Row],[entity]]="Inc","USD","XXX")))</f>
        <v>USD</v>
      </c>
    </row>
    <row r="9" spans="1:19" ht="15" hidden="1" customHeight="1" x14ac:dyDescent="0.3">
      <c r="A9">
        <v>202506</v>
      </c>
      <c r="B9" s="22" t="s">
        <v>917</v>
      </c>
      <c r="C9" s="198">
        <v>45663</v>
      </c>
      <c r="D9" s="198">
        <v>45663</v>
      </c>
      <c r="E9" s="198">
        <v>45663</v>
      </c>
      <c r="F9" t="s">
        <v>517</v>
      </c>
      <c r="G9" s="47">
        <f>MAX(+input_invoice[[#This Row],[net]]+input_invoice[[#This Row],[tax_iva]]+input_invoice[[#This Row],[tax_irpf]],input_invoice[[#This Row],[net]])</f>
        <v>1150</v>
      </c>
      <c r="H9" s="47">
        <f>input_invoice[[#This Row],[net]]*(MAX(input_invoice[[#This Row],[tax_rate_iva]],0)/100)</f>
        <v>0</v>
      </c>
      <c r="I9" s="47">
        <f>-input_invoice[[#This Row],[net]]*input_invoice[[#This Row],[tax_rate_irpf]]/100</f>
        <v>0</v>
      </c>
      <c r="J9" s="47">
        <v>1150</v>
      </c>
      <c r="K9" t="str">
        <f t="shared" si="2"/>
        <v>administrative</v>
      </c>
      <c r="L9">
        <v>0</v>
      </c>
      <c r="N9" t="str">
        <f>VLOOKUP(input_invoice[[#This Row],[concept/supplier]],'sel-invoice'!D:E,2,0)</f>
        <v>Continuum</v>
      </c>
      <c r="O9" t="str">
        <f>VLOOKUP(input_invoice[[#This Row],[concept/supplier]],'sel-invoice'!D:F,3,0)</f>
        <v>Inc</v>
      </c>
      <c r="P9" t="str">
        <f>IF(input_invoice[[#This Row],[entity]]="SL","EUR",IF(input_invoice[[#This Row],[entity]]="Ltd","GBP",IF(input_invoice[[#This Row],[entity]]="Inc","USD","XXX")))</f>
        <v>USD</v>
      </c>
    </row>
    <row r="10" spans="1:19" ht="15" hidden="1" customHeight="1" x14ac:dyDescent="0.3">
      <c r="A10">
        <v>202501</v>
      </c>
      <c r="B10" s="22" t="s">
        <v>917</v>
      </c>
      <c r="C10" s="48">
        <v>324727725</v>
      </c>
      <c r="D10" s="43">
        <v>45664</v>
      </c>
      <c r="E10" s="43">
        <v>45664</v>
      </c>
      <c r="F10" t="s">
        <v>55</v>
      </c>
      <c r="G10" s="47">
        <f>MAX(+input_invoice[[#This Row],[net]]+input_invoice[[#This Row],[tax_iva]]+input_invoice[[#This Row],[tax_irpf]],input_invoice[[#This Row],[net]])</f>
        <v>362.69</v>
      </c>
      <c r="H10" s="47">
        <f>input_invoice[[#This Row],[net]]*(MAX(input_invoice[[#This Row],[tax_rate_iva]],0)/100)</f>
        <v>0</v>
      </c>
      <c r="I10" s="47">
        <f>-input_invoice[[#This Row],[net]]*input_invoice[[#This Row],[tax_rate_irpf]]/100</f>
        <v>0</v>
      </c>
      <c r="J10" s="47">
        <v>362.69</v>
      </c>
      <c r="K10" t="str">
        <f t="shared" si="2"/>
        <v>logistics</v>
      </c>
      <c r="N10" t="str">
        <f>VLOOKUP(input_invoice[[#This Row],[concept/supplier]],'sel-invoice'!D:E,2,0)</f>
        <v>UPS DE</v>
      </c>
      <c r="O10" t="str">
        <f>VLOOKUP(input_invoice[[#This Row],[concept/supplier]],'sel-invoice'!D:F,3,0)</f>
        <v>SL</v>
      </c>
      <c r="P10" t="str">
        <f>IF(input_invoice[[#This Row],[entity]]="SL","EUR",IF(input_invoice[[#This Row],[entity]]="Ltd","GBP",IF(input_invoice[[#This Row],[entity]]="Inc","USD","XXX")))</f>
        <v>EUR</v>
      </c>
      <c r="Q10" s="199" t="s">
        <v>875</v>
      </c>
      <c r="R10" s="259" t="b">
        <v>1</v>
      </c>
    </row>
    <row r="11" spans="1:19" ht="15" hidden="1" customHeight="1" x14ac:dyDescent="0.3">
      <c r="A11">
        <v>202507</v>
      </c>
      <c r="B11" s="22" t="s">
        <v>917</v>
      </c>
      <c r="C11" s="198">
        <v>45664</v>
      </c>
      <c r="D11" s="198">
        <v>45664</v>
      </c>
      <c r="E11" s="198">
        <v>45664</v>
      </c>
      <c r="F11" t="s">
        <v>517</v>
      </c>
      <c r="G11" s="47">
        <f>MAX(+input_invoice[[#This Row],[net]]+input_invoice[[#This Row],[tax_iva]]+input_invoice[[#This Row],[tax_irpf]],input_invoice[[#This Row],[net]])</f>
        <v>1150</v>
      </c>
      <c r="H11" s="47">
        <f>input_invoice[[#This Row],[net]]*(MAX(input_invoice[[#This Row],[tax_rate_iva]],0)/100)</f>
        <v>0</v>
      </c>
      <c r="I11" s="47">
        <f>-input_invoice[[#This Row],[net]]*input_invoice[[#This Row],[tax_rate_irpf]]/100</f>
        <v>0</v>
      </c>
      <c r="J11" s="47">
        <v>1150</v>
      </c>
      <c r="K11" t="str">
        <f t="shared" si="2"/>
        <v>administrative</v>
      </c>
      <c r="L11">
        <v>0</v>
      </c>
      <c r="N11" t="str">
        <f>VLOOKUP(input_invoice[[#This Row],[concept/supplier]],'sel-invoice'!D:E,2,0)</f>
        <v>Continuum</v>
      </c>
      <c r="O11" t="str">
        <f>VLOOKUP(input_invoice[[#This Row],[concept/supplier]],'sel-invoice'!D:F,3,0)</f>
        <v>Inc</v>
      </c>
      <c r="P11" t="str">
        <f>IF(input_invoice[[#This Row],[entity]]="SL","EUR",IF(input_invoice[[#This Row],[entity]]="Ltd","GBP",IF(input_invoice[[#This Row],[entity]]="Inc","USD","XXX")))</f>
        <v>USD</v>
      </c>
    </row>
    <row r="12" spans="1:19" ht="15" hidden="1" customHeight="1" x14ac:dyDescent="0.3">
      <c r="A12">
        <v>202501</v>
      </c>
      <c r="B12" s="22" t="s">
        <v>917</v>
      </c>
      <c r="C12" s="48" t="s">
        <v>274</v>
      </c>
      <c r="D12" s="43">
        <v>45665</v>
      </c>
      <c r="E12" s="43">
        <v>45665</v>
      </c>
      <c r="F12" t="s">
        <v>117</v>
      </c>
      <c r="G12" s="47">
        <f>MAX(+input_invoice[[#This Row],[net]]+input_invoice[[#This Row],[tax_iva]]+input_invoice[[#This Row],[tax_irpf]],input_invoice[[#This Row],[net]])</f>
        <v>142.03</v>
      </c>
      <c r="H12" s="47">
        <f>input_invoice[[#This Row],[net]]*(MAX(input_invoice[[#This Row],[tax_rate_iva]],0)/100)</f>
        <v>0</v>
      </c>
      <c r="I12" s="47">
        <f>-input_invoice[[#This Row],[net]]*input_invoice[[#This Row],[tax_rate_irpf]]/100</f>
        <v>0</v>
      </c>
      <c r="J12" s="47">
        <v>142.03</v>
      </c>
      <c r="K12" t="str">
        <f t="shared" si="2"/>
        <v>administrative</v>
      </c>
      <c r="L12">
        <v>0</v>
      </c>
      <c r="N12" t="str">
        <f>VLOOKUP(input_invoice[[#This Row],[concept/supplier]],'sel-invoice'!D:E,2,0)</f>
        <v>regus</v>
      </c>
      <c r="O12" t="str">
        <f>VLOOKUP(input_invoice[[#This Row],[concept/supplier]],'sel-invoice'!D:F,3,0)</f>
        <v>Inc</v>
      </c>
      <c r="P12" t="str">
        <f>IF(input_invoice[[#This Row],[entity]]="SL","EUR",IF(input_invoice[[#This Row],[entity]]="Ltd","GBP",IF(input_invoice[[#This Row],[entity]]="Inc","USD","XXX")))</f>
        <v>USD</v>
      </c>
      <c r="Q12" s="199" t="s">
        <v>530</v>
      </c>
    </row>
    <row r="13" spans="1:19" ht="15" hidden="1" customHeight="1" x14ac:dyDescent="0.3">
      <c r="A13">
        <v>202501</v>
      </c>
      <c r="B13" s="22" t="s">
        <v>917</v>
      </c>
      <c r="C13" s="48" t="s">
        <v>275</v>
      </c>
      <c r="D13" s="43">
        <v>45665</v>
      </c>
      <c r="E13" s="43">
        <v>45665</v>
      </c>
      <c r="F13" t="s">
        <v>117</v>
      </c>
      <c r="G13" s="47">
        <f>MAX(+input_invoice[[#This Row],[net]]+input_invoice[[#This Row],[tax_iva]]+input_invoice[[#This Row],[tax_irpf]],input_invoice[[#This Row],[net]])</f>
        <v>200.03</v>
      </c>
      <c r="H13" s="47">
        <f>input_invoice[[#This Row],[net]]*(MAX(input_invoice[[#This Row],[tax_rate_iva]],0)/100)</f>
        <v>0</v>
      </c>
      <c r="I13" s="47">
        <f>-input_invoice[[#This Row],[net]]*input_invoice[[#This Row],[tax_rate_irpf]]/100</f>
        <v>0</v>
      </c>
      <c r="J13" s="47">
        <v>200.03</v>
      </c>
      <c r="K13" t="str">
        <f t="shared" si="2"/>
        <v>administrative</v>
      </c>
      <c r="L13">
        <v>0</v>
      </c>
      <c r="N13" t="str">
        <f>VLOOKUP(input_invoice[[#This Row],[concept/supplier]],'sel-invoice'!D:E,2,0)</f>
        <v>regus</v>
      </c>
      <c r="O13" t="str">
        <f>VLOOKUP(input_invoice[[#This Row],[concept/supplier]],'sel-invoice'!D:F,3,0)</f>
        <v>Inc</v>
      </c>
      <c r="P13" t="str">
        <f>IF(input_invoice[[#This Row],[entity]]="SL","EUR",IF(input_invoice[[#This Row],[entity]]="Ltd","GBP",IF(input_invoice[[#This Row],[entity]]="Inc","USD","XXX")))</f>
        <v>USD</v>
      </c>
      <c r="Q13" s="199" t="s">
        <v>530</v>
      </c>
    </row>
    <row r="14" spans="1:19" ht="15" hidden="1" customHeight="1" x14ac:dyDescent="0.3">
      <c r="A14">
        <v>202501</v>
      </c>
      <c r="B14" s="22" t="s">
        <v>917</v>
      </c>
      <c r="C14" s="48" t="s">
        <v>275</v>
      </c>
      <c r="D14" s="43">
        <v>45665</v>
      </c>
      <c r="E14" s="43">
        <v>45665</v>
      </c>
      <c r="F14" t="s">
        <v>117</v>
      </c>
      <c r="G14" s="47">
        <f>MAX(+input_invoice[[#This Row],[net]]+input_invoice[[#This Row],[tax_iva]]+input_invoice[[#This Row],[tax_irpf]],input_invoice[[#This Row],[net]])</f>
        <v>58</v>
      </c>
      <c r="H14" s="47">
        <f>input_invoice[[#This Row],[net]]*(MAX(input_invoice[[#This Row],[tax_rate_iva]],0)/100)</f>
        <v>0</v>
      </c>
      <c r="I14" s="47">
        <f>-input_invoice[[#This Row],[net]]*input_invoice[[#This Row],[tax_rate_irpf]]/100</f>
        <v>0</v>
      </c>
      <c r="J14" s="47">
        <v>58</v>
      </c>
      <c r="K14" t="str">
        <f t="shared" si="2"/>
        <v>administrative</v>
      </c>
      <c r="L14">
        <v>0</v>
      </c>
      <c r="N14" t="str">
        <f>VLOOKUP(input_invoice[[#This Row],[concept/supplier]],'sel-invoice'!D:E,2,0)</f>
        <v>regus</v>
      </c>
      <c r="O14" t="str">
        <f>VLOOKUP(input_invoice[[#This Row],[concept/supplier]],'sel-invoice'!D:F,3,0)</f>
        <v>Inc</v>
      </c>
      <c r="P14" t="str">
        <f>IF(input_invoice[[#This Row],[entity]]="SL","EUR",IF(input_invoice[[#This Row],[entity]]="Ltd","GBP",IF(input_invoice[[#This Row],[entity]]="Inc","USD","XXX")))</f>
        <v>USD</v>
      </c>
      <c r="Q14" s="199" t="s">
        <v>530</v>
      </c>
    </row>
    <row r="15" spans="1:19" ht="15" hidden="1" customHeight="1" x14ac:dyDescent="0.3">
      <c r="A15">
        <v>202508</v>
      </c>
      <c r="B15" s="22" t="s">
        <v>917</v>
      </c>
      <c r="C15" s="198">
        <v>45665</v>
      </c>
      <c r="D15" s="198">
        <v>45665</v>
      </c>
      <c r="E15" s="198">
        <v>45665</v>
      </c>
      <c r="F15" t="s">
        <v>517</v>
      </c>
      <c r="G15" s="47">
        <f>MAX(+input_invoice[[#This Row],[net]]+input_invoice[[#This Row],[tax_iva]]+input_invoice[[#This Row],[tax_irpf]],input_invoice[[#This Row],[net]])</f>
        <v>1150</v>
      </c>
      <c r="H15" s="47">
        <f>input_invoice[[#This Row],[net]]*(MAX(input_invoice[[#This Row],[tax_rate_iva]],0)/100)</f>
        <v>0</v>
      </c>
      <c r="I15" s="47">
        <f>-input_invoice[[#This Row],[net]]*input_invoice[[#This Row],[tax_rate_irpf]]/100</f>
        <v>0</v>
      </c>
      <c r="J15" s="47">
        <v>1150</v>
      </c>
      <c r="K15" t="str">
        <f t="shared" si="2"/>
        <v>administrative</v>
      </c>
      <c r="L15">
        <v>0</v>
      </c>
      <c r="N15" t="str">
        <f>VLOOKUP(input_invoice[[#This Row],[concept/supplier]],'sel-invoice'!D:E,2,0)</f>
        <v>Continuum</v>
      </c>
      <c r="O15" t="str">
        <f>VLOOKUP(input_invoice[[#This Row],[concept/supplier]],'sel-invoice'!D:F,3,0)</f>
        <v>Inc</v>
      </c>
      <c r="P15" t="str">
        <f>IF(input_invoice[[#This Row],[entity]]="SL","EUR",IF(input_invoice[[#This Row],[entity]]="Ltd","GBP",IF(input_invoice[[#This Row],[entity]]="Inc","USD","XXX")))</f>
        <v>USD</v>
      </c>
    </row>
    <row r="16" spans="1:19" ht="15" hidden="1" customHeight="1" x14ac:dyDescent="0.3">
      <c r="A16">
        <v>202501</v>
      </c>
      <c r="B16" s="22" t="s">
        <v>917</v>
      </c>
      <c r="C16" s="48">
        <v>315950810</v>
      </c>
      <c r="D16" s="43">
        <v>45666</v>
      </c>
      <c r="E16" s="43">
        <v>45666</v>
      </c>
      <c r="F16" t="s">
        <v>209</v>
      </c>
      <c r="G16" s="47">
        <f>MAX(+input_invoice[[#This Row],[net]]+input_invoice[[#This Row],[tax_iva]]+input_invoice[[#This Row],[tax_irpf]],input_invoice[[#This Row],[net]])</f>
        <v>116.87</v>
      </c>
      <c r="H16" s="47">
        <f>input_invoice[[#This Row],[net]]*(MAX(input_invoice[[#This Row],[tax_rate_iva]],0)/100)</f>
        <v>0</v>
      </c>
      <c r="I16" s="47">
        <f>-input_invoice[[#This Row],[net]]*input_invoice[[#This Row],[tax_rate_irpf]]/100</f>
        <v>0</v>
      </c>
      <c r="J16" s="47">
        <v>116.87</v>
      </c>
      <c r="K16" t="str">
        <f t="shared" si="2"/>
        <v>it</v>
      </c>
      <c r="L16">
        <v>0</v>
      </c>
      <c r="N16" t="str">
        <f>VLOOKUP(input_invoice[[#This Row],[concept/supplier]],'sel-invoice'!D:E,2,0)</f>
        <v>Shopify</v>
      </c>
      <c r="O16" t="str">
        <f>VLOOKUP(input_invoice[[#This Row],[concept/supplier]],'sel-invoice'!D:F,3,0)</f>
        <v>Ltd</v>
      </c>
      <c r="P16" t="str">
        <f>IF(input_invoice[[#This Row],[entity]]="SL","EUR",IF(input_invoice[[#This Row],[entity]]="Ltd","GBP",IF(input_invoice[[#This Row],[entity]]="Inc","USD","XXX")))</f>
        <v>GBP</v>
      </c>
      <c r="R16" s="259" t="b">
        <v>1</v>
      </c>
    </row>
    <row r="17" spans="1:18" ht="15" hidden="1" customHeight="1" x14ac:dyDescent="0.3">
      <c r="A17">
        <v>202501</v>
      </c>
      <c r="B17" s="22" t="s">
        <v>917</v>
      </c>
      <c r="C17" s="48" t="s">
        <v>260</v>
      </c>
      <c r="D17" s="43">
        <v>45659</v>
      </c>
      <c r="E17" s="43">
        <v>45666</v>
      </c>
      <c r="F17" t="s">
        <v>54</v>
      </c>
      <c r="G17" s="47">
        <f>MAX(+input_invoice[[#This Row],[net]]+input_invoice[[#This Row],[tax_iva]]+input_invoice[[#This Row],[tax_irpf]],input_invoice[[#This Row],[net]])</f>
        <v>12.1968</v>
      </c>
      <c r="H17" s="47">
        <f>input_invoice[[#This Row],[net]]*(MAX(input_invoice[[#This Row],[tax_rate_iva]],0)/100)</f>
        <v>2.1168</v>
      </c>
      <c r="I17" s="47">
        <f>-input_invoice[[#This Row],[net]]*input_invoice[[#This Row],[tax_rate_irpf]]/100</f>
        <v>0</v>
      </c>
      <c r="J17" s="47">
        <v>10.08</v>
      </c>
      <c r="K17" t="str">
        <f t="shared" si="2"/>
        <v>logistics</v>
      </c>
      <c r="L17">
        <v>21</v>
      </c>
      <c r="N17" t="str">
        <f>VLOOKUP(input_invoice[[#This Row],[concept/supplier]],'sel-invoice'!D:E,2,0)</f>
        <v>Spring</v>
      </c>
      <c r="O17" t="str">
        <f>VLOOKUP(input_invoice[[#This Row],[concept/supplier]],'sel-invoice'!D:F,3,0)</f>
        <v>SL</v>
      </c>
      <c r="P17" t="str">
        <f>IF(input_invoice[[#This Row],[entity]]="SL","EUR",IF(input_invoice[[#This Row],[entity]]="Ltd","GBP",IF(input_invoice[[#This Row],[entity]]="Inc","USD","XXX")))</f>
        <v>EUR</v>
      </c>
      <c r="Q17" s="199" t="s">
        <v>874</v>
      </c>
    </row>
    <row r="18" spans="1:18" ht="15" hidden="1" customHeight="1" x14ac:dyDescent="0.3">
      <c r="A18">
        <v>202509</v>
      </c>
      <c r="B18" s="22" t="s">
        <v>917</v>
      </c>
      <c r="C18" s="198">
        <v>45666</v>
      </c>
      <c r="D18" s="198">
        <v>45666</v>
      </c>
      <c r="E18" s="198">
        <v>45666</v>
      </c>
      <c r="F18" t="s">
        <v>517</v>
      </c>
      <c r="G18" s="47">
        <f>MAX(+input_invoice[[#This Row],[net]]+input_invoice[[#This Row],[tax_iva]]+input_invoice[[#This Row],[tax_irpf]],input_invoice[[#This Row],[net]])</f>
        <v>1150</v>
      </c>
      <c r="H18" s="47">
        <f>input_invoice[[#This Row],[net]]*(MAX(input_invoice[[#This Row],[tax_rate_iva]],0)/100)</f>
        <v>0</v>
      </c>
      <c r="I18" s="47">
        <f>-input_invoice[[#This Row],[net]]*input_invoice[[#This Row],[tax_rate_irpf]]/100</f>
        <v>0</v>
      </c>
      <c r="J18" s="47">
        <v>1150</v>
      </c>
      <c r="K18" t="str">
        <f t="shared" si="2"/>
        <v>administrative</v>
      </c>
      <c r="L18">
        <v>0</v>
      </c>
      <c r="N18" t="str">
        <f>VLOOKUP(input_invoice[[#This Row],[concept/supplier]],'sel-invoice'!D:E,2,0)</f>
        <v>Continuum</v>
      </c>
      <c r="O18" t="str">
        <f>VLOOKUP(input_invoice[[#This Row],[concept/supplier]],'sel-invoice'!D:F,3,0)</f>
        <v>Inc</v>
      </c>
      <c r="P18" t="str">
        <f>IF(input_invoice[[#This Row],[entity]]="SL","EUR",IF(input_invoice[[#This Row],[entity]]="Ltd","GBP",IF(input_invoice[[#This Row],[entity]]="Inc","USD","XXX")))</f>
        <v>USD</v>
      </c>
    </row>
    <row r="19" spans="1:18" ht="15" hidden="1" customHeight="1" x14ac:dyDescent="0.3">
      <c r="A19">
        <v>202501</v>
      </c>
      <c r="B19" s="22" t="s">
        <v>917</v>
      </c>
      <c r="C19" s="48" t="s">
        <v>259</v>
      </c>
      <c r="D19" s="43">
        <v>45670</v>
      </c>
      <c r="E19" s="43">
        <v>45670</v>
      </c>
      <c r="F19" t="s">
        <v>129</v>
      </c>
      <c r="G19" s="47">
        <f>MAX(+input_invoice[[#This Row],[net]]+input_invoice[[#This Row],[tax_iva]]+input_invoice[[#This Row],[tax_irpf]],input_invoice[[#This Row],[net]])</f>
        <v>23.716000000000001</v>
      </c>
      <c r="H19" s="47">
        <f>input_invoice[[#This Row],[net]]*(MAX(input_invoice[[#This Row],[tax_rate_iva]],0)/100)</f>
        <v>4.1160000000000005</v>
      </c>
      <c r="I19" s="47">
        <f>-input_invoice[[#This Row],[net]]*input_invoice[[#This Row],[tax_rate_irpf]]/100</f>
        <v>0</v>
      </c>
      <c r="J19" s="47">
        <v>19.600000000000001</v>
      </c>
      <c r="K19" t="str">
        <f t="shared" si="2"/>
        <v>it</v>
      </c>
      <c r="L19">
        <v>21</v>
      </c>
      <c r="N19" t="str">
        <f>VLOOKUP(input_invoice[[#This Row],[concept/supplier]],'sel-invoice'!D:E,2,0)</f>
        <v>Microsoft</v>
      </c>
      <c r="O19" t="str">
        <f>VLOOKUP(input_invoice[[#This Row],[concept/supplier]],'sel-invoice'!D:F,3,0)</f>
        <v>SL</v>
      </c>
      <c r="P19" t="str">
        <f>IF(input_invoice[[#This Row],[entity]]="SL","EUR",IF(input_invoice[[#This Row],[entity]]="Ltd","GBP",IF(input_invoice[[#This Row],[entity]]="Inc","USD","XXX")))</f>
        <v>EUR</v>
      </c>
      <c r="Q19" s="199" t="s">
        <v>866</v>
      </c>
    </row>
    <row r="20" spans="1:18" ht="15" hidden="1" customHeight="1" x14ac:dyDescent="0.3">
      <c r="A20">
        <v>202501</v>
      </c>
      <c r="B20" s="22" t="s">
        <v>917</v>
      </c>
      <c r="C20" s="48">
        <v>324749008</v>
      </c>
      <c r="D20" s="43">
        <v>45671</v>
      </c>
      <c r="E20" s="43">
        <v>45671</v>
      </c>
      <c r="F20" t="s">
        <v>55</v>
      </c>
      <c r="G20" s="47">
        <f>MAX(+input_invoice[[#This Row],[net]]+input_invoice[[#This Row],[tax_iva]]+input_invoice[[#This Row],[tax_irpf]],input_invoice[[#This Row],[net]])</f>
        <v>467.26</v>
      </c>
      <c r="H20" s="47">
        <f>input_invoice[[#This Row],[net]]*(MAX(input_invoice[[#This Row],[tax_rate_iva]],0)/100)</f>
        <v>0</v>
      </c>
      <c r="I20" s="47">
        <f>-input_invoice[[#This Row],[net]]*input_invoice[[#This Row],[tax_rate_irpf]]/100</f>
        <v>0</v>
      </c>
      <c r="J20" s="47">
        <v>467.26</v>
      </c>
      <c r="K20" t="str">
        <f t="shared" si="2"/>
        <v>logistics</v>
      </c>
      <c r="N20" t="str">
        <f>VLOOKUP(input_invoice[[#This Row],[concept/supplier]],'sel-invoice'!D:E,2,0)</f>
        <v>UPS DE</v>
      </c>
      <c r="O20" t="str">
        <f>VLOOKUP(input_invoice[[#This Row],[concept/supplier]],'sel-invoice'!D:F,3,0)</f>
        <v>SL</v>
      </c>
      <c r="P20" t="str">
        <f>IF(input_invoice[[#This Row],[entity]]="SL","EUR",IF(input_invoice[[#This Row],[entity]]="Ltd","GBP",IF(input_invoice[[#This Row],[entity]]="Inc","USD","XXX")))</f>
        <v>EUR</v>
      </c>
      <c r="Q20" s="199" t="s">
        <v>876</v>
      </c>
      <c r="R20" s="259" t="b">
        <v>1</v>
      </c>
    </row>
    <row r="21" spans="1:18" ht="15" hidden="1" customHeight="1" x14ac:dyDescent="0.3">
      <c r="A21">
        <v>202501</v>
      </c>
      <c r="B21" s="22" t="s">
        <v>917</v>
      </c>
      <c r="C21" s="48" t="s">
        <v>253</v>
      </c>
      <c r="D21" s="43">
        <v>45672</v>
      </c>
      <c r="E21" s="43">
        <v>45672</v>
      </c>
      <c r="F21" t="s">
        <v>119</v>
      </c>
      <c r="G21" s="47">
        <f>MAX(+input_invoice[[#This Row],[net]]+input_invoice[[#This Row],[tax_iva]]+input_invoice[[#This Row],[tax_irpf]],input_invoice[[#This Row],[net]])</f>
        <v>160.5</v>
      </c>
      <c r="H21" s="47">
        <f>input_invoice[[#This Row],[net]]*(MAX(input_invoice[[#This Row],[tax_rate_iva]],0)/100)</f>
        <v>10.500000000000002</v>
      </c>
      <c r="I21" s="47">
        <f>-input_invoice[[#This Row],[net]]*input_invoice[[#This Row],[tax_rate_irpf]]/100</f>
        <v>0</v>
      </c>
      <c r="J21" s="47">
        <v>150</v>
      </c>
      <c r="K21" t="str">
        <f t="shared" si="2"/>
        <v>administrative</v>
      </c>
      <c r="L21">
        <v>7</v>
      </c>
      <c r="N21" t="str">
        <f>VLOOKUP(input_invoice[[#This Row],[concept/supplier]],'sel-invoice'!D:E,2,0)</f>
        <v>otros</v>
      </c>
      <c r="O21" t="str">
        <f>VLOOKUP(input_invoice[[#This Row],[concept/supplier]],'sel-invoice'!D:F,3,0)</f>
        <v>SL</v>
      </c>
      <c r="P21" t="str">
        <f>IF(input_invoice[[#This Row],[entity]]="SL","EUR",IF(input_invoice[[#This Row],[entity]]="Ltd","GBP",IF(input_invoice[[#This Row],[entity]]="Inc","USD","XXX")))</f>
        <v>EUR</v>
      </c>
      <c r="Q21" s="199" t="s">
        <v>530</v>
      </c>
    </row>
    <row r="22" spans="1:18" ht="15" hidden="1" customHeight="1" x14ac:dyDescent="0.3">
      <c r="A22">
        <v>202501</v>
      </c>
      <c r="B22" s="22" t="s">
        <v>917</v>
      </c>
      <c r="C22" s="48">
        <v>41250051</v>
      </c>
      <c r="D22" s="43">
        <v>45673</v>
      </c>
      <c r="E22" s="43">
        <v>45673</v>
      </c>
      <c r="F22" t="s">
        <v>47</v>
      </c>
      <c r="G22" s="47">
        <f>MAX(+input_invoice[[#This Row],[net]]+input_invoice[[#This Row],[tax_iva]]+input_invoice[[#This Row],[tax_irpf]],input_invoice[[#This Row],[net]])</f>
        <v>370</v>
      </c>
      <c r="H22" s="47">
        <f>input_invoice[[#This Row],[net]]*(MAX(input_invoice[[#This Row],[tax_rate_iva]],0)/100)</f>
        <v>0</v>
      </c>
      <c r="I22" s="47">
        <f>-input_invoice[[#This Row],[net]]*input_invoice[[#This Row],[tax_rate_irpf]]/100</f>
        <v>0</v>
      </c>
      <c r="J22" s="47">
        <v>370</v>
      </c>
      <c r="K22" t="str">
        <f t="shared" si="2"/>
        <v>logistics</v>
      </c>
      <c r="N22" t="str">
        <f>VLOOKUP(input_invoice[[#This Row],[concept/supplier]],'sel-invoice'!D:E,2,0)</f>
        <v>debex</v>
      </c>
      <c r="O22" t="str">
        <f>VLOOKUP(input_invoice[[#This Row],[concept/supplier]],'sel-invoice'!D:F,3,0)</f>
        <v>SL</v>
      </c>
      <c r="P22" t="str">
        <f>IF(input_invoice[[#This Row],[entity]]="SL","EUR",IF(input_invoice[[#This Row],[entity]]="Ltd","GBP",IF(input_invoice[[#This Row],[entity]]="Inc","USD","XXX")))</f>
        <v>EUR</v>
      </c>
      <c r="Q22" s="199" t="s">
        <v>871</v>
      </c>
    </row>
    <row r="23" spans="1:18" hidden="1" x14ac:dyDescent="0.3">
      <c r="A23">
        <v>202501</v>
      </c>
      <c r="B23" s="22" t="s">
        <v>917</v>
      </c>
      <c r="C23" s="48" t="s">
        <v>257</v>
      </c>
      <c r="D23" s="43">
        <v>45673</v>
      </c>
      <c r="E23" s="43">
        <v>45673</v>
      </c>
      <c r="F23" t="s">
        <v>125</v>
      </c>
      <c r="G23" s="47">
        <f>MAX(+input_invoice[[#This Row],[net]]+input_invoice[[#This Row],[tax_iva]]+input_invoice[[#This Row],[tax_irpf]],input_invoice[[#This Row],[net]])</f>
        <v>12.1</v>
      </c>
      <c r="H23" s="47">
        <f>input_invoice[[#This Row],[net]]*(MAX(input_invoice[[#This Row],[tax_rate_iva]],0)/100)</f>
        <v>2.1</v>
      </c>
      <c r="I23" s="47">
        <f>-input_invoice[[#This Row],[net]]*input_invoice[[#This Row],[tax_rate_irpf]]/100</f>
        <v>0</v>
      </c>
      <c r="J23" s="47">
        <v>10</v>
      </c>
      <c r="K23" t="str">
        <f t="shared" si="2"/>
        <v>it</v>
      </c>
      <c r="L23">
        <v>21</v>
      </c>
      <c r="N23" t="str">
        <f>VLOOKUP(input_invoice[[#This Row],[concept/supplier]],'sel-invoice'!D:E,2,0)</f>
        <v>Godaddy</v>
      </c>
      <c r="O23" t="str">
        <f>VLOOKUP(input_invoice[[#This Row],[concept/supplier]],'sel-invoice'!D:F,3,0)</f>
        <v>SL</v>
      </c>
      <c r="P23" t="str">
        <f>IF(input_invoice[[#This Row],[entity]]="SL","EUR",IF(input_invoice[[#This Row],[entity]]="Ltd","GBP",IF(input_invoice[[#This Row],[entity]]="Inc","USD","XXX")))</f>
        <v>EUR</v>
      </c>
      <c r="Q23" s="199" t="s">
        <v>861</v>
      </c>
    </row>
    <row r="24" spans="1:18" hidden="1" x14ac:dyDescent="0.3">
      <c r="A24">
        <v>202501</v>
      </c>
      <c r="B24" s="22" t="s">
        <v>917</v>
      </c>
      <c r="C24" s="48">
        <v>3501693992</v>
      </c>
      <c r="D24" s="43">
        <v>45673</v>
      </c>
      <c r="E24" s="43">
        <v>45673</v>
      </c>
      <c r="F24" t="s">
        <v>125</v>
      </c>
      <c r="G24" s="47">
        <f>MAX(+input_invoice[[#This Row],[net]]+input_invoice[[#This Row],[tax_iva]]+input_invoice[[#This Row],[tax_irpf]],input_invoice[[#This Row],[net]])</f>
        <v>8.2158999999999995</v>
      </c>
      <c r="H24" s="47">
        <f>input_invoice[[#This Row],[net]]*(MAX(input_invoice[[#This Row],[tax_rate_iva]],0)/100)</f>
        <v>1.4258999999999999</v>
      </c>
      <c r="I24" s="47">
        <f>-input_invoice[[#This Row],[net]]*input_invoice[[#This Row],[tax_rate_irpf]]/100</f>
        <v>0</v>
      </c>
      <c r="J24" s="47">
        <v>6.79</v>
      </c>
      <c r="K24" t="str">
        <f t="shared" si="2"/>
        <v>it</v>
      </c>
      <c r="L24">
        <v>21</v>
      </c>
      <c r="N24" t="str">
        <f>VLOOKUP(input_invoice[[#This Row],[concept/supplier]],'sel-invoice'!D:E,2,0)</f>
        <v>Godaddy</v>
      </c>
      <c r="O24" t="str">
        <f>VLOOKUP(input_invoice[[#This Row],[concept/supplier]],'sel-invoice'!D:F,3,0)</f>
        <v>SL</v>
      </c>
      <c r="P24" t="str">
        <f>IF(input_invoice[[#This Row],[entity]]="SL","EUR",IF(input_invoice[[#This Row],[entity]]="Ltd","GBP",IF(input_invoice[[#This Row],[entity]]="Inc","USD","XXX")))</f>
        <v>EUR</v>
      </c>
      <c r="Q24" s="199" t="s">
        <v>863</v>
      </c>
    </row>
    <row r="25" spans="1:18" hidden="1" x14ac:dyDescent="0.3">
      <c r="A25">
        <v>202501</v>
      </c>
      <c r="B25" s="22" t="s">
        <v>917</v>
      </c>
      <c r="C25" s="48">
        <v>3527496455</v>
      </c>
      <c r="D25" s="94">
        <v>45673</v>
      </c>
      <c r="E25" s="94">
        <v>45673</v>
      </c>
      <c r="F25" t="s">
        <v>125</v>
      </c>
      <c r="G25" s="47">
        <f>MAX(+input_invoice[[#This Row],[net]]+input_invoice[[#This Row],[tax_iva]]+input_invoice[[#This Row],[tax_irpf]],input_invoice[[#This Row],[net]])</f>
        <v>9.6678999999999995</v>
      </c>
      <c r="H25" s="47">
        <f>input_invoice[[#This Row],[net]]*(MAX(input_invoice[[#This Row],[tax_rate_iva]],0)/100)</f>
        <v>1.6778999999999999</v>
      </c>
      <c r="I25" s="47">
        <f>-input_invoice[[#This Row],[net]]*input_invoice[[#This Row],[tax_rate_irpf]]/100</f>
        <v>0</v>
      </c>
      <c r="J25" s="95">
        <v>7.99</v>
      </c>
      <c r="K25" t="str">
        <f t="shared" si="2"/>
        <v>it</v>
      </c>
      <c r="L25">
        <v>21</v>
      </c>
      <c r="N25" t="str">
        <f>VLOOKUP(input_invoice[[#This Row],[concept/supplier]],'sel-invoice'!D:E,2,0)</f>
        <v>Godaddy</v>
      </c>
      <c r="O25" t="str">
        <f>VLOOKUP(input_invoice[[#This Row],[concept/supplier]],'sel-invoice'!D:F,3,0)</f>
        <v>SL</v>
      </c>
      <c r="P25" t="str">
        <f>IF(input_invoice[[#This Row],[entity]]="SL","EUR",IF(input_invoice[[#This Row],[entity]]="Ltd","GBP",IF(input_invoice[[#This Row],[entity]]="Inc","USD","XXX")))</f>
        <v>EUR</v>
      </c>
    </row>
    <row r="26" spans="1:18" hidden="1" x14ac:dyDescent="0.3">
      <c r="A26">
        <v>202501</v>
      </c>
      <c r="B26" s="22" t="s">
        <v>917</v>
      </c>
      <c r="C26" s="48">
        <v>3527496455</v>
      </c>
      <c r="D26" s="94">
        <v>45673</v>
      </c>
      <c r="E26" s="94">
        <v>45673</v>
      </c>
      <c r="F26" t="s">
        <v>125</v>
      </c>
      <c r="G26" s="47">
        <f>MAX(+input_invoice[[#This Row],[net]]+input_invoice[[#This Row],[tax_iva]]+input_invoice[[#This Row],[tax_irpf]],input_invoice[[#This Row],[net]])</f>
        <v>13.0922</v>
      </c>
      <c r="H26" s="47">
        <f>input_invoice[[#This Row],[net]]*(MAX(input_invoice[[#This Row],[tax_rate_iva]],0)/100)</f>
        <v>2.2721999999999998</v>
      </c>
      <c r="I26" s="47">
        <f>-input_invoice[[#This Row],[net]]*input_invoice[[#This Row],[tax_rate_irpf]]/100</f>
        <v>0</v>
      </c>
      <c r="J26" s="95">
        <v>10.82</v>
      </c>
      <c r="K26" t="str">
        <f t="shared" si="2"/>
        <v>it</v>
      </c>
      <c r="L26">
        <v>21</v>
      </c>
      <c r="N26" t="str">
        <f>VLOOKUP(input_invoice[[#This Row],[concept/supplier]],'sel-invoice'!D:E,2,0)</f>
        <v>Godaddy</v>
      </c>
      <c r="O26" t="str">
        <f>VLOOKUP(input_invoice[[#This Row],[concept/supplier]],'sel-invoice'!D:F,3,0)</f>
        <v>SL</v>
      </c>
      <c r="P26" t="str">
        <f>IF(input_invoice[[#This Row],[entity]]="SL","EUR",IF(input_invoice[[#This Row],[entity]]="Ltd","GBP",IF(input_invoice[[#This Row],[entity]]="Inc","USD","XXX")))</f>
        <v>EUR</v>
      </c>
    </row>
    <row r="27" spans="1:18" hidden="1" x14ac:dyDescent="0.3">
      <c r="A27">
        <v>202501</v>
      </c>
      <c r="B27" s="22" t="s">
        <v>917</v>
      </c>
      <c r="C27" s="48">
        <v>86000117862</v>
      </c>
      <c r="D27" s="43">
        <v>45673</v>
      </c>
      <c r="E27" s="43">
        <v>45673</v>
      </c>
      <c r="F27" t="s">
        <v>127</v>
      </c>
      <c r="G27" s="47">
        <f>MAX(+input_invoice[[#This Row],[net]]+input_invoice[[#This Row],[tax_iva]]+input_invoice[[#This Row],[tax_irpf]],input_invoice[[#This Row],[net]])</f>
        <v>15.778399999999998</v>
      </c>
      <c r="H27" s="47">
        <f>input_invoice[[#This Row],[net]]*(MAX(input_invoice[[#This Row],[tax_rate_iva]],0)/100)</f>
        <v>2.7383999999999995</v>
      </c>
      <c r="I27" s="47">
        <f>-input_invoice[[#This Row],[net]]*input_invoice[[#This Row],[tax_rate_irpf]]/100</f>
        <v>0</v>
      </c>
      <c r="J27" s="47">
        <v>13.04</v>
      </c>
      <c r="K27" t="str">
        <f t="shared" si="2"/>
        <v>it</v>
      </c>
      <c r="L27">
        <v>21</v>
      </c>
      <c r="N27" t="str">
        <f>VLOOKUP(input_invoice[[#This Row],[concept/supplier]],'sel-invoice'!D:E,2,0)</f>
        <v>Hetzner</v>
      </c>
      <c r="O27" t="str">
        <f>VLOOKUP(input_invoice[[#This Row],[concept/supplier]],'sel-invoice'!D:F,3,0)</f>
        <v>SL</v>
      </c>
      <c r="P27" t="str">
        <f>IF(input_invoice[[#This Row],[entity]]="SL","EUR",IF(input_invoice[[#This Row],[entity]]="Ltd","GBP",IF(input_invoice[[#This Row],[entity]]="Inc","USD","XXX")))</f>
        <v>EUR</v>
      </c>
      <c r="Q27" s="199" t="s">
        <v>864</v>
      </c>
    </row>
    <row r="28" spans="1:18" hidden="1" x14ac:dyDescent="0.3">
      <c r="A28">
        <v>202501</v>
      </c>
      <c r="B28" s="22" t="s">
        <v>917</v>
      </c>
      <c r="C28" s="48">
        <v>319127596</v>
      </c>
      <c r="D28" s="43">
        <v>45674</v>
      </c>
      <c r="E28" s="43">
        <v>45674</v>
      </c>
      <c r="F28" t="s">
        <v>122</v>
      </c>
      <c r="G28" s="47">
        <f>MAX(+input_invoice[[#This Row],[net]]+input_invoice[[#This Row],[tax_iva]]+input_invoice[[#This Row],[tax_irpf]],input_invoice[[#This Row],[net]])</f>
        <v>412.51</v>
      </c>
      <c r="H28" s="47">
        <f>input_invoice[[#This Row],[net]]*(MAX(input_invoice[[#This Row],[tax_rate_iva]],0)/100)</f>
        <v>0</v>
      </c>
      <c r="I28" s="47">
        <f>-input_invoice[[#This Row],[net]]*input_invoice[[#This Row],[tax_rate_irpf]]/100</f>
        <v>0</v>
      </c>
      <c r="J28" s="47">
        <v>412.51</v>
      </c>
      <c r="K28" t="str">
        <f t="shared" si="2"/>
        <v>it</v>
      </c>
      <c r="L28">
        <v>0</v>
      </c>
      <c r="N28" t="str">
        <f>VLOOKUP(input_invoice[[#This Row],[concept/supplier]],'sel-invoice'!D:E,2,0)</f>
        <v>Shopify</v>
      </c>
      <c r="O28" t="str">
        <f>VLOOKUP(input_invoice[[#This Row],[concept/supplier]],'sel-invoice'!D:F,3,0)</f>
        <v>SL</v>
      </c>
      <c r="P28" t="str">
        <f>IF(input_invoice[[#This Row],[entity]]="SL","EUR",IF(input_invoice[[#This Row],[entity]]="Ltd","GBP",IF(input_invoice[[#This Row],[entity]]="Inc","USD","XXX")))</f>
        <v>EUR</v>
      </c>
      <c r="Q28" s="199" t="s">
        <v>868</v>
      </c>
      <c r="R28" s="259" t="b">
        <v>1</v>
      </c>
    </row>
    <row r="29" spans="1:18" hidden="1" x14ac:dyDescent="0.3">
      <c r="A29">
        <v>202501</v>
      </c>
      <c r="B29" s="22" t="s">
        <v>917</v>
      </c>
      <c r="C29" s="48" t="s">
        <v>255</v>
      </c>
      <c r="D29" s="43">
        <v>45675</v>
      </c>
      <c r="E29" s="43">
        <v>45675</v>
      </c>
      <c r="F29" t="s">
        <v>143</v>
      </c>
      <c r="G29" s="47">
        <f>MAX(+input_invoice[[#This Row],[net]]+input_invoice[[#This Row],[tax_iva]]+input_invoice[[#This Row],[tax_irpf]],input_invoice[[#This Row],[net]])</f>
        <v>11.991099999999999</v>
      </c>
      <c r="H29" s="47">
        <f>input_invoice[[#This Row],[net]]*(MAX(input_invoice[[#This Row],[tax_rate_iva]],0)/100)</f>
        <v>2.0811000000000002</v>
      </c>
      <c r="I29" s="47">
        <f>-input_invoice[[#This Row],[net]]*input_invoice[[#This Row],[tax_rate_irpf]]/100</f>
        <v>0</v>
      </c>
      <c r="J29" s="47">
        <v>9.91</v>
      </c>
      <c r="K29" t="str">
        <f t="shared" si="2"/>
        <v>it</v>
      </c>
      <c r="L29">
        <v>21</v>
      </c>
      <c r="M29" s="55"/>
      <c r="N29" t="str">
        <f>VLOOKUP(input_invoice[[#This Row],[concept/supplier]],'sel-invoice'!D:E,2,0)</f>
        <v>Canva</v>
      </c>
      <c r="O29" t="str">
        <f>VLOOKUP(input_invoice[[#This Row],[concept/supplier]],'sel-invoice'!D:F,3,0)</f>
        <v>SL</v>
      </c>
      <c r="P29" t="str">
        <f>IF(input_invoice[[#This Row],[entity]]="SL","EUR",IF(input_invoice[[#This Row],[entity]]="Ltd","GBP",IF(input_invoice[[#This Row],[entity]]="Inc","USD","XXX")))</f>
        <v>EUR</v>
      </c>
      <c r="Q29" s="199" t="s">
        <v>859</v>
      </c>
    </row>
    <row r="30" spans="1:18" hidden="1" x14ac:dyDescent="0.3">
      <c r="A30">
        <v>202501</v>
      </c>
      <c r="B30" s="22" t="s">
        <v>917</v>
      </c>
      <c r="C30" s="48" t="s">
        <v>256</v>
      </c>
      <c r="D30" s="43">
        <v>45675</v>
      </c>
      <c r="E30" s="43">
        <v>45675</v>
      </c>
      <c r="F30" t="s">
        <v>135</v>
      </c>
      <c r="G30" s="47">
        <f>MAX(+input_invoice[[#This Row],[net]]+input_invoice[[#This Row],[tax_iva]]+input_invoice[[#This Row],[tax_irpf]],input_invoice[[#This Row],[net]])</f>
        <v>24.3</v>
      </c>
      <c r="H30" s="47">
        <f>input_invoice[[#This Row],[net]]*(MAX(input_invoice[[#This Row],[tax_rate_iva]],0)/100)</f>
        <v>0</v>
      </c>
      <c r="I30" s="47">
        <f>-input_invoice[[#This Row],[net]]*input_invoice[[#This Row],[tax_rate_irpf]]/100</f>
        <v>0</v>
      </c>
      <c r="J30" s="47">
        <v>24.3</v>
      </c>
      <c r="K30" t="str">
        <f t="shared" si="2"/>
        <v>it</v>
      </c>
      <c r="L30">
        <v>0</v>
      </c>
      <c r="N30" t="str">
        <f>VLOOKUP(input_invoice[[#This Row],[concept/supplier]],'sel-invoice'!D:E,2,0)</f>
        <v>Geotargetly</v>
      </c>
      <c r="O30" t="str">
        <f>VLOOKUP(input_invoice[[#This Row],[concept/supplier]],'sel-invoice'!D:F,3,0)</f>
        <v>SL</v>
      </c>
      <c r="P30" t="str">
        <f>IF(input_invoice[[#This Row],[entity]]="SL","EUR",IF(input_invoice[[#This Row],[entity]]="Ltd","GBP",IF(input_invoice[[#This Row],[entity]]="Inc","USD","XXX")))</f>
        <v>EUR</v>
      </c>
      <c r="Q30" s="199" t="s">
        <v>860</v>
      </c>
    </row>
    <row r="31" spans="1:18" hidden="1" x14ac:dyDescent="0.3">
      <c r="A31">
        <v>202501</v>
      </c>
      <c r="B31" s="22" t="s">
        <v>917</v>
      </c>
      <c r="C31" s="48" t="s">
        <v>258</v>
      </c>
      <c r="D31" s="43">
        <v>45675</v>
      </c>
      <c r="E31" s="43">
        <v>45675</v>
      </c>
      <c r="F31" t="s">
        <v>129</v>
      </c>
      <c r="G31" s="47">
        <f>MAX(+input_invoice[[#This Row],[net]]+input_invoice[[#This Row],[tax_iva]]+input_invoice[[#This Row],[tax_irpf]],input_invoice[[#This Row],[net]])</f>
        <v>18.8</v>
      </c>
      <c r="H31" s="47">
        <f>input_invoice[[#This Row],[net]]*(MAX(input_invoice[[#This Row],[tax_rate_iva]],0)/100)</f>
        <v>0</v>
      </c>
      <c r="I31" s="47">
        <f>-input_invoice[[#This Row],[net]]*input_invoice[[#This Row],[tax_rate_irpf]]/100</f>
        <v>0</v>
      </c>
      <c r="J31" s="47">
        <v>18.8</v>
      </c>
      <c r="K31" t="str">
        <f t="shared" si="2"/>
        <v>it</v>
      </c>
      <c r="L31">
        <v>0</v>
      </c>
      <c r="N31" t="str">
        <f>VLOOKUP(input_invoice[[#This Row],[concept/supplier]],'sel-invoice'!D:E,2,0)</f>
        <v>Microsoft</v>
      </c>
      <c r="O31" t="str">
        <f>VLOOKUP(input_invoice[[#This Row],[concept/supplier]],'sel-invoice'!D:F,3,0)</f>
        <v>SL</v>
      </c>
      <c r="P31" t="str">
        <f>IF(input_invoice[[#This Row],[entity]]="SL","EUR",IF(input_invoice[[#This Row],[entity]]="Ltd","GBP",IF(input_invoice[[#This Row],[entity]]="Inc","USD","XXX")))</f>
        <v>EUR</v>
      </c>
      <c r="Q31" s="199" t="s">
        <v>865</v>
      </c>
    </row>
    <row r="32" spans="1:18" hidden="1" x14ac:dyDescent="0.3">
      <c r="A32">
        <v>202501</v>
      </c>
      <c r="B32" s="22" t="s">
        <v>917</v>
      </c>
      <c r="C32" s="48">
        <v>41250094</v>
      </c>
      <c r="D32" s="43">
        <v>45678</v>
      </c>
      <c r="E32" s="43">
        <v>45678</v>
      </c>
      <c r="F32" t="s">
        <v>47</v>
      </c>
      <c r="G32" s="47">
        <f>MAX(+input_invoice[[#This Row],[net]]+input_invoice[[#This Row],[tax_iva]]+input_invoice[[#This Row],[tax_irpf]],input_invoice[[#This Row],[net]])</f>
        <v>385</v>
      </c>
      <c r="H32" s="47">
        <f>input_invoice[[#This Row],[net]]*(MAX(input_invoice[[#This Row],[tax_rate_iva]],0)/100)</f>
        <v>0</v>
      </c>
      <c r="I32" s="47">
        <f>-input_invoice[[#This Row],[net]]*input_invoice[[#This Row],[tax_rate_irpf]]/100</f>
        <v>0</v>
      </c>
      <c r="J32" s="47">
        <v>385</v>
      </c>
      <c r="K32" t="str">
        <f t="shared" si="2"/>
        <v>logistics</v>
      </c>
      <c r="N32" t="str">
        <f>VLOOKUP(input_invoice[[#This Row],[concept/supplier]],'sel-invoice'!D:E,2,0)</f>
        <v>debex</v>
      </c>
      <c r="O32" t="str">
        <f>VLOOKUP(input_invoice[[#This Row],[concept/supplier]],'sel-invoice'!D:F,3,0)</f>
        <v>SL</v>
      </c>
      <c r="P32" t="str">
        <f>IF(input_invoice[[#This Row],[entity]]="SL","EUR",IF(input_invoice[[#This Row],[entity]]="Ltd","GBP",IF(input_invoice[[#This Row],[entity]]="Inc","USD","XXX")))</f>
        <v>EUR</v>
      </c>
      <c r="Q32" s="199" t="s">
        <v>872</v>
      </c>
    </row>
    <row r="33" spans="1:18" hidden="1" x14ac:dyDescent="0.3">
      <c r="A33">
        <v>202501</v>
      </c>
      <c r="B33" s="22" t="s">
        <v>917</v>
      </c>
      <c r="C33" s="48">
        <v>324781258</v>
      </c>
      <c r="D33" s="43">
        <v>45678</v>
      </c>
      <c r="E33" s="43">
        <v>45678</v>
      </c>
      <c r="F33" t="s">
        <v>55</v>
      </c>
      <c r="G33" s="47">
        <f>MAX(+input_invoice[[#This Row],[net]]+input_invoice[[#This Row],[tax_iva]]+input_invoice[[#This Row],[tax_irpf]],input_invoice[[#This Row],[net]])</f>
        <v>351.2</v>
      </c>
      <c r="H33" s="47">
        <f>input_invoice[[#This Row],[net]]*(MAX(input_invoice[[#This Row],[tax_rate_iva]],0)/100)</f>
        <v>0</v>
      </c>
      <c r="I33" s="47">
        <f>-input_invoice[[#This Row],[net]]*input_invoice[[#This Row],[tax_rate_irpf]]/100</f>
        <v>0</v>
      </c>
      <c r="J33" s="47">
        <v>351.2</v>
      </c>
      <c r="K33" t="str">
        <f t="shared" si="2"/>
        <v>logistics</v>
      </c>
      <c r="N33" t="str">
        <f>VLOOKUP(input_invoice[[#This Row],[concept/supplier]],'sel-invoice'!D:E,2,0)</f>
        <v>UPS DE</v>
      </c>
      <c r="O33" t="str">
        <f>VLOOKUP(input_invoice[[#This Row],[concept/supplier]],'sel-invoice'!D:F,3,0)</f>
        <v>SL</v>
      </c>
      <c r="P33" t="str">
        <f>IF(input_invoice[[#This Row],[entity]]="SL","EUR",IF(input_invoice[[#This Row],[entity]]="Ltd","GBP",IF(input_invoice[[#This Row],[entity]]="Inc","USD","XXX")))</f>
        <v>EUR</v>
      </c>
      <c r="Q33" s="199" t="s">
        <v>877</v>
      </c>
      <c r="R33" s="259" t="b">
        <v>1</v>
      </c>
    </row>
    <row r="34" spans="1:18" hidden="1" x14ac:dyDescent="0.3">
      <c r="A34">
        <v>202501</v>
      </c>
      <c r="B34" s="22" t="s">
        <v>917</v>
      </c>
      <c r="C34" s="48" t="s">
        <v>529</v>
      </c>
      <c r="D34" s="43">
        <v>45673</v>
      </c>
      <c r="E34" s="43">
        <v>45680</v>
      </c>
      <c r="F34" t="s">
        <v>111</v>
      </c>
      <c r="G34" s="47">
        <f>MAX(+input_invoice[[#This Row],[net]]+input_invoice[[#This Row],[tax_iva]]+input_invoice[[#This Row],[tax_irpf]],input_invoice[[#This Row],[net]])</f>
        <v>888.87810000000002</v>
      </c>
      <c r="H34" s="47">
        <f>input_invoice[[#This Row],[net]]*(MAX(input_invoice[[#This Row],[tax_rate_iva]],0)/100)</f>
        <v>154.2681</v>
      </c>
      <c r="I34" s="47">
        <f>-input_invoice[[#This Row],[net]]*input_invoice[[#This Row],[tax_rate_irpf]]/100</f>
        <v>0</v>
      </c>
      <c r="J34" s="47">
        <v>734.61</v>
      </c>
      <c r="K34" t="str">
        <f t="shared" si="2"/>
        <v>administrative</v>
      </c>
      <c r="L34">
        <v>21</v>
      </c>
      <c r="N34" t="str">
        <f>VLOOKUP(input_invoice[[#This Row],[concept/supplier]],'sel-invoice'!D:E,2,0)</f>
        <v>Claris Gestio</v>
      </c>
      <c r="O34" t="str">
        <f>VLOOKUP(input_invoice[[#This Row],[concept/supplier]],'sel-invoice'!D:F,3,0)</f>
        <v>SL</v>
      </c>
      <c r="P34" t="str">
        <f>IF(input_invoice[[#This Row],[entity]]="SL","EUR",IF(input_invoice[[#This Row],[entity]]="Ltd","GBP",IF(input_invoice[[#This Row],[entity]]="Inc","USD","XXX")))</f>
        <v>EUR</v>
      </c>
      <c r="Q34" s="199" t="s">
        <v>530</v>
      </c>
    </row>
    <row r="35" spans="1:18" hidden="1" x14ac:dyDescent="0.3">
      <c r="A35">
        <v>202501</v>
      </c>
      <c r="B35" s="22" t="s">
        <v>917</v>
      </c>
      <c r="C35" s="48">
        <v>316918651</v>
      </c>
      <c r="D35" s="43">
        <v>45684</v>
      </c>
      <c r="E35" s="43">
        <v>45684</v>
      </c>
      <c r="F35" t="s">
        <v>233</v>
      </c>
      <c r="G35" s="47">
        <f>MAX(+input_invoice[[#This Row],[net]]+input_invoice[[#This Row],[tax_iva]]+input_invoice[[#This Row],[tax_irpf]],input_invoice[[#This Row],[net]])</f>
        <v>1.04</v>
      </c>
      <c r="H35" s="47">
        <f>input_invoice[[#This Row],[net]]*(MAX(input_invoice[[#This Row],[tax_rate_iva]],0)/100)</f>
        <v>0</v>
      </c>
      <c r="I35" s="47">
        <f>-input_invoice[[#This Row],[net]]*input_invoice[[#This Row],[tax_rate_irpf]]/100</f>
        <v>0</v>
      </c>
      <c r="J35" s="47">
        <v>1.04</v>
      </c>
      <c r="K35" t="str">
        <f t="shared" si="2"/>
        <v>it</v>
      </c>
      <c r="L35">
        <v>0</v>
      </c>
      <c r="N35" t="str">
        <f>VLOOKUP(input_invoice[[#This Row],[concept/supplier]],'sel-invoice'!D:E,2,0)</f>
        <v>Shopify</v>
      </c>
      <c r="O35" t="str">
        <f>VLOOKUP(input_invoice[[#This Row],[concept/supplier]],'sel-invoice'!D:F,3,0)</f>
        <v>Inc</v>
      </c>
      <c r="P35" t="str">
        <f>IF(input_invoice[[#This Row],[entity]]="SL","EUR",IF(input_invoice[[#This Row],[entity]]="Ltd","GBP",IF(input_invoice[[#This Row],[entity]]="Inc","USD","XXX")))</f>
        <v>USD</v>
      </c>
      <c r="R35" s="259" t="b">
        <v>1</v>
      </c>
    </row>
    <row r="36" spans="1:18" hidden="1" x14ac:dyDescent="0.3">
      <c r="A36">
        <v>202501</v>
      </c>
      <c r="B36" s="22" t="s">
        <v>917</v>
      </c>
      <c r="C36" s="48">
        <v>324004111</v>
      </c>
      <c r="D36" s="43">
        <v>45684</v>
      </c>
      <c r="E36" s="43">
        <v>45684</v>
      </c>
      <c r="F36" t="s">
        <v>233</v>
      </c>
      <c r="G36" s="47">
        <f ca="1">MAX(+input_invoice[[#This Row],[net]]+input_invoice[[#This Row],[tax_iva]]+input_invoice[[#This Row],[tax_irpf]],input_invoice[[#This Row],[net]])</f>
        <v>888.87810000000002</v>
      </c>
      <c r="H36" s="47">
        <f ca="1">input_invoice[[#This Row],[net]]*(MAX(input_invoice[[#This Row],[tax_rate_iva]],0)/100)</f>
        <v>0</v>
      </c>
      <c r="I36" s="47">
        <f>-input_invoice[[#This Row],[net]]*input_invoice[[#This Row],[tax_rate_irpf]]/100</f>
        <v>0</v>
      </c>
      <c r="J36" s="47">
        <v>60.91</v>
      </c>
      <c r="K36" t="str">
        <f t="shared" si="2"/>
        <v>it</v>
      </c>
      <c r="L36">
        <f ca="1">+input_invoice[[#This Row],[gross]]-input_invoice[[#This Row],[net]]</f>
        <v>0</v>
      </c>
      <c r="N36" t="str">
        <f>VLOOKUP(input_invoice[[#This Row],[concept/supplier]],'sel-invoice'!D:E,2,0)</f>
        <v>Shopify</v>
      </c>
      <c r="O36" t="str">
        <f>VLOOKUP(input_invoice[[#This Row],[concept/supplier]],'sel-invoice'!D:F,3,0)</f>
        <v>Inc</v>
      </c>
      <c r="P36" t="str">
        <f>IF(input_invoice[[#This Row],[entity]]="SL","EUR",IF(input_invoice[[#This Row],[entity]]="Ltd","GBP",IF(input_invoice[[#This Row],[entity]]="Inc","USD","XXX")))</f>
        <v>USD</v>
      </c>
      <c r="R36" s="259" t="b">
        <v>1</v>
      </c>
    </row>
    <row r="37" spans="1:18" hidden="1" x14ac:dyDescent="0.3">
      <c r="A37">
        <v>202501</v>
      </c>
      <c r="B37" s="22" t="s">
        <v>917</v>
      </c>
      <c r="C37" s="48" t="s">
        <v>261</v>
      </c>
      <c r="D37" s="43">
        <v>45677</v>
      </c>
      <c r="E37" s="43">
        <v>45684</v>
      </c>
      <c r="F37" t="s">
        <v>54</v>
      </c>
      <c r="G37" s="47">
        <f>MAX(+input_invoice[[#This Row],[net]]+input_invoice[[#This Row],[tax_iva]]+input_invoice[[#This Row],[tax_irpf]],input_invoice[[#This Row],[net]])</f>
        <v>8.5909999999999993</v>
      </c>
      <c r="H37" s="47">
        <f>input_invoice[[#This Row],[net]]*(MAX(input_invoice[[#This Row],[tax_rate_iva]],0)/100)</f>
        <v>1.4909999999999999</v>
      </c>
      <c r="I37" s="47">
        <f>-input_invoice[[#This Row],[net]]*input_invoice[[#This Row],[tax_rate_irpf]]/100</f>
        <v>0</v>
      </c>
      <c r="J37" s="47">
        <v>7.1</v>
      </c>
      <c r="K37" t="str">
        <f t="shared" si="2"/>
        <v>logistics</v>
      </c>
      <c r="L37">
        <v>21</v>
      </c>
      <c r="N37" t="str">
        <f>VLOOKUP(input_invoice[[#This Row],[concept/supplier]],'sel-invoice'!D:E,2,0)</f>
        <v>Spring</v>
      </c>
      <c r="O37" t="str">
        <f>VLOOKUP(input_invoice[[#This Row],[concept/supplier]],'sel-invoice'!D:F,3,0)</f>
        <v>SL</v>
      </c>
      <c r="P37" t="str">
        <f>IF(input_invoice[[#This Row],[entity]]="SL","EUR",IF(input_invoice[[#This Row],[entity]]="Ltd","GBP",IF(input_invoice[[#This Row],[entity]]="Inc","USD","XXX")))</f>
        <v>EUR</v>
      </c>
      <c r="Q37" s="199" t="s">
        <v>874</v>
      </c>
    </row>
    <row r="38" spans="1:18" hidden="1" x14ac:dyDescent="0.3">
      <c r="A38">
        <v>202501</v>
      </c>
      <c r="B38" s="22" t="s">
        <v>917</v>
      </c>
      <c r="C38" s="48">
        <v>134634</v>
      </c>
      <c r="D38" s="43">
        <v>45685</v>
      </c>
      <c r="E38" s="43">
        <v>45685</v>
      </c>
      <c r="F38" t="s">
        <v>131</v>
      </c>
      <c r="G38" s="47">
        <f>MAX(+input_invoice[[#This Row],[net]]+input_invoice[[#This Row],[tax_iva]]+input_invoice[[#This Row],[tax_irpf]],input_invoice[[#This Row],[net]])</f>
        <v>39</v>
      </c>
      <c r="H38" s="47">
        <f>input_invoice[[#This Row],[net]]*(MAX(input_invoice[[#This Row],[tax_rate_iva]],0)/100)</f>
        <v>0</v>
      </c>
      <c r="I38" s="47">
        <f>-input_invoice[[#This Row],[net]]*input_invoice[[#This Row],[tax_rate_irpf]]/100</f>
        <v>0</v>
      </c>
      <c r="J38" s="47">
        <v>39</v>
      </c>
      <c r="K38" t="str">
        <f t="shared" ref="K38:K69" si="3">_xlfn.TEXTBEFORE(F38," - ")</f>
        <v>it</v>
      </c>
      <c r="L38">
        <v>0</v>
      </c>
      <c r="N38" t="str">
        <f>VLOOKUP(input_invoice[[#This Row],[concept/supplier]],'sel-invoice'!D:E,2,0)</f>
        <v>Product Hero</v>
      </c>
      <c r="O38" t="str">
        <f>VLOOKUP(input_invoice[[#This Row],[concept/supplier]],'sel-invoice'!D:F,3,0)</f>
        <v>SL</v>
      </c>
      <c r="P38" t="str">
        <f>IF(input_invoice[[#This Row],[entity]]="SL","EUR",IF(input_invoice[[#This Row],[entity]]="Ltd","GBP",IF(input_invoice[[#This Row],[entity]]="Inc","USD","XXX")))</f>
        <v>EUR</v>
      </c>
      <c r="Q38" s="199" t="s">
        <v>867</v>
      </c>
    </row>
    <row r="39" spans="1:18" hidden="1" x14ac:dyDescent="0.3">
      <c r="A39">
        <v>202501</v>
      </c>
      <c r="B39" s="22" t="s">
        <v>917</v>
      </c>
      <c r="C39" s="48">
        <v>324814236</v>
      </c>
      <c r="D39" s="43">
        <v>45685</v>
      </c>
      <c r="E39" s="43">
        <v>45685</v>
      </c>
      <c r="F39" t="s">
        <v>55</v>
      </c>
      <c r="G39" s="47">
        <f>MAX(+input_invoice[[#This Row],[net]]+input_invoice[[#This Row],[tax_iva]]+input_invoice[[#This Row],[tax_irpf]],input_invoice[[#This Row],[net]])</f>
        <v>440.61</v>
      </c>
      <c r="H39" s="47">
        <f>input_invoice[[#This Row],[net]]*(MAX(input_invoice[[#This Row],[tax_rate_iva]],0)/100)</f>
        <v>0</v>
      </c>
      <c r="I39" s="47">
        <f>-input_invoice[[#This Row],[net]]*input_invoice[[#This Row],[tax_rate_irpf]]/100</f>
        <v>0</v>
      </c>
      <c r="J39" s="47">
        <v>440.61</v>
      </c>
      <c r="K39" t="str">
        <f t="shared" si="3"/>
        <v>logistics</v>
      </c>
      <c r="N39" t="str">
        <f>VLOOKUP(input_invoice[[#This Row],[concept/supplier]],'sel-invoice'!D:E,2,0)</f>
        <v>UPS DE</v>
      </c>
      <c r="O39" t="str">
        <f>VLOOKUP(input_invoice[[#This Row],[concept/supplier]],'sel-invoice'!D:F,3,0)</f>
        <v>SL</v>
      </c>
      <c r="P39" t="str">
        <f>IF(input_invoice[[#This Row],[entity]]="SL","EUR",IF(input_invoice[[#This Row],[entity]]="Ltd","GBP",IF(input_invoice[[#This Row],[entity]]="Inc","USD","XXX")))</f>
        <v>EUR</v>
      </c>
      <c r="Q39" s="199" t="s">
        <v>878</v>
      </c>
      <c r="R39" s="259" t="b">
        <v>1</v>
      </c>
    </row>
    <row r="40" spans="1:18" hidden="1" x14ac:dyDescent="0.3">
      <c r="A40">
        <v>202501</v>
      </c>
      <c r="B40" s="22" t="s">
        <v>917</v>
      </c>
      <c r="C40" s="48" t="s">
        <v>266</v>
      </c>
      <c r="D40" s="43">
        <v>45671</v>
      </c>
      <c r="E40" s="43">
        <v>45686</v>
      </c>
      <c r="F40" t="s">
        <v>37</v>
      </c>
      <c r="G40" s="47">
        <f>MAX(+input_invoice[[#This Row],[net]]+input_invoice[[#This Row],[tax_iva]]+input_invoice[[#This Row],[tax_irpf]],input_invoice[[#This Row],[net]])</f>
        <v>18336.255300000001</v>
      </c>
      <c r="H40" s="47">
        <f>input_invoice[[#This Row],[net]]*(MAX(input_invoice[[#This Row],[tax_rate_iva]],0)/100)</f>
        <v>3182.3253</v>
      </c>
      <c r="I40" s="47">
        <f>-input_invoice[[#This Row],[net]]*input_invoice[[#This Row],[tax_rate_irpf]]/100</f>
        <v>0</v>
      </c>
      <c r="J40" s="47">
        <v>15153.93</v>
      </c>
      <c r="K40" t="str">
        <f t="shared" si="3"/>
        <v>manufacturing</v>
      </c>
      <c r="L40">
        <v>21</v>
      </c>
      <c r="N40" t="str">
        <f>VLOOKUP(input_invoice[[#This Row],[concept/supplier]],'sel-invoice'!D:E,2,0)</f>
        <v>Apphoto España</v>
      </c>
      <c r="O40" t="str">
        <f>VLOOKUP(input_invoice[[#This Row],[concept/supplier]],'sel-invoice'!D:F,3,0)</f>
        <v>SL</v>
      </c>
      <c r="P40" t="str">
        <f>IF(input_invoice[[#This Row],[entity]]="SL","EUR",IF(input_invoice[[#This Row],[entity]]="Ltd","GBP",IF(input_invoice[[#This Row],[entity]]="Inc","USD","XXX")))</f>
        <v>EUR</v>
      </c>
      <c r="Q40" s="199" t="s">
        <v>883</v>
      </c>
    </row>
    <row r="41" spans="1:18" hidden="1" x14ac:dyDescent="0.3">
      <c r="A41">
        <v>202501</v>
      </c>
      <c r="B41" s="22" t="s">
        <v>917</v>
      </c>
      <c r="C41" s="48" t="s">
        <v>270</v>
      </c>
      <c r="D41" s="43">
        <v>45688</v>
      </c>
      <c r="E41" s="43">
        <v>45688</v>
      </c>
      <c r="F41" t="s">
        <v>76</v>
      </c>
      <c r="G41" s="47">
        <f>MAX(+input_invoice[[#This Row],[net]]+input_invoice[[#This Row],[tax_iva]]+input_invoice[[#This Row],[tax_irpf]],input_invoice[[#This Row],[net]])</f>
        <v>151.45999999999998</v>
      </c>
      <c r="H41" s="47">
        <f>input_invoice[[#This Row],[net]]*(MAX(input_invoice[[#This Row],[tax_rate_iva]],0)/100)</f>
        <v>0</v>
      </c>
      <c r="I41" s="47">
        <f>-input_invoice[[#This Row],[net]]*input_invoice[[#This Row],[tax_rate_irpf]]/100</f>
        <v>0</v>
      </c>
      <c r="J41" s="47">
        <v>151.45999999999998</v>
      </c>
      <c r="K41" t="str">
        <f t="shared" si="3"/>
        <v>payment-suppliers</v>
      </c>
      <c r="L41">
        <v>0</v>
      </c>
      <c r="N41" t="str">
        <f>VLOOKUP(input_invoice[[#This Row],[concept/supplier]],'sel-invoice'!D:E,2,0)</f>
        <v>Amazon Seller</v>
      </c>
      <c r="O41" t="str">
        <f>VLOOKUP(input_invoice[[#This Row],[concept/supplier]],'sel-invoice'!D:F,3,0)</f>
        <v>SL</v>
      </c>
      <c r="P41" t="str">
        <f>IF(input_invoice[[#This Row],[entity]]="SL","EUR",IF(input_invoice[[#This Row],[entity]]="Ltd","GBP",IF(input_invoice[[#This Row],[entity]]="Inc","USD","XXX")))</f>
        <v>EUR</v>
      </c>
      <c r="Q41" t="s">
        <v>908</v>
      </c>
    </row>
    <row r="42" spans="1:18" hidden="1" x14ac:dyDescent="0.3">
      <c r="A42">
        <v>202501</v>
      </c>
      <c r="B42" s="22" t="s">
        <v>917</v>
      </c>
      <c r="C42" s="48" t="s">
        <v>503</v>
      </c>
      <c r="D42" s="43">
        <v>45688</v>
      </c>
      <c r="E42" s="43">
        <v>45688</v>
      </c>
      <c r="F42" t="s">
        <v>204</v>
      </c>
      <c r="G42" s="47">
        <f>MAX(+input_invoice[[#This Row],[net]]+input_invoice[[#This Row],[tax_iva]]+input_invoice[[#This Row],[tax_irpf]],input_invoice[[#This Row],[net]])</f>
        <v>25.08</v>
      </c>
      <c r="H42" s="47">
        <f>input_invoice[[#This Row],[net]]*(MAX(input_invoice[[#This Row],[tax_rate_iva]],0)/100)</f>
        <v>0</v>
      </c>
      <c r="I42" s="47">
        <f>-input_invoice[[#This Row],[net]]*input_invoice[[#This Row],[tax_rate_irpf]]/100</f>
        <v>0</v>
      </c>
      <c r="J42" s="47">
        <v>25.08</v>
      </c>
      <c r="K42" t="str">
        <f t="shared" si="3"/>
        <v>payment-suppliers</v>
      </c>
      <c r="L42">
        <v>0</v>
      </c>
      <c r="N42" t="str">
        <f>VLOOKUP(input_invoice[[#This Row],[concept/supplier]],'sel-invoice'!D:E,2,0)</f>
        <v>Amazon Seller</v>
      </c>
      <c r="O42" t="str">
        <f>VLOOKUP(input_invoice[[#This Row],[concept/supplier]],'sel-invoice'!D:F,3,0)</f>
        <v>Ltd</v>
      </c>
      <c r="P42" t="str">
        <f>IF(input_invoice[[#This Row],[entity]]="SL","EUR",IF(input_invoice[[#This Row],[entity]]="Ltd","GBP",IF(input_invoice[[#This Row],[entity]]="Inc","USD","XXX")))</f>
        <v>GBP</v>
      </c>
      <c r="Q42" t="s">
        <v>908</v>
      </c>
    </row>
    <row r="43" spans="1:18" hidden="1" x14ac:dyDescent="0.3">
      <c r="A43">
        <v>202501</v>
      </c>
      <c r="B43" s="22" t="s">
        <v>917</v>
      </c>
      <c r="C43" s="48">
        <v>5169504656</v>
      </c>
      <c r="D43" s="43">
        <v>45688</v>
      </c>
      <c r="E43" s="43">
        <v>45688</v>
      </c>
      <c r="F43" t="s">
        <v>133</v>
      </c>
      <c r="G43" s="47">
        <f>MAX(+input_invoice[[#This Row],[net]]+input_invoice[[#This Row],[tax_iva]]+input_invoice[[#This Row],[tax_irpf]],input_invoice[[#This Row],[net]])</f>
        <v>130.87</v>
      </c>
      <c r="H43" s="47">
        <f>input_invoice[[#This Row],[net]]*(MAX(input_invoice[[#This Row],[tax_rate_iva]],0)/100)</f>
        <v>0</v>
      </c>
      <c r="I43" s="47">
        <f>-input_invoice[[#This Row],[net]]*input_invoice[[#This Row],[tax_rate_irpf]]/100</f>
        <v>0</v>
      </c>
      <c r="J43" s="47">
        <v>130.87</v>
      </c>
      <c r="K43" t="str">
        <f t="shared" si="3"/>
        <v>it</v>
      </c>
      <c r="L43">
        <v>0</v>
      </c>
      <c r="N43" t="str">
        <f>VLOOKUP(input_invoice[[#This Row],[concept/supplier]],'sel-invoice'!D:E,2,0)</f>
        <v>Gsuite</v>
      </c>
      <c r="O43" t="str">
        <f>VLOOKUP(input_invoice[[#This Row],[concept/supplier]],'sel-invoice'!D:F,3,0)</f>
        <v>SL</v>
      </c>
      <c r="P43" t="str">
        <f>IF(input_invoice[[#This Row],[entity]]="SL","EUR",IF(input_invoice[[#This Row],[entity]]="Ltd","GBP",IF(input_invoice[[#This Row],[entity]]="Inc","USD","XXX")))</f>
        <v>EUR</v>
      </c>
      <c r="Q43" s="199" t="s">
        <v>862</v>
      </c>
    </row>
    <row r="44" spans="1:18" hidden="1" x14ac:dyDescent="0.3">
      <c r="A44">
        <v>202501</v>
      </c>
      <c r="B44" s="22" t="s">
        <v>917</v>
      </c>
      <c r="C44" s="48">
        <v>25000823</v>
      </c>
      <c r="D44" s="43">
        <v>45688</v>
      </c>
      <c r="E44" s="43">
        <v>45688</v>
      </c>
      <c r="F44" t="s">
        <v>41</v>
      </c>
      <c r="G44" s="47">
        <f>MAX(+input_invoice[[#This Row],[net]]+input_invoice[[#This Row],[tax_iva]]+input_invoice[[#This Row],[tax_irpf]],input_invoice[[#This Row],[net]])</f>
        <v>1873.1042</v>
      </c>
      <c r="H44" s="47">
        <f>input_invoice[[#This Row],[net]]*(MAX(input_invoice[[#This Row],[tax_rate_iva]],0)/100)</f>
        <v>325.08420000000001</v>
      </c>
      <c r="I44" s="47">
        <f>-input_invoice[[#This Row],[net]]*input_invoice[[#This Row],[tax_rate_irpf]]/100</f>
        <v>0</v>
      </c>
      <c r="J44" s="47">
        <v>1548.02</v>
      </c>
      <c r="K44" t="str">
        <f t="shared" si="3"/>
        <v>manufacturing</v>
      </c>
      <c r="L44">
        <v>21</v>
      </c>
      <c r="N44" t="str">
        <f>VLOOKUP(input_invoice[[#This Row],[concept/supplier]],'sel-invoice'!D:E,2,0)</f>
        <v>Pressing</v>
      </c>
      <c r="O44" t="str">
        <f>VLOOKUP(input_invoice[[#This Row],[concept/supplier]],'sel-invoice'!D:F,3,0)</f>
        <v>SL</v>
      </c>
      <c r="P44" t="str">
        <f>IF(input_invoice[[#This Row],[entity]]="SL","EUR",IF(input_invoice[[#This Row],[entity]]="Ltd","GBP",IF(input_invoice[[#This Row],[entity]]="Inc","USD","XXX")))</f>
        <v>EUR</v>
      </c>
      <c r="Q44" s="199" t="s">
        <v>890</v>
      </c>
    </row>
    <row r="45" spans="1:18" hidden="1" x14ac:dyDescent="0.3">
      <c r="A45">
        <v>202501</v>
      </c>
      <c r="B45" s="22" t="s">
        <v>917</v>
      </c>
      <c r="C45" s="48" t="s">
        <v>276</v>
      </c>
      <c r="D45" s="43">
        <v>45688</v>
      </c>
      <c r="E45" s="43">
        <v>45688</v>
      </c>
      <c r="F45" t="s">
        <v>117</v>
      </c>
      <c r="G45" s="47">
        <f>MAX(+input_invoice[[#This Row],[net]]+input_invoice[[#This Row],[tax_iva]]+input_invoice[[#This Row],[tax_irpf]],input_invoice[[#This Row],[net]])</f>
        <v>81.599999999999994</v>
      </c>
      <c r="H45" s="47">
        <f>input_invoice[[#This Row],[net]]*(MAX(input_invoice[[#This Row],[tax_rate_iva]],0)/100)</f>
        <v>0</v>
      </c>
      <c r="I45" s="47">
        <f>-input_invoice[[#This Row],[net]]*input_invoice[[#This Row],[tax_rate_irpf]]/100</f>
        <v>0</v>
      </c>
      <c r="J45" s="47">
        <v>81.599999999999994</v>
      </c>
      <c r="K45" t="str">
        <f t="shared" si="3"/>
        <v>administrative</v>
      </c>
      <c r="L45">
        <v>0</v>
      </c>
      <c r="N45" t="str">
        <f>VLOOKUP(input_invoice[[#This Row],[concept/supplier]],'sel-invoice'!D:E,2,0)</f>
        <v>regus</v>
      </c>
      <c r="O45" t="str">
        <f>VLOOKUP(input_invoice[[#This Row],[concept/supplier]],'sel-invoice'!D:F,3,0)</f>
        <v>Inc</v>
      </c>
      <c r="P45" t="str">
        <f>IF(input_invoice[[#This Row],[entity]]="SL","EUR",IF(input_invoice[[#This Row],[entity]]="Ltd","GBP",IF(input_invoice[[#This Row],[entity]]="Inc","USD","XXX")))</f>
        <v>USD</v>
      </c>
    </row>
    <row r="46" spans="1:18" hidden="1" x14ac:dyDescent="0.3">
      <c r="A46">
        <v>202502</v>
      </c>
      <c r="B46" s="22" t="s">
        <v>917</v>
      </c>
      <c r="C46" s="48" t="s">
        <v>299</v>
      </c>
      <c r="D46" s="43">
        <v>45689</v>
      </c>
      <c r="E46" s="43">
        <v>45689</v>
      </c>
      <c r="F46" t="s">
        <v>81</v>
      </c>
      <c r="G46" s="47">
        <f>MAX(+input_invoice[[#This Row],[net]]+input_invoice[[#This Row],[tax_iva]]+input_invoice[[#This Row],[tax_irpf]],input_invoice[[#This Row],[net]])</f>
        <v>95.59</v>
      </c>
      <c r="H46" s="47">
        <f>input_invoice[[#This Row],[net]]*(MAX(input_invoice[[#This Row],[tax_rate_iva]],0)/100)</f>
        <v>16.59</v>
      </c>
      <c r="I46" s="47">
        <f>-input_invoice[[#This Row],[net]]*input_invoice[[#This Row],[tax_rate_irpf]]/100</f>
        <v>0</v>
      </c>
      <c r="J46" s="47">
        <v>79</v>
      </c>
      <c r="K46" t="str">
        <f t="shared" si="3"/>
        <v>returns</v>
      </c>
      <c r="L46">
        <v>21</v>
      </c>
      <c r="N46" t="str">
        <f>VLOOKUP(input_invoice[[#This Row],[concept/supplier]],'sel-invoice'!D:E,2,0)</f>
        <v>rever</v>
      </c>
      <c r="O46" t="str">
        <f>VLOOKUP(input_invoice[[#This Row],[concept/supplier]],'sel-invoice'!D:F,3,0)</f>
        <v>SL</v>
      </c>
      <c r="P46" t="str">
        <f>IF(input_invoice[[#This Row],[entity]]="SL","EUR",IF(input_invoice[[#This Row],[entity]]="Ltd","GBP",IF(input_invoice[[#This Row],[entity]]="Inc","USD","XXX")))</f>
        <v>EUR</v>
      </c>
    </row>
    <row r="47" spans="1:18" hidden="1" x14ac:dyDescent="0.3">
      <c r="A47">
        <v>202502</v>
      </c>
      <c r="B47" s="22" t="s">
        <v>917</v>
      </c>
      <c r="C47" s="48" t="s">
        <v>283</v>
      </c>
      <c r="D47" s="43">
        <v>45690</v>
      </c>
      <c r="E47" s="43">
        <v>45690</v>
      </c>
      <c r="F47" t="s">
        <v>113</v>
      </c>
      <c r="G47" s="47">
        <f>MAX(+input_invoice[[#This Row],[net]]+input_invoice[[#This Row],[tax_iva]]+input_invoice[[#This Row],[tax_irpf]],input_invoice[[#This Row],[net]])</f>
        <v>18.149999999999999</v>
      </c>
      <c r="H47" s="47">
        <f>input_invoice[[#This Row],[net]]*(MAX(input_invoice[[#This Row],[tax_rate_iva]],0)/100)</f>
        <v>3.15</v>
      </c>
      <c r="I47" s="47">
        <f>-input_invoice[[#This Row],[net]]*input_invoice[[#This Row],[tax_rate_irpf]]/100</f>
        <v>0</v>
      </c>
      <c r="J47" s="47">
        <v>15</v>
      </c>
      <c r="K47" t="str">
        <f t="shared" si="3"/>
        <v>administrative</v>
      </c>
      <c r="L47">
        <v>21</v>
      </c>
      <c r="N47" t="str">
        <f>VLOOKUP(input_invoice[[#This Row],[concept/supplier]],'sel-invoice'!D:E,2,0)</f>
        <v>Torras y asociados</v>
      </c>
      <c r="O47" t="str">
        <f>VLOOKUP(input_invoice[[#This Row],[concept/supplier]],'sel-invoice'!D:F,3,0)</f>
        <v>SL</v>
      </c>
      <c r="P47" t="str">
        <f>IF(input_invoice[[#This Row],[entity]]="SL","EUR",IF(input_invoice[[#This Row],[entity]]="Ltd","GBP",IF(input_invoice[[#This Row],[entity]]="Inc","USD","XXX")))</f>
        <v>EUR</v>
      </c>
      <c r="R47" s="259" t="b">
        <v>1</v>
      </c>
    </row>
    <row r="48" spans="1:18" hidden="1" x14ac:dyDescent="0.3">
      <c r="A48">
        <v>202502</v>
      </c>
      <c r="B48" s="22" t="s">
        <v>917</v>
      </c>
      <c r="C48" s="48" t="s">
        <v>300</v>
      </c>
      <c r="D48" s="43">
        <v>45691</v>
      </c>
      <c r="E48" s="43">
        <v>45691</v>
      </c>
      <c r="F48" t="s">
        <v>81</v>
      </c>
      <c r="G48" s="47">
        <f>MAX(+input_invoice[[#This Row],[net]]+input_invoice[[#This Row],[tax_iva]]+input_invoice[[#This Row],[tax_irpf]],input_invoice[[#This Row],[net]])</f>
        <v>250.60310000000001</v>
      </c>
      <c r="H48" s="47">
        <f>input_invoice[[#This Row],[net]]*(MAX(input_invoice[[#This Row],[tax_rate_iva]],0)/100)</f>
        <v>43.493099999999998</v>
      </c>
      <c r="I48" s="47">
        <f>-input_invoice[[#This Row],[net]]*input_invoice[[#This Row],[tax_rate_irpf]]/100</f>
        <v>0</v>
      </c>
      <c r="J48" s="47">
        <v>207.11</v>
      </c>
      <c r="K48" t="str">
        <f t="shared" si="3"/>
        <v>returns</v>
      </c>
      <c r="L48">
        <v>21</v>
      </c>
      <c r="N48" t="str">
        <f>VLOOKUP(input_invoice[[#This Row],[concept/supplier]],'sel-invoice'!D:E,2,0)</f>
        <v>rever</v>
      </c>
      <c r="O48" t="str">
        <f>VLOOKUP(input_invoice[[#This Row],[concept/supplier]],'sel-invoice'!D:F,3,0)</f>
        <v>SL</v>
      </c>
      <c r="P48" t="str">
        <f>IF(input_invoice[[#This Row],[entity]]="SL","EUR",IF(input_invoice[[#This Row],[entity]]="Ltd","GBP",IF(input_invoice[[#This Row],[entity]]="Inc","USD","XXX")))</f>
        <v>EUR</v>
      </c>
    </row>
    <row r="49" spans="1:18" hidden="1" x14ac:dyDescent="0.3">
      <c r="A49">
        <v>202502</v>
      </c>
      <c r="B49" s="22" t="s">
        <v>917</v>
      </c>
      <c r="C49" s="48" t="s">
        <v>301</v>
      </c>
      <c r="D49" s="43">
        <v>45691</v>
      </c>
      <c r="E49" s="43">
        <v>45691</v>
      </c>
      <c r="F49" t="s">
        <v>81</v>
      </c>
      <c r="G49" s="47">
        <f>MAX(+input_invoice[[#This Row],[net]]+input_invoice[[#This Row],[tax_iva]]+input_invoice[[#This Row],[tax_irpf]],input_invoice[[#This Row],[net]])</f>
        <v>474.82</v>
      </c>
      <c r="H49" s="47">
        <f>input_invoice[[#This Row],[net]]*(MAX(input_invoice[[#This Row],[tax_rate_iva]],0)/100)</f>
        <v>0</v>
      </c>
      <c r="I49" s="47">
        <f>-input_invoice[[#This Row],[net]]*input_invoice[[#This Row],[tax_rate_irpf]]/100</f>
        <v>0</v>
      </c>
      <c r="J49" s="47">
        <v>474.82</v>
      </c>
      <c r="K49" t="str">
        <f t="shared" si="3"/>
        <v>returns</v>
      </c>
      <c r="L49">
        <v>0</v>
      </c>
      <c r="N49" t="str">
        <f>VLOOKUP(input_invoice[[#This Row],[concept/supplier]],'sel-invoice'!D:E,2,0)</f>
        <v>rever</v>
      </c>
      <c r="O49" t="str">
        <f>VLOOKUP(input_invoice[[#This Row],[concept/supplier]],'sel-invoice'!D:F,3,0)</f>
        <v>SL</v>
      </c>
      <c r="P49" t="str">
        <f>IF(input_invoice[[#This Row],[entity]]="SL","EUR",IF(input_invoice[[#This Row],[entity]]="Ltd","GBP",IF(input_invoice[[#This Row],[entity]]="Inc","USD","XXX")))</f>
        <v>EUR</v>
      </c>
    </row>
    <row r="50" spans="1:18" hidden="1" x14ac:dyDescent="0.3">
      <c r="A50">
        <v>202501</v>
      </c>
      <c r="B50" s="22" t="s">
        <v>917</v>
      </c>
      <c r="C50" s="48" t="s">
        <v>262</v>
      </c>
      <c r="D50" s="43">
        <v>45685</v>
      </c>
      <c r="E50" s="43">
        <v>45692</v>
      </c>
      <c r="F50" t="s">
        <v>54</v>
      </c>
      <c r="G50" s="47">
        <f>MAX(+input_invoice[[#This Row],[net]]+input_invoice[[#This Row],[tax_iva]]+input_invoice[[#This Row],[tax_irpf]],input_invoice[[#This Row],[net]])</f>
        <v>16.395500000000002</v>
      </c>
      <c r="H50" s="47">
        <f>input_invoice[[#This Row],[net]]*(MAX(input_invoice[[#This Row],[tax_rate_iva]],0)/100)</f>
        <v>2.8454999999999999</v>
      </c>
      <c r="I50" s="47">
        <f>-input_invoice[[#This Row],[net]]*input_invoice[[#This Row],[tax_rate_irpf]]/100</f>
        <v>0</v>
      </c>
      <c r="J50" s="47">
        <v>13.55</v>
      </c>
      <c r="K50" t="str">
        <f t="shared" si="3"/>
        <v>logistics</v>
      </c>
      <c r="L50">
        <v>21</v>
      </c>
      <c r="N50" t="str">
        <f>VLOOKUP(input_invoice[[#This Row],[concept/supplier]],'sel-invoice'!D:E,2,0)</f>
        <v>Spring</v>
      </c>
      <c r="O50" t="str">
        <f>VLOOKUP(input_invoice[[#This Row],[concept/supplier]],'sel-invoice'!D:F,3,0)</f>
        <v>SL</v>
      </c>
      <c r="P50" t="str">
        <f>IF(input_invoice[[#This Row],[entity]]="SL","EUR",IF(input_invoice[[#This Row],[entity]]="Ltd","GBP",IF(input_invoice[[#This Row],[entity]]="Inc","USD","XXX")))</f>
        <v>EUR</v>
      </c>
      <c r="Q50" s="199" t="s">
        <v>874</v>
      </c>
    </row>
    <row r="51" spans="1:18" hidden="1" x14ac:dyDescent="0.3">
      <c r="A51">
        <v>202502</v>
      </c>
      <c r="B51" s="22" t="s">
        <v>917</v>
      </c>
      <c r="C51" s="48">
        <v>324887692</v>
      </c>
      <c r="D51" s="43">
        <v>45692</v>
      </c>
      <c r="E51" s="43">
        <v>45692</v>
      </c>
      <c r="F51" t="s">
        <v>55</v>
      </c>
      <c r="G51" s="47">
        <f>MAX(+input_invoice[[#This Row],[net]]+input_invoice[[#This Row],[tax_iva]]+input_invoice[[#This Row],[tax_irpf]],input_invoice[[#This Row],[net]])</f>
        <v>287.36</v>
      </c>
      <c r="H51" s="47">
        <f>input_invoice[[#This Row],[net]]*(MAX(input_invoice[[#This Row],[tax_rate_iva]],0)/100)</f>
        <v>0</v>
      </c>
      <c r="I51" s="47">
        <f>-input_invoice[[#This Row],[net]]*input_invoice[[#This Row],[tax_rate_irpf]]/100</f>
        <v>0</v>
      </c>
      <c r="J51" s="47">
        <v>287.36</v>
      </c>
      <c r="K51" t="str">
        <f t="shared" si="3"/>
        <v>logistics</v>
      </c>
      <c r="L51">
        <v>0</v>
      </c>
      <c r="N51" t="str">
        <f>VLOOKUP(input_invoice[[#This Row],[concept/supplier]],'sel-invoice'!D:E,2,0)</f>
        <v>UPS DE</v>
      </c>
      <c r="O51" t="str">
        <f>VLOOKUP(input_invoice[[#This Row],[concept/supplier]],'sel-invoice'!D:F,3,0)</f>
        <v>SL</v>
      </c>
      <c r="P51" t="str">
        <f>IF(input_invoice[[#This Row],[entity]]="SL","EUR",IF(input_invoice[[#This Row],[entity]]="Ltd","GBP",IF(input_invoice[[#This Row],[entity]]="Inc","USD","XXX")))</f>
        <v>EUR</v>
      </c>
      <c r="R51" s="259" t="b">
        <v>1</v>
      </c>
    </row>
    <row r="52" spans="1:18" hidden="1" x14ac:dyDescent="0.3">
      <c r="A52">
        <v>202501</v>
      </c>
      <c r="B52" s="22" t="s">
        <v>917</v>
      </c>
      <c r="C52" s="48" t="s">
        <v>267</v>
      </c>
      <c r="D52" s="43">
        <v>45678</v>
      </c>
      <c r="E52" s="43">
        <v>45693</v>
      </c>
      <c r="F52" t="s">
        <v>37</v>
      </c>
      <c r="G52" s="47">
        <f>MAX(+input_invoice[[#This Row],[net]]+input_invoice[[#This Row],[tax_iva]]+input_invoice[[#This Row],[tax_irpf]],input_invoice[[#This Row],[net]])</f>
        <v>14502.2372</v>
      </c>
      <c r="H52" s="47">
        <f>input_invoice[[#This Row],[net]]*(MAX(input_invoice[[#This Row],[tax_rate_iva]],0)/100)</f>
        <v>2516.9171999999999</v>
      </c>
      <c r="I52" s="47">
        <f>-input_invoice[[#This Row],[net]]*input_invoice[[#This Row],[tax_rate_irpf]]/100</f>
        <v>0</v>
      </c>
      <c r="J52" s="47">
        <v>11985.32</v>
      </c>
      <c r="K52" t="str">
        <f t="shared" si="3"/>
        <v>manufacturing</v>
      </c>
      <c r="L52">
        <v>21</v>
      </c>
      <c r="N52" t="str">
        <f>VLOOKUP(input_invoice[[#This Row],[concept/supplier]],'sel-invoice'!D:E,2,0)</f>
        <v>Apphoto España</v>
      </c>
      <c r="O52" t="str">
        <f>VLOOKUP(input_invoice[[#This Row],[concept/supplier]],'sel-invoice'!D:F,3,0)</f>
        <v>SL</v>
      </c>
      <c r="P52" t="str">
        <f>IF(input_invoice[[#This Row],[entity]]="SL","EUR",IF(input_invoice[[#This Row],[entity]]="Ltd","GBP",IF(input_invoice[[#This Row],[entity]]="Inc","USD","XXX")))</f>
        <v>EUR</v>
      </c>
      <c r="Q52" s="199" t="s">
        <v>884</v>
      </c>
    </row>
    <row r="53" spans="1:18" hidden="1" x14ac:dyDescent="0.3">
      <c r="A53">
        <v>202502</v>
      </c>
      <c r="B53" s="22" t="s">
        <v>917</v>
      </c>
      <c r="C53" s="48" t="s">
        <v>281</v>
      </c>
      <c r="D53" s="43">
        <v>45693</v>
      </c>
      <c r="E53" s="43">
        <v>45693</v>
      </c>
      <c r="F53" t="s">
        <v>115</v>
      </c>
      <c r="G53" s="47">
        <f>MAX(+input_invoice[[#This Row],[net]]+input_invoice[[#This Row],[tax_iva]]+input_invoice[[#This Row],[tax_irpf]],input_invoice[[#This Row],[net]])</f>
        <v>363.02419999999995</v>
      </c>
      <c r="H53" s="47">
        <f>input_invoice[[#This Row],[net]]*(MAX(input_invoice[[#This Row],[tax_rate_iva]],0)/100)</f>
        <v>63.004199999999997</v>
      </c>
      <c r="I53" s="47">
        <f>-input_invoice[[#This Row],[net]]*input_invoice[[#This Row],[tax_rate_irpf]]/100</f>
        <v>0</v>
      </c>
      <c r="J53" s="47">
        <v>300.02</v>
      </c>
      <c r="K53" t="str">
        <f t="shared" si="3"/>
        <v>administrative</v>
      </c>
      <c r="L53">
        <v>21</v>
      </c>
      <c r="N53" t="str">
        <f>VLOOKUP(input_invoice[[#This Row],[concept/supplier]],'sel-invoice'!D:E,2,0)</f>
        <v>Preving Adeplus</v>
      </c>
      <c r="O53" t="str">
        <f>VLOOKUP(input_invoice[[#This Row],[concept/supplier]],'sel-invoice'!D:F,3,0)</f>
        <v>SL</v>
      </c>
      <c r="P53" t="str">
        <f>IF(input_invoice[[#This Row],[entity]]="SL","EUR",IF(input_invoice[[#This Row],[entity]]="Ltd","GBP",IF(input_invoice[[#This Row],[entity]]="Inc","USD","XXX")))</f>
        <v>EUR</v>
      </c>
    </row>
    <row r="54" spans="1:18" hidden="1" x14ac:dyDescent="0.3">
      <c r="A54">
        <v>202502</v>
      </c>
      <c r="B54" s="22" t="s">
        <v>917</v>
      </c>
      <c r="C54" s="48">
        <v>327922873</v>
      </c>
      <c r="D54" s="43">
        <v>45696</v>
      </c>
      <c r="E54" s="43">
        <v>45696</v>
      </c>
      <c r="F54" t="s">
        <v>209</v>
      </c>
      <c r="G54" s="47">
        <f>MAX(+input_invoice[[#This Row],[net]]+input_invoice[[#This Row],[tax_iva]]+input_invoice[[#This Row],[tax_irpf]],input_invoice[[#This Row],[net]])</f>
        <v>118.51</v>
      </c>
      <c r="H54" s="47">
        <f>input_invoice[[#This Row],[net]]*(MAX(input_invoice[[#This Row],[tax_rate_iva]],0)/100)</f>
        <v>0</v>
      </c>
      <c r="I54" s="47">
        <f>-input_invoice[[#This Row],[net]]*input_invoice[[#This Row],[tax_rate_irpf]]/100</f>
        <v>0</v>
      </c>
      <c r="J54" s="47">
        <v>118.51</v>
      </c>
      <c r="K54" t="str">
        <f t="shared" si="3"/>
        <v>it</v>
      </c>
      <c r="L54">
        <v>0</v>
      </c>
      <c r="N54" t="str">
        <f>VLOOKUP(input_invoice[[#This Row],[concept/supplier]],'sel-invoice'!D:E,2,0)</f>
        <v>Shopify</v>
      </c>
      <c r="O54" t="str">
        <f>VLOOKUP(input_invoice[[#This Row],[concept/supplier]],'sel-invoice'!D:F,3,0)</f>
        <v>Ltd</v>
      </c>
      <c r="P54" t="str">
        <f>IF(input_invoice[[#This Row],[entity]]="SL","EUR",IF(input_invoice[[#This Row],[entity]]="Ltd","GBP",IF(input_invoice[[#This Row],[entity]]="Inc","USD","XXX")))</f>
        <v>GBP</v>
      </c>
      <c r="Q54" s="182"/>
      <c r="R54" s="259" t="b">
        <v>1</v>
      </c>
    </row>
    <row r="55" spans="1:18" hidden="1" x14ac:dyDescent="0.3">
      <c r="A55">
        <v>202502</v>
      </c>
      <c r="B55" s="22" t="s">
        <v>917</v>
      </c>
      <c r="C55" s="48" t="s">
        <v>280</v>
      </c>
      <c r="D55" s="43">
        <v>45693</v>
      </c>
      <c r="E55" s="43">
        <v>45699</v>
      </c>
      <c r="F55" t="s">
        <v>111</v>
      </c>
      <c r="G55" s="47">
        <f>MAX(+input_invoice[[#This Row],[net]]+input_invoice[[#This Row],[tax_iva]]+input_invoice[[#This Row],[tax_irpf]],input_invoice[[#This Row],[net]])</f>
        <v>888.87810000000002</v>
      </c>
      <c r="H55" s="47">
        <f>input_invoice[[#This Row],[net]]*(MAX(input_invoice[[#This Row],[tax_rate_iva]],0)/100)</f>
        <v>154.2681</v>
      </c>
      <c r="I55" s="47">
        <f>-input_invoice[[#This Row],[net]]*input_invoice[[#This Row],[tax_rate_irpf]]/100</f>
        <v>0</v>
      </c>
      <c r="J55" s="47">
        <v>734.61</v>
      </c>
      <c r="K55" t="str">
        <f t="shared" si="3"/>
        <v>administrative</v>
      </c>
      <c r="L55">
        <v>21</v>
      </c>
      <c r="N55" t="str">
        <f>VLOOKUP(input_invoice[[#This Row],[concept/supplier]],'sel-invoice'!D:E,2,0)</f>
        <v>Claris Gestio</v>
      </c>
      <c r="O55" t="str">
        <f>VLOOKUP(input_invoice[[#This Row],[concept/supplier]],'sel-invoice'!D:F,3,0)</f>
        <v>SL</v>
      </c>
      <c r="P55" t="str">
        <f>IF(input_invoice[[#This Row],[entity]]="SL","EUR",IF(input_invoice[[#This Row],[entity]]="Ltd","GBP",IF(input_invoice[[#This Row],[entity]]="Inc","USD","XXX")))</f>
        <v>EUR</v>
      </c>
    </row>
    <row r="56" spans="1:18" hidden="1" x14ac:dyDescent="0.3">
      <c r="A56">
        <v>202502</v>
      </c>
      <c r="B56" s="22" t="s">
        <v>917</v>
      </c>
      <c r="C56" s="48">
        <v>324919720</v>
      </c>
      <c r="D56" s="43">
        <v>45699</v>
      </c>
      <c r="E56" s="43">
        <v>45699</v>
      </c>
      <c r="F56" t="s">
        <v>55</v>
      </c>
      <c r="G56" s="47">
        <f>MAX(+input_invoice[[#This Row],[net]]+input_invoice[[#This Row],[tax_iva]]+input_invoice[[#This Row],[tax_irpf]],input_invoice[[#This Row],[net]])</f>
        <v>354.91</v>
      </c>
      <c r="H56" s="47">
        <f>input_invoice[[#This Row],[net]]*(MAX(input_invoice[[#This Row],[tax_rate_iva]],0)/100)</f>
        <v>0</v>
      </c>
      <c r="I56" s="47">
        <f>-input_invoice[[#This Row],[net]]*input_invoice[[#This Row],[tax_rate_irpf]]/100</f>
        <v>0</v>
      </c>
      <c r="J56" s="47">
        <v>354.91</v>
      </c>
      <c r="K56" t="str">
        <f t="shared" si="3"/>
        <v>logistics</v>
      </c>
      <c r="L56">
        <v>0</v>
      </c>
      <c r="N56" t="str">
        <f>VLOOKUP(input_invoice[[#This Row],[concept/supplier]],'sel-invoice'!D:E,2,0)</f>
        <v>UPS DE</v>
      </c>
      <c r="O56" t="str">
        <f>VLOOKUP(input_invoice[[#This Row],[concept/supplier]],'sel-invoice'!D:F,3,0)</f>
        <v>SL</v>
      </c>
      <c r="P56" t="str">
        <f>IF(input_invoice[[#This Row],[entity]]="SL","EUR",IF(input_invoice[[#This Row],[entity]]="Ltd","GBP",IF(input_invoice[[#This Row],[entity]]="Inc","USD","XXX")))</f>
        <v>EUR</v>
      </c>
      <c r="R56" s="259" t="b">
        <v>1</v>
      </c>
    </row>
    <row r="57" spans="1:18" hidden="1" x14ac:dyDescent="0.3">
      <c r="A57">
        <v>202501</v>
      </c>
      <c r="B57" s="22" t="s">
        <v>917</v>
      </c>
      <c r="C57" s="48" t="s">
        <v>268</v>
      </c>
      <c r="D57" s="43">
        <v>45688</v>
      </c>
      <c r="E57" s="43">
        <v>45701</v>
      </c>
      <c r="F57" t="s">
        <v>43</v>
      </c>
      <c r="G57" s="47">
        <f>MAX(+input_invoice[[#This Row],[net]]+input_invoice[[#This Row],[tax_iva]]+input_invoice[[#This Row],[tax_irpf]],input_invoice[[#This Row],[net]])</f>
        <v>9059.9459999999999</v>
      </c>
      <c r="H57" s="47">
        <f>input_invoice[[#This Row],[net]]*(MAX(input_invoice[[#This Row],[tax_rate_iva]],0)/100)</f>
        <v>1446.546</v>
      </c>
      <c r="I57" s="47">
        <f>-input_invoice[[#This Row],[net]]*input_invoice[[#This Row],[tax_rate_irpf]]/100</f>
        <v>0</v>
      </c>
      <c r="J57" s="47">
        <v>7613.4</v>
      </c>
      <c r="K57" t="str">
        <f t="shared" si="3"/>
        <v>manufacturing</v>
      </c>
      <c r="L57">
        <v>19</v>
      </c>
      <c r="N57" t="str">
        <f>VLOOKUP(input_invoice[[#This Row],[concept/supplier]],'sel-invoice'!D:E,2,0)</f>
        <v>DCT</v>
      </c>
      <c r="O57" t="str">
        <f>VLOOKUP(input_invoice[[#This Row],[concept/supplier]],'sel-invoice'!D:F,3,0)</f>
        <v>SL</v>
      </c>
      <c r="P57" t="str">
        <f>IF(input_invoice[[#This Row],[entity]]="SL","EUR",IF(input_invoice[[#This Row],[entity]]="Ltd","GBP",IF(input_invoice[[#This Row],[entity]]="Inc","USD","XXX")))</f>
        <v>EUR</v>
      </c>
      <c r="Q57" s="199" t="s">
        <v>885</v>
      </c>
    </row>
    <row r="58" spans="1:18" hidden="1" x14ac:dyDescent="0.3">
      <c r="A58">
        <v>202501</v>
      </c>
      <c r="B58" s="22" t="s">
        <v>917</v>
      </c>
      <c r="C58" s="48" t="s">
        <v>886</v>
      </c>
      <c r="D58" s="43">
        <v>45688</v>
      </c>
      <c r="E58" s="43">
        <v>45701</v>
      </c>
      <c r="F58" t="s">
        <v>43</v>
      </c>
      <c r="G58" s="47">
        <f>MAX(+input_invoice[[#This Row],[net]]+input_invoice[[#This Row],[tax_iva]]+input_invoice[[#This Row],[tax_irpf]],input_invoice[[#This Row],[net]])</f>
        <v>35.700000000000003</v>
      </c>
      <c r="H58" s="47">
        <f>input_invoice[[#This Row],[net]]*(MAX(input_invoice[[#This Row],[tax_rate_iva]],0)/100)</f>
        <v>5.7</v>
      </c>
      <c r="I58" s="47">
        <f>-input_invoice[[#This Row],[net]]*input_invoice[[#This Row],[tax_rate_irpf]]/100</f>
        <v>0</v>
      </c>
      <c r="J58" s="47">
        <v>30</v>
      </c>
      <c r="K58" t="str">
        <f t="shared" si="3"/>
        <v>manufacturing</v>
      </c>
      <c r="L58">
        <v>19</v>
      </c>
      <c r="N58" t="str">
        <f>VLOOKUP(input_invoice[[#This Row],[concept/supplier]],'sel-invoice'!D:E,2,0)</f>
        <v>DCT</v>
      </c>
      <c r="O58" t="str">
        <f>VLOOKUP(input_invoice[[#This Row],[concept/supplier]],'sel-invoice'!D:F,3,0)</f>
        <v>SL</v>
      </c>
      <c r="P58" t="str">
        <f>IF(input_invoice[[#This Row],[entity]]="SL","EUR",IF(input_invoice[[#This Row],[entity]]="Ltd","GBP",IF(input_invoice[[#This Row],[entity]]="Inc","USD","XXX")))</f>
        <v>EUR</v>
      </c>
      <c r="Q58" s="199" t="s">
        <v>887</v>
      </c>
    </row>
    <row r="59" spans="1:18" hidden="1" x14ac:dyDescent="0.3">
      <c r="A59">
        <v>202502</v>
      </c>
      <c r="B59" s="22" t="s">
        <v>917</v>
      </c>
      <c r="C59" s="48" t="s">
        <v>287</v>
      </c>
      <c r="D59" s="43">
        <v>45701</v>
      </c>
      <c r="E59" s="43">
        <v>45701</v>
      </c>
      <c r="F59" t="s">
        <v>129</v>
      </c>
      <c r="G59" s="47">
        <f>MAX(+input_invoice[[#This Row],[net]]+input_invoice[[#This Row],[tax_iva]]+input_invoice[[#This Row],[tax_irpf]],input_invoice[[#This Row],[net]])</f>
        <v>23.716000000000001</v>
      </c>
      <c r="H59" s="47">
        <f>input_invoice[[#This Row],[net]]*(MAX(input_invoice[[#This Row],[tax_rate_iva]],0)/100)</f>
        <v>4.1160000000000005</v>
      </c>
      <c r="I59" s="47">
        <f>-input_invoice[[#This Row],[net]]*input_invoice[[#This Row],[tax_rate_irpf]]/100</f>
        <v>0</v>
      </c>
      <c r="J59" s="47">
        <v>19.600000000000001</v>
      </c>
      <c r="K59" t="str">
        <f t="shared" si="3"/>
        <v>it</v>
      </c>
      <c r="L59">
        <v>21</v>
      </c>
      <c r="N59" t="str">
        <f>VLOOKUP(input_invoice[[#This Row],[concept/supplier]],'sel-invoice'!D:E,2,0)</f>
        <v>Microsoft</v>
      </c>
      <c r="O59" t="str">
        <f>VLOOKUP(input_invoice[[#This Row],[concept/supplier]],'sel-invoice'!D:F,3,0)</f>
        <v>SL</v>
      </c>
      <c r="P59" t="str">
        <f>IF(input_invoice[[#This Row],[entity]]="SL","EUR",IF(input_invoice[[#This Row],[entity]]="Ltd","GBP",IF(input_invoice[[#This Row],[entity]]="Inc","USD","XXX")))</f>
        <v>EUR</v>
      </c>
    </row>
    <row r="60" spans="1:18" hidden="1" x14ac:dyDescent="0.3">
      <c r="A60">
        <v>202501</v>
      </c>
      <c r="B60" s="22" t="s">
        <v>917</v>
      </c>
      <c r="C60" s="48" t="s">
        <v>265</v>
      </c>
      <c r="D60" s="43">
        <v>45688</v>
      </c>
      <c r="E60" s="43">
        <v>45703</v>
      </c>
      <c r="F60" t="s">
        <v>37</v>
      </c>
      <c r="G60" s="47">
        <f>MAX(+input_invoice[[#This Row],[net]]+input_invoice[[#This Row],[tax_iva]]+input_invoice[[#This Row],[tax_irpf]],input_invoice[[#This Row],[net]])</f>
        <v>11153.0661</v>
      </c>
      <c r="H60" s="47">
        <f>input_invoice[[#This Row],[net]]*(MAX(input_invoice[[#This Row],[tax_rate_iva]],0)/100)</f>
        <v>1935.6560999999999</v>
      </c>
      <c r="I60" s="47">
        <f>-input_invoice[[#This Row],[net]]*input_invoice[[#This Row],[tax_rate_irpf]]/100</f>
        <v>0</v>
      </c>
      <c r="J60" s="47">
        <v>9217.41</v>
      </c>
      <c r="K60" t="str">
        <f t="shared" si="3"/>
        <v>manufacturing</v>
      </c>
      <c r="L60">
        <v>21</v>
      </c>
      <c r="N60" t="str">
        <f>VLOOKUP(input_invoice[[#This Row],[concept/supplier]],'sel-invoice'!D:E,2,0)</f>
        <v>Apphoto España</v>
      </c>
      <c r="O60" t="str">
        <f>VLOOKUP(input_invoice[[#This Row],[concept/supplier]],'sel-invoice'!D:F,3,0)</f>
        <v>SL</v>
      </c>
      <c r="P60" t="str">
        <f>IF(input_invoice[[#This Row],[entity]]="SL","EUR",IF(input_invoice[[#This Row],[entity]]="Ltd","GBP",IF(input_invoice[[#This Row],[entity]]="Inc","USD","XXX")))</f>
        <v>EUR</v>
      </c>
      <c r="Q60" s="199" t="s">
        <v>882</v>
      </c>
    </row>
    <row r="61" spans="1:18" hidden="1" x14ac:dyDescent="0.3">
      <c r="A61">
        <v>202501</v>
      </c>
      <c r="B61" s="22" t="s">
        <v>917</v>
      </c>
      <c r="C61" s="48" t="s">
        <v>263</v>
      </c>
      <c r="D61" s="43">
        <v>45688</v>
      </c>
      <c r="E61" s="43">
        <v>45705</v>
      </c>
      <c r="F61" t="s">
        <v>39</v>
      </c>
      <c r="G61" s="47">
        <f>MAX(+input_invoice[[#This Row],[net]]+input_invoice[[#This Row],[tax_iva]]+input_invoice[[#This Row],[tax_irpf]],input_invoice[[#This Row],[net]])</f>
        <v>63.825499999999998</v>
      </c>
      <c r="H61" s="47">
        <f>input_invoice[[#This Row],[net]]*(MAX(input_invoice[[#This Row],[tax_rate_iva]],0)/100)</f>
        <v>4.1755000000000004</v>
      </c>
      <c r="I61" s="47">
        <f>-input_invoice[[#This Row],[net]]*input_invoice[[#This Row],[tax_rate_irpf]]/100</f>
        <v>0</v>
      </c>
      <c r="J61" s="47">
        <v>59.65</v>
      </c>
      <c r="K61" t="str">
        <f t="shared" si="3"/>
        <v>manufacturing</v>
      </c>
      <c r="L61">
        <v>7</v>
      </c>
      <c r="N61" t="str">
        <f>VLOOKUP(input_invoice[[#This Row],[concept/supplier]],'sel-invoice'!D:E,2,0)</f>
        <v>Apphoto Canarias</v>
      </c>
      <c r="O61" t="str">
        <f>VLOOKUP(input_invoice[[#This Row],[concept/supplier]],'sel-invoice'!D:F,3,0)</f>
        <v>SL</v>
      </c>
      <c r="P61" t="str">
        <f>IF(input_invoice[[#This Row],[entity]]="SL","EUR",IF(input_invoice[[#This Row],[entity]]="Ltd","GBP",IF(input_invoice[[#This Row],[entity]]="Inc","USD","XXX")))</f>
        <v>EUR</v>
      </c>
      <c r="Q61" s="199" t="s">
        <v>880</v>
      </c>
    </row>
    <row r="62" spans="1:18" ht="15" hidden="1" customHeight="1" x14ac:dyDescent="0.3">
      <c r="A62">
        <v>202502</v>
      </c>
      <c r="B62" s="22" t="s">
        <v>917</v>
      </c>
      <c r="C62" s="48" t="s">
        <v>284</v>
      </c>
      <c r="D62" s="43">
        <v>45706</v>
      </c>
      <c r="E62" s="43">
        <v>45706</v>
      </c>
      <c r="F62" t="s">
        <v>143</v>
      </c>
      <c r="G62" s="47">
        <f>MAX(+input_invoice[[#This Row],[net]]+input_invoice[[#This Row],[tax_iva]]+input_invoice[[#This Row],[tax_irpf]],input_invoice[[#This Row],[net]])</f>
        <v>11.991099999999999</v>
      </c>
      <c r="H62" s="47">
        <f>input_invoice[[#This Row],[net]]*(MAX(input_invoice[[#This Row],[tax_rate_iva]],0)/100)</f>
        <v>2.0811000000000002</v>
      </c>
      <c r="I62" s="47">
        <f>-input_invoice[[#This Row],[net]]*input_invoice[[#This Row],[tax_rate_irpf]]/100</f>
        <v>0</v>
      </c>
      <c r="J62" s="47">
        <v>9.91</v>
      </c>
      <c r="K62" t="str">
        <f t="shared" si="3"/>
        <v>it</v>
      </c>
      <c r="L62">
        <v>21</v>
      </c>
      <c r="N62" t="str">
        <f>VLOOKUP(input_invoice[[#This Row],[concept/supplier]],'sel-invoice'!D:E,2,0)</f>
        <v>Canva</v>
      </c>
      <c r="O62" t="str">
        <f>VLOOKUP(input_invoice[[#This Row],[concept/supplier]],'sel-invoice'!D:F,3,0)</f>
        <v>SL</v>
      </c>
      <c r="P62" t="str">
        <f>IF(input_invoice[[#This Row],[entity]]="SL","EUR",IF(input_invoice[[#This Row],[entity]]="Ltd","GBP",IF(input_invoice[[#This Row],[entity]]="Inc","USD","XXX")))</f>
        <v>EUR</v>
      </c>
    </row>
    <row r="63" spans="1:18" ht="15" hidden="1" customHeight="1" x14ac:dyDescent="0.3">
      <c r="A63">
        <v>202502</v>
      </c>
      <c r="B63" s="22" t="s">
        <v>917</v>
      </c>
      <c r="C63" s="48" t="s">
        <v>285</v>
      </c>
      <c r="D63" s="43">
        <v>45706</v>
      </c>
      <c r="E63" s="43">
        <v>45706</v>
      </c>
      <c r="F63" t="s">
        <v>135</v>
      </c>
      <c r="G63" s="47">
        <f>MAX(+input_invoice[[#This Row],[net]]+input_invoice[[#This Row],[tax_iva]]+input_invoice[[#This Row],[tax_irpf]],input_invoice[[#This Row],[net]])</f>
        <v>23.84</v>
      </c>
      <c r="H63" s="47">
        <f>input_invoice[[#This Row],[net]]*(MAX(input_invoice[[#This Row],[tax_rate_iva]],0)/100)</f>
        <v>0</v>
      </c>
      <c r="I63" s="47">
        <f>-input_invoice[[#This Row],[net]]*input_invoice[[#This Row],[tax_rate_irpf]]/100</f>
        <v>0</v>
      </c>
      <c r="J63" s="47">
        <v>23.84</v>
      </c>
      <c r="K63" t="str">
        <f t="shared" si="3"/>
        <v>it</v>
      </c>
      <c r="L63">
        <v>0</v>
      </c>
      <c r="N63" t="str">
        <f>VLOOKUP(input_invoice[[#This Row],[concept/supplier]],'sel-invoice'!D:E,2,0)</f>
        <v>Geotargetly</v>
      </c>
      <c r="O63" t="str">
        <f>VLOOKUP(input_invoice[[#This Row],[concept/supplier]],'sel-invoice'!D:F,3,0)</f>
        <v>SL</v>
      </c>
      <c r="P63" t="str">
        <f>IF(input_invoice[[#This Row],[entity]]="SL","EUR",IF(input_invoice[[#This Row],[entity]]="Ltd","GBP",IF(input_invoice[[#This Row],[entity]]="Inc","USD","XXX")))</f>
        <v>EUR</v>
      </c>
    </row>
    <row r="64" spans="1:18" ht="15" hidden="1" customHeight="1" x14ac:dyDescent="0.3">
      <c r="A64">
        <v>202502</v>
      </c>
      <c r="B64" s="22" t="s">
        <v>917</v>
      </c>
      <c r="C64" s="48" t="s">
        <v>286</v>
      </c>
      <c r="D64" s="43">
        <v>45706</v>
      </c>
      <c r="E64" s="43">
        <v>45706</v>
      </c>
      <c r="F64" t="s">
        <v>129</v>
      </c>
      <c r="G64" s="47">
        <f>MAX(+input_invoice[[#This Row],[net]]+input_invoice[[#This Row],[tax_iva]]+input_invoice[[#This Row],[tax_irpf]],input_invoice[[#This Row],[net]])</f>
        <v>18.8</v>
      </c>
      <c r="H64" s="47">
        <f>input_invoice[[#This Row],[net]]*(MAX(input_invoice[[#This Row],[tax_rate_iva]],0)/100)</f>
        <v>0</v>
      </c>
      <c r="I64" s="47">
        <f>-input_invoice[[#This Row],[net]]*input_invoice[[#This Row],[tax_rate_irpf]]/100</f>
        <v>0</v>
      </c>
      <c r="J64" s="47">
        <v>18.8</v>
      </c>
      <c r="K64" t="str">
        <f t="shared" si="3"/>
        <v>it</v>
      </c>
      <c r="L64">
        <v>0</v>
      </c>
      <c r="N64" t="str">
        <f>VLOOKUP(input_invoice[[#This Row],[concept/supplier]],'sel-invoice'!D:E,2,0)</f>
        <v>Microsoft</v>
      </c>
      <c r="O64" t="str">
        <f>VLOOKUP(input_invoice[[#This Row],[concept/supplier]],'sel-invoice'!D:F,3,0)</f>
        <v>SL</v>
      </c>
      <c r="P64" t="str">
        <f>IF(input_invoice[[#This Row],[entity]]="SL","EUR",IF(input_invoice[[#This Row],[entity]]="Ltd","GBP",IF(input_invoice[[#This Row],[entity]]="Inc","USD","XXX")))</f>
        <v>EUR</v>
      </c>
    </row>
    <row r="65" spans="1:18" ht="15" hidden="1" customHeight="1" x14ac:dyDescent="0.3">
      <c r="A65">
        <v>202502</v>
      </c>
      <c r="B65" s="22" t="s">
        <v>917</v>
      </c>
      <c r="C65" s="48">
        <v>330951660</v>
      </c>
      <c r="D65" s="43">
        <v>45706</v>
      </c>
      <c r="E65" s="43">
        <v>45706</v>
      </c>
      <c r="F65" t="s">
        <v>122</v>
      </c>
      <c r="G65" s="47">
        <f>MAX(+input_invoice[[#This Row],[net]]+input_invoice[[#This Row],[tax_iva]]+input_invoice[[#This Row],[tax_irpf]],input_invoice[[#This Row],[net]])</f>
        <v>473.22</v>
      </c>
      <c r="H65" s="47">
        <f>input_invoice[[#This Row],[net]]*(MAX(input_invoice[[#This Row],[tax_rate_iva]],0)/100)</f>
        <v>0</v>
      </c>
      <c r="I65" s="47">
        <f>-input_invoice[[#This Row],[net]]*input_invoice[[#This Row],[tax_rate_irpf]]/100</f>
        <v>0</v>
      </c>
      <c r="J65" s="47">
        <v>473.22</v>
      </c>
      <c r="K65" t="str">
        <f t="shared" si="3"/>
        <v>it</v>
      </c>
      <c r="L65">
        <v>0</v>
      </c>
      <c r="N65" t="str">
        <f>VLOOKUP(input_invoice[[#This Row],[concept/supplier]],'sel-invoice'!D:E,2,0)</f>
        <v>Shopify</v>
      </c>
      <c r="O65" t="str">
        <f>VLOOKUP(input_invoice[[#This Row],[concept/supplier]],'sel-invoice'!D:F,3,0)</f>
        <v>SL</v>
      </c>
      <c r="P65" t="str">
        <f>IF(input_invoice[[#This Row],[entity]]="SL","EUR",IF(input_invoice[[#This Row],[entity]]="Ltd","GBP",IF(input_invoice[[#This Row],[entity]]="Inc","USD","XXX")))</f>
        <v>EUR</v>
      </c>
      <c r="R65" s="259" t="b">
        <v>1</v>
      </c>
    </row>
    <row r="66" spans="1:18" ht="15" hidden="1" customHeight="1" x14ac:dyDescent="0.3">
      <c r="A66">
        <v>202502</v>
      </c>
      <c r="B66" s="22" t="s">
        <v>917</v>
      </c>
      <c r="C66" s="48" t="s">
        <v>289</v>
      </c>
      <c r="D66" s="43">
        <v>45699</v>
      </c>
      <c r="E66" s="43">
        <v>45706</v>
      </c>
      <c r="F66" t="s">
        <v>54</v>
      </c>
      <c r="G66" s="47">
        <f>MAX(+input_invoice[[#This Row],[net]]+input_invoice[[#This Row],[tax_iva]]+input_invoice[[#This Row],[tax_irpf]],input_invoice[[#This Row],[net]])</f>
        <v>27.321799999999996</v>
      </c>
      <c r="H66" s="47">
        <f>input_invoice[[#This Row],[net]]*(MAX(input_invoice[[#This Row],[tax_rate_iva]],0)/100)</f>
        <v>4.7417999999999996</v>
      </c>
      <c r="I66" s="47">
        <f>-input_invoice[[#This Row],[net]]*input_invoice[[#This Row],[tax_rate_irpf]]/100</f>
        <v>0</v>
      </c>
      <c r="J66" s="47">
        <v>22.58</v>
      </c>
      <c r="K66" t="str">
        <f t="shared" si="3"/>
        <v>logistics</v>
      </c>
      <c r="L66">
        <v>21</v>
      </c>
      <c r="N66" t="str">
        <f>VLOOKUP(input_invoice[[#This Row],[concept/supplier]],'sel-invoice'!D:E,2,0)</f>
        <v>Spring</v>
      </c>
      <c r="O66" t="str">
        <f>VLOOKUP(input_invoice[[#This Row],[concept/supplier]],'sel-invoice'!D:F,3,0)</f>
        <v>SL</v>
      </c>
      <c r="P66" t="str">
        <f>IF(input_invoice[[#This Row],[entity]]="SL","EUR",IF(input_invoice[[#This Row],[entity]]="Ltd","GBP",IF(input_invoice[[#This Row],[entity]]="Inc","USD","XXX")))</f>
        <v>EUR</v>
      </c>
    </row>
    <row r="67" spans="1:18" ht="15" hidden="1" customHeight="1" x14ac:dyDescent="0.3">
      <c r="A67">
        <v>202502</v>
      </c>
      <c r="B67" s="22" t="s">
        <v>917</v>
      </c>
      <c r="C67" s="48">
        <v>84000161070</v>
      </c>
      <c r="D67" s="43">
        <v>45704</v>
      </c>
      <c r="E67" s="43">
        <v>45708</v>
      </c>
      <c r="F67" t="s">
        <v>127</v>
      </c>
      <c r="G67" s="47">
        <f>MAX(+input_invoice[[#This Row],[net]]+input_invoice[[#This Row],[tax_iva]]+input_invoice[[#This Row],[tax_irpf]],input_invoice[[#This Row],[net]])</f>
        <v>13.189</v>
      </c>
      <c r="H67" s="47">
        <f>input_invoice[[#This Row],[net]]*(MAX(input_invoice[[#This Row],[tax_rate_iva]],0)/100)</f>
        <v>2.2890000000000001</v>
      </c>
      <c r="I67" s="47">
        <f>-input_invoice[[#This Row],[net]]*input_invoice[[#This Row],[tax_rate_irpf]]/100</f>
        <v>0</v>
      </c>
      <c r="J67" s="47">
        <v>10.9</v>
      </c>
      <c r="K67" t="str">
        <f t="shared" si="3"/>
        <v>it</v>
      </c>
      <c r="L67">
        <v>21</v>
      </c>
      <c r="N67" t="str">
        <f>VLOOKUP(input_invoice[[#This Row],[concept/supplier]],'sel-invoice'!D:E,2,0)</f>
        <v>Hetzner</v>
      </c>
      <c r="O67" t="str">
        <f>VLOOKUP(input_invoice[[#This Row],[concept/supplier]],'sel-invoice'!D:F,3,0)</f>
        <v>SL</v>
      </c>
      <c r="P67" t="str">
        <f>IF(input_invoice[[#This Row],[entity]]="SL","EUR",IF(input_invoice[[#This Row],[entity]]="Ltd","GBP",IF(input_invoice[[#This Row],[entity]]="Inc","USD","XXX")))</f>
        <v>EUR</v>
      </c>
    </row>
    <row r="68" spans="1:18" ht="15" hidden="1" customHeight="1" x14ac:dyDescent="0.3">
      <c r="A68">
        <v>202601</v>
      </c>
      <c r="B68" s="22" t="s">
        <v>917</v>
      </c>
      <c r="C68" s="48" t="s">
        <v>1272</v>
      </c>
      <c r="D68" s="43">
        <v>45688</v>
      </c>
      <c r="E68" s="43">
        <f>input_invoice[[#This Row],[date]]+15</f>
        <v>45703</v>
      </c>
      <c r="F68" t="s">
        <v>37</v>
      </c>
      <c r="G68" s="47">
        <f>MAX(+input_invoice[[#This Row],[net]]+input_invoice[[#This Row],[tax_iva]],input_invoice[[#This Row],[net]])</f>
        <v>5412.0153999999993</v>
      </c>
      <c r="H68" s="47">
        <f>input_invoice[[#This Row],[net]]*(MAX(input_invoice[[#This Row],[tax_rate_iva]],0)/100)</f>
        <v>939.27539999999988</v>
      </c>
      <c r="I68" s="47">
        <f>-input_invoice[[#This Row],[net]]*input_invoice[[#This Row],[tax_rate_irpf]]/100</f>
        <v>0</v>
      </c>
      <c r="J68" s="47">
        <v>4472.74</v>
      </c>
      <c r="K68" t="str">
        <f t="shared" si="3"/>
        <v>manufacturing</v>
      </c>
      <c r="L68">
        <v>21</v>
      </c>
      <c r="N68" t="str">
        <f>VLOOKUP(input_invoice[[#This Row],[concept/supplier]],'sel-invoice'!D:E,2,0)</f>
        <v>Apphoto España</v>
      </c>
      <c r="O68" t="str">
        <f>VLOOKUP(input_invoice[[#This Row],[concept/supplier]],'sel-invoice'!D:F,3,0)</f>
        <v>SL</v>
      </c>
      <c r="P68" t="str">
        <f>IF(input_invoice[[#This Row],[entity]]="SL","EUR",IF(input_invoice[[#This Row],[entity]]="Ltd","GBP",IF(input_invoice[[#This Row],[entity]]="Inc","USD","XXX")))</f>
        <v>EUR</v>
      </c>
      <c r="Q68" s="199" t="s">
        <v>1273</v>
      </c>
      <c r="R68" s="259" t="b">
        <v>1</v>
      </c>
    </row>
    <row r="69" spans="1:18" ht="15" hidden="1" customHeight="1" x14ac:dyDescent="0.3">
      <c r="A69">
        <v>202502</v>
      </c>
      <c r="B69" s="22" t="s">
        <v>917</v>
      </c>
      <c r="C69" s="48" t="s">
        <v>511</v>
      </c>
      <c r="D69" s="43">
        <v>45709</v>
      </c>
      <c r="E69" s="43">
        <v>45709</v>
      </c>
      <c r="F69" t="s">
        <v>206</v>
      </c>
      <c r="G69" s="47">
        <f>MAX(+input_invoice[[#This Row],[net]]+input_invoice[[#This Row],[tax_iva]]+input_invoice[[#This Row],[tax_irpf]],input_invoice[[#This Row],[net]])</f>
        <v>1478.4479999999999</v>
      </c>
      <c r="H69" s="47">
        <f>input_invoice[[#This Row],[net]]*(MAX(input_invoice[[#This Row],[tax_rate_iva]],0)/100)</f>
        <v>246.40800000000002</v>
      </c>
      <c r="I69" s="47">
        <f>-input_invoice[[#This Row],[net]]*input_invoice[[#This Row],[tax_rate_irpf]]/100</f>
        <v>0</v>
      </c>
      <c r="J69" s="47">
        <v>1232.04</v>
      </c>
      <c r="K69" t="str">
        <f t="shared" si="3"/>
        <v>administrative</v>
      </c>
      <c r="L69">
        <v>20</v>
      </c>
      <c r="N69" t="str">
        <f>VLOOKUP(input_invoice[[#This Row],[concept/supplier]],'sel-invoice'!D:E,2,0)</f>
        <v>youraccountsntaxes</v>
      </c>
      <c r="O69" t="str">
        <f>VLOOKUP(input_invoice[[#This Row],[concept/supplier]],'sel-invoice'!D:F,3,0)</f>
        <v>Ltd</v>
      </c>
      <c r="P69" t="str">
        <f>IF(input_invoice[[#This Row],[entity]]="SL","EUR",IF(input_invoice[[#This Row],[entity]]="Ltd","GBP",IF(input_invoice[[#This Row],[entity]]="Inc","USD","XXX")))</f>
        <v>GBP</v>
      </c>
      <c r="R69" s="259" t="b">
        <v>1</v>
      </c>
    </row>
    <row r="70" spans="1:18" ht="15" hidden="1" customHeight="1" x14ac:dyDescent="0.3">
      <c r="A70">
        <v>202502</v>
      </c>
      <c r="B70" s="22" t="s">
        <v>917</v>
      </c>
      <c r="C70" s="48" t="s">
        <v>512</v>
      </c>
      <c r="D70" s="43">
        <v>45709</v>
      </c>
      <c r="E70" s="43">
        <v>45709</v>
      </c>
      <c r="F70" t="s">
        <v>206</v>
      </c>
      <c r="G70" s="47">
        <f>MAX(+input_invoice[[#This Row],[net]]+input_invoice[[#This Row],[tax_iva]]+input_invoice[[#This Row],[tax_irpf]],input_invoice[[#This Row],[net]])</f>
        <v>648</v>
      </c>
      <c r="H70" s="47">
        <f>input_invoice[[#This Row],[net]]*(MAX(input_invoice[[#This Row],[tax_rate_iva]],0)/100)</f>
        <v>108</v>
      </c>
      <c r="I70" s="47">
        <f>-input_invoice[[#This Row],[net]]*input_invoice[[#This Row],[tax_rate_irpf]]/100</f>
        <v>0</v>
      </c>
      <c r="J70" s="47">
        <v>540</v>
      </c>
      <c r="K70" t="str">
        <f t="shared" ref="K70:K101" si="4">_xlfn.TEXTBEFORE(F70," - ")</f>
        <v>administrative</v>
      </c>
      <c r="L70">
        <v>20</v>
      </c>
      <c r="N70" t="str">
        <f>VLOOKUP(input_invoice[[#This Row],[concept/supplier]],'sel-invoice'!D:E,2,0)</f>
        <v>youraccountsntaxes</v>
      </c>
      <c r="O70" t="str">
        <f>VLOOKUP(input_invoice[[#This Row],[concept/supplier]],'sel-invoice'!D:F,3,0)</f>
        <v>Ltd</v>
      </c>
      <c r="P70" t="str">
        <f>IF(input_invoice[[#This Row],[entity]]="SL","EUR",IF(input_invoice[[#This Row],[entity]]="Ltd","GBP",IF(input_invoice[[#This Row],[entity]]="Inc","USD","XXX")))</f>
        <v>GBP</v>
      </c>
      <c r="R70" s="259" t="b">
        <v>1</v>
      </c>
    </row>
    <row r="71" spans="1:18" ht="15" hidden="1" customHeight="1" x14ac:dyDescent="0.3">
      <c r="A71">
        <v>202502</v>
      </c>
      <c r="B71" s="22" t="s">
        <v>917</v>
      </c>
      <c r="C71" s="48" t="s">
        <v>290</v>
      </c>
      <c r="D71" s="43">
        <v>45706</v>
      </c>
      <c r="E71" s="43">
        <v>45713</v>
      </c>
      <c r="F71" t="s">
        <v>54</v>
      </c>
      <c r="G71" s="47">
        <f>MAX(+input_invoice[[#This Row],[net]]+input_invoice[[#This Row],[tax_iva]]+input_invoice[[#This Row],[tax_irpf]],input_invoice[[#This Row],[net]])</f>
        <v>6.2435999999999998</v>
      </c>
      <c r="H71" s="47">
        <f>input_invoice[[#This Row],[net]]*(MAX(input_invoice[[#This Row],[tax_rate_iva]],0)/100)</f>
        <v>1.0835999999999999</v>
      </c>
      <c r="I71" s="47">
        <f>-input_invoice[[#This Row],[net]]*input_invoice[[#This Row],[tax_rate_irpf]]/100</f>
        <v>0</v>
      </c>
      <c r="J71" s="47">
        <v>5.16</v>
      </c>
      <c r="K71" t="str">
        <f t="shared" si="4"/>
        <v>logistics</v>
      </c>
      <c r="L71">
        <v>21</v>
      </c>
      <c r="N71" t="str">
        <f>VLOOKUP(input_invoice[[#This Row],[concept/supplier]],'sel-invoice'!D:E,2,0)</f>
        <v>Spring</v>
      </c>
      <c r="O71" t="str">
        <f>VLOOKUP(input_invoice[[#This Row],[concept/supplier]],'sel-invoice'!D:F,3,0)</f>
        <v>SL</v>
      </c>
      <c r="P71" t="str">
        <f>IF(input_invoice[[#This Row],[entity]]="SL","EUR",IF(input_invoice[[#This Row],[entity]]="Ltd","GBP",IF(input_invoice[[#This Row],[entity]]="Inc","USD","XXX")))</f>
        <v>EUR</v>
      </c>
    </row>
    <row r="72" spans="1:18" ht="15" hidden="1" customHeight="1" x14ac:dyDescent="0.3">
      <c r="A72">
        <v>202502</v>
      </c>
      <c r="B72" s="22" t="s">
        <v>917</v>
      </c>
      <c r="C72" s="48" t="s">
        <v>514</v>
      </c>
      <c r="D72" s="43">
        <v>45709</v>
      </c>
      <c r="E72" s="43">
        <v>45709</v>
      </c>
      <c r="F72" t="s">
        <v>206</v>
      </c>
      <c r="G72" s="47">
        <f>MAX(+input_invoice[[#This Row],[net]]+input_invoice[[#This Row],[tax_iva]]+input_invoice[[#This Row],[tax_irpf]],input_invoice[[#This Row],[net]])</f>
        <v>252</v>
      </c>
      <c r="H72" s="47">
        <f>input_invoice[[#This Row],[net]]*(MAX(input_invoice[[#This Row],[tax_rate_iva]],0)/100)</f>
        <v>42</v>
      </c>
      <c r="I72" s="47">
        <f>-input_invoice[[#This Row],[net]]*input_invoice[[#This Row],[tax_rate_irpf]]/100</f>
        <v>0</v>
      </c>
      <c r="J72" s="47">
        <v>210</v>
      </c>
      <c r="K72" t="str">
        <f t="shared" si="4"/>
        <v>administrative</v>
      </c>
      <c r="L72">
        <v>20</v>
      </c>
      <c r="N72" t="str">
        <f>VLOOKUP(input_invoice[[#This Row],[concept/supplier]],'sel-invoice'!D:E,2,0)</f>
        <v>youraccountsntaxes</v>
      </c>
      <c r="O72" t="str">
        <f>VLOOKUP(input_invoice[[#This Row],[concept/supplier]],'sel-invoice'!D:F,3,0)</f>
        <v>Ltd</v>
      </c>
      <c r="P72" t="str">
        <f>IF(input_invoice[[#This Row],[entity]]="SL","EUR",IF(input_invoice[[#This Row],[entity]]="Ltd","GBP",IF(input_invoice[[#This Row],[entity]]="Inc","USD","XXX")))</f>
        <v>GBP</v>
      </c>
      <c r="R72" s="259" t="b">
        <v>1</v>
      </c>
    </row>
    <row r="73" spans="1:18" ht="15" hidden="1" customHeight="1" x14ac:dyDescent="0.3">
      <c r="A73">
        <v>202501</v>
      </c>
      <c r="B73" s="22" t="s">
        <v>917</v>
      </c>
      <c r="C73" s="48" t="s">
        <v>264</v>
      </c>
      <c r="D73" s="43">
        <v>45685</v>
      </c>
      <c r="E73" s="43">
        <v>45993</v>
      </c>
      <c r="F73" t="s">
        <v>37</v>
      </c>
      <c r="G73" s="47">
        <f>MAX(+input_invoice[[#This Row],[net]]+input_invoice[[#This Row],[tax_iva]]+input_invoice[[#This Row],[tax_irpf]],input_invoice[[#This Row],[net]])</f>
        <v>12846.5458</v>
      </c>
      <c r="H73" s="47">
        <f>input_invoice[[#This Row],[net]]*(MAX(input_invoice[[#This Row],[tax_rate_iva]],0)/100)</f>
        <v>2229.5657999999999</v>
      </c>
      <c r="I73" s="47">
        <f>-input_invoice[[#This Row],[net]]*input_invoice[[#This Row],[tax_rate_irpf]]/100</f>
        <v>0</v>
      </c>
      <c r="J73" s="47">
        <v>10616.98</v>
      </c>
      <c r="K73" t="str">
        <f t="shared" si="4"/>
        <v>manufacturing</v>
      </c>
      <c r="L73">
        <v>21</v>
      </c>
      <c r="N73" t="str">
        <f>VLOOKUP(input_invoice[[#This Row],[concept/supplier]],'sel-invoice'!D:E,2,0)</f>
        <v>Apphoto España</v>
      </c>
      <c r="O73" t="str">
        <f>VLOOKUP(input_invoice[[#This Row],[concept/supplier]],'sel-invoice'!D:F,3,0)</f>
        <v>SL</v>
      </c>
      <c r="P73" t="str">
        <f>IF(input_invoice[[#This Row],[entity]]="SL","EUR",IF(input_invoice[[#This Row],[entity]]="Ltd","GBP",IF(input_invoice[[#This Row],[entity]]="Inc","USD","XXX")))</f>
        <v>EUR</v>
      </c>
      <c r="Q73" s="199" t="s">
        <v>881</v>
      </c>
    </row>
    <row r="74" spans="1:18" ht="15" hidden="1" customHeight="1" x14ac:dyDescent="0.3">
      <c r="A74">
        <v>202501</v>
      </c>
      <c r="B74" s="22" t="s">
        <v>917</v>
      </c>
      <c r="C74" s="48">
        <v>4004229873</v>
      </c>
      <c r="D74" s="43">
        <v>45688</v>
      </c>
      <c r="E74" s="43">
        <v>45716</v>
      </c>
      <c r="F74" t="s">
        <v>52</v>
      </c>
      <c r="G74" s="47">
        <f>MAX(+input_invoice[[#This Row],[net]]+input_invoice[[#This Row],[tax_iva]]+input_invoice[[#This Row],[tax_irpf]],input_invoice[[#This Row],[net]])</f>
        <v>476.31649999999996</v>
      </c>
      <c r="H74" s="47">
        <f>input_invoice[[#This Row],[net]]*(MAX(input_invoice[[#This Row],[tax_rate_iva]],0)/100)</f>
        <v>82.666499999999999</v>
      </c>
      <c r="I74" s="47">
        <f>-input_invoice[[#This Row],[net]]*input_invoice[[#This Row],[tax_rate_irpf]]/100</f>
        <v>0</v>
      </c>
      <c r="J74" s="47">
        <v>393.65</v>
      </c>
      <c r="K74" t="str">
        <f t="shared" si="4"/>
        <v>logistics</v>
      </c>
      <c r="L74">
        <v>21</v>
      </c>
      <c r="N74" t="str">
        <f>VLOOKUP(input_invoice[[#This Row],[concept/supplier]],'sel-invoice'!D:E,2,0)</f>
        <v>Correos</v>
      </c>
      <c r="O74" t="str">
        <f>VLOOKUP(input_invoice[[#This Row],[concept/supplier]],'sel-invoice'!D:F,3,0)</f>
        <v>SL</v>
      </c>
      <c r="P74" t="str">
        <f>IF(input_invoice[[#This Row],[entity]]="SL","EUR",IF(input_invoice[[#This Row],[entity]]="Ltd","GBP",IF(input_invoice[[#This Row],[entity]]="Inc","USD","XXX")))</f>
        <v>EUR</v>
      </c>
      <c r="Q74" s="199" t="s">
        <v>869</v>
      </c>
    </row>
    <row r="75" spans="1:18" ht="15" hidden="1" customHeight="1" x14ac:dyDescent="0.3">
      <c r="A75">
        <v>202501</v>
      </c>
      <c r="B75" s="22" t="s">
        <v>917</v>
      </c>
      <c r="C75" s="48">
        <v>4004229874</v>
      </c>
      <c r="D75" s="43">
        <v>45688</v>
      </c>
      <c r="E75" s="43">
        <v>45716</v>
      </c>
      <c r="F75" t="s">
        <v>52</v>
      </c>
      <c r="G75" s="47">
        <f>MAX(+input_invoice[[#This Row],[net]]+input_invoice[[#This Row],[tax_iva]]+input_invoice[[#This Row],[tax_irpf]],input_invoice[[#This Row],[net]])</f>
        <v>29.0884</v>
      </c>
      <c r="H75" s="47">
        <f>input_invoice[[#This Row],[net]]*(MAX(input_invoice[[#This Row],[tax_rate_iva]],0)/100)</f>
        <v>5.0484</v>
      </c>
      <c r="I75" s="47">
        <f>-input_invoice[[#This Row],[net]]*input_invoice[[#This Row],[tax_rate_irpf]]/100</f>
        <v>0</v>
      </c>
      <c r="J75" s="47">
        <v>24.04</v>
      </c>
      <c r="K75" t="str">
        <f t="shared" si="4"/>
        <v>logistics</v>
      </c>
      <c r="L75">
        <v>21</v>
      </c>
      <c r="N75" t="str">
        <f>VLOOKUP(input_invoice[[#This Row],[concept/supplier]],'sel-invoice'!D:E,2,0)</f>
        <v>Correos</v>
      </c>
      <c r="O75" t="str">
        <f>VLOOKUP(input_invoice[[#This Row],[concept/supplier]],'sel-invoice'!D:F,3,0)</f>
        <v>SL</v>
      </c>
      <c r="P75" t="str">
        <f>IF(input_invoice[[#This Row],[entity]]="SL","EUR",IF(input_invoice[[#This Row],[entity]]="Ltd","GBP",IF(input_invoice[[#This Row],[entity]]="Inc","USD","XXX")))</f>
        <v>EUR</v>
      </c>
      <c r="Q75" s="199" t="s">
        <v>870</v>
      </c>
    </row>
    <row r="76" spans="1:18" ht="15" hidden="1" customHeight="1" x14ac:dyDescent="0.3">
      <c r="A76">
        <v>202501</v>
      </c>
      <c r="B76" s="22" t="s">
        <v>917</v>
      </c>
      <c r="C76" s="48">
        <v>20250014</v>
      </c>
      <c r="D76" s="43">
        <v>45688</v>
      </c>
      <c r="E76" s="43">
        <v>45716</v>
      </c>
      <c r="F76" t="s">
        <v>51</v>
      </c>
      <c r="G76" s="47">
        <f>MAX(+input_invoice[[#This Row],[net]]+input_invoice[[#This Row],[tax_iva]]+input_invoice[[#This Row],[tax_irpf]],input_invoice[[#This Row],[net]])</f>
        <v>8945.3001000000004</v>
      </c>
      <c r="H76" s="47">
        <f>input_invoice[[#This Row],[net]]*(MAX(input_invoice[[#This Row],[tax_rate_iva]],0)/100)</f>
        <v>1552.4901</v>
      </c>
      <c r="I76" s="47">
        <f>-input_invoice[[#This Row],[net]]*input_invoice[[#This Row],[tax_rate_irpf]]/100</f>
        <v>0</v>
      </c>
      <c r="J76" s="47">
        <v>7392.81</v>
      </c>
      <c r="K76" t="str">
        <f t="shared" si="4"/>
        <v>logistics</v>
      </c>
      <c r="L76">
        <v>21</v>
      </c>
      <c r="N76" t="str">
        <f>VLOOKUP(input_invoice[[#This Row],[concept/supplier]],'sel-invoice'!D:E,2,0)</f>
        <v>GLS</v>
      </c>
      <c r="O76" t="str">
        <f>VLOOKUP(input_invoice[[#This Row],[concept/supplier]],'sel-invoice'!D:F,3,0)</f>
        <v>SL</v>
      </c>
      <c r="P76" t="str">
        <f>IF(input_invoice[[#This Row],[entity]]="SL","EUR",IF(input_invoice[[#This Row],[entity]]="Ltd","GBP",IF(input_invoice[[#This Row],[entity]]="Inc","USD","XXX")))</f>
        <v>EUR</v>
      </c>
      <c r="Q76" s="199" t="s">
        <v>873</v>
      </c>
    </row>
    <row r="77" spans="1:18" ht="15" hidden="1" customHeight="1" x14ac:dyDescent="0.3">
      <c r="A77">
        <v>202501</v>
      </c>
      <c r="B77" s="22" t="s">
        <v>917</v>
      </c>
      <c r="C77" s="48">
        <v>9409</v>
      </c>
      <c r="D77" s="43">
        <v>45663</v>
      </c>
      <c r="E77" s="43">
        <v>45716</v>
      </c>
      <c r="F77" t="s">
        <v>45</v>
      </c>
      <c r="G77" s="47">
        <f>MAX(+input_invoice[[#This Row],[net]]+input_invoice[[#This Row],[tax_iva]]+input_invoice[[#This Row],[tax_irpf]],input_invoice[[#This Row],[net]])</f>
        <v>606.82799999999997</v>
      </c>
      <c r="H77" s="47">
        <f>input_invoice[[#This Row],[net]]*(MAX(input_invoice[[#This Row],[tax_rate_iva]],0)/100)</f>
        <v>101.13800000000001</v>
      </c>
      <c r="I77" s="47">
        <f>-input_invoice[[#This Row],[net]]*input_invoice[[#This Row],[tax_rate_irpf]]/100</f>
        <v>0</v>
      </c>
      <c r="J77" s="47">
        <v>505.69</v>
      </c>
      <c r="K77" t="str">
        <f t="shared" si="4"/>
        <v>manufacturing</v>
      </c>
      <c r="L77">
        <v>20</v>
      </c>
      <c r="N77" t="str">
        <f>VLOOKUP(input_invoice[[#This Row],[concept/supplier]],'sel-invoice'!D:E,2,0)</f>
        <v>MB Editions</v>
      </c>
      <c r="O77" t="str">
        <f>VLOOKUP(input_invoice[[#This Row],[concept/supplier]],'sel-invoice'!D:F,3,0)</f>
        <v>SL</v>
      </c>
      <c r="P77" t="str">
        <f>IF(input_invoice[[#This Row],[entity]]="SL","EUR",IF(input_invoice[[#This Row],[entity]]="Ltd","GBP",IF(input_invoice[[#This Row],[entity]]="Inc","USD","XXX")))</f>
        <v>EUR</v>
      </c>
      <c r="Q77" s="199" t="s">
        <v>888</v>
      </c>
    </row>
    <row r="78" spans="1:18" ht="15" hidden="1" customHeight="1" x14ac:dyDescent="0.3">
      <c r="A78">
        <v>202501</v>
      </c>
      <c r="B78" s="22" t="s">
        <v>917</v>
      </c>
      <c r="C78" s="48">
        <v>9429</v>
      </c>
      <c r="D78" s="43">
        <v>45670</v>
      </c>
      <c r="E78" s="43">
        <v>45716</v>
      </c>
      <c r="F78" t="s">
        <v>45</v>
      </c>
      <c r="G78" s="47">
        <f>MAX(+input_invoice[[#This Row],[net]]+input_invoice[[#This Row],[tax_iva]]+input_invoice[[#This Row],[tax_irpf]],input_invoice[[#This Row],[net]])</f>
        <v>1530.576</v>
      </c>
      <c r="H78" s="47">
        <f>input_invoice[[#This Row],[net]]*(MAX(input_invoice[[#This Row],[tax_rate_iva]],0)/100)</f>
        <v>255.096</v>
      </c>
      <c r="I78" s="47">
        <f>-input_invoice[[#This Row],[net]]*input_invoice[[#This Row],[tax_rate_irpf]]/100</f>
        <v>0</v>
      </c>
      <c r="J78" s="47">
        <v>1275.48</v>
      </c>
      <c r="K78" t="str">
        <f t="shared" si="4"/>
        <v>manufacturing</v>
      </c>
      <c r="L78">
        <v>20</v>
      </c>
      <c r="N78" t="str">
        <f>VLOOKUP(input_invoice[[#This Row],[concept/supplier]],'sel-invoice'!D:E,2,0)</f>
        <v>MB Editions</v>
      </c>
      <c r="O78" t="str">
        <f>VLOOKUP(input_invoice[[#This Row],[concept/supplier]],'sel-invoice'!D:F,3,0)</f>
        <v>SL</v>
      </c>
      <c r="P78" t="str">
        <f>IF(input_invoice[[#This Row],[entity]]="SL","EUR",IF(input_invoice[[#This Row],[entity]]="Ltd","GBP",IF(input_invoice[[#This Row],[entity]]="Inc","USD","XXX")))</f>
        <v>EUR</v>
      </c>
      <c r="Q78" s="199" t="s">
        <v>889</v>
      </c>
    </row>
    <row r="79" spans="1:18" ht="15" hidden="1" customHeight="1" x14ac:dyDescent="0.3">
      <c r="A79">
        <v>202501</v>
      </c>
      <c r="B79" s="22" t="s">
        <v>917</v>
      </c>
      <c r="C79" s="48">
        <v>9483</v>
      </c>
      <c r="D79" s="43">
        <v>45677</v>
      </c>
      <c r="E79" s="43">
        <v>45716</v>
      </c>
      <c r="F79" t="s">
        <v>45</v>
      </c>
      <c r="G79" s="47">
        <f>MAX(+input_invoice[[#This Row],[net]]+input_invoice[[#This Row],[tax_iva]]+input_invoice[[#This Row],[tax_irpf]],input_invoice[[#This Row],[net]])</f>
        <v>5242.1759999999995</v>
      </c>
      <c r="H79" s="47">
        <f>input_invoice[[#This Row],[net]]*(MAX(input_invoice[[#This Row],[tax_rate_iva]],0)/100)</f>
        <v>873.69599999999991</v>
      </c>
      <c r="I79" s="47">
        <f>-input_invoice[[#This Row],[net]]*input_invoice[[#This Row],[tax_rate_irpf]]/100</f>
        <v>0</v>
      </c>
      <c r="J79" s="47">
        <v>4368.4799999999996</v>
      </c>
      <c r="K79" t="str">
        <f t="shared" si="4"/>
        <v>manufacturing</v>
      </c>
      <c r="L79">
        <v>20</v>
      </c>
      <c r="N79" t="str">
        <f>VLOOKUP(input_invoice[[#This Row],[concept/supplier]],'sel-invoice'!D:E,2,0)</f>
        <v>MB Editions</v>
      </c>
      <c r="O79" t="str">
        <f>VLOOKUP(input_invoice[[#This Row],[concept/supplier]],'sel-invoice'!D:F,3,0)</f>
        <v>SL</v>
      </c>
      <c r="P79" t="str">
        <f>IF(input_invoice[[#This Row],[entity]]="SL","EUR",IF(input_invoice[[#This Row],[entity]]="Ltd","GBP",IF(input_invoice[[#This Row],[entity]]="Inc","USD","XXX")))</f>
        <v>EUR</v>
      </c>
      <c r="Q79" s="199" t="s">
        <v>889</v>
      </c>
    </row>
    <row r="80" spans="1:18" ht="15" hidden="1" customHeight="1" x14ac:dyDescent="0.3">
      <c r="A80">
        <v>202501</v>
      </c>
      <c r="B80" s="22" t="s">
        <v>917</v>
      </c>
      <c r="C80" s="48">
        <v>9514</v>
      </c>
      <c r="D80" s="43">
        <v>45684</v>
      </c>
      <c r="E80" s="43">
        <v>45716</v>
      </c>
      <c r="F80" t="s">
        <v>45</v>
      </c>
      <c r="G80" s="47">
        <f>MAX(+input_invoice[[#This Row],[net]]+input_invoice[[#This Row],[tax_iva]]+input_invoice[[#This Row],[tax_irpf]],input_invoice[[#This Row],[net]])</f>
        <v>4742.076</v>
      </c>
      <c r="H80" s="47">
        <f>input_invoice[[#This Row],[net]]*(MAX(input_invoice[[#This Row],[tax_rate_iva]],0)/100)</f>
        <v>790.346</v>
      </c>
      <c r="I80" s="47">
        <f>-input_invoice[[#This Row],[net]]*input_invoice[[#This Row],[tax_rate_irpf]]/100</f>
        <v>0</v>
      </c>
      <c r="J80" s="47">
        <v>3951.73</v>
      </c>
      <c r="K80" t="str">
        <f t="shared" si="4"/>
        <v>manufacturing</v>
      </c>
      <c r="L80">
        <v>20</v>
      </c>
      <c r="N80" t="str">
        <f>VLOOKUP(input_invoice[[#This Row],[concept/supplier]],'sel-invoice'!D:E,2,0)</f>
        <v>MB Editions</v>
      </c>
      <c r="O80" t="str">
        <f>VLOOKUP(input_invoice[[#This Row],[concept/supplier]],'sel-invoice'!D:F,3,0)</f>
        <v>SL</v>
      </c>
      <c r="P80" t="str">
        <f>IF(input_invoice[[#This Row],[entity]]="SL","EUR",IF(input_invoice[[#This Row],[entity]]="Ltd","GBP",IF(input_invoice[[#This Row],[entity]]="Inc","USD","XXX")))</f>
        <v>EUR</v>
      </c>
      <c r="Q80" s="199" t="s">
        <v>889</v>
      </c>
    </row>
    <row r="81" spans="1:18" ht="15" hidden="1" customHeight="1" x14ac:dyDescent="0.3">
      <c r="A81">
        <v>202502</v>
      </c>
      <c r="B81" s="22" t="s">
        <v>917</v>
      </c>
      <c r="C81" s="48" t="s">
        <v>502</v>
      </c>
      <c r="D81" s="43">
        <v>45716</v>
      </c>
      <c r="E81" s="43">
        <v>45716</v>
      </c>
      <c r="F81" t="s">
        <v>204</v>
      </c>
      <c r="G81" s="47">
        <f>MAX(+input_invoice[[#This Row],[net]]+input_invoice[[#This Row],[tax_iva]]+input_invoice[[#This Row],[tax_irpf]],input_invoice[[#This Row],[net]])</f>
        <v>25.08</v>
      </c>
      <c r="H81" s="47">
        <f>input_invoice[[#This Row],[net]]*(MAX(input_invoice[[#This Row],[tax_rate_iva]],0)/100)</f>
        <v>0</v>
      </c>
      <c r="I81" s="47">
        <f>-input_invoice[[#This Row],[net]]*input_invoice[[#This Row],[tax_rate_irpf]]/100</f>
        <v>0</v>
      </c>
      <c r="J81" s="47">
        <v>25.08</v>
      </c>
      <c r="K81" t="str">
        <f t="shared" si="4"/>
        <v>payment-suppliers</v>
      </c>
      <c r="L81">
        <v>0</v>
      </c>
      <c r="N81" t="str">
        <f>VLOOKUP(input_invoice[[#This Row],[concept/supplier]],'sel-invoice'!D:E,2,0)</f>
        <v>Amazon Seller</v>
      </c>
      <c r="O81" t="str">
        <f>VLOOKUP(input_invoice[[#This Row],[concept/supplier]],'sel-invoice'!D:F,3,0)</f>
        <v>Ltd</v>
      </c>
      <c r="P81" t="str">
        <f>IF(input_invoice[[#This Row],[entity]]="SL","EUR",IF(input_invoice[[#This Row],[entity]]="Ltd","GBP",IF(input_invoice[[#This Row],[entity]]="Inc","USD","XXX")))</f>
        <v>GBP</v>
      </c>
      <c r="Q81" t="s">
        <v>908</v>
      </c>
    </row>
    <row r="82" spans="1:18" ht="15" hidden="1" customHeight="1" x14ac:dyDescent="0.3">
      <c r="A82">
        <v>202502</v>
      </c>
      <c r="B82" s="22" t="s">
        <v>917</v>
      </c>
      <c r="C82" s="48" t="s">
        <v>379</v>
      </c>
      <c r="D82" s="43">
        <v>45716</v>
      </c>
      <c r="E82" s="43">
        <v>45716</v>
      </c>
      <c r="F82" t="s">
        <v>210</v>
      </c>
      <c r="G82" s="47">
        <f>MAX(+input_invoice[[#This Row],[net]]+input_invoice[[#This Row],[tax_iva]]+input_invoice[[#This Row],[tax_irpf]],input_invoice[[#This Row],[net]])</f>
        <v>32.22</v>
      </c>
      <c r="H82" s="47">
        <f>input_invoice[[#This Row],[net]]*(MAX(input_invoice[[#This Row],[tax_rate_iva]],0)/100)</f>
        <v>0</v>
      </c>
      <c r="I82" s="47">
        <f>-input_invoice[[#This Row],[net]]*input_invoice[[#This Row],[tax_rate_irpf]]/100</f>
        <v>0</v>
      </c>
      <c r="J82" s="47">
        <v>32.22</v>
      </c>
      <c r="K82" t="str">
        <f t="shared" si="4"/>
        <v>it</v>
      </c>
      <c r="L82">
        <v>0</v>
      </c>
      <c r="N82" t="str">
        <f>VLOOKUP(input_invoice[[#This Row],[concept/supplier]],'sel-invoice'!D:E,2,0)</f>
        <v>Amazon Subscription</v>
      </c>
      <c r="O82" t="str">
        <f>VLOOKUP(input_invoice[[#This Row],[concept/supplier]],'sel-invoice'!D:F,3,0)</f>
        <v>Ltd</v>
      </c>
      <c r="P82" t="str">
        <f>IF(input_invoice[[#This Row],[entity]]="SL","EUR",IF(input_invoice[[#This Row],[entity]]="Ltd","GBP",IF(input_invoice[[#This Row],[entity]]="Inc","USD","XXX")))</f>
        <v>GBP</v>
      </c>
    </row>
    <row r="83" spans="1:18" ht="15" hidden="1" customHeight="1" x14ac:dyDescent="0.3">
      <c r="A83">
        <v>202501</v>
      </c>
      <c r="B83" s="22" t="s">
        <v>917</v>
      </c>
      <c r="F83" t="s">
        <v>277</v>
      </c>
      <c r="G83" s="47">
        <f>MAX(+input_invoice[[#This Row],[net]]+input_invoice[[#This Row],[tax_iva]]+input_invoice[[#This Row],[tax_irpf]],input_invoice[[#This Row],[net]])</f>
        <v>7162.81</v>
      </c>
      <c r="H83" s="47">
        <f>input_invoice[[#This Row],[net]]*(MAX(input_invoice[[#This Row],[tax_rate_iva]],0)/100)</f>
        <v>0</v>
      </c>
      <c r="I83" s="47">
        <f>-input_invoice[[#This Row],[net]]*input_invoice[[#This Row],[tax_rate_irpf]]/100</f>
        <v>0</v>
      </c>
      <c r="J83" s="47">
        <v>7162.81</v>
      </c>
      <c r="K83" t="str">
        <f t="shared" si="4"/>
        <v>shared-services</v>
      </c>
      <c r="L83">
        <v>0</v>
      </c>
      <c r="N83" t="str">
        <f>VLOOKUP(input_invoice[[#This Row],[concept/supplier]],'sel-invoice'!D:E,2,0)</f>
        <v>ArtestaSL</v>
      </c>
      <c r="O83" t="str">
        <f>VLOOKUP(input_invoice[[#This Row],[concept/supplier]],'sel-invoice'!D:F,3,0)</f>
        <v>Ltd</v>
      </c>
      <c r="P83" t="str">
        <f>IF(input_invoice[[#This Row],[entity]]="SL","EUR",IF(input_invoice[[#This Row],[entity]]="Ltd","GBP",IF(input_invoice[[#This Row],[entity]]="Inc","USD","XXX")))</f>
        <v>GBP</v>
      </c>
    </row>
    <row r="84" spans="1:18" ht="15" hidden="1" customHeight="1" x14ac:dyDescent="0.3">
      <c r="A84">
        <v>202502</v>
      </c>
      <c r="B84" s="22" t="s">
        <v>917</v>
      </c>
      <c r="C84" s="48">
        <v>5191403083</v>
      </c>
      <c r="D84" s="43">
        <v>45716</v>
      </c>
      <c r="E84" s="43">
        <v>45716</v>
      </c>
      <c r="F84" t="s">
        <v>133</v>
      </c>
      <c r="G84" s="47">
        <f>MAX(+input_invoice[[#This Row],[net]]+input_invoice[[#This Row],[tax_iva]]+input_invoice[[#This Row],[tax_irpf]],input_invoice[[#This Row],[net]])</f>
        <v>138</v>
      </c>
      <c r="H84" s="47">
        <f>input_invoice[[#This Row],[net]]*(MAX(input_invoice[[#This Row],[tax_rate_iva]],0)/100)</f>
        <v>0</v>
      </c>
      <c r="I84" s="47">
        <f>-input_invoice[[#This Row],[net]]*input_invoice[[#This Row],[tax_rate_irpf]]/100</f>
        <v>0</v>
      </c>
      <c r="J84" s="47">
        <v>138</v>
      </c>
      <c r="K84" t="str">
        <f t="shared" si="4"/>
        <v>it</v>
      </c>
      <c r="L84">
        <v>0</v>
      </c>
      <c r="N84" t="str">
        <f>VLOOKUP(input_invoice[[#This Row],[concept/supplier]],'sel-invoice'!D:E,2,0)</f>
        <v>Gsuite</v>
      </c>
      <c r="O84" t="str">
        <f>VLOOKUP(input_invoice[[#This Row],[concept/supplier]],'sel-invoice'!D:F,3,0)</f>
        <v>SL</v>
      </c>
      <c r="P84" t="str">
        <f>IF(input_invoice[[#This Row],[entity]]="SL","EUR",IF(input_invoice[[#This Row],[entity]]="Ltd","GBP",IF(input_invoice[[#This Row],[entity]]="Inc","USD","XXX")))</f>
        <v>EUR</v>
      </c>
    </row>
    <row r="85" spans="1:18" ht="15" hidden="1" customHeight="1" x14ac:dyDescent="0.3">
      <c r="A85">
        <v>202502</v>
      </c>
      <c r="B85" s="22" t="s">
        <v>917</v>
      </c>
      <c r="C85" s="48">
        <v>25001767</v>
      </c>
      <c r="D85" s="43" t="s">
        <v>298</v>
      </c>
      <c r="E85" s="43">
        <v>45716</v>
      </c>
      <c r="F85" t="s">
        <v>41</v>
      </c>
      <c r="G85" s="47">
        <f>MAX(+input_invoice[[#This Row],[net]]+input_invoice[[#This Row],[tax_iva]]+input_invoice[[#This Row],[tax_irpf]],input_invoice[[#This Row],[net]])</f>
        <v>1662.2737999999999</v>
      </c>
      <c r="H85" s="47">
        <f>input_invoice[[#This Row],[net]]*(MAX(input_invoice[[#This Row],[tax_rate_iva]],0)/100)</f>
        <v>288.49379999999996</v>
      </c>
      <c r="I85" s="47">
        <f>-input_invoice[[#This Row],[net]]*input_invoice[[#This Row],[tax_rate_irpf]]/100</f>
        <v>0</v>
      </c>
      <c r="J85" s="47">
        <v>1373.78</v>
      </c>
      <c r="K85" t="str">
        <f t="shared" si="4"/>
        <v>manufacturing</v>
      </c>
      <c r="L85">
        <v>21</v>
      </c>
      <c r="N85" t="str">
        <f>VLOOKUP(input_invoice[[#This Row],[concept/supplier]],'sel-invoice'!D:E,2,0)</f>
        <v>Pressing</v>
      </c>
      <c r="O85" t="str">
        <f>VLOOKUP(input_invoice[[#This Row],[concept/supplier]],'sel-invoice'!D:F,3,0)</f>
        <v>SL</v>
      </c>
      <c r="P85" t="str">
        <f>IF(input_invoice[[#This Row],[entity]]="SL","EUR",IF(input_invoice[[#This Row],[entity]]="Ltd","GBP",IF(input_invoice[[#This Row],[entity]]="Inc","USD","XXX")))</f>
        <v>EUR</v>
      </c>
    </row>
    <row r="86" spans="1:18" ht="15" hidden="1" customHeight="1" x14ac:dyDescent="0.3">
      <c r="A86">
        <v>202502</v>
      </c>
      <c r="B86" s="22" t="s">
        <v>917</v>
      </c>
      <c r="C86" s="48">
        <v>140513</v>
      </c>
      <c r="D86" s="43">
        <v>45716</v>
      </c>
      <c r="E86" s="43">
        <v>45716</v>
      </c>
      <c r="F86" t="s">
        <v>131</v>
      </c>
      <c r="G86" s="47">
        <f>MAX(+input_invoice[[#This Row],[net]]+input_invoice[[#This Row],[tax_iva]]+input_invoice[[#This Row],[tax_irpf]],input_invoice[[#This Row],[net]])</f>
        <v>39</v>
      </c>
      <c r="H86" s="47">
        <f>input_invoice[[#This Row],[net]]*(MAX(input_invoice[[#This Row],[tax_rate_iva]],0)/100)</f>
        <v>0</v>
      </c>
      <c r="I86" s="47">
        <f>-input_invoice[[#This Row],[net]]*input_invoice[[#This Row],[tax_rate_irpf]]/100</f>
        <v>0</v>
      </c>
      <c r="J86" s="47">
        <v>39</v>
      </c>
      <c r="K86" t="str">
        <f t="shared" si="4"/>
        <v>it</v>
      </c>
      <c r="L86">
        <v>0</v>
      </c>
      <c r="N86" t="str">
        <f>VLOOKUP(input_invoice[[#This Row],[concept/supplier]],'sel-invoice'!D:E,2,0)</f>
        <v>Product Hero</v>
      </c>
      <c r="O86" t="str">
        <f>VLOOKUP(input_invoice[[#This Row],[concept/supplier]],'sel-invoice'!D:F,3,0)</f>
        <v>SL</v>
      </c>
      <c r="P86" t="str">
        <f>IF(input_invoice[[#This Row],[entity]]="SL","EUR",IF(input_invoice[[#This Row],[entity]]="Ltd","GBP",IF(input_invoice[[#This Row],[entity]]="Inc","USD","XXX")))</f>
        <v>EUR</v>
      </c>
    </row>
    <row r="87" spans="1:18" ht="15" hidden="1" customHeight="1" x14ac:dyDescent="0.3">
      <c r="A87">
        <v>202502</v>
      </c>
      <c r="B87" s="22" t="s">
        <v>917</v>
      </c>
      <c r="C87" s="48" t="s">
        <v>302</v>
      </c>
      <c r="D87" s="43">
        <v>45716</v>
      </c>
      <c r="E87" s="43">
        <v>45716</v>
      </c>
      <c r="F87" t="s">
        <v>117</v>
      </c>
      <c r="G87" s="47">
        <f>MAX(+input_invoice[[#This Row],[net]]+input_invoice[[#This Row],[tax_iva]]+input_invoice[[#This Row],[tax_irpf]],input_invoice[[#This Row],[net]])</f>
        <v>89.8</v>
      </c>
      <c r="H87" s="47">
        <f>input_invoice[[#This Row],[net]]*(MAX(input_invoice[[#This Row],[tax_rate_iva]],0)/100)</f>
        <v>0</v>
      </c>
      <c r="I87" s="47">
        <f>-input_invoice[[#This Row],[net]]*input_invoice[[#This Row],[tax_rate_irpf]]/100</f>
        <v>0</v>
      </c>
      <c r="J87" s="47">
        <v>89.8</v>
      </c>
      <c r="K87" t="str">
        <f t="shared" si="4"/>
        <v>administrative</v>
      </c>
      <c r="L87">
        <v>0</v>
      </c>
      <c r="N87" t="str">
        <f>VLOOKUP(input_invoice[[#This Row],[concept/supplier]],'sel-invoice'!D:E,2,0)</f>
        <v>regus</v>
      </c>
      <c r="O87" t="str">
        <f>VLOOKUP(input_invoice[[#This Row],[concept/supplier]],'sel-invoice'!D:F,3,0)</f>
        <v>Inc</v>
      </c>
      <c r="P87" t="str">
        <f>IF(input_invoice[[#This Row],[entity]]="SL","EUR",IF(input_invoice[[#This Row],[entity]]="Ltd","GBP",IF(input_invoice[[#This Row],[entity]]="Inc","USD","XXX")))</f>
        <v>USD</v>
      </c>
    </row>
    <row r="88" spans="1:18" ht="15" hidden="1" customHeight="1" x14ac:dyDescent="0.3">
      <c r="A88">
        <v>202503</v>
      </c>
      <c r="B88" s="22" t="s">
        <v>917</v>
      </c>
      <c r="C88" s="48" t="s">
        <v>308</v>
      </c>
      <c r="D88" s="43">
        <v>45717</v>
      </c>
      <c r="E88" s="43">
        <v>45717</v>
      </c>
      <c r="F88" t="s">
        <v>81</v>
      </c>
      <c r="G88" s="47">
        <f>MAX(+input_invoice[[#This Row],[net]]+input_invoice[[#This Row],[tax_iva]]+input_invoice[[#This Row],[tax_irpf]],input_invoice[[#This Row],[net]])</f>
        <v>952.99</v>
      </c>
      <c r="H88" s="47">
        <f>input_invoice[[#This Row],[net]]*(MAX(input_invoice[[#This Row],[tax_rate_iva]],0)/100)</f>
        <v>0</v>
      </c>
      <c r="I88" s="47">
        <f>-input_invoice[[#This Row],[net]]*input_invoice[[#This Row],[tax_rate_irpf]]/100</f>
        <v>0</v>
      </c>
      <c r="J88" s="47">
        <v>952.99</v>
      </c>
      <c r="K88" t="str">
        <f t="shared" si="4"/>
        <v>returns</v>
      </c>
      <c r="L88">
        <v>0</v>
      </c>
      <c r="N88" t="str">
        <f>VLOOKUP(input_invoice[[#This Row],[concept/supplier]],'sel-invoice'!D:E,2,0)</f>
        <v>rever</v>
      </c>
      <c r="O88" t="str">
        <f>VLOOKUP(input_invoice[[#This Row],[concept/supplier]],'sel-invoice'!D:F,3,0)</f>
        <v>SL</v>
      </c>
      <c r="P88" t="str">
        <f>IF(input_invoice[[#This Row],[entity]]="SL","EUR",IF(input_invoice[[#This Row],[entity]]="Ltd","GBP",IF(input_invoice[[#This Row],[entity]]="Inc","USD","XXX")))</f>
        <v>EUR</v>
      </c>
    </row>
    <row r="89" spans="1:18" ht="15" hidden="1" customHeight="1" x14ac:dyDescent="0.3">
      <c r="A89">
        <v>202503</v>
      </c>
      <c r="B89" s="22" t="s">
        <v>917</v>
      </c>
      <c r="C89" s="48" t="s">
        <v>309</v>
      </c>
      <c r="D89" s="43">
        <v>45717</v>
      </c>
      <c r="E89" s="43">
        <v>45717</v>
      </c>
      <c r="F89" t="s">
        <v>81</v>
      </c>
      <c r="G89" s="47">
        <f>MAX(+input_invoice[[#This Row],[net]]+input_invoice[[#This Row],[tax_iva]]+input_invoice[[#This Row],[tax_irpf]],input_invoice[[#This Row],[net]])</f>
        <v>191.40989999999999</v>
      </c>
      <c r="H89" s="47">
        <f>input_invoice[[#This Row],[net]]*(MAX(input_invoice[[#This Row],[tax_rate_iva]],0)/100)</f>
        <v>33.219899999999996</v>
      </c>
      <c r="I89" s="47">
        <f>-input_invoice[[#This Row],[net]]*input_invoice[[#This Row],[tax_rate_irpf]]/100</f>
        <v>0</v>
      </c>
      <c r="J89" s="47">
        <v>158.19</v>
      </c>
      <c r="K89" t="str">
        <f t="shared" si="4"/>
        <v>returns</v>
      </c>
      <c r="L89">
        <v>21</v>
      </c>
      <c r="N89" t="str">
        <f>VLOOKUP(input_invoice[[#This Row],[concept/supplier]],'sel-invoice'!D:E,2,0)</f>
        <v>rever</v>
      </c>
      <c r="O89" t="str">
        <f>VLOOKUP(input_invoice[[#This Row],[concept/supplier]],'sel-invoice'!D:F,3,0)</f>
        <v>SL</v>
      </c>
      <c r="P89" t="str">
        <f>IF(input_invoice[[#This Row],[entity]]="SL","EUR",IF(input_invoice[[#This Row],[entity]]="Ltd","GBP",IF(input_invoice[[#This Row],[entity]]="Inc","USD","XXX")))</f>
        <v>EUR</v>
      </c>
    </row>
    <row r="90" spans="1:18" ht="15" hidden="1" customHeight="1" x14ac:dyDescent="0.3">
      <c r="A90">
        <v>202502</v>
      </c>
      <c r="B90" s="22" t="s">
        <v>917</v>
      </c>
      <c r="C90" s="48">
        <v>324984671</v>
      </c>
      <c r="D90" s="43">
        <v>45713</v>
      </c>
      <c r="E90" s="43">
        <v>45713</v>
      </c>
      <c r="F90" t="s">
        <v>55</v>
      </c>
      <c r="G90" s="47">
        <f>MAX(+input_invoice[[#This Row],[net]]+input_invoice[[#This Row],[tax_iva]]+input_invoice[[#This Row],[tax_irpf]],input_invoice[[#This Row],[net]])</f>
        <v>345.25</v>
      </c>
      <c r="H90" s="47">
        <f>input_invoice[[#This Row],[net]]*(MAX(input_invoice[[#This Row],[tax_rate_iva]],0)/100)</f>
        <v>0</v>
      </c>
      <c r="I90" s="47">
        <f>-input_invoice[[#This Row],[net]]*input_invoice[[#This Row],[tax_rate_irpf]]/100</f>
        <v>0</v>
      </c>
      <c r="J90" s="47">
        <v>345.25</v>
      </c>
      <c r="K90" t="str">
        <f t="shared" si="4"/>
        <v>logistics</v>
      </c>
      <c r="L90">
        <v>0</v>
      </c>
      <c r="N90" t="str">
        <f>VLOOKUP(input_invoice[[#This Row],[concept/supplier]],'sel-invoice'!D:E,2,0)</f>
        <v>UPS DE</v>
      </c>
      <c r="O90" t="str">
        <f>VLOOKUP(input_invoice[[#This Row],[concept/supplier]],'sel-invoice'!D:F,3,0)</f>
        <v>SL</v>
      </c>
      <c r="P90" t="str">
        <f>IF(input_invoice[[#This Row],[entity]]="SL","EUR",IF(input_invoice[[#This Row],[entity]]="Ltd","GBP",IF(input_invoice[[#This Row],[entity]]="Inc","USD","XXX")))</f>
        <v>EUR</v>
      </c>
      <c r="R90" s="259" t="b">
        <v>1</v>
      </c>
    </row>
    <row r="91" spans="1:18" ht="15" hidden="1" customHeight="1" x14ac:dyDescent="0.3">
      <c r="A91">
        <v>202503</v>
      </c>
      <c r="B91" s="22" t="s">
        <v>917</v>
      </c>
      <c r="C91" s="48" t="s">
        <v>303</v>
      </c>
      <c r="D91" s="43">
        <v>45718</v>
      </c>
      <c r="E91" s="43">
        <v>45718</v>
      </c>
      <c r="F91" t="s">
        <v>113</v>
      </c>
      <c r="G91" s="47">
        <f>MAX(+input_invoice[[#This Row],[net]]+input_invoice[[#This Row],[tax_iva]]+input_invoice[[#This Row],[tax_irpf]],input_invoice[[#This Row],[net]])</f>
        <v>18.149999999999999</v>
      </c>
      <c r="H91" s="47">
        <f>input_invoice[[#This Row],[net]]*(MAX(input_invoice[[#This Row],[tax_rate_iva]],0)/100)</f>
        <v>3.15</v>
      </c>
      <c r="I91" s="47">
        <f>-input_invoice[[#This Row],[net]]*input_invoice[[#This Row],[tax_rate_irpf]]/100</f>
        <v>0</v>
      </c>
      <c r="J91" s="47">
        <v>15</v>
      </c>
      <c r="K91" t="str">
        <f t="shared" si="4"/>
        <v>administrative</v>
      </c>
      <c r="L91">
        <v>21</v>
      </c>
      <c r="N91" t="str">
        <f>VLOOKUP(input_invoice[[#This Row],[concept/supplier]],'sel-invoice'!D:E,2,0)</f>
        <v>Torras y asociados</v>
      </c>
      <c r="O91" t="str">
        <f>VLOOKUP(input_invoice[[#This Row],[concept/supplier]],'sel-invoice'!D:F,3,0)</f>
        <v>SL</v>
      </c>
      <c r="P91" t="str">
        <f>IF(input_invoice[[#This Row],[entity]]="SL","EUR",IF(input_invoice[[#This Row],[entity]]="Ltd","GBP",IF(input_invoice[[#This Row],[entity]]="Inc","USD","XXX")))</f>
        <v>EUR</v>
      </c>
      <c r="R91" s="259" t="b">
        <v>1</v>
      </c>
    </row>
    <row r="92" spans="1:18" ht="15" hidden="1" customHeight="1" x14ac:dyDescent="0.3">
      <c r="A92">
        <v>202502</v>
      </c>
      <c r="B92" s="22" t="s">
        <v>917</v>
      </c>
      <c r="C92" s="48" t="s">
        <v>288</v>
      </c>
      <c r="D92" s="43">
        <v>45712</v>
      </c>
      <c r="E92" s="43">
        <v>45719</v>
      </c>
      <c r="F92" t="s">
        <v>54</v>
      </c>
      <c r="G92" s="47">
        <f>MAX(+input_invoice[[#This Row],[net]]+input_invoice[[#This Row],[tax_iva]]+input_invoice[[#This Row],[tax_irpf]],input_invoice[[#This Row],[net]])</f>
        <v>12.4872</v>
      </c>
      <c r="H92" s="47">
        <f>input_invoice[[#This Row],[net]]*(MAX(input_invoice[[#This Row],[tax_rate_iva]],0)/100)</f>
        <v>2.1671999999999998</v>
      </c>
      <c r="I92" s="47">
        <f>-input_invoice[[#This Row],[net]]*input_invoice[[#This Row],[tax_rate_irpf]]/100</f>
        <v>0</v>
      </c>
      <c r="J92" s="47">
        <v>10.32</v>
      </c>
      <c r="K92" t="str">
        <f t="shared" si="4"/>
        <v>logistics</v>
      </c>
      <c r="L92">
        <v>21</v>
      </c>
      <c r="N92" t="str">
        <f>VLOOKUP(input_invoice[[#This Row],[concept/supplier]],'sel-invoice'!D:E,2,0)</f>
        <v>Spring</v>
      </c>
      <c r="O92" t="str">
        <f>VLOOKUP(input_invoice[[#This Row],[concept/supplier]],'sel-invoice'!D:F,3,0)</f>
        <v>SL</v>
      </c>
      <c r="P92" t="str">
        <f>IF(input_invoice[[#This Row],[entity]]="SL","EUR",IF(input_invoice[[#This Row],[entity]]="Ltd","GBP",IF(input_invoice[[#This Row],[entity]]="Inc","USD","XXX")))</f>
        <v>EUR</v>
      </c>
    </row>
    <row r="93" spans="1:18" ht="15" hidden="1" customHeight="1" x14ac:dyDescent="0.3">
      <c r="A93">
        <v>202501</v>
      </c>
      <c r="B93" s="22" t="s">
        <v>917</v>
      </c>
      <c r="C93" s="48" t="s">
        <v>1378</v>
      </c>
      <c r="D93" s="43">
        <v>46042</v>
      </c>
      <c r="E93" s="43">
        <f>input_invoice[[#This Row],[date]]+15</f>
        <v>46057</v>
      </c>
      <c r="F93" t="s">
        <v>37</v>
      </c>
      <c r="G93" s="47">
        <f>MAX(+input_invoice[[#This Row],[net]]+input_invoice[[#This Row],[tax_iva]],input_invoice[[#This Row],[net]])</f>
        <v>1310.5994000000001</v>
      </c>
      <c r="H93" s="47">
        <f>input_invoice[[#This Row],[net]]*(MAX(input_invoice[[#This Row],[tax_rate_iva]],0)/100)</f>
        <v>227.45940000000002</v>
      </c>
      <c r="I93" s="47">
        <f>-input_invoice[[#This Row],[net]]*input_invoice[[#This Row],[tax_rate_irpf]]/100</f>
        <v>0</v>
      </c>
      <c r="J93" s="47">
        <v>1083.1400000000001</v>
      </c>
      <c r="K93" t="str">
        <f t="shared" si="4"/>
        <v>manufacturing</v>
      </c>
      <c r="L93">
        <v>21</v>
      </c>
      <c r="N93" t="str">
        <f>VLOOKUP(input_invoice[[#This Row],[concept/supplier]],'sel-invoice'!D:E,2,0)</f>
        <v>Apphoto España</v>
      </c>
      <c r="O93" t="str">
        <f>VLOOKUP(input_invoice[[#This Row],[concept/supplier]],'sel-invoice'!D:F,3,0)</f>
        <v>SL</v>
      </c>
      <c r="P93" t="str">
        <f>IF(input_invoice[[#This Row],[entity]]="SL","EUR",IF(input_invoice[[#This Row],[entity]]="Ltd","GBP",IF(input_invoice[[#This Row],[entity]]="Inc","USD","XXX")))</f>
        <v>EUR</v>
      </c>
    </row>
    <row r="94" spans="1:18" ht="15" hidden="1" customHeight="1" x14ac:dyDescent="0.3">
      <c r="A94">
        <v>202503</v>
      </c>
      <c r="B94" s="22" t="s">
        <v>917</v>
      </c>
      <c r="C94" s="48">
        <v>1078</v>
      </c>
      <c r="D94" s="43">
        <v>45725</v>
      </c>
      <c r="E94" s="43">
        <v>45725</v>
      </c>
      <c r="F94" t="s">
        <v>230</v>
      </c>
      <c r="G94" s="47">
        <f>MAX(+input_invoice[[#This Row],[net]]+input_invoice[[#This Row],[tax_iva]]+input_invoice[[#This Row],[tax_irpf]],input_invoice[[#This Row],[net]])</f>
        <v>3450</v>
      </c>
      <c r="H94" s="47">
        <f>input_invoice[[#This Row],[net]]*(MAX(input_invoice[[#This Row],[tax_rate_iva]],0)/100)</f>
        <v>0</v>
      </c>
      <c r="I94" s="47">
        <f>-input_invoice[[#This Row],[net]]*input_invoice[[#This Row],[tax_rate_irpf]]/100</f>
        <v>0</v>
      </c>
      <c r="J94" s="47">
        <v>3450</v>
      </c>
      <c r="K94" t="str">
        <f t="shared" si="4"/>
        <v>administrative</v>
      </c>
      <c r="L94">
        <v>0</v>
      </c>
      <c r="N94" t="str">
        <f>VLOOKUP(input_invoice[[#This Row],[concept/supplier]],'sel-invoice'!D:E,2,0)</f>
        <v>Continuum</v>
      </c>
      <c r="O94" t="str">
        <f>VLOOKUP(input_invoice[[#This Row],[concept/supplier]],'sel-invoice'!D:F,3,0)</f>
        <v>Inc</v>
      </c>
      <c r="P94" t="str">
        <f>IF(input_invoice[[#This Row],[entity]]="SL","EUR",IF(input_invoice[[#This Row],[entity]]="Ltd","GBP",IF(input_invoice[[#This Row],[entity]]="Inc","USD","XXX")))</f>
        <v>USD</v>
      </c>
    </row>
    <row r="95" spans="1:18" ht="15" hidden="1" customHeight="1" x14ac:dyDescent="0.3">
      <c r="A95">
        <v>202503</v>
      </c>
      <c r="B95" s="22" t="s">
        <v>917</v>
      </c>
      <c r="C95">
        <v>339680843</v>
      </c>
      <c r="D95" s="43">
        <v>45726</v>
      </c>
      <c r="E95" s="43">
        <v>45726</v>
      </c>
      <c r="F95" t="s">
        <v>209</v>
      </c>
      <c r="G95" s="47">
        <f>MAX(+input_invoice[[#This Row],[net]]+input_invoice[[#This Row],[tax_iva]]+input_invoice[[#This Row],[tax_irpf]],input_invoice[[#This Row],[net]])</f>
        <v>116.28</v>
      </c>
      <c r="H95" s="47">
        <f>input_invoice[[#This Row],[net]]*(MAX(input_invoice[[#This Row],[tax_rate_iva]],0)/100)</f>
        <v>0</v>
      </c>
      <c r="I95" s="47">
        <f>-input_invoice[[#This Row],[net]]*input_invoice[[#This Row],[tax_rate_irpf]]/100</f>
        <v>0</v>
      </c>
      <c r="J95" s="47">
        <v>116.28</v>
      </c>
      <c r="K95" t="str">
        <f t="shared" si="4"/>
        <v>it</v>
      </c>
      <c r="L95">
        <v>0</v>
      </c>
      <c r="N95" t="str">
        <f>VLOOKUP(input_invoice[[#This Row],[concept/supplier]],'sel-invoice'!D:E,2,0)</f>
        <v>Shopify</v>
      </c>
      <c r="O95" t="str">
        <f>VLOOKUP(input_invoice[[#This Row],[concept/supplier]],'sel-invoice'!D:F,3,0)</f>
        <v>Ltd</v>
      </c>
      <c r="P95" t="str">
        <f>IF(input_invoice[[#This Row],[entity]]="SL","EUR",IF(input_invoice[[#This Row],[entity]]="Ltd","GBP",IF(input_invoice[[#This Row],[entity]]="Inc","USD","XXX")))</f>
        <v>GBP</v>
      </c>
      <c r="Q95" s="182"/>
      <c r="R95" s="259" t="b">
        <v>1</v>
      </c>
    </row>
    <row r="96" spans="1:18" ht="15" hidden="1" customHeight="1" x14ac:dyDescent="0.3">
      <c r="A96">
        <v>202503</v>
      </c>
      <c r="B96" s="22" t="s">
        <v>917</v>
      </c>
      <c r="C96" s="48">
        <v>142367</v>
      </c>
      <c r="D96" s="43">
        <v>45721</v>
      </c>
      <c r="E96" s="43">
        <v>45727</v>
      </c>
      <c r="F96" t="s">
        <v>111</v>
      </c>
      <c r="G96" s="47">
        <f>MAX(+input_invoice[[#This Row],[net]]+input_invoice[[#This Row],[tax_iva]]+input_invoice[[#This Row],[tax_irpf]],input_invoice[[#This Row],[net]])</f>
        <v>888.87810000000002</v>
      </c>
      <c r="H96" s="47">
        <f>input_invoice[[#This Row],[net]]*(MAX(input_invoice[[#This Row],[tax_rate_iva]],0)/100)</f>
        <v>154.2681</v>
      </c>
      <c r="I96" s="47">
        <f>-input_invoice[[#This Row],[net]]*input_invoice[[#This Row],[tax_rate_irpf]]/100</f>
        <v>0</v>
      </c>
      <c r="J96" s="47">
        <v>734.61</v>
      </c>
      <c r="K96" t="str">
        <f t="shared" si="4"/>
        <v>administrative</v>
      </c>
      <c r="L96">
        <v>21</v>
      </c>
      <c r="N96" t="str">
        <f>VLOOKUP(input_invoice[[#This Row],[concept/supplier]],'sel-invoice'!D:E,2,0)</f>
        <v>Claris Gestio</v>
      </c>
      <c r="O96" t="str">
        <f>VLOOKUP(input_invoice[[#This Row],[concept/supplier]],'sel-invoice'!D:F,3,0)</f>
        <v>SL</v>
      </c>
      <c r="P96" t="str">
        <f>IF(input_invoice[[#This Row],[entity]]="SL","EUR",IF(input_invoice[[#This Row],[entity]]="Ltd","GBP",IF(input_invoice[[#This Row],[entity]]="Inc","USD","XXX")))</f>
        <v>EUR</v>
      </c>
    </row>
    <row r="97" spans="1:18" ht="15" hidden="1" customHeight="1" x14ac:dyDescent="0.3">
      <c r="A97">
        <v>202502</v>
      </c>
      <c r="B97" s="22" t="s">
        <v>917</v>
      </c>
      <c r="C97" s="48" t="s">
        <v>293</v>
      </c>
      <c r="D97" s="43">
        <v>45699</v>
      </c>
      <c r="E97" s="43">
        <v>45714</v>
      </c>
      <c r="F97" t="s">
        <v>37</v>
      </c>
      <c r="G97" s="47">
        <f>MAX(+input_invoice[[#This Row],[net]]+input_invoice[[#This Row],[tax_iva]]+input_invoice[[#This Row],[tax_irpf]],input_invoice[[#This Row],[net]])</f>
        <v>15342.6427</v>
      </c>
      <c r="H97" s="47">
        <f>input_invoice[[#This Row],[net]]*(MAX(input_invoice[[#This Row],[tax_rate_iva]],0)/100)</f>
        <v>2662.7727</v>
      </c>
      <c r="I97" s="47">
        <f>-input_invoice[[#This Row],[net]]*input_invoice[[#This Row],[tax_rate_irpf]]/100</f>
        <v>0</v>
      </c>
      <c r="J97" s="47">
        <v>12679.87</v>
      </c>
      <c r="K97" t="str">
        <f t="shared" si="4"/>
        <v>manufacturing</v>
      </c>
      <c r="L97">
        <v>21</v>
      </c>
      <c r="N97" t="str">
        <f>VLOOKUP(input_invoice[[#This Row],[concept/supplier]],'sel-invoice'!D:E,2,0)</f>
        <v>Apphoto España</v>
      </c>
      <c r="O97" t="str">
        <f>VLOOKUP(input_invoice[[#This Row],[concept/supplier]],'sel-invoice'!D:F,3,0)</f>
        <v>SL</v>
      </c>
      <c r="P97" t="str">
        <f>IF(input_invoice[[#This Row],[entity]]="SL","EUR",IF(input_invoice[[#This Row],[entity]]="Ltd","GBP",IF(input_invoice[[#This Row],[entity]]="Inc","USD","XXX")))</f>
        <v>EUR</v>
      </c>
      <c r="Q97" s="60"/>
    </row>
    <row r="98" spans="1:18" ht="15" hidden="1" customHeight="1" x14ac:dyDescent="0.3">
      <c r="A98">
        <v>202502</v>
      </c>
      <c r="B98" s="22" t="s">
        <v>917</v>
      </c>
      <c r="C98" s="48" t="s">
        <v>296</v>
      </c>
      <c r="D98" s="43">
        <v>45716</v>
      </c>
      <c r="E98" s="43">
        <f>+input_invoice[[#This Row],[date]]+14</f>
        <v>45730</v>
      </c>
      <c r="F98" t="s">
        <v>43</v>
      </c>
      <c r="G98" s="47">
        <f>MAX(+input_invoice[[#This Row],[net]]+input_invoice[[#This Row],[tax_iva]]+input_invoice[[#This Row],[tax_irpf]],input_invoice[[#This Row],[net]])</f>
        <v>7187.5167000000001</v>
      </c>
      <c r="H98" s="47">
        <f>input_invoice[[#This Row],[net]]*(MAX(input_invoice[[#This Row],[tax_rate_iva]],0)/100)</f>
        <v>1147.5867000000001</v>
      </c>
      <c r="I98" s="47">
        <f>-input_invoice[[#This Row],[net]]*input_invoice[[#This Row],[tax_rate_irpf]]/100</f>
        <v>0</v>
      </c>
      <c r="J98" s="47">
        <v>6039.93</v>
      </c>
      <c r="K98" t="str">
        <f t="shared" si="4"/>
        <v>manufacturing</v>
      </c>
      <c r="L98">
        <v>19</v>
      </c>
      <c r="N98" t="str">
        <f>VLOOKUP(input_invoice[[#This Row],[concept/supplier]],'sel-invoice'!D:E,2,0)</f>
        <v>DCT</v>
      </c>
      <c r="O98" t="str">
        <f>VLOOKUP(input_invoice[[#This Row],[concept/supplier]],'sel-invoice'!D:F,3,0)</f>
        <v>SL</v>
      </c>
      <c r="P98" t="str">
        <f>IF(input_invoice[[#This Row],[entity]]="SL","EUR",IF(input_invoice[[#This Row],[entity]]="Ltd","GBP",IF(input_invoice[[#This Row],[entity]]="Inc","USD","XXX")))</f>
        <v>EUR</v>
      </c>
      <c r="R98" s="60"/>
    </row>
    <row r="99" spans="1:18" ht="15" hidden="1" customHeight="1" x14ac:dyDescent="0.3">
      <c r="A99">
        <v>202502</v>
      </c>
      <c r="B99" s="22" t="s">
        <v>917</v>
      </c>
      <c r="C99" s="48" t="s">
        <v>297</v>
      </c>
      <c r="D99" s="43">
        <v>45716</v>
      </c>
      <c r="E99" s="43">
        <f>+input_invoice[[#This Row],[date]]+14</f>
        <v>45730</v>
      </c>
      <c r="F99" t="s">
        <v>43</v>
      </c>
      <c r="G99" s="47">
        <f>MAX(+input_invoice[[#This Row],[net]]+input_invoice[[#This Row],[tax_iva]]+input_invoice[[#This Row],[tax_irpf]],input_invoice[[#This Row],[net]])</f>
        <v>29.75</v>
      </c>
      <c r="H99" s="47">
        <f>input_invoice[[#This Row],[net]]*(MAX(input_invoice[[#This Row],[tax_rate_iva]],0)/100)</f>
        <v>4.75</v>
      </c>
      <c r="I99" s="47">
        <f>-input_invoice[[#This Row],[net]]*input_invoice[[#This Row],[tax_rate_irpf]]/100</f>
        <v>0</v>
      </c>
      <c r="J99" s="47">
        <v>25</v>
      </c>
      <c r="K99" t="str">
        <f t="shared" si="4"/>
        <v>manufacturing</v>
      </c>
      <c r="L99">
        <v>19</v>
      </c>
      <c r="N99" t="str">
        <f>VLOOKUP(input_invoice[[#This Row],[concept/supplier]],'sel-invoice'!D:E,2,0)</f>
        <v>DCT</v>
      </c>
      <c r="O99" t="str">
        <f>VLOOKUP(input_invoice[[#This Row],[concept/supplier]],'sel-invoice'!D:F,3,0)</f>
        <v>SL</v>
      </c>
      <c r="P99" t="str">
        <f>IF(input_invoice[[#This Row],[entity]]="SL","EUR",IF(input_invoice[[#This Row],[entity]]="Ltd","GBP",IF(input_invoice[[#This Row],[entity]]="Inc","USD","XXX")))</f>
        <v>EUR</v>
      </c>
      <c r="R99" s="60"/>
    </row>
    <row r="100" spans="1:18" ht="15" hidden="1" customHeight="1" x14ac:dyDescent="0.3">
      <c r="A100">
        <v>202502</v>
      </c>
      <c r="B100" s="22" t="s">
        <v>917</v>
      </c>
      <c r="C100" s="48" t="s">
        <v>282</v>
      </c>
      <c r="D100" s="43">
        <v>45716</v>
      </c>
      <c r="E100" s="43">
        <v>45731</v>
      </c>
      <c r="F100" t="s">
        <v>115</v>
      </c>
      <c r="G100" s="47">
        <f>MAX(+input_invoice[[#This Row],[net]]+input_invoice[[#This Row],[tax_iva]]+input_invoice[[#This Row],[tax_irpf]],input_invoice[[#This Row],[net]])</f>
        <v>417.29</v>
      </c>
      <c r="H100" s="47">
        <f>input_invoice[[#This Row],[net]]*(MAX(input_invoice[[#This Row],[tax_rate_iva]],0)/100)</f>
        <v>0</v>
      </c>
      <c r="I100" s="47">
        <f>-input_invoice[[#This Row],[net]]*input_invoice[[#This Row],[tax_rate_irpf]]/100</f>
        <v>0</v>
      </c>
      <c r="J100" s="47">
        <v>417.29</v>
      </c>
      <c r="K100" t="str">
        <f t="shared" si="4"/>
        <v>administrative</v>
      </c>
      <c r="N100" t="str">
        <f>VLOOKUP(input_invoice[[#This Row],[concept/supplier]],'sel-invoice'!D:E,2,0)</f>
        <v>Preving Adeplus</v>
      </c>
      <c r="O100" t="str">
        <f>VLOOKUP(input_invoice[[#This Row],[concept/supplier]],'sel-invoice'!D:F,3,0)</f>
        <v>SL</v>
      </c>
      <c r="P100" t="str">
        <f>IF(input_invoice[[#This Row],[entity]]="SL","EUR",IF(input_invoice[[#This Row],[entity]]="Ltd","GBP",IF(input_invoice[[#This Row],[entity]]="Inc","USD","XXX")))</f>
        <v>EUR</v>
      </c>
    </row>
    <row r="101" spans="1:18" ht="15" hidden="1" customHeight="1" x14ac:dyDescent="0.3">
      <c r="A101">
        <v>202502</v>
      </c>
      <c r="B101" s="22" t="s">
        <v>917</v>
      </c>
      <c r="C101" s="48" t="s">
        <v>294</v>
      </c>
      <c r="D101" s="43">
        <v>45706</v>
      </c>
      <c r="E101" s="43">
        <v>45721</v>
      </c>
      <c r="F101" t="s">
        <v>37</v>
      </c>
      <c r="G101" s="47">
        <f>MAX(+input_invoice[[#This Row],[net]]+input_invoice[[#This Row],[tax_iva]]+input_invoice[[#This Row],[tax_irpf]],input_invoice[[#This Row],[net]])</f>
        <v>10142.219999999999</v>
      </c>
      <c r="H101" s="47">
        <f>input_invoice[[#This Row],[net]]*(MAX(input_invoice[[#This Row],[tax_rate_iva]],0)/100)</f>
        <v>1760.22</v>
      </c>
      <c r="I101" s="47">
        <f>-input_invoice[[#This Row],[net]]*input_invoice[[#This Row],[tax_rate_irpf]]/100</f>
        <v>0</v>
      </c>
      <c r="J101" s="47">
        <v>8382</v>
      </c>
      <c r="K101" t="str">
        <f t="shared" si="4"/>
        <v>manufacturing</v>
      </c>
      <c r="L101">
        <v>21</v>
      </c>
      <c r="N101" t="str">
        <f>VLOOKUP(input_invoice[[#This Row],[concept/supplier]],'sel-invoice'!D:E,2,0)</f>
        <v>Apphoto España</v>
      </c>
      <c r="O101" t="str">
        <f>VLOOKUP(input_invoice[[#This Row],[concept/supplier]],'sel-invoice'!D:F,3,0)</f>
        <v>SL</v>
      </c>
      <c r="P101" t="str">
        <f>IF(input_invoice[[#This Row],[entity]]="SL","EUR",IF(input_invoice[[#This Row],[entity]]="Ltd","GBP",IF(input_invoice[[#This Row],[entity]]="Inc","USD","XXX")))</f>
        <v>EUR</v>
      </c>
      <c r="Q101" s="60"/>
    </row>
    <row r="102" spans="1:18" ht="15" hidden="1" customHeight="1" x14ac:dyDescent="0.3">
      <c r="A102">
        <v>202502</v>
      </c>
      <c r="B102" s="22" t="s">
        <v>917</v>
      </c>
      <c r="C102" s="48" t="s">
        <v>295</v>
      </c>
      <c r="D102" s="43">
        <v>45713</v>
      </c>
      <c r="E102" s="43">
        <v>45728</v>
      </c>
      <c r="F102" t="s">
        <v>37</v>
      </c>
      <c r="G102" s="47">
        <f>MAX(+input_invoice[[#This Row],[net]]+input_invoice[[#This Row],[tax_iva]]+input_invoice[[#This Row],[tax_irpf]],input_invoice[[#This Row],[net]])</f>
        <v>9998.6897999999983</v>
      </c>
      <c r="H102" s="47">
        <f>input_invoice[[#This Row],[net]]*(MAX(input_invoice[[#This Row],[tax_rate_iva]],0)/100)</f>
        <v>1735.3097999999998</v>
      </c>
      <c r="I102" s="47">
        <f>-input_invoice[[#This Row],[net]]*input_invoice[[#This Row],[tax_rate_irpf]]/100</f>
        <v>0</v>
      </c>
      <c r="J102" s="47">
        <v>8263.3799999999992</v>
      </c>
      <c r="K102" t="str">
        <f t="shared" ref="K102:K133" si="5">_xlfn.TEXTBEFORE(F102," - ")</f>
        <v>manufacturing</v>
      </c>
      <c r="L102">
        <v>21</v>
      </c>
      <c r="N102" t="str">
        <f>VLOOKUP(input_invoice[[#This Row],[concept/supplier]],'sel-invoice'!D:E,2,0)</f>
        <v>Apphoto España</v>
      </c>
      <c r="O102" t="str">
        <f>VLOOKUP(input_invoice[[#This Row],[concept/supplier]],'sel-invoice'!D:F,3,0)</f>
        <v>SL</v>
      </c>
      <c r="P102" t="str">
        <f>IF(input_invoice[[#This Row],[entity]]="SL","EUR",IF(input_invoice[[#This Row],[entity]]="Ltd","GBP",IF(input_invoice[[#This Row],[entity]]="Inc","USD","XXX")))</f>
        <v>EUR</v>
      </c>
    </row>
    <row r="103" spans="1:18" ht="15" hidden="1" customHeight="1" x14ac:dyDescent="0.3">
      <c r="A103">
        <v>202503</v>
      </c>
      <c r="B103" s="22" t="s">
        <v>917</v>
      </c>
      <c r="C103" s="48" t="s">
        <v>386</v>
      </c>
      <c r="D103" s="43">
        <v>45736</v>
      </c>
      <c r="E103" s="43">
        <v>45736</v>
      </c>
      <c r="F103" t="s">
        <v>387</v>
      </c>
      <c r="G103" s="47">
        <f>MAX(+input_invoice[[#This Row],[net]]+input_invoice[[#This Row],[tax_iva]]+input_invoice[[#This Row],[tax_irpf]],input_invoice[[#This Row],[net]])</f>
        <v>4.99</v>
      </c>
      <c r="H103" s="47">
        <f>input_invoice[[#This Row],[net]]*(MAX(input_invoice[[#This Row],[tax_rate_iva]],0)/100)</f>
        <v>0</v>
      </c>
      <c r="I103" s="47">
        <f>-input_invoice[[#This Row],[net]]*input_invoice[[#This Row],[tax_rate_irpf]]/100</f>
        <v>0</v>
      </c>
      <c r="J103" s="47">
        <v>4.99</v>
      </c>
      <c r="K103" t="str">
        <f t="shared" si="5"/>
        <v>it</v>
      </c>
      <c r="L103">
        <v>0</v>
      </c>
      <c r="N103" t="str">
        <f>VLOOKUP(input_invoice[[#This Row],[concept/supplier]],'sel-invoice'!D:E,2,0)</f>
        <v>hushed</v>
      </c>
      <c r="O103" t="str">
        <f>VLOOKUP(input_invoice[[#This Row],[concept/supplier]],'sel-invoice'!D:F,3,0)</f>
        <v>Inc</v>
      </c>
      <c r="P103" t="str">
        <f>IF(input_invoice[[#This Row],[entity]]="SL","EUR",IF(input_invoice[[#This Row],[entity]]="Ltd","GBP",IF(input_invoice[[#This Row],[entity]]="Inc","USD","XXX")))</f>
        <v>USD</v>
      </c>
    </row>
    <row r="104" spans="1:18" ht="15" hidden="1" customHeight="1" x14ac:dyDescent="0.3">
      <c r="A104">
        <v>202503</v>
      </c>
      <c r="B104" s="22" t="s">
        <v>917</v>
      </c>
      <c r="C104" s="48">
        <v>3664388208</v>
      </c>
      <c r="D104" s="43">
        <v>45739</v>
      </c>
      <c r="E104" s="43">
        <v>45739</v>
      </c>
      <c r="F104" t="s">
        <v>125</v>
      </c>
      <c r="G104" s="47">
        <f>MAX(+input_invoice[[#This Row],[net]]+input_invoice[[#This Row],[tax_iva]]+input_invoice[[#This Row],[tax_irpf]],input_invoice[[#This Row],[net]])</f>
        <v>13.11</v>
      </c>
      <c r="H104" s="47">
        <f>input_invoice[[#This Row],[net]]*(MAX(input_invoice[[#This Row],[tax_rate_iva]],0)/100)</f>
        <v>0</v>
      </c>
      <c r="I104" s="47">
        <f>-input_invoice[[#This Row],[net]]*input_invoice[[#This Row],[tax_rate_irpf]]/100</f>
        <v>0</v>
      </c>
      <c r="J104" s="47">
        <v>13.11</v>
      </c>
      <c r="K104" t="str">
        <f t="shared" si="5"/>
        <v>it</v>
      </c>
      <c r="L104">
        <v>0</v>
      </c>
      <c r="N104" t="str">
        <f>VLOOKUP(input_invoice[[#This Row],[concept/supplier]],'sel-invoice'!D:E,2,0)</f>
        <v>Godaddy</v>
      </c>
      <c r="O104" t="str">
        <f>VLOOKUP(input_invoice[[#This Row],[concept/supplier]],'sel-invoice'!D:F,3,0)</f>
        <v>SL</v>
      </c>
      <c r="P104" t="str">
        <f>IF(input_invoice[[#This Row],[entity]]="SL","EUR",IF(input_invoice[[#This Row],[entity]]="Ltd","GBP",IF(input_invoice[[#This Row],[entity]]="Inc","USD","XXX")))</f>
        <v>EUR</v>
      </c>
    </row>
    <row r="105" spans="1:18" ht="15" hidden="1" customHeight="1" x14ac:dyDescent="0.3">
      <c r="A105">
        <v>202503</v>
      </c>
      <c r="B105" s="22" t="s">
        <v>917</v>
      </c>
      <c r="C105" s="48">
        <v>3672573778</v>
      </c>
      <c r="D105" s="43">
        <v>45742</v>
      </c>
      <c r="E105" s="43">
        <v>45742</v>
      </c>
      <c r="F105" t="s">
        <v>125</v>
      </c>
      <c r="G105" s="47">
        <f>MAX(+input_invoice[[#This Row],[net]]+input_invoice[[#This Row],[tax_iva]]+input_invoice[[#This Row],[tax_irpf]],input_invoice[[#This Row],[net]])</f>
        <v>21.99</v>
      </c>
      <c r="H105" s="47">
        <f>input_invoice[[#This Row],[net]]*(MAX(input_invoice[[#This Row],[tax_rate_iva]],0)/100)</f>
        <v>0</v>
      </c>
      <c r="I105" s="47">
        <f>-input_invoice[[#This Row],[net]]*input_invoice[[#This Row],[tax_rate_irpf]]/100</f>
        <v>0</v>
      </c>
      <c r="J105" s="47">
        <v>21.99</v>
      </c>
      <c r="K105" t="str">
        <f t="shared" si="5"/>
        <v>it</v>
      </c>
      <c r="L105">
        <v>0</v>
      </c>
      <c r="N105" t="str">
        <f>VLOOKUP(input_invoice[[#This Row],[concept/supplier]],'sel-invoice'!D:E,2,0)</f>
        <v>Godaddy</v>
      </c>
      <c r="O105" t="str">
        <f>VLOOKUP(input_invoice[[#This Row],[concept/supplier]],'sel-invoice'!D:F,3,0)</f>
        <v>SL</v>
      </c>
      <c r="P105" t="str">
        <f>IF(input_invoice[[#This Row],[entity]]="SL","EUR",IF(input_invoice[[#This Row],[entity]]="Ltd","GBP",IF(input_invoice[[#This Row],[entity]]="Inc","USD","XXX")))</f>
        <v>EUR</v>
      </c>
    </row>
    <row r="106" spans="1:18" ht="15" hidden="1" customHeight="1" x14ac:dyDescent="0.3">
      <c r="A106">
        <v>202503</v>
      </c>
      <c r="B106" s="22" t="s">
        <v>917</v>
      </c>
      <c r="C106" s="48" t="s">
        <v>310</v>
      </c>
      <c r="D106" s="43">
        <v>45744</v>
      </c>
      <c r="E106" s="43">
        <v>45744</v>
      </c>
      <c r="F106" t="s">
        <v>81</v>
      </c>
      <c r="G106" s="47">
        <f>MAX(+input_invoice[[#This Row],[net]]+input_invoice[[#This Row],[tax_iva]]+input_invoice[[#This Row],[tax_irpf]],input_invoice[[#This Row],[net]])</f>
        <v>95.59</v>
      </c>
      <c r="H106" s="47">
        <f>input_invoice[[#This Row],[net]]*(MAX(input_invoice[[#This Row],[tax_rate_iva]],0)/100)</f>
        <v>16.59</v>
      </c>
      <c r="I106" s="47">
        <f>-input_invoice[[#This Row],[net]]*input_invoice[[#This Row],[tax_rate_irpf]]/100</f>
        <v>0</v>
      </c>
      <c r="J106" s="47">
        <v>79</v>
      </c>
      <c r="K106" t="str">
        <f t="shared" si="5"/>
        <v>returns</v>
      </c>
      <c r="L106">
        <v>21</v>
      </c>
      <c r="N106" t="str">
        <f>VLOOKUP(input_invoice[[#This Row],[concept/supplier]],'sel-invoice'!D:E,2,0)</f>
        <v>rever</v>
      </c>
      <c r="O106" t="str">
        <f>VLOOKUP(input_invoice[[#This Row],[concept/supplier]],'sel-invoice'!D:F,3,0)</f>
        <v>SL</v>
      </c>
      <c r="P106" t="str">
        <f>IF(input_invoice[[#This Row],[entity]]="SL","EUR",IF(input_invoice[[#This Row],[entity]]="Ltd","GBP",IF(input_invoice[[#This Row],[entity]]="Inc","USD","XXX")))</f>
        <v>EUR</v>
      </c>
    </row>
    <row r="107" spans="1:18" ht="15" hidden="1" customHeight="1" x14ac:dyDescent="0.3">
      <c r="A107">
        <v>202501</v>
      </c>
      <c r="B107" s="22" t="s">
        <v>917</v>
      </c>
      <c r="C107" s="48" t="s">
        <v>269</v>
      </c>
      <c r="D107" s="43">
        <v>45686</v>
      </c>
      <c r="E107" s="43">
        <f>+input_invoice[[#This Row],[date]]+60</f>
        <v>45746</v>
      </c>
      <c r="F107" t="s">
        <v>1312</v>
      </c>
      <c r="G107" s="47">
        <f>MAX(+input_invoice[[#This Row],[net]]+input_invoice[[#This Row],[tax_iva]]+input_invoice[[#This Row],[tax_irpf]],input_invoice[[#This Row],[net]])</f>
        <v>847.02419999999995</v>
      </c>
      <c r="H107" s="47">
        <f>input_invoice[[#This Row],[net]]*(MAX(input_invoice[[#This Row],[tax_rate_iva]],0)/100)</f>
        <v>147.0042</v>
      </c>
      <c r="I107" s="47">
        <f>-input_invoice[[#This Row],[net]]*input_invoice[[#This Row],[tax_rate_irpf]]/100</f>
        <v>0</v>
      </c>
      <c r="J107" s="47">
        <v>700.02</v>
      </c>
      <c r="K107" t="str">
        <f t="shared" si="5"/>
        <v>administrative</v>
      </c>
      <c r="L107">
        <v>21</v>
      </c>
      <c r="N107" t="str">
        <f>VLOOKUP(input_invoice[[#This Row],[concept/supplier]],'sel-invoice'!D:E,2,0)</f>
        <v>hannun</v>
      </c>
      <c r="O107" t="str">
        <f>VLOOKUP(input_invoice[[#This Row],[concept/supplier]],'sel-invoice'!D:F,3,0)</f>
        <v>SL</v>
      </c>
      <c r="P107" t="str">
        <f>IF(input_invoice[[#This Row],[entity]]="SL","EUR",IF(input_invoice[[#This Row],[entity]]="Ltd","GBP",IF(input_invoice[[#This Row],[entity]]="Inc","USD","XXX")))</f>
        <v>EUR</v>
      </c>
    </row>
    <row r="108" spans="1:18" ht="15" hidden="1" customHeight="1" x14ac:dyDescent="0.3">
      <c r="A108">
        <v>202502</v>
      </c>
      <c r="B108" s="22" t="s">
        <v>917</v>
      </c>
      <c r="C108" s="48">
        <v>20250082</v>
      </c>
      <c r="D108" s="43">
        <v>45716</v>
      </c>
      <c r="E108" s="43">
        <v>45746</v>
      </c>
      <c r="F108" t="s">
        <v>51</v>
      </c>
      <c r="G108" s="47">
        <f>MAX(+input_invoice[[#This Row],[net]]+input_invoice[[#This Row],[tax_iva]]+input_invoice[[#This Row],[tax_irpf]],input_invoice[[#This Row],[net]])</f>
        <v>6932.5619000000006</v>
      </c>
      <c r="H108" s="47">
        <f>input_invoice[[#This Row],[net]]*(MAX(input_invoice[[#This Row],[tax_rate_iva]],0)/100)</f>
        <v>1203.1719000000001</v>
      </c>
      <c r="I108" s="47">
        <f>-input_invoice[[#This Row],[net]]*input_invoice[[#This Row],[tax_rate_irpf]]/100</f>
        <v>0</v>
      </c>
      <c r="J108" s="47">
        <v>5729.39</v>
      </c>
      <c r="K108" t="str">
        <f t="shared" si="5"/>
        <v>logistics</v>
      </c>
      <c r="L108">
        <v>21</v>
      </c>
      <c r="N108" t="str">
        <f>VLOOKUP(input_invoice[[#This Row],[concept/supplier]],'sel-invoice'!D:E,2,0)</f>
        <v>GLS</v>
      </c>
      <c r="O108" t="str">
        <f>VLOOKUP(input_invoice[[#This Row],[concept/supplier]],'sel-invoice'!D:F,3,0)</f>
        <v>SL</v>
      </c>
      <c r="P108" t="str">
        <f>IF(input_invoice[[#This Row],[entity]]="SL","EUR",IF(input_invoice[[#This Row],[entity]]="Ltd","GBP",IF(input_invoice[[#This Row],[entity]]="Inc","USD","XXX")))</f>
        <v>EUR</v>
      </c>
    </row>
    <row r="109" spans="1:18" ht="15" hidden="1" customHeight="1" x14ac:dyDescent="0.3">
      <c r="A109">
        <v>202502</v>
      </c>
      <c r="B109" s="22" t="s">
        <v>917</v>
      </c>
      <c r="C109" s="48">
        <v>4004270806</v>
      </c>
      <c r="D109" s="43">
        <v>45716</v>
      </c>
      <c r="E109" s="43">
        <v>45747</v>
      </c>
      <c r="F109" t="s">
        <v>52</v>
      </c>
      <c r="G109" s="47">
        <f>MAX(+input_invoice[[#This Row],[net]]+input_invoice[[#This Row],[tax_iva]]+input_invoice[[#This Row],[tax_irpf]],input_invoice[[#This Row],[net]])</f>
        <v>29.49</v>
      </c>
      <c r="H109" s="47">
        <v>0.27</v>
      </c>
      <c r="I109" s="47">
        <f>-input_invoice[[#This Row],[net]]*input_invoice[[#This Row],[tax_rate_irpf]]/100</f>
        <v>0</v>
      </c>
      <c r="J109" s="47">
        <v>29.22</v>
      </c>
      <c r="K109" t="str">
        <f t="shared" si="5"/>
        <v>logistics</v>
      </c>
      <c r="L109">
        <v>7</v>
      </c>
      <c r="N109" t="str">
        <f>VLOOKUP(input_invoice[[#This Row],[concept/supplier]],'sel-invoice'!D:E,2,0)</f>
        <v>Correos</v>
      </c>
      <c r="O109" t="str">
        <f>VLOOKUP(input_invoice[[#This Row],[concept/supplier]],'sel-invoice'!D:F,3,0)</f>
        <v>SL</v>
      </c>
      <c r="P109" t="str">
        <f>IF(input_invoice[[#This Row],[entity]]="SL","EUR",IF(input_invoice[[#This Row],[entity]]="Ltd","GBP",IF(input_invoice[[#This Row],[entity]]="Inc","USD","XXX")))</f>
        <v>EUR</v>
      </c>
    </row>
    <row r="110" spans="1:18" ht="15" hidden="1" customHeight="1" x14ac:dyDescent="0.3">
      <c r="A110">
        <v>202502</v>
      </c>
      <c r="B110" s="22" t="s">
        <v>917</v>
      </c>
      <c r="C110" s="48">
        <v>4004270805</v>
      </c>
      <c r="D110" s="43">
        <v>45716</v>
      </c>
      <c r="E110" s="43">
        <v>45747</v>
      </c>
      <c r="F110" t="s">
        <v>52</v>
      </c>
      <c r="G110" s="47">
        <f>MAX(+input_invoice[[#This Row],[net]]+input_invoice[[#This Row],[tax_iva]]+input_invoice[[#This Row],[tax_irpf]],input_invoice[[#This Row],[net]])</f>
        <v>453.387</v>
      </c>
      <c r="H110" s="47">
        <f>input_invoice[[#This Row],[net]]*(MAX(input_invoice[[#This Row],[tax_rate_iva]],0)/100)</f>
        <v>78.686999999999998</v>
      </c>
      <c r="I110" s="47">
        <f>-input_invoice[[#This Row],[net]]*input_invoice[[#This Row],[tax_rate_irpf]]/100</f>
        <v>0</v>
      </c>
      <c r="J110" s="47">
        <v>374.7</v>
      </c>
      <c r="K110" t="str">
        <f t="shared" si="5"/>
        <v>logistics</v>
      </c>
      <c r="L110">
        <v>21</v>
      </c>
      <c r="N110" t="str">
        <f>VLOOKUP(input_invoice[[#This Row],[concept/supplier]],'sel-invoice'!D:E,2,0)</f>
        <v>Correos</v>
      </c>
      <c r="O110" t="str">
        <f>VLOOKUP(input_invoice[[#This Row],[concept/supplier]],'sel-invoice'!D:F,3,0)</f>
        <v>SL</v>
      </c>
      <c r="P110" t="str">
        <f>IF(input_invoice[[#This Row],[entity]]="SL","EUR",IF(input_invoice[[#This Row],[entity]]="Ltd","GBP",IF(input_invoice[[#This Row],[entity]]="Inc","USD","XXX")))</f>
        <v>EUR</v>
      </c>
    </row>
    <row r="111" spans="1:18" ht="15" hidden="1" customHeight="1" x14ac:dyDescent="0.3">
      <c r="A111">
        <v>202502</v>
      </c>
      <c r="B111" s="22" t="s">
        <v>917</v>
      </c>
      <c r="C111" s="48">
        <v>9692</v>
      </c>
      <c r="D111" s="43">
        <v>45712</v>
      </c>
      <c r="E111" s="43">
        <v>45747</v>
      </c>
      <c r="F111" t="s">
        <v>45</v>
      </c>
      <c r="G111" s="47">
        <f>MAX(+input_invoice[[#This Row],[net]]+input_invoice[[#This Row],[tax_iva]]+input_invoice[[#This Row],[tax_irpf]],input_invoice[[#This Row],[net]])</f>
        <v>1798.116</v>
      </c>
      <c r="H111" s="47">
        <f>input_invoice[[#This Row],[net]]*(MAX(input_invoice[[#This Row],[tax_rate_iva]],0)/100)</f>
        <v>299.68600000000004</v>
      </c>
      <c r="I111" s="47">
        <f>-input_invoice[[#This Row],[net]]*input_invoice[[#This Row],[tax_rate_irpf]]/100</f>
        <v>0</v>
      </c>
      <c r="J111" s="47">
        <v>1498.43</v>
      </c>
      <c r="K111" t="str">
        <f t="shared" si="5"/>
        <v>manufacturing</v>
      </c>
      <c r="L111">
        <v>20</v>
      </c>
      <c r="N111" t="str">
        <f>VLOOKUP(input_invoice[[#This Row],[concept/supplier]],'sel-invoice'!D:E,2,0)</f>
        <v>MB Editions</v>
      </c>
      <c r="O111" t="str">
        <f>VLOOKUP(input_invoice[[#This Row],[concept/supplier]],'sel-invoice'!D:F,3,0)</f>
        <v>SL</v>
      </c>
      <c r="P111" t="str">
        <f>IF(input_invoice[[#This Row],[entity]]="SL","EUR",IF(input_invoice[[#This Row],[entity]]="Ltd","GBP",IF(input_invoice[[#This Row],[entity]]="Inc","USD","XXX")))</f>
        <v>EUR</v>
      </c>
    </row>
    <row r="112" spans="1:18" ht="15" hidden="1" customHeight="1" x14ac:dyDescent="0.3">
      <c r="A112">
        <v>202502</v>
      </c>
      <c r="B112" s="22" t="s">
        <v>917</v>
      </c>
      <c r="C112" s="48">
        <v>9567</v>
      </c>
      <c r="D112" s="43">
        <v>45691</v>
      </c>
      <c r="E112" s="43">
        <v>45747</v>
      </c>
      <c r="F112" t="s">
        <v>45</v>
      </c>
      <c r="G112" s="47">
        <f>MAX(+input_invoice[[#This Row],[net]]+input_invoice[[#This Row],[tax_iva]]+input_invoice[[#This Row],[tax_irpf]],input_invoice[[#This Row],[net]])</f>
        <v>3594.5280000000002</v>
      </c>
      <c r="H112" s="47">
        <f>input_invoice[[#This Row],[net]]*(MAX(input_invoice[[#This Row],[tax_rate_iva]],0)/100)</f>
        <v>599.08800000000008</v>
      </c>
      <c r="I112" s="47">
        <f>-input_invoice[[#This Row],[net]]*input_invoice[[#This Row],[tax_rate_irpf]]/100</f>
        <v>0</v>
      </c>
      <c r="J112" s="47">
        <v>2995.44</v>
      </c>
      <c r="K112" t="str">
        <f t="shared" si="5"/>
        <v>manufacturing</v>
      </c>
      <c r="L112">
        <v>20</v>
      </c>
      <c r="N112" t="str">
        <f>VLOOKUP(input_invoice[[#This Row],[concept/supplier]],'sel-invoice'!D:E,2,0)</f>
        <v>MB Editions</v>
      </c>
      <c r="O112" t="str">
        <f>VLOOKUP(input_invoice[[#This Row],[concept/supplier]],'sel-invoice'!D:F,3,0)</f>
        <v>SL</v>
      </c>
      <c r="P112" t="str">
        <f>IF(input_invoice[[#This Row],[entity]]="SL","EUR",IF(input_invoice[[#This Row],[entity]]="Ltd","GBP",IF(input_invoice[[#This Row],[entity]]="Inc","USD","XXX")))</f>
        <v>EUR</v>
      </c>
    </row>
    <row r="113" spans="1:19" ht="15" hidden="1" customHeight="1" x14ac:dyDescent="0.3">
      <c r="A113">
        <v>202502</v>
      </c>
      <c r="B113" s="22" t="s">
        <v>917</v>
      </c>
      <c r="C113" s="48">
        <v>9609</v>
      </c>
      <c r="D113" s="43">
        <v>45698</v>
      </c>
      <c r="E113" s="43">
        <v>45747</v>
      </c>
      <c r="F113" t="s">
        <v>45</v>
      </c>
      <c r="G113" s="47">
        <f>MAX(+input_invoice[[#This Row],[net]]+input_invoice[[#This Row],[tax_iva]]+input_invoice[[#This Row],[tax_irpf]],input_invoice[[#This Row],[net]])</f>
        <v>2039.5439999999999</v>
      </c>
      <c r="H113" s="47">
        <f>input_invoice[[#This Row],[net]]*(MAX(input_invoice[[#This Row],[tax_rate_iva]],0)/100)</f>
        <v>339.92399999999998</v>
      </c>
      <c r="I113" s="47">
        <f>-input_invoice[[#This Row],[net]]*input_invoice[[#This Row],[tax_rate_irpf]]/100</f>
        <v>0</v>
      </c>
      <c r="J113" s="47">
        <v>1699.62</v>
      </c>
      <c r="K113" t="str">
        <f t="shared" si="5"/>
        <v>manufacturing</v>
      </c>
      <c r="L113">
        <v>20</v>
      </c>
      <c r="N113" t="str">
        <f>VLOOKUP(input_invoice[[#This Row],[concept/supplier]],'sel-invoice'!D:E,2,0)</f>
        <v>MB Editions</v>
      </c>
      <c r="O113" t="str">
        <f>VLOOKUP(input_invoice[[#This Row],[concept/supplier]],'sel-invoice'!D:F,3,0)</f>
        <v>SL</v>
      </c>
      <c r="P113" t="str">
        <f>IF(input_invoice[[#This Row],[entity]]="SL","EUR",IF(input_invoice[[#This Row],[entity]]="Ltd","GBP",IF(input_invoice[[#This Row],[entity]]="Inc","USD","XXX")))</f>
        <v>EUR</v>
      </c>
    </row>
    <row r="114" spans="1:19" hidden="1" x14ac:dyDescent="0.3">
      <c r="A114">
        <v>202502</v>
      </c>
      <c r="B114" s="22" t="s">
        <v>917</v>
      </c>
      <c r="C114" s="48">
        <v>9664</v>
      </c>
      <c r="D114" s="43">
        <v>45705</v>
      </c>
      <c r="E114" s="43">
        <v>45747</v>
      </c>
      <c r="F114" t="s">
        <v>45</v>
      </c>
      <c r="G114" s="47">
        <f>MAX(+input_invoice[[#This Row],[net]]+input_invoice[[#This Row],[tax_iva]]+input_invoice[[#This Row],[tax_irpf]],input_invoice[[#This Row],[net]])</f>
        <v>841.94399999999996</v>
      </c>
      <c r="H114" s="47">
        <f>input_invoice[[#This Row],[net]]*(MAX(input_invoice[[#This Row],[tax_rate_iva]],0)/100)</f>
        <v>140.32400000000001</v>
      </c>
      <c r="I114" s="47">
        <f>-input_invoice[[#This Row],[net]]*input_invoice[[#This Row],[tax_rate_irpf]]/100</f>
        <v>0</v>
      </c>
      <c r="J114" s="47">
        <v>701.62</v>
      </c>
      <c r="K114" t="str">
        <f t="shared" si="5"/>
        <v>manufacturing</v>
      </c>
      <c r="L114">
        <v>20</v>
      </c>
      <c r="N114" t="str">
        <f>VLOOKUP(input_invoice[[#This Row],[concept/supplier]],'sel-invoice'!D:E,2,0)</f>
        <v>MB Editions</v>
      </c>
      <c r="O114" t="str">
        <f>VLOOKUP(input_invoice[[#This Row],[concept/supplier]],'sel-invoice'!D:F,3,0)</f>
        <v>SL</v>
      </c>
      <c r="P114" t="str">
        <f>IF(input_invoice[[#This Row],[entity]]="SL","EUR",IF(input_invoice[[#This Row],[entity]]="Ltd","GBP",IF(input_invoice[[#This Row],[entity]]="Inc","USD","XXX")))</f>
        <v>EUR</v>
      </c>
    </row>
    <row r="115" spans="1:19" hidden="1" x14ac:dyDescent="0.3">
      <c r="A115">
        <v>202503</v>
      </c>
      <c r="B115" s="22" t="s">
        <v>917</v>
      </c>
      <c r="C115" s="48" t="s">
        <v>380</v>
      </c>
      <c r="D115" s="43">
        <v>45747</v>
      </c>
      <c r="E115" s="43">
        <v>45747</v>
      </c>
      <c r="F115" t="s">
        <v>210</v>
      </c>
      <c r="G115" s="47">
        <f>MAX(+input_invoice[[#This Row],[net]]+input_invoice[[#This Row],[tax_iva]]+input_invoice[[#This Row],[tax_irpf]],input_invoice[[#This Row],[net]])</f>
        <v>32.57</v>
      </c>
      <c r="H115" s="47">
        <f>input_invoice[[#This Row],[net]]*(MAX(input_invoice[[#This Row],[tax_rate_iva]],0)/100)</f>
        <v>0</v>
      </c>
      <c r="I115" s="47">
        <f>-input_invoice[[#This Row],[net]]*input_invoice[[#This Row],[tax_rate_irpf]]/100</f>
        <v>0</v>
      </c>
      <c r="J115" s="47">
        <v>32.57</v>
      </c>
      <c r="K115" t="str">
        <f t="shared" si="5"/>
        <v>it</v>
      </c>
      <c r="L115">
        <v>0</v>
      </c>
      <c r="N115" t="str">
        <f>VLOOKUP(input_invoice[[#This Row],[concept/supplier]],'sel-invoice'!D:E,2,0)</f>
        <v>Amazon Subscription</v>
      </c>
      <c r="O115" t="str">
        <f>VLOOKUP(input_invoice[[#This Row],[concept/supplier]],'sel-invoice'!D:F,3,0)</f>
        <v>Ltd</v>
      </c>
      <c r="P115" t="str">
        <f>IF(input_invoice[[#This Row],[entity]]="SL","EUR",IF(input_invoice[[#This Row],[entity]]="Ltd","GBP",IF(input_invoice[[#This Row],[entity]]="Inc","USD","XXX")))</f>
        <v>GBP</v>
      </c>
    </row>
    <row r="116" spans="1:19" hidden="1" x14ac:dyDescent="0.3">
      <c r="A116">
        <v>202503</v>
      </c>
      <c r="B116" s="22" t="s">
        <v>917</v>
      </c>
      <c r="C116" s="48" t="s">
        <v>504</v>
      </c>
      <c r="D116" s="43">
        <v>45747</v>
      </c>
      <c r="E116" s="43">
        <v>45747</v>
      </c>
      <c r="F116" t="s">
        <v>204</v>
      </c>
      <c r="G116" s="47">
        <f>MAX(+input_invoice[[#This Row],[net]]+input_invoice[[#This Row],[tax_iva]]+input_invoice[[#This Row],[tax_irpf]],input_invoice[[#This Row],[net]])</f>
        <v>20.03</v>
      </c>
      <c r="H116" s="47">
        <f>input_invoice[[#This Row],[net]]*(MAX(input_invoice[[#This Row],[tax_rate_iva]],0)/100)</f>
        <v>0</v>
      </c>
      <c r="I116" s="47">
        <f>-input_invoice[[#This Row],[net]]*input_invoice[[#This Row],[tax_rate_irpf]]/100</f>
        <v>0</v>
      </c>
      <c r="J116" s="47">
        <v>20.03</v>
      </c>
      <c r="K116" t="str">
        <f t="shared" si="5"/>
        <v>payment-suppliers</v>
      </c>
      <c r="L116">
        <v>0</v>
      </c>
      <c r="N116" t="str">
        <f>VLOOKUP(input_invoice[[#This Row],[concept/supplier]],'sel-invoice'!D:E,2,0)</f>
        <v>Amazon Seller</v>
      </c>
      <c r="O116" t="str">
        <f>VLOOKUP(input_invoice[[#This Row],[concept/supplier]],'sel-invoice'!D:F,3,0)</f>
        <v>Ltd</v>
      </c>
      <c r="P116" t="str">
        <f>IF(input_invoice[[#This Row],[entity]]="SL","EUR",IF(input_invoice[[#This Row],[entity]]="Ltd","GBP",IF(input_invoice[[#This Row],[entity]]="Inc","USD","XXX")))</f>
        <v>GBP</v>
      </c>
      <c r="Q116" t="s">
        <v>908</v>
      </c>
    </row>
    <row r="117" spans="1:19" hidden="1" x14ac:dyDescent="0.3">
      <c r="A117">
        <v>202503</v>
      </c>
      <c r="B117" s="22" t="s">
        <v>917</v>
      </c>
      <c r="C117" s="48" t="s">
        <v>311</v>
      </c>
      <c r="D117" s="43">
        <v>45747</v>
      </c>
      <c r="E117" s="43">
        <v>45747</v>
      </c>
      <c r="F117" t="s">
        <v>117</v>
      </c>
      <c r="G117" s="47">
        <f>MAX(+input_invoice[[#This Row],[net]]+input_invoice[[#This Row],[tax_iva]]+input_invoice[[#This Row],[tax_irpf]],input_invoice[[#This Row],[net]])</f>
        <v>89.8</v>
      </c>
      <c r="H117" s="47">
        <f>input_invoice[[#This Row],[net]]*(MAX(input_invoice[[#This Row],[tax_rate_iva]],0)/100)</f>
        <v>0</v>
      </c>
      <c r="I117" s="47">
        <f>-input_invoice[[#This Row],[net]]*input_invoice[[#This Row],[tax_rate_irpf]]/100</f>
        <v>0</v>
      </c>
      <c r="J117" s="47">
        <v>89.8</v>
      </c>
      <c r="K117" t="str">
        <f t="shared" si="5"/>
        <v>administrative</v>
      </c>
      <c r="L117">
        <v>0</v>
      </c>
      <c r="N117" t="str">
        <f>VLOOKUP(input_invoice[[#This Row],[concept/supplier]],'sel-invoice'!D:E,2,0)</f>
        <v>regus</v>
      </c>
      <c r="O117" t="str">
        <f>VLOOKUP(input_invoice[[#This Row],[concept/supplier]],'sel-invoice'!D:F,3,0)</f>
        <v>Inc</v>
      </c>
      <c r="P117" t="str">
        <f>IF(input_invoice[[#This Row],[entity]]="SL","EUR",IF(input_invoice[[#This Row],[entity]]="Ltd","GBP",IF(input_invoice[[#This Row],[entity]]="Inc","USD","XXX")))</f>
        <v>USD</v>
      </c>
    </row>
    <row r="118" spans="1:19" hidden="1" x14ac:dyDescent="0.3">
      <c r="A118">
        <v>202503</v>
      </c>
      <c r="B118" s="22" t="s">
        <v>917</v>
      </c>
      <c r="C118" s="48" t="s">
        <v>311</v>
      </c>
      <c r="D118" s="43">
        <v>45747</v>
      </c>
      <c r="E118" s="43">
        <v>45747</v>
      </c>
      <c r="F118" t="s">
        <v>117</v>
      </c>
      <c r="G118" s="47">
        <f ca="1">MAX(+input_invoice[[#This Row],[net]]+input_invoice[[#This Row],[tax_iva]]+input_invoice[[#This Row],[tax_irpf]],input_invoice[[#This Row],[net]])</f>
        <v>888.87810000000002</v>
      </c>
      <c r="H118" s="47">
        <f ca="1">input_invoice[[#This Row],[net]]*(MAX(input_invoice[[#This Row],[tax_rate_iva]],0)/100)</f>
        <v>0</v>
      </c>
      <c r="I118" s="47">
        <f>-input_invoice[[#This Row],[net]]*input_invoice[[#This Row],[tax_rate_irpf]]/100</f>
        <v>0</v>
      </c>
      <c r="K118" t="str">
        <f t="shared" si="5"/>
        <v>administrative</v>
      </c>
      <c r="L118">
        <f ca="1">+input_invoice[[#This Row],[gross]]-input_invoice[[#This Row],[net]]</f>
        <v>0</v>
      </c>
      <c r="N118" t="str">
        <f>VLOOKUP(input_invoice[[#This Row],[concept/supplier]],'sel-invoice'!D:E,2,0)</f>
        <v>regus</v>
      </c>
      <c r="O118" t="str">
        <f>VLOOKUP(input_invoice[[#This Row],[concept/supplier]],'sel-invoice'!D:F,3,0)</f>
        <v>Inc</v>
      </c>
      <c r="P118" t="str">
        <f>IF(input_invoice[[#This Row],[entity]]="SL","EUR",IF(input_invoice[[#This Row],[entity]]="Ltd","GBP",IF(input_invoice[[#This Row],[entity]]="Inc","USD","XXX")))</f>
        <v>USD</v>
      </c>
    </row>
    <row r="119" spans="1:19" hidden="1" x14ac:dyDescent="0.3">
      <c r="A119">
        <v>202503</v>
      </c>
      <c r="B119" s="22" t="s">
        <v>917</v>
      </c>
      <c r="C119" s="48" t="s">
        <v>515</v>
      </c>
      <c r="D119" s="43">
        <v>45718</v>
      </c>
      <c r="E119" s="43">
        <v>45718</v>
      </c>
      <c r="F119" t="s">
        <v>206</v>
      </c>
      <c r="G119" s="47">
        <f>MAX(+input_invoice[[#This Row],[net]]+input_invoice[[#This Row],[tax_iva]]+input_invoice[[#This Row],[tax_irpf]],input_invoice[[#This Row],[net]])</f>
        <v>102</v>
      </c>
      <c r="H119" s="47">
        <f>input_invoice[[#This Row],[net]]*(MAX(input_invoice[[#This Row],[tax_rate_iva]],0)/100)</f>
        <v>17</v>
      </c>
      <c r="I119" s="47">
        <f>-input_invoice[[#This Row],[net]]*input_invoice[[#This Row],[tax_rate_irpf]]/100</f>
        <v>0</v>
      </c>
      <c r="J119" s="47">
        <v>85</v>
      </c>
      <c r="K119" t="str">
        <f t="shared" si="5"/>
        <v>administrative</v>
      </c>
      <c r="L119">
        <v>20</v>
      </c>
      <c r="N119" t="str">
        <f>VLOOKUP(input_invoice[[#This Row],[concept/supplier]],'sel-invoice'!D:E,2,0)</f>
        <v>youraccountsntaxes</v>
      </c>
      <c r="O119" t="str">
        <f>VLOOKUP(input_invoice[[#This Row],[concept/supplier]],'sel-invoice'!D:F,3,0)</f>
        <v>Ltd</v>
      </c>
      <c r="P119" t="str">
        <f>IF(input_invoice[[#This Row],[entity]]="SL","EUR",IF(input_invoice[[#This Row],[entity]]="Ltd","GBP",IF(input_invoice[[#This Row],[entity]]="Inc","USD","XXX")))</f>
        <v>GBP</v>
      </c>
      <c r="R119" s="259" t="b">
        <v>1</v>
      </c>
    </row>
    <row r="120" spans="1:19" hidden="1" x14ac:dyDescent="0.3">
      <c r="A120">
        <v>202503</v>
      </c>
      <c r="B120" s="22" t="s">
        <v>917</v>
      </c>
      <c r="F120" t="s">
        <v>122</v>
      </c>
      <c r="G120" s="47">
        <f>MAX(+input_invoice[[#This Row],[net]]+input_invoice[[#This Row],[tax_iva]]+input_invoice[[#This Row],[tax_irpf]],input_invoice[[#This Row],[net]])</f>
        <v>437.61</v>
      </c>
      <c r="H120" s="47">
        <f>input_invoice[[#This Row],[net]]*(MAX(input_invoice[[#This Row],[tax_rate_iva]],0)/100)</f>
        <v>0</v>
      </c>
      <c r="I120" s="47">
        <f>-input_invoice[[#This Row],[net]]*input_invoice[[#This Row],[tax_rate_irpf]]/100</f>
        <v>0</v>
      </c>
      <c r="J120" s="47">
        <v>437.61</v>
      </c>
      <c r="K120" t="str">
        <f t="shared" si="5"/>
        <v>it</v>
      </c>
      <c r="L120">
        <v>0</v>
      </c>
      <c r="N120" t="str">
        <f>VLOOKUP(input_invoice[[#This Row],[concept/supplier]],'sel-invoice'!D:E,2,0)</f>
        <v>Shopify</v>
      </c>
      <c r="O120" t="str">
        <f>VLOOKUP(input_invoice[[#This Row],[concept/supplier]],'sel-invoice'!D:F,3,0)</f>
        <v>SL</v>
      </c>
      <c r="P120" t="str">
        <f>IF(input_invoice[[#This Row],[entity]]="SL","EUR",IF(input_invoice[[#This Row],[entity]]="Ltd","GBP",IF(input_invoice[[#This Row],[entity]]="Inc","USD","XXX")))</f>
        <v>EUR</v>
      </c>
      <c r="R120" s="259" t="b">
        <v>1</v>
      </c>
    </row>
    <row r="121" spans="1:19" hidden="1" x14ac:dyDescent="0.3">
      <c r="A121">
        <v>202504</v>
      </c>
      <c r="B121" s="22" t="s">
        <v>917</v>
      </c>
      <c r="C121" s="48">
        <v>142367</v>
      </c>
      <c r="D121" s="43">
        <v>45752</v>
      </c>
      <c r="E121" s="43">
        <v>45758</v>
      </c>
      <c r="F121" t="s">
        <v>111</v>
      </c>
      <c r="G121" s="47">
        <f>MAX(+input_invoice[[#This Row],[net]]+input_invoice[[#This Row],[tax_iva]]+input_invoice[[#This Row],[tax_irpf]],input_invoice[[#This Row],[net]])</f>
        <v>888.87810000000002</v>
      </c>
      <c r="H121" s="47">
        <f>input_invoice[[#This Row],[net]]*(MAX(input_invoice[[#This Row],[tax_rate_iva]],0)/100)</f>
        <v>154.2681</v>
      </c>
      <c r="I121" s="47">
        <f>-input_invoice[[#This Row],[net]]*input_invoice[[#This Row],[tax_rate_irpf]]/100</f>
        <v>0</v>
      </c>
      <c r="J121" s="47">
        <v>734.61</v>
      </c>
      <c r="K121" t="str">
        <f t="shared" si="5"/>
        <v>administrative</v>
      </c>
      <c r="L121">
        <v>21</v>
      </c>
      <c r="N121" t="str">
        <f>VLOOKUP(input_invoice[[#This Row],[concept/supplier]],'sel-invoice'!D:E,2,0)</f>
        <v>Claris Gestio</v>
      </c>
      <c r="O121" t="str">
        <f>VLOOKUP(input_invoice[[#This Row],[concept/supplier]],'sel-invoice'!D:F,3,0)</f>
        <v>SL</v>
      </c>
      <c r="P121" t="str">
        <f>IF(input_invoice[[#This Row],[entity]]="SL","EUR",IF(input_invoice[[#This Row],[entity]]="Ltd","GBP",IF(input_invoice[[#This Row],[entity]]="Inc","USD","XXX")))</f>
        <v>EUR</v>
      </c>
    </row>
    <row r="122" spans="1:19" hidden="1" x14ac:dyDescent="0.3">
      <c r="A122">
        <v>202504</v>
      </c>
      <c r="B122" s="22" t="s">
        <v>917</v>
      </c>
      <c r="C122" s="48" t="s">
        <v>312</v>
      </c>
      <c r="D122" s="43">
        <v>45762</v>
      </c>
      <c r="E122" s="43">
        <v>45762</v>
      </c>
      <c r="F122" t="s">
        <v>119</v>
      </c>
      <c r="G122" s="47">
        <f>MAX(+input_invoice[[#This Row],[net]]+input_invoice[[#This Row],[tax_iva]]+input_invoice[[#This Row],[tax_irpf]],input_invoice[[#This Row],[net]])</f>
        <v>160.5</v>
      </c>
      <c r="H122" s="47">
        <f>input_invoice[[#This Row],[net]]*(MAX(input_invoice[[#This Row],[tax_rate_iva]],0)/100)</f>
        <v>10.500000000000002</v>
      </c>
      <c r="I122" s="47">
        <f>-input_invoice[[#This Row],[net]]*input_invoice[[#This Row],[tax_rate_irpf]]/100</f>
        <v>0</v>
      </c>
      <c r="J122" s="47">
        <v>150</v>
      </c>
      <c r="K122" t="str">
        <f t="shared" si="5"/>
        <v>administrative</v>
      </c>
      <c r="L122">
        <v>7</v>
      </c>
      <c r="N122" t="str">
        <f>VLOOKUP(input_invoice[[#This Row],[concept/supplier]],'sel-invoice'!D:E,2,0)</f>
        <v>otros</v>
      </c>
      <c r="O122" t="str">
        <f>VLOOKUP(input_invoice[[#This Row],[concept/supplier]],'sel-invoice'!D:F,3,0)</f>
        <v>SL</v>
      </c>
      <c r="P122" t="str">
        <f>IF(input_invoice[[#This Row],[entity]]="SL","EUR",IF(input_invoice[[#This Row],[entity]]="Ltd","GBP",IF(input_invoice[[#This Row],[entity]]="Inc","USD","XXX")))</f>
        <v>EUR</v>
      </c>
    </row>
    <row r="123" spans="1:19" s="88" customFormat="1" hidden="1" x14ac:dyDescent="0.3">
      <c r="A123">
        <v>202504</v>
      </c>
      <c r="B123" s="22" t="s">
        <v>917</v>
      </c>
      <c r="C123">
        <v>351870092</v>
      </c>
      <c r="D123" s="43">
        <v>45756</v>
      </c>
      <c r="E123" s="43">
        <v>45756</v>
      </c>
      <c r="F123" t="s">
        <v>209</v>
      </c>
      <c r="G123" s="47">
        <f>MAX(+input_invoice[[#This Row],[net]]+input_invoice[[#This Row],[tax_iva]]+input_invoice[[#This Row],[tax_irpf]],input_invoice[[#This Row],[net]])</f>
        <v>125.51</v>
      </c>
      <c r="H123" s="47">
        <f>input_invoice[[#This Row],[net]]*(MAX(input_invoice[[#This Row],[tax_rate_iva]],0)/100)</f>
        <v>0</v>
      </c>
      <c r="I123" s="47">
        <f>-input_invoice[[#This Row],[net]]*input_invoice[[#This Row],[tax_rate_irpf]]/100</f>
        <v>0</v>
      </c>
      <c r="J123" s="47">
        <v>125.51</v>
      </c>
      <c r="K123" t="str">
        <f t="shared" si="5"/>
        <v>it</v>
      </c>
      <c r="L123">
        <v>0</v>
      </c>
      <c r="M123"/>
      <c r="N123" t="str">
        <f>VLOOKUP(input_invoice[[#This Row],[concept/supplier]],'sel-invoice'!D:E,2,0)</f>
        <v>Shopify</v>
      </c>
      <c r="O123" t="str">
        <f>VLOOKUP(input_invoice[[#This Row],[concept/supplier]],'sel-invoice'!D:F,3,0)</f>
        <v>Ltd</v>
      </c>
      <c r="P123" t="str">
        <f>IF(input_invoice[[#This Row],[entity]]="SL","EUR",IF(input_invoice[[#This Row],[entity]]="Ltd","GBP",IF(input_invoice[[#This Row],[entity]]="Inc","USD","XXX")))</f>
        <v>GBP</v>
      </c>
      <c r="Q123" s="182"/>
      <c r="R123" s="259" t="b">
        <v>1</v>
      </c>
      <c r="S123"/>
    </row>
    <row r="124" spans="1:19" s="88" customFormat="1" hidden="1" x14ac:dyDescent="0.3">
      <c r="A124">
        <v>202504</v>
      </c>
      <c r="B124" s="22" t="s">
        <v>917</v>
      </c>
      <c r="C124" s="48" t="s">
        <v>316</v>
      </c>
      <c r="D124" s="43">
        <v>45775</v>
      </c>
      <c r="E124" s="43">
        <v>45775</v>
      </c>
      <c r="F124" t="s">
        <v>81</v>
      </c>
      <c r="G124" s="47">
        <f>MAX(+input_invoice[[#This Row],[net]]+input_invoice[[#This Row],[tax_iva]]+input_invoice[[#This Row],[tax_irpf]],input_invoice[[#This Row],[net]])</f>
        <v>95.59</v>
      </c>
      <c r="H124" s="47">
        <f>input_invoice[[#This Row],[net]]*(MAX(input_invoice[[#This Row],[tax_rate_iva]],0)/100)</f>
        <v>16.59</v>
      </c>
      <c r="I124" s="47">
        <f>-input_invoice[[#This Row],[net]]*input_invoice[[#This Row],[tax_rate_irpf]]/100</f>
        <v>0</v>
      </c>
      <c r="J124" s="47">
        <v>79</v>
      </c>
      <c r="K124" t="str">
        <f t="shared" si="5"/>
        <v>returns</v>
      </c>
      <c r="L124">
        <v>21</v>
      </c>
      <c r="M124"/>
      <c r="N124" t="str">
        <f>VLOOKUP(input_invoice[[#This Row],[concept/supplier]],'sel-invoice'!D:E,2,0)</f>
        <v>rever</v>
      </c>
      <c r="O124" t="str">
        <f>VLOOKUP(input_invoice[[#This Row],[concept/supplier]],'sel-invoice'!D:F,3,0)</f>
        <v>SL</v>
      </c>
      <c r="P124" t="str">
        <f>IF(input_invoice[[#This Row],[entity]]="SL","EUR",IF(input_invoice[[#This Row],[entity]]="Ltd","GBP",IF(input_invoice[[#This Row],[entity]]="Inc","USD","XXX")))</f>
        <v>EUR</v>
      </c>
      <c r="Q124"/>
      <c r="R124"/>
    </row>
    <row r="125" spans="1:19" hidden="1" x14ac:dyDescent="0.3">
      <c r="A125">
        <v>202504</v>
      </c>
      <c r="B125" s="22" t="s">
        <v>917</v>
      </c>
      <c r="C125" s="48" t="s">
        <v>381</v>
      </c>
      <c r="D125" s="43">
        <v>45777</v>
      </c>
      <c r="E125" s="43">
        <v>45777</v>
      </c>
      <c r="F125" t="s">
        <v>210</v>
      </c>
      <c r="G125" s="47">
        <f>MAX(+input_invoice[[#This Row],[net]]+input_invoice[[#This Row],[tax_iva]]+input_invoice[[#This Row],[tax_irpf]],input_invoice[[#This Row],[net]])</f>
        <v>33.22</v>
      </c>
      <c r="H125" s="47">
        <f>input_invoice[[#This Row],[net]]*(MAX(input_invoice[[#This Row],[tax_rate_iva]],0)/100)</f>
        <v>0</v>
      </c>
      <c r="I125" s="47">
        <f>-input_invoice[[#This Row],[net]]*input_invoice[[#This Row],[tax_rate_irpf]]/100</f>
        <v>0</v>
      </c>
      <c r="J125" s="47">
        <v>33.22</v>
      </c>
      <c r="K125" t="str">
        <f t="shared" si="5"/>
        <v>it</v>
      </c>
      <c r="L125">
        <v>0</v>
      </c>
      <c r="N125" t="str">
        <f>VLOOKUP(input_invoice[[#This Row],[concept/supplier]],'sel-invoice'!D:E,2,0)</f>
        <v>Amazon Subscription</v>
      </c>
      <c r="O125" t="str">
        <f>VLOOKUP(input_invoice[[#This Row],[concept/supplier]],'sel-invoice'!D:F,3,0)</f>
        <v>Ltd</v>
      </c>
      <c r="P125" t="str">
        <f>IF(input_invoice[[#This Row],[entity]]="SL","EUR",IF(input_invoice[[#This Row],[entity]]="Ltd","GBP",IF(input_invoice[[#This Row],[entity]]="Inc","USD","XXX")))</f>
        <v>GBP</v>
      </c>
    </row>
    <row r="126" spans="1:19" hidden="1" x14ac:dyDescent="0.3">
      <c r="A126">
        <v>202504</v>
      </c>
      <c r="B126" s="22" t="s">
        <v>917</v>
      </c>
      <c r="C126" s="48" t="s">
        <v>317</v>
      </c>
      <c r="D126" s="43">
        <v>45777</v>
      </c>
      <c r="E126" s="43">
        <v>45777</v>
      </c>
      <c r="F126" t="s">
        <v>117</v>
      </c>
      <c r="G126" s="47">
        <f>MAX(+input_invoice[[#This Row],[net]]+input_invoice[[#This Row],[tax_iva]]+input_invoice[[#This Row],[tax_irpf]],input_invoice[[#This Row],[net]])</f>
        <v>89.8</v>
      </c>
      <c r="H126" s="47">
        <f>input_invoice[[#This Row],[net]]*(MAX(input_invoice[[#This Row],[tax_rate_iva]],0)/100)</f>
        <v>0</v>
      </c>
      <c r="I126" s="47">
        <f>-input_invoice[[#This Row],[net]]*input_invoice[[#This Row],[tax_rate_irpf]]/100</f>
        <v>0</v>
      </c>
      <c r="J126" s="47">
        <v>89.8</v>
      </c>
      <c r="K126" t="str">
        <f t="shared" si="5"/>
        <v>administrative</v>
      </c>
      <c r="L126">
        <v>0</v>
      </c>
      <c r="N126" t="str">
        <f>VLOOKUP(input_invoice[[#This Row],[concept/supplier]],'sel-invoice'!D:E,2,0)</f>
        <v>regus</v>
      </c>
      <c r="O126" t="str">
        <f>VLOOKUP(input_invoice[[#This Row],[concept/supplier]],'sel-invoice'!D:F,3,0)</f>
        <v>Inc</v>
      </c>
      <c r="P126" t="str">
        <f>IF(input_invoice[[#This Row],[entity]]="SL","EUR",IF(input_invoice[[#This Row],[entity]]="Ltd","GBP",IF(input_invoice[[#This Row],[entity]]="Inc","USD","XXX")))</f>
        <v>USD</v>
      </c>
    </row>
    <row r="127" spans="1:19" hidden="1" x14ac:dyDescent="0.3">
      <c r="A127">
        <v>202505</v>
      </c>
      <c r="B127" s="22" t="s">
        <v>917</v>
      </c>
      <c r="C127" s="48" t="s">
        <v>332</v>
      </c>
      <c r="D127" s="43">
        <v>45778</v>
      </c>
      <c r="E127" s="43">
        <v>45778</v>
      </c>
      <c r="F127" t="s">
        <v>81</v>
      </c>
      <c r="G127" s="47">
        <f>MAX(+input_invoice[[#This Row],[net]]+input_invoice[[#This Row],[tax_iva]]+input_invoice[[#This Row],[tax_irpf]],input_invoice[[#This Row],[net]])</f>
        <v>441.79520000000002</v>
      </c>
      <c r="H127" s="47">
        <f>input_invoice[[#This Row],[net]]*(MAX(input_invoice[[#This Row],[tax_rate_iva]],0)/100)</f>
        <v>76.675200000000004</v>
      </c>
      <c r="I127" s="47">
        <f>-input_invoice[[#This Row],[net]]*input_invoice[[#This Row],[tax_rate_irpf]]/100</f>
        <v>0</v>
      </c>
      <c r="J127" s="47">
        <v>365.12</v>
      </c>
      <c r="K127" t="str">
        <f t="shared" si="5"/>
        <v>returns</v>
      </c>
      <c r="L127">
        <v>21</v>
      </c>
      <c r="N127" t="str">
        <f>VLOOKUP(input_invoice[[#This Row],[concept/supplier]],'sel-invoice'!D:E,2,0)</f>
        <v>rever</v>
      </c>
      <c r="O127" t="str">
        <f>VLOOKUP(input_invoice[[#This Row],[concept/supplier]],'sel-invoice'!D:F,3,0)</f>
        <v>SL</v>
      </c>
      <c r="P127" t="str">
        <f>IF(input_invoice[[#This Row],[entity]]="SL","EUR",IF(input_invoice[[#This Row],[entity]]="Ltd","GBP",IF(input_invoice[[#This Row],[entity]]="Inc","USD","XXX")))</f>
        <v>EUR</v>
      </c>
    </row>
    <row r="128" spans="1:19" hidden="1" x14ac:dyDescent="0.3">
      <c r="A128">
        <v>202504</v>
      </c>
      <c r="B128" s="22" t="s">
        <v>917</v>
      </c>
      <c r="C128" s="48" t="s">
        <v>313</v>
      </c>
      <c r="D128" s="43">
        <v>45749</v>
      </c>
      <c r="E128" s="43">
        <v>45749</v>
      </c>
      <c r="F128" t="s">
        <v>113</v>
      </c>
      <c r="G128" s="47">
        <f>MAX(+input_invoice[[#This Row],[net]]+input_invoice[[#This Row],[tax_iva]]+input_invoice[[#This Row],[tax_irpf]],input_invoice[[#This Row],[net]])</f>
        <v>18.149999999999999</v>
      </c>
      <c r="H128" s="47">
        <f>input_invoice[[#This Row],[net]]*(MAX(input_invoice[[#This Row],[tax_rate_iva]],0)/100)</f>
        <v>3.15</v>
      </c>
      <c r="I128" s="47">
        <f>-input_invoice[[#This Row],[net]]*input_invoice[[#This Row],[tax_rate_irpf]]/100</f>
        <v>0</v>
      </c>
      <c r="J128" s="47">
        <v>15</v>
      </c>
      <c r="K128" t="str">
        <f t="shared" si="5"/>
        <v>administrative</v>
      </c>
      <c r="L128">
        <v>21</v>
      </c>
      <c r="N128" t="str">
        <f>VLOOKUP(input_invoice[[#This Row],[concept/supplier]],'sel-invoice'!D:E,2,0)</f>
        <v>Torras y asociados</v>
      </c>
      <c r="O128" t="str">
        <f>VLOOKUP(input_invoice[[#This Row],[concept/supplier]],'sel-invoice'!D:F,3,0)</f>
        <v>SL</v>
      </c>
      <c r="P128" t="str">
        <f>IF(input_invoice[[#This Row],[entity]]="SL","EUR",IF(input_invoice[[#This Row],[entity]]="Ltd","GBP",IF(input_invoice[[#This Row],[entity]]="Inc","USD","XXX")))</f>
        <v>EUR</v>
      </c>
      <c r="R128" s="259" t="b">
        <v>1</v>
      </c>
    </row>
    <row r="129" spans="1:19" hidden="1" x14ac:dyDescent="0.3">
      <c r="A129">
        <v>202505</v>
      </c>
      <c r="B129" s="22" t="s">
        <v>917</v>
      </c>
      <c r="C129" s="48" t="s">
        <v>318</v>
      </c>
      <c r="D129" s="43">
        <v>45783</v>
      </c>
      <c r="E129" s="43">
        <v>45786</v>
      </c>
      <c r="F129" t="s">
        <v>111</v>
      </c>
      <c r="G129" s="47">
        <f>MAX(+input_invoice[[#This Row],[net]]+input_invoice[[#This Row],[tax_iva]]+input_invoice[[#This Row],[tax_irpf]],input_invoice[[#This Row],[net]])</f>
        <v>888.87810000000002</v>
      </c>
      <c r="H129" s="47">
        <f>input_invoice[[#This Row],[net]]*(MAX(input_invoice[[#This Row],[tax_rate_iva]],0)/100)</f>
        <v>154.2681</v>
      </c>
      <c r="I129" s="47">
        <f>-input_invoice[[#This Row],[net]]*input_invoice[[#This Row],[tax_rate_irpf]]/100</f>
        <v>0</v>
      </c>
      <c r="J129" s="47">
        <v>734.61</v>
      </c>
      <c r="K129" t="str">
        <f t="shared" si="5"/>
        <v>administrative</v>
      </c>
      <c r="L129">
        <v>21</v>
      </c>
      <c r="N129" t="str">
        <f>VLOOKUP(input_invoice[[#This Row],[concept/supplier]],'sel-invoice'!D:E,2,0)</f>
        <v>Claris Gestio</v>
      </c>
      <c r="O129" t="str">
        <f>VLOOKUP(input_invoice[[#This Row],[concept/supplier]],'sel-invoice'!D:F,3,0)</f>
        <v>SL</v>
      </c>
      <c r="P129" t="str">
        <f>IF(input_invoice[[#This Row],[entity]]="SL","EUR",IF(input_invoice[[#This Row],[entity]]="Ltd","GBP",IF(input_invoice[[#This Row],[entity]]="Inc","USD","XXX")))</f>
        <v>EUR</v>
      </c>
    </row>
    <row r="130" spans="1:19" hidden="1" x14ac:dyDescent="0.3">
      <c r="A130">
        <v>202504</v>
      </c>
      <c r="B130" s="22" t="s">
        <v>917</v>
      </c>
      <c r="C130" s="48">
        <v>355045547</v>
      </c>
      <c r="D130" s="43">
        <v>45764</v>
      </c>
      <c r="E130" s="43">
        <v>45764</v>
      </c>
      <c r="F130" t="s">
        <v>122</v>
      </c>
      <c r="G130" s="47">
        <f>MAX(+input_invoice[[#This Row],[net]]+input_invoice[[#This Row],[tax_iva]]+input_invoice[[#This Row],[tax_irpf]],input_invoice[[#This Row],[net]])</f>
        <v>470.53</v>
      </c>
      <c r="H130" s="47">
        <f>input_invoice[[#This Row],[net]]*(MAX(input_invoice[[#This Row],[tax_rate_iva]],0)/100)</f>
        <v>0</v>
      </c>
      <c r="I130" s="47">
        <f>-input_invoice[[#This Row],[net]]*input_invoice[[#This Row],[tax_rate_irpf]]/100</f>
        <v>0</v>
      </c>
      <c r="J130" s="47">
        <v>470.53</v>
      </c>
      <c r="K130" t="str">
        <f t="shared" si="5"/>
        <v>it</v>
      </c>
      <c r="L130">
        <v>0</v>
      </c>
      <c r="N130" t="str">
        <f>VLOOKUP(input_invoice[[#This Row],[concept/supplier]],'sel-invoice'!D:E,2,0)</f>
        <v>Shopify</v>
      </c>
      <c r="O130" t="str">
        <f>VLOOKUP(input_invoice[[#This Row],[concept/supplier]],'sel-invoice'!D:F,3,0)</f>
        <v>SL</v>
      </c>
      <c r="P130" t="str">
        <f>IF(input_invoice[[#This Row],[entity]]="SL","EUR",IF(input_invoice[[#This Row],[entity]]="Ltd","GBP",IF(input_invoice[[#This Row],[entity]]="Inc","USD","XXX")))</f>
        <v>EUR</v>
      </c>
      <c r="R130" s="259" t="b">
        <v>1</v>
      </c>
      <c r="S130" s="88"/>
    </row>
    <row r="131" spans="1:19" hidden="1" x14ac:dyDescent="0.3">
      <c r="A131">
        <v>202509</v>
      </c>
      <c r="B131" s="22" t="s">
        <v>917</v>
      </c>
      <c r="C131" s="65" t="s">
        <v>377</v>
      </c>
      <c r="D131" s="94">
        <v>45791</v>
      </c>
      <c r="E131" s="94">
        <v>45791</v>
      </c>
      <c r="F131" t="s">
        <v>141</v>
      </c>
      <c r="G131" s="47">
        <f>MAX(+input_invoice[[#This Row],[net]]+input_invoice[[#This Row],[tax_iva]]+input_invoice[[#This Row],[tax_irpf]],input_invoice[[#This Row],[net]])</f>
        <v>2.5046999999999997</v>
      </c>
      <c r="H131" s="47">
        <f>input_invoice[[#This Row],[net]]*(MAX(input_invoice[[#This Row],[tax_rate_iva]],0)/100)</f>
        <v>0.43469999999999998</v>
      </c>
      <c r="I131" s="47">
        <f>-input_invoice[[#This Row],[net]]*input_invoice[[#This Row],[tax_rate_irpf]]/100</f>
        <v>0</v>
      </c>
      <c r="J131" s="47">
        <v>2.0699999999999998</v>
      </c>
      <c r="K131" t="str">
        <f t="shared" si="5"/>
        <v>it</v>
      </c>
      <c r="L131">
        <v>21</v>
      </c>
      <c r="N131" t="str">
        <f>VLOOKUP(input_invoice[[#This Row],[concept/supplier]],'sel-invoice'!D:E,2,0)</f>
        <v>Symio</v>
      </c>
      <c r="O131" t="str">
        <f>VLOOKUP(input_invoice[[#This Row],[concept/supplier]],'sel-invoice'!D:F,3,0)</f>
        <v>SL</v>
      </c>
      <c r="P131" t="str">
        <f>IF(input_invoice[[#This Row],[entity]]="SL","EUR",IF(input_invoice[[#This Row],[entity]]="Ltd","GBP",IF(input_invoice[[#This Row],[entity]]="Inc","USD","XXX")))</f>
        <v>EUR</v>
      </c>
    </row>
    <row r="132" spans="1:19" s="88" customFormat="1" hidden="1" x14ac:dyDescent="0.3">
      <c r="A132">
        <v>202505</v>
      </c>
      <c r="B132" s="22" t="s">
        <v>917</v>
      </c>
      <c r="C132" s="65" t="s">
        <v>336</v>
      </c>
      <c r="D132" s="94">
        <v>45795</v>
      </c>
      <c r="E132" s="94">
        <v>45795</v>
      </c>
      <c r="F132" t="s">
        <v>135</v>
      </c>
      <c r="G132" s="47">
        <f>MAX(+input_invoice[[#This Row],[net]]+input_invoice[[#This Row],[tax_iva]]+input_invoice[[#This Row],[tax_irpf]],input_invoice[[#This Row],[net]])</f>
        <v>21.12</v>
      </c>
      <c r="H132" s="47">
        <f>input_invoice[[#This Row],[net]]*(MAX(input_invoice[[#This Row],[tax_rate_iva]],0)/100)</f>
        <v>0</v>
      </c>
      <c r="I132" s="47">
        <f>-input_invoice[[#This Row],[net]]*input_invoice[[#This Row],[tax_rate_irpf]]/100</f>
        <v>0</v>
      </c>
      <c r="J132" s="47">
        <v>21.12</v>
      </c>
      <c r="K132" t="str">
        <f t="shared" si="5"/>
        <v>it</v>
      </c>
      <c r="L132">
        <v>0</v>
      </c>
      <c r="M132"/>
      <c r="N132" t="str">
        <f>VLOOKUP(input_invoice[[#This Row],[concept/supplier]],'sel-invoice'!D:E,2,0)</f>
        <v>Geotargetly</v>
      </c>
      <c r="O132" t="str">
        <f>VLOOKUP(input_invoice[[#This Row],[concept/supplier]],'sel-invoice'!D:F,3,0)</f>
        <v>SL</v>
      </c>
      <c r="P132" t="str">
        <f>IF(input_invoice[[#This Row],[entity]]="SL","EUR",IF(input_invoice[[#This Row],[entity]]="Ltd","GBP",IF(input_invoice[[#This Row],[entity]]="Inc","USD","XXX")))</f>
        <v>EUR</v>
      </c>
      <c r="Q132"/>
      <c r="R132"/>
    </row>
    <row r="133" spans="1:19" s="88" customFormat="1" hidden="1" x14ac:dyDescent="0.3">
      <c r="A133">
        <v>202505</v>
      </c>
      <c r="B133" s="22" t="s">
        <v>917</v>
      </c>
      <c r="C133" s="48" t="s">
        <v>388</v>
      </c>
      <c r="D133" s="43">
        <v>45797</v>
      </c>
      <c r="E133" s="43">
        <v>45797</v>
      </c>
      <c r="F133" t="s">
        <v>387</v>
      </c>
      <c r="G133" s="47">
        <f>MAX(+input_invoice[[#This Row],[net]]+input_invoice[[#This Row],[tax_iva]]+input_invoice[[#This Row],[tax_irpf]],input_invoice[[#This Row],[net]])</f>
        <v>4.99</v>
      </c>
      <c r="H133" s="47">
        <f>input_invoice[[#This Row],[net]]*(MAX(input_invoice[[#This Row],[tax_rate_iva]],0)/100)</f>
        <v>0</v>
      </c>
      <c r="I133" s="47">
        <f>-input_invoice[[#This Row],[net]]*input_invoice[[#This Row],[tax_rate_irpf]]/100</f>
        <v>0</v>
      </c>
      <c r="J133" s="47">
        <v>4.99</v>
      </c>
      <c r="K133" t="str">
        <f t="shared" si="5"/>
        <v>it</v>
      </c>
      <c r="L133">
        <v>0</v>
      </c>
      <c r="M133"/>
      <c r="N133" t="str">
        <f>VLOOKUP(input_invoice[[#This Row],[concept/supplier]],'sel-invoice'!D:E,2,0)</f>
        <v>hushed</v>
      </c>
      <c r="O133" t="str">
        <f>VLOOKUP(input_invoice[[#This Row],[concept/supplier]],'sel-invoice'!D:F,3,0)</f>
        <v>Inc</v>
      </c>
      <c r="P133" t="str">
        <f>IF(input_invoice[[#This Row],[entity]]="SL","EUR",IF(input_invoice[[#This Row],[entity]]="Ltd","GBP",IF(input_invoice[[#This Row],[entity]]="Inc","USD","XXX")))</f>
        <v>USD</v>
      </c>
      <c r="Q133"/>
      <c r="R133"/>
    </row>
    <row r="134" spans="1:19" s="88" customFormat="1" hidden="1" x14ac:dyDescent="0.3">
      <c r="A134">
        <v>202505</v>
      </c>
      <c r="B134" s="22" t="s">
        <v>917</v>
      </c>
      <c r="C134" s="65" t="s">
        <v>335</v>
      </c>
      <c r="D134" s="94">
        <v>45793</v>
      </c>
      <c r="E134" s="94">
        <v>45798</v>
      </c>
      <c r="F134" t="s">
        <v>127</v>
      </c>
      <c r="G134" s="47">
        <f>MAX(+input_invoice[[#This Row],[net]]+input_invoice[[#This Row],[tax_iva]]+input_invoice[[#This Row],[tax_irpf]],input_invoice[[#This Row],[net]])</f>
        <v>13.189</v>
      </c>
      <c r="H134" s="47">
        <f>input_invoice[[#This Row],[net]]*(MAX(input_invoice[[#This Row],[tax_rate_iva]],0)/100)</f>
        <v>2.2890000000000001</v>
      </c>
      <c r="I134" s="47">
        <f>-input_invoice[[#This Row],[net]]*input_invoice[[#This Row],[tax_rate_irpf]]/100</f>
        <v>0</v>
      </c>
      <c r="J134" s="96">
        <v>10.9</v>
      </c>
      <c r="K134" t="str">
        <f t="shared" ref="K134:K165" si="6">_xlfn.TEXTBEFORE(F134," - ")</f>
        <v>it</v>
      </c>
      <c r="L134">
        <v>21</v>
      </c>
      <c r="M134"/>
      <c r="N134" t="str">
        <f>VLOOKUP(input_invoice[[#This Row],[concept/supplier]],'sel-invoice'!D:E,2,0)</f>
        <v>Hetzner</v>
      </c>
      <c r="O134" t="str">
        <f>VLOOKUP(input_invoice[[#This Row],[concept/supplier]],'sel-invoice'!D:F,3,0)</f>
        <v>SL</v>
      </c>
      <c r="P134" t="str">
        <f>IF(input_invoice[[#This Row],[entity]]="SL","EUR",IF(input_invoice[[#This Row],[entity]]="Ltd","GBP",IF(input_invoice[[#This Row],[entity]]="Inc","USD","XXX")))</f>
        <v>EUR</v>
      </c>
      <c r="Q134"/>
      <c r="R134"/>
    </row>
    <row r="135" spans="1:19" s="88" customFormat="1" hidden="1" x14ac:dyDescent="0.3">
      <c r="A135">
        <v>202505</v>
      </c>
      <c r="B135" s="22" t="s">
        <v>917</v>
      </c>
      <c r="C135" s="48" t="s">
        <v>382</v>
      </c>
      <c r="D135" s="43">
        <v>45808</v>
      </c>
      <c r="E135" s="43">
        <v>45808</v>
      </c>
      <c r="F135" t="s">
        <v>210</v>
      </c>
      <c r="G135" s="47">
        <f>MAX(+input_invoice[[#This Row],[net]]+input_invoice[[#This Row],[tax_iva]]+input_invoice[[#This Row],[tax_irpf]],input_invoice[[#This Row],[net]])</f>
        <v>32.799999999999997</v>
      </c>
      <c r="H135" s="47">
        <f>input_invoice[[#This Row],[net]]*(MAX(input_invoice[[#This Row],[tax_rate_iva]],0)/100)</f>
        <v>0</v>
      </c>
      <c r="I135" s="47">
        <f>-input_invoice[[#This Row],[net]]*input_invoice[[#This Row],[tax_rate_irpf]]/100</f>
        <v>0</v>
      </c>
      <c r="J135" s="47">
        <v>32.799999999999997</v>
      </c>
      <c r="K135" t="str">
        <f t="shared" si="6"/>
        <v>it</v>
      </c>
      <c r="L135">
        <v>0</v>
      </c>
      <c r="M135"/>
      <c r="N135" t="str">
        <f>VLOOKUP(input_invoice[[#This Row],[concept/supplier]],'sel-invoice'!D:E,2,0)</f>
        <v>Amazon Subscription</v>
      </c>
      <c r="O135" t="str">
        <f>VLOOKUP(input_invoice[[#This Row],[concept/supplier]],'sel-invoice'!D:F,3,0)</f>
        <v>Ltd</v>
      </c>
      <c r="P135" t="str">
        <f>IF(input_invoice[[#This Row],[entity]]="SL","EUR",IF(input_invoice[[#This Row],[entity]]="Ltd","GBP",IF(input_invoice[[#This Row],[entity]]="Inc","USD","XXX")))</f>
        <v>GBP</v>
      </c>
      <c r="Q135"/>
      <c r="R135"/>
    </row>
    <row r="136" spans="1:19" hidden="1" x14ac:dyDescent="0.3">
      <c r="A136">
        <v>202505</v>
      </c>
      <c r="B136" s="22" t="s">
        <v>917</v>
      </c>
      <c r="C136" s="48" t="s">
        <v>382</v>
      </c>
      <c r="D136" s="43">
        <v>45808</v>
      </c>
      <c r="E136" s="43">
        <v>45808</v>
      </c>
      <c r="F136" t="s">
        <v>204</v>
      </c>
      <c r="G136" s="47">
        <f>MAX(+input_invoice[[#This Row],[net]]+input_invoice[[#This Row],[tax_iva]]+input_invoice[[#This Row],[tax_irpf]],input_invoice[[#This Row],[net]])</f>
        <v>7.49</v>
      </c>
      <c r="H136" s="47">
        <f>input_invoice[[#This Row],[net]]*(MAX(input_invoice[[#This Row],[tax_rate_iva]],0)/100)</f>
        <v>0</v>
      </c>
      <c r="I136" s="47">
        <f>-input_invoice[[#This Row],[net]]*input_invoice[[#This Row],[tax_rate_irpf]]/100</f>
        <v>0</v>
      </c>
      <c r="J136" s="47">
        <v>7.49</v>
      </c>
      <c r="K136" t="str">
        <f t="shared" si="6"/>
        <v>payment-suppliers</v>
      </c>
      <c r="L136">
        <v>0</v>
      </c>
      <c r="N136" t="str">
        <f>VLOOKUP(input_invoice[[#This Row],[concept/supplier]],'sel-invoice'!D:E,2,0)</f>
        <v>Amazon Seller</v>
      </c>
      <c r="O136" t="str">
        <f>VLOOKUP(input_invoice[[#This Row],[concept/supplier]],'sel-invoice'!D:F,3,0)</f>
        <v>Ltd</v>
      </c>
      <c r="P136" t="str">
        <f>IF(input_invoice[[#This Row],[entity]]="SL","EUR",IF(input_invoice[[#This Row],[entity]]="Ltd","GBP",IF(input_invoice[[#This Row],[entity]]="Inc","USD","XXX")))</f>
        <v>GBP</v>
      </c>
      <c r="Q136" t="s">
        <v>908</v>
      </c>
    </row>
    <row r="137" spans="1:19" hidden="1" x14ac:dyDescent="0.3">
      <c r="A137">
        <v>202505</v>
      </c>
      <c r="B137" s="22" t="s">
        <v>917</v>
      </c>
      <c r="C137" s="48" t="s">
        <v>334</v>
      </c>
      <c r="D137" s="43">
        <v>45808</v>
      </c>
      <c r="E137" s="43">
        <v>45808</v>
      </c>
      <c r="F137" t="s">
        <v>117</v>
      </c>
      <c r="G137" s="47">
        <f>MAX(+input_invoice[[#This Row],[net]]+input_invoice[[#This Row],[tax_iva]]+input_invoice[[#This Row],[tax_irpf]],input_invoice[[#This Row],[net]])</f>
        <v>89.8</v>
      </c>
      <c r="H137" s="47">
        <f>input_invoice[[#This Row],[net]]*(MAX(input_invoice[[#This Row],[tax_rate_iva]],0)/100)</f>
        <v>0</v>
      </c>
      <c r="I137" s="47">
        <f>-input_invoice[[#This Row],[net]]*input_invoice[[#This Row],[tax_rate_irpf]]/100</f>
        <v>0</v>
      </c>
      <c r="J137" s="47">
        <v>89.8</v>
      </c>
      <c r="K137" t="str">
        <f t="shared" si="6"/>
        <v>administrative</v>
      </c>
      <c r="L137">
        <v>0</v>
      </c>
      <c r="N137" t="str">
        <f>VLOOKUP(input_invoice[[#This Row],[concept/supplier]],'sel-invoice'!D:E,2,0)</f>
        <v>regus</v>
      </c>
      <c r="O137" t="str">
        <f>VLOOKUP(input_invoice[[#This Row],[concept/supplier]],'sel-invoice'!D:F,3,0)</f>
        <v>Inc</v>
      </c>
      <c r="P137" t="str">
        <f>IF(input_invoice[[#This Row],[entity]]="SL","EUR",IF(input_invoice[[#This Row],[entity]]="Ltd","GBP",IF(input_invoice[[#This Row],[entity]]="Inc","USD","XXX")))</f>
        <v>USD</v>
      </c>
    </row>
    <row r="138" spans="1:19" hidden="1" x14ac:dyDescent="0.3">
      <c r="A138">
        <v>202505</v>
      </c>
      <c r="B138" s="22" t="s">
        <v>917</v>
      </c>
      <c r="C138" s="48" t="s">
        <v>333</v>
      </c>
      <c r="D138" s="43">
        <v>45778</v>
      </c>
      <c r="E138" s="43">
        <v>45809</v>
      </c>
      <c r="F138" t="s">
        <v>81</v>
      </c>
      <c r="G138" s="47">
        <f>MAX(+input_invoice[[#This Row],[net]]+input_invoice[[#This Row],[tax_iva]]+input_invoice[[#This Row],[tax_irpf]],input_invoice[[#This Row],[net]])</f>
        <v>95.59</v>
      </c>
      <c r="H138" s="47">
        <f>input_invoice[[#This Row],[net]]*(MAX(input_invoice[[#This Row],[tax_rate_iva]],0)/100)</f>
        <v>16.59</v>
      </c>
      <c r="I138" s="47">
        <f>-input_invoice[[#This Row],[net]]*input_invoice[[#This Row],[tax_rate_irpf]]/100</f>
        <v>0</v>
      </c>
      <c r="J138" s="47">
        <v>79</v>
      </c>
      <c r="K138" t="str">
        <f t="shared" si="6"/>
        <v>returns</v>
      </c>
      <c r="L138">
        <v>21</v>
      </c>
      <c r="N138" t="str">
        <f>VLOOKUP(input_invoice[[#This Row],[concept/supplier]],'sel-invoice'!D:E,2,0)</f>
        <v>rever</v>
      </c>
      <c r="O138" t="str">
        <f>VLOOKUP(input_invoice[[#This Row],[concept/supplier]],'sel-invoice'!D:F,3,0)</f>
        <v>SL</v>
      </c>
      <c r="P138" t="str">
        <f>IF(input_invoice[[#This Row],[entity]]="SL","EUR",IF(input_invoice[[#This Row],[entity]]="Ltd","GBP",IF(input_invoice[[#This Row],[entity]]="Inc","USD","XXX")))</f>
        <v>EUR</v>
      </c>
    </row>
    <row r="139" spans="1:19" hidden="1" x14ac:dyDescent="0.3">
      <c r="A139">
        <v>202506</v>
      </c>
      <c r="B139" s="22" t="s">
        <v>917</v>
      </c>
      <c r="C139" s="48" t="s">
        <v>339</v>
      </c>
      <c r="D139" s="43">
        <v>45809</v>
      </c>
      <c r="E139" s="43">
        <v>45809</v>
      </c>
      <c r="F139" t="s">
        <v>81</v>
      </c>
      <c r="G139" s="47">
        <f>MAX(+input_invoice[[#This Row],[net]]+input_invoice[[#This Row],[tax_iva]]+input_invoice[[#This Row],[tax_irpf]],input_invoice[[#This Row],[net]])</f>
        <v>45.907399999999996</v>
      </c>
      <c r="H139" s="47">
        <f>input_invoice[[#This Row],[net]]*(MAX(input_invoice[[#This Row],[tax_rate_iva]],0)/100)</f>
        <v>7.9673999999999996</v>
      </c>
      <c r="I139" s="47">
        <f>-input_invoice[[#This Row],[net]]*input_invoice[[#This Row],[tax_rate_irpf]]/100</f>
        <v>0</v>
      </c>
      <c r="J139" s="47">
        <v>37.94</v>
      </c>
      <c r="K139" t="str">
        <f t="shared" si="6"/>
        <v>returns</v>
      </c>
      <c r="L139">
        <v>21</v>
      </c>
      <c r="N139" t="str">
        <f>VLOOKUP(input_invoice[[#This Row],[concept/supplier]],'sel-invoice'!D:E,2,0)</f>
        <v>rever</v>
      </c>
      <c r="O139" t="str">
        <f>VLOOKUP(input_invoice[[#This Row],[concept/supplier]],'sel-invoice'!D:F,3,0)</f>
        <v>SL</v>
      </c>
      <c r="P139" t="str">
        <f>IF(input_invoice[[#This Row],[entity]]="SL","EUR",IF(input_invoice[[#This Row],[entity]]="Ltd","GBP",IF(input_invoice[[#This Row],[entity]]="Inc","USD","XXX")))</f>
        <v>EUR</v>
      </c>
    </row>
    <row r="140" spans="1:19" hidden="1" x14ac:dyDescent="0.3">
      <c r="A140">
        <v>202505</v>
      </c>
      <c r="B140" s="22" t="s">
        <v>917</v>
      </c>
      <c r="C140" s="48">
        <v>9438</v>
      </c>
      <c r="D140" s="43">
        <v>45779</v>
      </c>
      <c r="E140" s="43">
        <v>45779</v>
      </c>
      <c r="F140" t="s">
        <v>113</v>
      </c>
      <c r="G140" s="47">
        <f>MAX(+input_invoice[[#This Row],[net]]+input_invoice[[#This Row],[tax_iva]]+input_invoice[[#This Row],[tax_irpf]],input_invoice[[#This Row],[net]])</f>
        <v>18.149999999999999</v>
      </c>
      <c r="H140" s="47">
        <f>input_invoice[[#This Row],[net]]*(MAX(input_invoice[[#This Row],[tax_rate_iva]],0)/100)</f>
        <v>3.15</v>
      </c>
      <c r="I140" s="47">
        <f>-input_invoice[[#This Row],[net]]*input_invoice[[#This Row],[tax_rate_irpf]]/100</f>
        <v>0</v>
      </c>
      <c r="J140" s="47">
        <v>15</v>
      </c>
      <c r="K140" t="str">
        <f t="shared" si="6"/>
        <v>administrative</v>
      </c>
      <c r="L140">
        <v>21</v>
      </c>
      <c r="N140" t="str">
        <f>VLOOKUP(input_invoice[[#This Row],[concept/supplier]],'sel-invoice'!D:E,2,0)</f>
        <v>Torras y asociados</v>
      </c>
      <c r="O140" t="str">
        <f>VLOOKUP(input_invoice[[#This Row],[concept/supplier]],'sel-invoice'!D:F,3,0)</f>
        <v>SL</v>
      </c>
      <c r="P140" t="str">
        <f>IF(input_invoice[[#This Row],[entity]]="SL","EUR",IF(input_invoice[[#This Row],[entity]]="Ltd","GBP",IF(input_invoice[[#This Row],[entity]]="Inc","USD","XXX")))</f>
        <v>EUR</v>
      </c>
      <c r="R140" s="259" t="b">
        <v>1</v>
      </c>
    </row>
    <row r="141" spans="1:19" hidden="1" x14ac:dyDescent="0.3">
      <c r="A141">
        <v>202506</v>
      </c>
      <c r="B141" s="22" t="s">
        <v>917</v>
      </c>
      <c r="C141" s="48">
        <v>3771038476</v>
      </c>
      <c r="D141" s="94">
        <v>45812</v>
      </c>
      <c r="E141" s="94">
        <v>45812</v>
      </c>
      <c r="F141" t="s">
        <v>125</v>
      </c>
      <c r="G141" s="47">
        <f>MAX(+input_invoice[[#This Row],[net]]+input_invoice[[#This Row],[tax_iva]]+input_invoice[[#This Row],[tax_irpf]],input_invoice[[#This Row],[net]])</f>
        <v>15.947799999999999</v>
      </c>
      <c r="H141" s="47">
        <f>input_invoice[[#This Row],[net]]*(MAX(input_invoice[[#This Row],[tax_rate_iva]],0)/100)</f>
        <v>2.7677999999999998</v>
      </c>
      <c r="I141" s="47">
        <f>-input_invoice[[#This Row],[net]]*input_invoice[[#This Row],[tax_rate_irpf]]/100</f>
        <v>0</v>
      </c>
      <c r="J141" s="95">
        <v>13.18</v>
      </c>
      <c r="K141" t="str">
        <f t="shared" si="6"/>
        <v>it</v>
      </c>
      <c r="L141">
        <v>21</v>
      </c>
      <c r="N141" t="str">
        <f>VLOOKUP(input_invoice[[#This Row],[concept/supplier]],'sel-invoice'!D:E,2,0)</f>
        <v>Godaddy</v>
      </c>
      <c r="O141" t="str">
        <f>VLOOKUP(input_invoice[[#This Row],[concept/supplier]],'sel-invoice'!D:F,3,0)</f>
        <v>SL</v>
      </c>
      <c r="P141" t="str">
        <f>IF(input_invoice[[#This Row],[entity]]="SL","EUR",IF(input_invoice[[#This Row],[entity]]="Ltd","GBP",IF(input_invoice[[#This Row],[entity]]="Inc","USD","XXX")))</f>
        <v>EUR</v>
      </c>
    </row>
    <row r="142" spans="1:19" s="60" customFormat="1" hidden="1" x14ac:dyDescent="0.3">
      <c r="A142">
        <v>202506</v>
      </c>
      <c r="B142" s="22" t="s">
        <v>917</v>
      </c>
      <c r="C142" s="48">
        <v>3771038476</v>
      </c>
      <c r="D142" s="94">
        <v>45812</v>
      </c>
      <c r="E142" s="94">
        <v>45812</v>
      </c>
      <c r="F142" t="s">
        <v>125</v>
      </c>
      <c r="G142" s="47">
        <f>MAX(+input_invoice[[#This Row],[net]]+input_invoice[[#This Row],[tax_iva]]+input_invoice[[#This Row],[tax_irpf]],input_invoice[[#This Row],[net]])</f>
        <v>9.6678999999999995</v>
      </c>
      <c r="H142" s="47">
        <f>input_invoice[[#This Row],[net]]*(MAX(input_invoice[[#This Row],[tax_rate_iva]],0)/100)</f>
        <v>1.6778999999999999</v>
      </c>
      <c r="I142" s="47">
        <f>-input_invoice[[#This Row],[net]]*input_invoice[[#This Row],[tax_rate_irpf]]/100</f>
        <v>0</v>
      </c>
      <c r="J142" s="95">
        <v>7.99</v>
      </c>
      <c r="K142" t="str">
        <f t="shared" si="6"/>
        <v>it</v>
      </c>
      <c r="L142">
        <v>21</v>
      </c>
      <c r="M142"/>
      <c r="N142" t="str">
        <f>VLOOKUP(input_invoice[[#This Row],[concept/supplier]],'sel-invoice'!D:E,2,0)</f>
        <v>Godaddy</v>
      </c>
      <c r="O142" t="str">
        <f>VLOOKUP(input_invoice[[#This Row],[concept/supplier]],'sel-invoice'!D:F,3,0)</f>
        <v>SL</v>
      </c>
      <c r="P142" t="str">
        <f>IF(input_invoice[[#This Row],[entity]]="SL","EUR",IF(input_invoice[[#This Row],[entity]]="Ltd","GBP",IF(input_invoice[[#This Row],[entity]]="Inc","USD","XXX")))</f>
        <v>EUR</v>
      </c>
      <c r="Q142"/>
      <c r="R142"/>
    </row>
    <row r="143" spans="1:19" s="60" customFormat="1" hidden="1" x14ac:dyDescent="0.3">
      <c r="A143">
        <v>202505</v>
      </c>
      <c r="B143" s="22" t="s">
        <v>917</v>
      </c>
      <c r="C143">
        <v>363771322</v>
      </c>
      <c r="D143" s="43">
        <v>45786</v>
      </c>
      <c r="E143" s="43">
        <v>45786</v>
      </c>
      <c r="F143" t="s">
        <v>209</v>
      </c>
      <c r="G143" s="47">
        <f>MAX(+input_invoice[[#This Row],[net]]+input_invoice[[#This Row],[tax_iva]]+input_invoice[[#This Row],[tax_irpf]],input_invoice[[#This Row],[net]])</f>
        <v>112.47</v>
      </c>
      <c r="H143" s="47">
        <f>input_invoice[[#This Row],[net]]*(MAX(input_invoice[[#This Row],[tax_rate_iva]],0)/100)</f>
        <v>0</v>
      </c>
      <c r="I143" s="47">
        <f>-input_invoice[[#This Row],[net]]*input_invoice[[#This Row],[tax_rate_irpf]]/100</f>
        <v>0</v>
      </c>
      <c r="J143" s="47">
        <v>112.47</v>
      </c>
      <c r="K143" t="str">
        <f t="shared" si="6"/>
        <v>it</v>
      </c>
      <c r="L143">
        <v>0</v>
      </c>
      <c r="M143"/>
      <c r="N143" t="str">
        <f>VLOOKUP(input_invoice[[#This Row],[concept/supplier]],'sel-invoice'!D:E,2,0)</f>
        <v>Shopify</v>
      </c>
      <c r="O143" t="str">
        <f>VLOOKUP(input_invoice[[#This Row],[concept/supplier]],'sel-invoice'!D:F,3,0)</f>
        <v>Ltd</v>
      </c>
      <c r="P143" t="str">
        <f>IF(input_invoice[[#This Row],[entity]]="SL","EUR",IF(input_invoice[[#This Row],[entity]]="Ltd","GBP",IF(input_invoice[[#This Row],[entity]]="Inc","USD","XXX")))</f>
        <v>GBP</v>
      </c>
      <c r="Q143" s="182"/>
      <c r="R143" s="259" t="b">
        <v>1</v>
      </c>
      <c r="S143"/>
    </row>
    <row r="144" spans="1:19" hidden="1" x14ac:dyDescent="0.3">
      <c r="A144">
        <v>202506</v>
      </c>
      <c r="B144" s="22" t="s">
        <v>917</v>
      </c>
      <c r="C144" s="48" t="s">
        <v>337</v>
      </c>
      <c r="D144" s="43">
        <v>45813</v>
      </c>
      <c r="E144" s="43">
        <v>45819</v>
      </c>
      <c r="F144" t="s">
        <v>111</v>
      </c>
      <c r="G144" s="47">
        <f>MAX(+input_invoice[[#This Row],[net]]+input_invoice[[#This Row],[tax_iva]]+input_invoice[[#This Row],[tax_irpf]],input_invoice[[#This Row],[net]])</f>
        <v>888.87810000000002</v>
      </c>
      <c r="H144" s="47">
        <f>input_invoice[[#This Row],[net]]*(MAX(input_invoice[[#This Row],[tax_rate_iva]],0)/100)</f>
        <v>154.2681</v>
      </c>
      <c r="I144" s="47">
        <f>-input_invoice[[#This Row],[net]]*input_invoice[[#This Row],[tax_rate_irpf]]/100</f>
        <v>0</v>
      </c>
      <c r="J144" s="47">
        <v>734.61</v>
      </c>
      <c r="K144" t="str">
        <f t="shared" si="6"/>
        <v>administrative</v>
      </c>
      <c r="L144">
        <v>21</v>
      </c>
      <c r="N144" t="str">
        <f>VLOOKUP(input_invoice[[#This Row],[concept/supplier]],'sel-invoice'!D:E,2,0)</f>
        <v>Claris Gestio</v>
      </c>
      <c r="O144" t="str">
        <f>VLOOKUP(input_invoice[[#This Row],[concept/supplier]],'sel-invoice'!D:F,3,0)</f>
        <v>SL</v>
      </c>
      <c r="P144" t="str">
        <f>IF(input_invoice[[#This Row],[entity]]="SL","EUR",IF(input_invoice[[#This Row],[entity]]="Ltd","GBP",IF(input_invoice[[#This Row],[entity]]="Inc","USD","XXX")))</f>
        <v>EUR</v>
      </c>
    </row>
    <row r="145" spans="1:19" hidden="1" x14ac:dyDescent="0.3">
      <c r="A145">
        <v>202506</v>
      </c>
      <c r="B145" s="22" t="s">
        <v>917</v>
      </c>
      <c r="C145" s="48" t="s">
        <v>389</v>
      </c>
      <c r="D145" s="43">
        <v>45828</v>
      </c>
      <c r="E145" s="43">
        <v>45828</v>
      </c>
      <c r="F145" t="s">
        <v>387</v>
      </c>
      <c r="G145" s="47">
        <f>MAX(+input_invoice[[#This Row],[net]]+input_invoice[[#This Row],[tax_iva]]+input_invoice[[#This Row],[tax_irpf]],input_invoice[[#This Row],[net]])</f>
        <v>4.99</v>
      </c>
      <c r="H145" s="47">
        <f>input_invoice[[#This Row],[net]]*(MAX(input_invoice[[#This Row],[tax_rate_iva]],0)/100)</f>
        <v>0</v>
      </c>
      <c r="I145" s="47">
        <f>-input_invoice[[#This Row],[net]]*input_invoice[[#This Row],[tax_rate_irpf]]/100</f>
        <v>0</v>
      </c>
      <c r="J145" s="47">
        <v>4.99</v>
      </c>
      <c r="K145" t="str">
        <f t="shared" si="6"/>
        <v>it</v>
      </c>
      <c r="L145">
        <v>0</v>
      </c>
      <c r="N145" t="str">
        <f>VLOOKUP(input_invoice[[#This Row],[concept/supplier]],'sel-invoice'!D:E,2,0)</f>
        <v>hushed</v>
      </c>
      <c r="O145" t="str">
        <f>VLOOKUP(input_invoice[[#This Row],[concept/supplier]],'sel-invoice'!D:F,3,0)</f>
        <v>Inc</v>
      </c>
      <c r="P145" t="str">
        <f>IF(input_invoice[[#This Row],[entity]]="SL","EUR",IF(input_invoice[[#This Row],[entity]]="Ltd","GBP",IF(input_invoice[[#This Row],[entity]]="Inc","USD","XXX")))</f>
        <v>USD</v>
      </c>
    </row>
    <row r="146" spans="1:19" hidden="1" x14ac:dyDescent="0.3">
      <c r="A146">
        <v>202505</v>
      </c>
      <c r="B146" s="22" t="s">
        <v>917</v>
      </c>
      <c r="C146" s="48">
        <v>366834454</v>
      </c>
      <c r="D146" s="43" t="s">
        <v>331</v>
      </c>
      <c r="E146" s="43" t="s">
        <v>331</v>
      </c>
      <c r="F146" t="s">
        <v>122</v>
      </c>
      <c r="G146" s="47">
        <f>MAX(+input_invoice[[#This Row],[net]]+input_invoice[[#This Row],[tax_iva]]+input_invoice[[#This Row],[tax_irpf]],input_invoice[[#This Row],[net]])</f>
        <v>419.14</v>
      </c>
      <c r="H146" s="47">
        <f>input_invoice[[#This Row],[net]]*(MAX(input_invoice[[#This Row],[tax_rate_iva]],0)/100)</f>
        <v>0</v>
      </c>
      <c r="I146" s="47">
        <f>-input_invoice[[#This Row],[net]]*input_invoice[[#This Row],[tax_rate_irpf]]/100</f>
        <v>0</v>
      </c>
      <c r="J146" s="47">
        <v>419.14</v>
      </c>
      <c r="K146" t="str">
        <f t="shared" si="6"/>
        <v>it</v>
      </c>
      <c r="L146">
        <v>0</v>
      </c>
      <c r="N146" t="str">
        <f>VLOOKUP(input_invoice[[#This Row],[concept/supplier]],'sel-invoice'!D:E,2,0)</f>
        <v>Shopify</v>
      </c>
      <c r="O146" t="str">
        <f>VLOOKUP(input_invoice[[#This Row],[concept/supplier]],'sel-invoice'!D:F,3,0)</f>
        <v>SL</v>
      </c>
      <c r="P146" t="str">
        <f>IF(input_invoice[[#This Row],[entity]]="SL","EUR",IF(input_invoice[[#This Row],[entity]]="Ltd","GBP",IF(input_invoice[[#This Row],[entity]]="Inc","USD","XXX")))</f>
        <v>EUR</v>
      </c>
      <c r="R146" s="259" t="b">
        <v>1</v>
      </c>
    </row>
    <row r="147" spans="1:19" hidden="1" x14ac:dyDescent="0.3">
      <c r="A147">
        <v>202506</v>
      </c>
      <c r="B147" s="22" t="s">
        <v>917</v>
      </c>
      <c r="C147" s="65">
        <v>163427</v>
      </c>
      <c r="D147" s="94">
        <v>45836</v>
      </c>
      <c r="E147" s="94">
        <v>45836</v>
      </c>
      <c r="F147" t="s">
        <v>131</v>
      </c>
      <c r="G147" s="47">
        <f>MAX(+input_invoice[[#This Row],[net]]+input_invoice[[#This Row],[tax_iva]]+input_invoice[[#This Row],[tax_irpf]],input_invoice[[#This Row],[net]])</f>
        <v>39</v>
      </c>
      <c r="H147" s="47">
        <f>input_invoice[[#This Row],[net]]*(MAX(input_invoice[[#This Row],[tax_rate_iva]],0)/100)</f>
        <v>0</v>
      </c>
      <c r="I147" s="47">
        <f>-input_invoice[[#This Row],[net]]*input_invoice[[#This Row],[tax_rate_irpf]]/100</f>
        <v>0</v>
      </c>
      <c r="J147" s="47">
        <v>39</v>
      </c>
      <c r="K147" t="str">
        <f t="shared" si="6"/>
        <v>it</v>
      </c>
      <c r="L147">
        <v>0</v>
      </c>
      <c r="N147" t="str">
        <f>VLOOKUP(input_invoice[[#This Row],[concept/supplier]],'sel-invoice'!D:E,2,0)</f>
        <v>Product Hero</v>
      </c>
      <c r="O147" t="str">
        <f>VLOOKUP(input_invoice[[#This Row],[concept/supplier]],'sel-invoice'!D:F,3,0)</f>
        <v>SL</v>
      </c>
      <c r="P147" t="str">
        <f>IF(input_invoice[[#This Row],[entity]]="SL","EUR",IF(input_invoice[[#This Row],[entity]]="Ltd","GBP",IF(input_invoice[[#This Row],[entity]]="Inc","USD","XXX")))</f>
        <v>EUR</v>
      </c>
    </row>
    <row r="148" spans="1:19" hidden="1" x14ac:dyDescent="0.3">
      <c r="A148">
        <v>202506</v>
      </c>
      <c r="B148" s="22" t="s">
        <v>917</v>
      </c>
      <c r="C148" s="48" t="s">
        <v>340</v>
      </c>
      <c r="D148" s="43">
        <v>45836</v>
      </c>
      <c r="E148" s="43">
        <v>45836</v>
      </c>
      <c r="F148" t="s">
        <v>81</v>
      </c>
      <c r="G148" s="47">
        <f>MAX(+input_invoice[[#This Row],[net]]+input_invoice[[#This Row],[tax_iva]]+input_invoice[[#This Row],[tax_irpf]],input_invoice[[#This Row],[net]])</f>
        <v>95.59</v>
      </c>
      <c r="H148" s="47">
        <f>input_invoice[[#This Row],[net]]*(MAX(input_invoice[[#This Row],[tax_rate_iva]],0)/100)</f>
        <v>16.59</v>
      </c>
      <c r="I148" s="47">
        <f>-input_invoice[[#This Row],[net]]*input_invoice[[#This Row],[tax_rate_irpf]]/100</f>
        <v>0</v>
      </c>
      <c r="J148" s="47">
        <v>79</v>
      </c>
      <c r="K148" t="str">
        <f t="shared" si="6"/>
        <v>returns</v>
      </c>
      <c r="L148">
        <v>21</v>
      </c>
      <c r="N148" t="str">
        <f>VLOOKUP(input_invoice[[#This Row],[concept/supplier]],'sel-invoice'!D:E,2,0)</f>
        <v>rever</v>
      </c>
      <c r="O148" t="str">
        <f>VLOOKUP(input_invoice[[#This Row],[concept/supplier]],'sel-invoice'!D:F,3,0)</f>
        <v>SL</v>
      </c>
      <c r="P148" t="str">
        <f>IF(input_invoice[[#This Row],[entity]]="SL","EUR",IF(input_invoice[[#This Row],[entity]]="Ltd","GBP",IF(input_invoice[[#This Row],[entity]]="Inc","USD","XXX")))</f>
        <v>EUR</v>
      </c>
    </row>
    <row r="149" spans="1:19" hidden="1" x14ac:dyDescent="0.3">
      <c r="A149">
        <v>202506</v>
      </c>
      <c r="B149" s="22" t="s">
        <v>917</v>
      </c>
      <c r="C149" s="48" t="s">
        <v>383</v>
      </c>
      <c r="D149" s="43">
        <v>45838</v>
      </c>
      <c r="E149" s="43">
        <v>45838</v>
      </c>
      <c r="F149" t="s">
        <v>210</v>
      </c>
      <c r="G149" s="47">
        <f>MAX(+input_invoice[[#This Row],[net]]+input_invoice[[#This Row],[tax_iva]]+input_invoice[[#This Row],[tax_irpf]],input_invoice[[#This Row],[net]])</f>
        <v>33.36</v>
      </c>
      <c r="H149" s="47">
        <f>input_invoice[[#This Row],[net]]*(MAX(input_invoice[[#This Row],[tax_rate_iva]],0)/100)</f>
        <v>0</v>
      </c>
      <c r="I149" s="47">
        <f>-input_invoice[[#This Row],[net]]*input_invoice[[#This Row],[tax_rate_irpf]]/100</f>
        <v>0</v>
      </c>
      <c r="J149" s="47">
        <v>33.36</v>
      </c>
      <c r="K149" t="str">
        <f t="shared" si="6"/>
        <v>it</v>
      </c>
      <c r="L149">
        <v>0</v>
      </c>
      <c r="N149" t="str">
        <f>VLOOKUP(input_invoice[[#This Row],[concept/supplier]],'sel-invoice'!D:E,2,0)</f>
        <v>Amazon Subscription</v>
      </c>
      <c r="O149" t="str">
        <f>VLOOKUP(input_invoice[[#This Row],[concept/supplier]],'sel-invoice'!D:F,3,0)</f>
        <v>Ltd</v>
      </c>
      <c r="P149" t="str">
        <f>IF(input_invoice[[#This Row],[entity]]="SL","EUR",IF(input_invoice[[#This Row],[entity]]="Ltd","GBP",IF(input_invoice[[#This Row],[entity]]="Inc","USD","XXX")))</f>
        <v>GBP</v>
      </c>
    </row>
    <row r="150" spans="1:19" hidden="1" x14ac:dyDescent="0.3">
      <c r="A150">
        <v>202506</v>
      </c>
      <c r="B150" s="22" t="s">
        <v>917</v>
      </c>
      <c r="C150" s="48" t="s">
        <v>341</v>
      </c>
      <c r="D150" s="43">
        <v>45838</v>
      </c>
      <c r="E150" s="43">
        <v>45838</v>
      </c>
      <c r="F150" t="s">
        <v>117</v>
      </c>
      <c r="G150" s="47">
        <f>MAX(+input_invoice[[#This Row],[net]]+input_invoice[[#This Row],[tax_iva]]+input_invoice[[#This Row],[tax_irpf]],input_invoice[[#This Row],[net]])</f>
        <v>89.8</v>
      </c>
      <c r="H150" s="47">
        <f>input_invoice[[#This Row],[net]]*(MAX(input_invoice[[#This Row],[tax_rate_iva]],0)/100)</f>
        <v>0</v>
      </c>
      <c r="I150" s="47">
        <f>-input_invoice[[#This Row],[net]]*input_invoice[[#This Row],[tax_rate_irpf]]/100</f>
        <v>0</v>
      </c>
      <c r="J150" s="47">
        <v>89.8</v>
      </c>
      <c r="K150" t="str">
        <f t="shared" si="6"/>
        <v>administrative</v>
      </c>
      <c r="L150">
        <v>0</v>
      </c>
      <c r="N150" t="str">
        <f>VLOOKUP(input_invoice[[#This Row],[concept/supplier]],'sel-invoice'!D:E,2,0)</f>
        <v>regus</v>
      </c>
      <c r="O150" t="str">
        <f>VLOOKUP(input_invoice[[#This Row],[concept/supplier]],'sel-invoice'!D:F,3,0)</f>
        <v>Inc</v>
      </c>
      <c r="P150" t="str">
        <f>IF(input_invoice[[#This Row],[entity]]="SL","EUR",IF(input_invoice[[#This Row],[entity]]="Ltd","GBP",IF(input_invoice[[#This Row],[entity]]="Inc","USD","XXX")))</f>
        <v>USD</v>
      </c>
    </row>
    <row r="151" spans="1:19" s="60" customFormat="1" hidden="1" x14ac:dyDescent="0.3">
      <c r="A151">
        <v>202507</v>
      </c>
      <c r="B151" s="22" t="s">
        <v>917</v>
      </c>
      <c r="C151" s="48" t="s">
        <v>345</v>
      </c>
      <c r="D151" s="43">
        <v>45840</v>
      </c>
      <c r="E151" s="43">
        <v>45840</v>
      </c>
      <c r="F151" t="s">
        <v>81</v>
      </c>
      <c r="G151" s="47">
        <f>MAX(+input_invoice[[#This Row],[net]]+input_invoice[[#This Row],[tax_iva]]+input_invoice[[#This Row],[tax_irpf]],input_invoice[[#This Row],[net]])</f>
        <v>234.09870000000001</v>
      </c>
      <c r="H151" s="47">
        <f>input_invoice[[#This Row],[net]]*(MAX(input_invoice[[#This Row],[tax_rate_iva]],0)/100)</f>
        <v>40.628699999999995</v>
      </c>
      <c r="I151" s="47">
        <f>-input_invoice[[#This Row],[net]]*input_invoice[[#This Row],[tax_rate_irpf]]/100</f>
        <v>0</v>
      </c>
      <c r="J151">
        <v>193.47</v>
      </c>
      <c r="K151" t="str">
        <f t="shared" si="6"/>
        <v>returns</v>
      </c>
      <c r="L151">
        <v>21</v>
      </c>
      <c r="M151"/>
      <c r="N151" t="str">
        <f>VLOOKUP(input_invoice[[#This Row],[concept/supplier]],'sel-invoice'!D:E,2,0)</f>
        <v>rever</v>
      </c>
      <c r="O151" t="str">
        <f>VLOOKUP(input_invoice[[#This Row],[concept/supplier]],'sel-invoice'!D:F,3,0)</f>
        <v>SL</v>
      </c>
      <c r="P151" t="str">
        <f>IF(input_invoice[[#This Row],[entity]]="SL","EUR",IF(input_invoice[[#This Row],[entity]]="Ltd","GBP",IF(input_invoice[[#This Row],[entity]]="Inc","USD","XXX")))</f>
        <v>EUR</v>
      </c>
      <c r="Q151"/>
      <c r="R151"/>
    </row>
    <row r="152" spans="1:19" s="60" customFormat="1" hidden="1" x14ac:dyDescent="0.3">
      <c r="A152">
        <v>202507</v>
      </c>
      <c r="B152" s="22" t="s">
        <v>917</v>
      </c>
      <c r="C152" s="48" t="s">
        <v>347</v>
      </c>
      <c r="D152" s="43">
        <v>45840</v>
      </c>
      <c r="E152" s="43">
        <v>45840</v>
      </c>
      <c r="F152" t="s">
        <v>81</v>
      </c>
      <c r="G152" s="47">
        <f>MAX(+input_invoice[[#This Row],[net]]+input_invoice[[#This Row],[tax_iva]]+input_invoice[[#This Row],[tax_irpf]],input_invoice[[#This Row],[net]])</f>
        <v>234.09870000000001</v>
      </c>
      <c r="H152" s="47">
        <f>input_invoice[[#This Row],[net]]*(MAX(input_invoice[[#This Row],[tax_rate_iva]],0)/100)</f>
        <v>40.628699999999995</v>
      </c>
      <c r="I152" s="47">
        <f>-input_invoice[[#This Row],[net]]*input_invoice[[#This Row],[tax_rate_irpf]]/100</f>
        <v>0</v>
      </c>
      <c r="J152" s="47">
        <v>193.47</v>
      </c>
      <c r="K152" t="str">
        <f t="shared" si="6"/>
        <v>returns</v>
      </c>
      <c r="L152">
        <v>21</v>
      </c>
      <c r="M152"/>
      <c r="N152" t="str">
        <f>VLOOKUP(input_invoice[[#This Row],[concept/supplier]],'sel-invoice'!D:E,2,0)</f>
        <v>rever</v>
      </c>
      <c r="O152" t="str">
        <f>VLOOKUP(input_invoice[[#This Row],[concept/supplier]],'sel-invoice'!D:F,3,0)</f>
        <v>SL</v>
      </c>
      <c r="P152" t="str">
        <f>IF(input_invoice[[#This Row],[entity]]="SL","EUR",IF(input_invoice[[#This Row],[entity]]="Ltd","GBP",IF(input_invoice[[#This Row],[entity]]="Inc","USD","XXX")))</f>
        <v>EUR</v>
      </c>
      <c r="Q152"/>
      <c r="R152"/>
    </row>
    <row r="153" spans="1:19" s="60" customFormat="1" hidden="1" x14ac:dyDescent="0.3">
      <c r="A153">
        <v>202506</v>
      </c>
      <c r="B153" s="22" t="s">
        <v>917</v>
      </c>
      <c r="C153" s="64" t="s">
        <v>338</v>
      </c>
      <c r="D153" s="43">
        <v>45810</v>
      </c>
      <c r="E153" s="43">
        <v>45810</v>
      </c>
      <c r="F153" t="s">
        <v>113</v>
      </c>
      <c r="G153" s="47">
        <f>MAX(+input_invoice[[#This Row],[net]]+input_invoice[[#This Row],[tax_iva]]+input_invoice[[#This Row],[tax_irpf]],input_invoice[[#This Row],[net]])</f>
        <v>18.149999999999999</v>
      </c>
      <c r="H153" s="47">
        <f>input_invoice[[#This Row],[net]]*(MAX(input_invoice[[#This Row],[tax_rate_iva]],0)/100)</f>
        <v>3.15</v>
      </c>
      <c r="I153" s="47">
        <f>-input_invoice[[#This Row],[net]]*input_invoice[[#This Row],[tax_rate_irpf]]/100</f>
        <v>0</v>
      </c>
      <c r="J153" s="47">
        <v>15</v>
      </c>
      <c r="K153" t="str">
        <f t="shared" si="6"/>
        <v>administrative</v>
      </c>
      <c r="L153">
        <v>21</v>
      </c>
      <c r="M153"/>
      <c r="N153" t="str">
        <f>VLOOKUP(input_invoice[[#This Row],[concept/supplier]],'sel-invoice'!D:E,2,0)</f>
        <v>Torras y asociados</v>
      </c>
      <c r="O153" t="str">
        <f>VLOOKUP(input_invoice[[#This Row],[concept/supplier]],'sel-invoice'!D:F,3,0)</f>
        <v>SL</v>
      </c>
      <c r="P153" t="str">
        <f>IF(input_invoice[[#This Row],[entity]]="SL","EUR",IF(input_invoice[[#This Row],[entity]]="Ltd","GBP",IF(input_invoice[[#This Row],[entity]]="Inc","USD","XXX")))</f>
        <v>EUR</v>
      </c>
      <c r="Q153"/>
      <c r="R153" s="259" t="b">
        <v>1</v>
      </c>
      <c r="S153"/>
    </row>
    <row r="154" spans="1:19" s="60" customFormat="1" hidden="1" x14ac:dyDescent="0.3">
      <c r="A154">
        <v>202507</v>
      </c>
      <c r="B154" s="22" t="s">
        <v>917</v>
      </c>
      <c r="C154" s="48" t="s">
        <v>342</v>
      </c>
      <c r="D154" s="43">
        <v>45842</v>
      </c>
      <c r="E154" s="43">
        <v>45847</v>
      </c>
      <c r="F154" t="s">
        <v>111</v>
      </c>
      <c r="G154" s="47">
        <f>MAX(+input_invoice[[#This Row],[net]]+input_invoice[[#This Row],[tax_iva]]+input_invoice[[#This Row],[tax_irpf]],input_invoice[[#This Row],[net]])</f>
        <v>888.87810000000002</v>
      </c>
      <c r="H154" s="47">
        <f>input_invoice[[#This Row],[net]]*(MAX(input_invoice[[#This Row],[tax_rate_iva]],0)/100)</f>
        <v>154.2681</v>
      </c>
      <c r="I154" s="47">
        <f>-input_invoice[[#This Row],[net]]*input_invoice[[#This Row],[tax_rate_irpf]]/100</f>
        <v>0</v>
      </c>
      <c r="J154" s="47">
        <v>734.61</v>
      </c>
      <c r="K154" t="str">
        <f t="shared" si="6"/>
        <v>administrative</v>
      </c>
      <c r="L154">
        <v>21</v>
      </c>
      <c r="M154"/>
      <c r="N154" t="str">
        <f>VLOOKUP(input_invoice[[#This Row],[concept/supplier]],'sel-invoice'!D:E,2,0)</f>
        <v>Claris Gestio</v>
      </c>
      <c r="O154" t="str">
        <f>VLOOKUP(input_invoice[[#This Row],[concept/supplier]],'sel-invoice'!D:F,3,0)</f>
        <v>SL</v>
      </c>
      <c r="P154" t="str">
        <f>IF(input_invoice[[#This Row],[entity]]="SL","EUR",IF(input_invoice[[#This Row],[entity]]="Ltd","GBP",IF(input_invoice[[#This Row],[entity]]="Inc","USD","XXX")))</f>
        <v>EUR</v>
      </c>
      <c r="Q154"/>
      <c r="R154"/>
    </row>
    <row r="155" spans="1:19" hidden="1" x14ac:dyDescent="0.3">
      <c r="A155">
        <v>202507</v>
      </c>
      <c r="B155" s="22" t="s">
        <v>917</v>
      </c>
      <c r="C155" s="65" t="s">
        <v>360</v>
      </c>
      <c r="D155" s="94">
        <v>45851</v>
      </c>
      <c r="E155" s="94">
        <v>45851</v>
      </c>
      <c r="F155" t="s">
        <v>129</v>
      </c>
      <c r="G155" s="47">
        <f>MAX(+input_invoice[[#This Row],[net]]+input_invoice[[#This Row],[tax_iva]]+input_invoice[[#This Row],[tax_irpf]],input_invoice[[#This Row],[net]])</f>
        <v>23.716000000000001</v>
      </c>
      <c r="H155" s="47">
        <f>input_invoice[[#This Row],[net]]*(MAX(input_invoice[[#This Row],[tax_rate_iva]],0)/100)</f>
        <v>4.1160000000000005</v>
      </c>
      <c r="I155" s="47">
        <f>-input_invoice[[#This Row],[net]]*input_invoice[[#This Row],[tax_rate_irpf]]/100</f>
        <v>0</v>
      </c>
      <c r="J155" s="96">
        <v>19.600000000000001</v>
      </c>
      <c r="K155" t="str">
        <f t="shared" si="6"/>
        <v>it</v>
      </c>
      <c r="L155">
        <v>21</v>
      </c>
      <c r="N155" t="str">
        <f>VLOOKUP(input_invoice[[#This Row],[concept/supplier]],'sel-invoice'!D:E,2,0)</f>
        <v>Microsoft</v>
      </c>
      <c r="O155" t="str">
        <f>VLOOKUP(input_invoice[[#This Row],[concept/supplier]],'sel-invoice'!D:F,3,0)</f>
        <v>SL</v>
      </c>
      <c r="P155" t="str">
        <f>IF(input_invoice[[#This Row],[entity]]="SL","EUR",IF(input_invoice[[#This Row],[entity]]="Ltd","GBP",IF(input_invoice[[#This Row],[entity]]="Inc","USD","XXX")))</f>
        <v>EUR</v>
      </c>
    </row>
    <row r="156" spans="1:19" hidden="1" x14ac:dyDescent="0.3">
      <c r="A156">
        <v>202507</v>
      </c>
      <c r="B156" s="22" t="s">
        <v>917</v>
      </c>
      <c r="C156" s="48" t="s">
        <v>353</v>
      </c>
      <c r="D156" s="43">
        <v>45853</v>
      </c>
      <c r="E156" s="43">
        <v>45853</v>
      </c>
      <c r="F156" t="s">
        <v>354</v>
      </c>
      <c r="G156" s="47">
        <f>MAX(+input_invoice[[#This Row],[net]]+input_invoice[[#This Row],[tax_iva]]+input_invoice[[#This Row],[tax_irpf]],input_invoice[[#This Row],[net]])</f>
        <v>34.799999999999997</v>
      </c>
      <c r="H156" s="47">
        <f>input_invoice[[#This Row],[net]]*(MAX(input_invoice[[#This Row],[tax_rate_iva]],0)/100)</f>
        <v>0</v>
      </c>
      <c r="I156" s="47">
        <f>-input_invoice[[#This Row],[net]]*input_invoice[[#This Row],[tax_rate_irpf]]/100</f>
        <v>0</v>
      </c>
      <c r="J156" s="47">
        <v>34.799999999999997</v>
      </c>
      <c r="K156" t="str">
        <f t="shared" si="6"/>
        <v>it</v>
      </c>
      <c r="L156">
        <v>0</v>
      </c>
      <c r="N156" t="str">
        <f>VLOOKUP(input_invoice[[#This Row],[concept/supplier]],'sel-invoice'!D:E,2,0)</f>
        <v>lingpad</v>
      </c>
      <c r="O156" t="str">
        <f>VLOOKUP(input_invoice[[#This Row],[concept/supplier]],'sel-invoice'!D:F,3,0)</f>
        <v>SL</v>
      </c>
      <c r="P156" t="str">
        <f>IF(input_invoice[[#This Row],[entity]]="SL","EUR",IF(input_invoice[[#This Row],[entity]]="Ltd","GBP",IF(input_invoice[[#This Row],[entity]]="Inc","USD","XXX")))</f>
        <v>EUR</v>
      </c>
      <c r="Q156" s="199" t="s">
        <v>926</v>
      </c>
      <c r="R156" s="259" t="b">
        <v>1</v>
      </c>
    </row>
    <row r="157" spans="1:19" hidden="1" x14ac:dyDescent="0.3">
      <c r="A157">
        <v>202507</v>
      </c>
      <c r="B157" s="22" t="s">
        <v>917</v>
      </c>
      <c r="C157" s="65" t="s">
        <v>343</v>
      </c>
      <c r="D157" s="43">
        <v>45853</v>
      </c>
      <c r="E157" s="43">
        <v>45853</v>
      </c>
      <c r="F157" t="s">
        <v>119</v>
      </c>
      <c r="G157" s="47">
        <f>MAX(+input_invoice[[#This Row],[net]]+input_invoice[[#This Row],[tax_iva]]+input_invoice[[#This Row],[tax_irpf]],input_invoice[[#This Row],[net]])</f>
        <v>160.5</v>
      </c>
      <c r="H157" s="47">
        <f>input_invoice[[#This Row],[net]]*(MAX(input_invoice[[#This Row],[tax_rate_iva]],0)/100)</f>
        <v>10.500000000000002</v>
      </c>
      <c r="I157" s="47">
        <f>-input_invoice[[#This Row],[net]]*input_invoice[[#This Row],[tax_rate_irpf]]/100</f>
        <v>0</v>
      </c>
      <c r="J157" s="47">
        <v>150</v>
      </c>
      <c r="K157" t="str">
        <f t="shared" si="6"/>
        <v>administrative</v>
      </c>
      <c r="L157">
        <v>7</v>
      </c>
      <c r="N157" t="str">
        <f>VLOOKUP(input_invoice[[#This Row],[concept/supplier]],'sel-invoice'!D:E,2,0)</f>
        <v>otros</v>
      </c>
      <c r="O157" t="str">
        <f>VLOOKUP(input_invoice[[#This Row],[concept/supplier]],'sel-invoice'!D:F,3,0)</f>
        <v>SL</v>
      </c>
      <c r="P157" t="str">
        <f>IF(input_invoice[[#This Row],[entity]]="SL","EUR",IF(input_invoice[[#This Row],[entity]]="Ltd","GBP",IF(input_invoice[[#This Row],[entity]]="Inc","USD","XXX")))</f>
        <v>EUR</v>
      </c>
    </row>
    <row r="158" spans="1:19" hidden="1" x14ac:dyDescent="0.3">
      <c r="A158">
        <v>202507</v>
      </c>
      <c r="B158" s="22" t="s">
        <v>917</v>
      </c>
      <c r="C158" s="48" t="s">
        <v>355</v>
      </c>
      <c r="D158" s="43">
        <v>45855</v>
      </c>
      <c r="E158" s="43">
        <v>45855</v>
      </c>
      <c r="F158" t="s">
        <v>354</v>
      </c>
      <c r="G158" s="47">
        <f>MAX(+input_invoice[[#This Row],[net]]+input_invoice[[#This Row],[tax_iva]]+input_invoice[[#This Row],[tax_irpf]],input_invoice[[#This Row],[net]])</f>
        <v>67.430000000000007</v>
      </c>
      <c r="H158" s="47">
        <f>input_invoice[[#This Row],[net]]*(MAX(input_invoice[[#This Row],[tax_rate_iva]],0)/100)</f>
        <v>0</v>
      </c>
      <c r="I158" s="47">
        <f>-input_invoice[[#This Row],[net]]*input_invoice[[#This Row],[tax_rate_irpf]]/100</f>
        <v>0</v>
      </c>
      <c r="J158" s="47">
        <v>67.430000000000007</v>
      </c>
      <c r="K158" t="str">
        <f t="shared" si="6"/>
        <v>it</v>
      </c>
      <c r="L158">
        <v>0</v>
      </c>
      <c r="N158" t="str">
        <f>VLOOKUP(input_invoice[[#This Row],[concept/supplier]],'sel-invoice'!D:E,2,0)</f>
        <v>lingpad</v>
      </c>
      <c r="O158" t="str">
        <f>VLOOKUP(input_invoice[[#This Row],[concept/supplier]],'sel-invoice'!D:F,3,0)</f>
        <v>SL</v>
      </c>
      <c r="P158" t="str">
        <f>IF(input_invoice[[#This Row],[entity]]="SL","EUR",IF(input_invoice[[#This Row],[entity]]="Ltd","GBP",IF(input_invoice[[#This Row],[entity]]="Inc","USD","XXX")))</f>
        <v>EUR</v>
      </c>
      <c r="Q158" s="199" t="s">
        <v>926</v>
      </c>
      <c r="R158" s="259" t="b">
        <v>1</v>
      </c>
    </row>
    <row r="159" spans="1:19" hidden="1" x14ac:dyDescent="0.3">
      <c r="A159">
        <v>202507</v>
      </c>
      <c r="B159" s="22" t="s">
        <v>917</v>
      </c>
      <c r="C159" s="65" t="s">
        <v>361</v>
      </c>
      <c r="D159" s="94">
        <v>45856</v>
      </c>
      <c r="E159" s="94">
        <v>45856</v>
      </c>
      <c r="F159" t="s">
        <v>135</v>
      </c>
      <c r="G159" s="47">
        <f>MAX(+input_invoice[[#This Row],[net]]+input_invoice[[#This Row],[tax_iva]]+input_invoice[[#This Row],[tax_irpf]],input_invoice[[#This Row],[net]])</f>
        <v>20.399999999999999</v>
      </c>
      <c r="H159" s="47">
        <f>input_invoice[[#This Row],[net]]*(MAX(input_invoice[[#This Row],[tax_rate_iva]],0)/100)</f>
        <v>0</v>
      </c>
      <c r="I159" s="47">
        <f>-input_invoice[[#This Row],[net]]*input_invoice[[#This Row],[tax_rate_irpf]]/100</f>
        <v>0</v>
      </c>
      <c r="J159" s="47">
        <v>20.399999999999999</v>
      </c>
      <c r="K159" t="str">
        <f t="shared" si="6"/>
        <v>it</v>
      </c>
      <c r="L159">
        <v>0</v>
      </c>
      <c r="N159" t="str">
        <f>VLOOKUP(input_invoice[[#This Row],[concept/supplier]],'sel-invoice'!D:E,2,0)</f>
        <v>Geotargetly</v>
      </c>
      <c r="O159" t="str">
        <f>VLOOKUP(input_invoice[[#This Row],[concept/supplier]],'sel-invoice'!D:F,3,0)</f>
        <v>SL</v>
      </c>
      <c r="P159" t="str">
        <f>IF(input_invoice[[#This Row],[entity]]="SL","EUR",IF(input_invoice[[#This Row],[entity]]="Ltd","GBP",IF(input_invoice[[#This Row],[entity]]="Inc","USD","XXX")))</f>
        <v>EUR</v>
      </c>
    </row>
    <row r="160" spans="1:19" hidden="1" x14ac:dyDescent="0.3">
      <c r="A160">
        <v>202507</v>
      </c>
      <c r="B160" s="22" t="s">
        <v>917</v>
      </c>
      <c r="C160" s="65" t="s">
        <v>359</v>
      </c>
      <c r="D160" s="94">
        <v>45856</v>
      </c>
      <c r="E160" s="94">
        <v>45856</v>
      </c>
      <c r="F160" t="s">
        <v>129</v>
      </c>
      <c r="G160" s="47">
        <f>MAX(+input_invoice[[#This Row],[net]]+input_invoice[[#This Row],[tax_iva]]+input_invoice[[#This Row],[tax_irpf]],input_invoice[[#This Row],[net]])</f>
        <v>34.122</v>
      </c>
      <c r="H160" s="47">
        <f>input_invoice[[#This Row],[net]]*(MAX(input_invoice[[#This Row],[tax_rate_iva]],0)/100)</f>
        <v>5.9219999999999997</v>
      </c>
      <c r="I160" s="47">
        <f>-input_invoice[[#This Row],[net]]*input_invoice[[#This Row],[tax_rate_irpf]]/100</f>
        <v>0</v>
      </c>
      <c r="J160" s="96">
        <v>28.2</v>
      </c>
      <c r="K160" t="str">
        <f t="shared" si="6"/>
        <v>it</v>
      </c>
      <c r="L160">
        <v>21</v>
      </c>
      <c r="N160" t="str">
        <f>VLOOKUP(input_invoice[[#This Row],[concept/supplier]],'sel-invoice'!D:E,2,0)</f>
        <v>Microsoft</v>
      </c>
      <c r="O160" t="str">
        <f>VLOOKUP(input_invoice[[#This Row],[concept/supplier]],'sel-invoice'!D:F,3,0)</f>
        <v>SL</v>
      </c>
      <c r="P160" t="str">
        <f>IF(input_invoice[[#This Row],[entity]]="SL","EUR",IF(input_invoice[[#This Row],[entity]]="Ltd","GBP",IF(input_invoice[[#This Row],[entity]]="Inc","USD","XXX")))</f>
        <v>EUR</v>
      </c>
    </row>
    <row r="161" spans="1:18" hidden="1" x14ac:dyDescent="0.3">
      <c r="A161">
        <v>202507</v>
      </c>
      <c r="B161" s="22" t="s">
        <v>917</v>
      </c>
      <c r="C161" s="48">
        <v>3171547316</v>
      </c>
      <c r="D161" s="43">
        <v>45866</v>
      </c>
      <c r="E161" s="43">
        <v>45866</v>
      </c>
      <c r="F161" t="s">
        <v>150</v>
      </c>
      <c r="G161" s="47">
        <f>MAX(+input_invoice[[#This Row],[net]]+input_invoice[[#This Row],[tax_iva]]+input_invoice[[#This Row],[tax_irpf]],input_invoice[[#This Row],[net]])</f>
        <v>33.49</v>
      </c>
      <c r="H161" s="47">
        <f>input_invoice[[#This Row],[net]]*(MAX(input_invoice[[#This Row],[tax_rate_iva]],0)/100)</f>
        <v>0</v>
      </c>
      <c r="I161" s="47">
        <f>-input_invoice[[#This Row],[net]]*input_invoice[[#This Row],[tax_rate_irpf]]/100</f>
        <v>0</v>
      </c>
      <c r="J161" s="47">
        <v>33.49</v>
      </c>
      <c r="K161" t="str">
        <f t="shared" si="6"/>
        <v>it</v>
      </c>
      <c r="L161">
        <v>0</v>
      </c>
      <c r="N161" t="str">
        <f>VLOOKUP(input_invoice[[#This Row],[concept/supplier]],'sel-invoice'!D:E,2,0)</f>
        <v>adobe</v>
      </c>
      <c r="O161" t="str">
        <f>VLOOKUP(input_invoice[[#This Row],[concept/supplier]],'sel-invoice'!D:F,3,0)</f>
        <v>SL</v>
      </c>
      <c r="P161" t="str">
        <f>IF(input_invoice[[#This Row],[entity]]="SL","EUR",IF(input_invoice[[#This Row],[entity]]="Ltd","GBP",IF(input_invoice[[#This Row],[entity]]="Inc","USD","XXX")))</f>
        <v>EUR</v>
      </c>
    </row>
    <row r="162" spans="1:18" hidden="1" x14ac:dyDescent="0.3">
      <c r="A162">
        <v>202507</v>
      </c>
      <c r="B162" s="22" t="s">
        <v>917</v>
      </c>
      <c r="C162" s="48" t="s">
        <v>346</v>
      </c>
      <c r="D162" s="43">
        <v>45866</v>
      </c>
      <c r="E162" s="43">
        <v>45866</v>
      </c>
      <c r="F162" t="s">
        <v>81</v>
      </c>
      <c r="G162" s="47">
        <f>MAX(+input_invoice[[#This Row],[net]]+input_invoice[[#This Row],[tax_iva]]+input_invoice[[#This Row],[tax_irpf]],input_invoice[[#This Row],[net]])</f>
        <v>95.59</v>
      </c>
      <c r="H162" s="47">
        <f>input_invoice[[#This Row],[net]]*(MAX(input_invoice[[#This Row],[tax_rate_iva]],0)/100)</f>
        <v>16.59</v>
      </c>
      <c r="I162" s="47">
        <f>-input_invoice[[#This Row],[net]]*input_invoice[[#This Row],[tax_rate_irpf]]/100</f>
        <v>0</v>
      </c>
      <c r="J162" s="47">
        <v>79</v>
      </c>
      <c r="K162" t="str">
        <f t="shared" si="6"/>
        <v>returns</v>
      </c>
      <c r="L162">
        <v>21</v>
      </c>
      <c r="N162" t="str">
        <f>VLOOKUP(input_invoice[[#This Row],[concept/supplier]],'sel-invoice'!D:E,2,0)</f>
        <v>rever</v>
      </c>
      <c r="O162" t="str">
        <f>VLOOKUP(input_invoice[[#This Row],[concept/supplier]],'sel-invoice'!D:F,3,0)</f>
        <v>SL</v>
      </c>
      <c r="P162" t="str">
        <f>IF(input_invoice[[#This Row],[entity]]="SL","EUR",IF(input_invoice[[#This Row],[entity]]="Ltd","GBP",IF(input_invoice[[#This Row],[entity]]="Inc","USD","XXX")))</f>
        <v>EUR</v>
      </c>
    </row>
    <row r="163" spans="1:18" hidden="1" x14ac:dyDescent="0.3">
      <c r="A163">
        <v>202507</v>
      </c>
      <c r="B163" s="22" t="s">
        <v>917</v>
      </c>
      <c r="C163" s="48" t="s">
        <v>384</v>
      </c>
      <c r="D163" s="43">
        <v>45869</v>
      </c>
      <c r="E163" s="43">
        <v>45869</v>
      </c>
      <c r="F163" t="s">
        <v>210</v>
      </c>
      <c r="G163" s="47">
        <f>MAX(+input_invoice[[#This Row],[net]]+input_invoice[[#This Row],[tax_iva]]+input_invoice[[#This Row],[tax_irpf]],input_invoice[[#This Row],[net]])</f>
        <v>33.729999999999997</v>
      </c>
      <c r="H163" s="47">
        <f>input_invoice[[#This Row],[net]]*(MAX(input_invoice[[#This Row],[tax_rate_iva]],0)/100)</f>
        <v>0</v>
      </c>
      <c r="I163" s="47">
        <f>-input_invoice[[#This Row],[net]]*input_invoice[[#This Row],[tax_rate_irpf]]/100</f>
        <v>0</v>
      </c>
      <c r="J163" s="47">
        <v>33.729999999999997</v>
      </c>
      <c r="K163" t="str">
        <f t="shared" si="6"/>
        <v>it</v>
      </c>
      <c r="L163">
        <v>0</v>
      </c>
      <c r="N163" t="str">
        <f>VLOOKUP(input_invoice[[#This Row],[concept/supplier]],'sel-invoice'!D:E,2,0)</f>
        <v>Amazon Subscription</v>
      </c>
      <c r="O163" t="str">
        <f>VLOOKUP(input_invoice[[#This Row],[concept/supplier]],'sel-invoice'!D:F,3,0)</f>
        <v>Ltd</v>
      </c>
      <c r="P163" t="str">
        <f>IF(input_invoice[[#This Row],[entity]]="SL","EUR",IF(input_invoice[[#This Row],[entity]]="Ltd","GBP",IF(input_invoice[[#This Row],[entity]]="Inc","USD","XXX")))</f>
        <v>GBP</v>
      </c>
    </row>
    <row r="164" spans="1:18" hidden="1" x14ac:dyDescent="0.3">
      <c r="A164">
        <v>202507</v>
      </c>
      <c r="B164" s="22" t="s">
        <v>917</v>
      </c>
      <c r="C164" s="65">
        <v>5317158110</v>
      </c>
      <c r="D164" s="94">
        <v>45869</v>
      </c>
      <c r="E164" s="94">
        <v>45869</v>
      </c>
      <c r="F164" t="s">
        <v>133</v>
      </c>
      <c r="G164" s="47">
        <f>MAX(+input_invoice[[#This Row],[net]]+input_invoice[[#This Row],[tax_iva]]+input_invoice[[#This Row],[tax_irpf]],input_invoice[[#This Row],[net]])</f>
        <v>194.4</v>
      </c>
      <c r="H164" s="47">
        <f>input_invoice[[#This Row],[net]]*(MAX(input_invoice[[#This Row],[tax_rate_iva]],0)/100)</f>
        <v>0</v>
      </c>
      <c r="I164" s="47">
        <f>-input_invoice[[#This Row],[net]]*input_invoice[[#This Row],[tax_rate_irpf]]/100</f>
        <v>0</v>
      </c>
      <c r="J164" s="47">
        <v>194.4</v>
      </c>
      <c r="K164" t="str">
        <f t="shared" si="6"/>
        <v>it</v>
      </c>
      <c r="L164">
        <v>0</v>
      </c>
      <c r="N164" t="str">
        <f>VLOOKUP(input_invoice[[#This Row],[concept/supplier]],'sel-invoice'!D:E,2,0)</f>
        <v>Gsuite</v>
      </c>
      <c r="O164" t="str">
        <f>VLOOKUP(input_invoice[[#This Row],[concept/supplier]],'sel-invoice'!D:F,3,0)</f>
        <v>SL</v>
      </c>
      <c r="P164" t="str">
        <f>IF(input_invoice[[#This Row],[entity]]="SL","EUR",IF(input_invoice[[#This Row],[entity]]="Ltd","GBP",IF(input_invoice[[#This Row],[entity]]="Inc","USD","XXX")))</f>
        <v>EUR</v>
      </c>
    </row>
    <row r="165" spans="1:18" hidden="1" x14ac:dyDescent="0.3">
      <c r="A165">
        <v>202507</v>
      </c>
      <c r="B165" s="22" t="s">
        <v>917</v>
      </c>
      <c r="C165" s="48" t="s">
        <v>358</v>
      </c>
      <c r="D165" s="43">
        <v>45869</v>
      </c>
      <c r="E165" s="43">
        <v>45869</v>
      </c>
      <c r="F165" t="s">
        <v>117</v>
      </c>
      <c r="G165" s="47">
        <f>MAX(+input_invoice[[#This Row],[net]]+input_invoice[[#This Row],[tax_iva]]+input_invoice[[#This Row],[tax_irpf]],input_invoice[[#This Row],[net]])</f>
        <v>89.8</v>
      </c>
      <c r="H165" s="47">
        <f>input_invoice[[#This Row],[net]]*(MAX(input_invoice[[#This Row],[tax_rate_iva]],0)/100)</f>
        <v>0</v>
      </c>
      <c r="I165" s="47">
        <f>-input_invoice[[#This Row],[net]]*input_invoice[[#This Row],[tax_rate_irpf]]/100</f>
        <v>0</v>
      </c>
      <c r="J165" s="47">
        <v>89.8</v>
      </c>
      <c r="K165" t="str">
        <f t="shared" si="6"/>
        <v>administrative</v>
      </c>
      <c r="L165">
        <v>0</v>
      </c>
      <c r="N165" t="str">
        <f>VLOOKUP(input_invoice[[#This Row],[concept/supplier]],'sel-invoice'!D:E,2,0)</f>
        <v>regus</v>
      </c>
      <c r="O165" t="str">
        <f>VLOOKUP(input_invoice[[#This Row],[concept/supplier]],'sel-invoice'!D:F,3,0)</f>
        <v>Inc</v>
      </c>
      <c r="P165" t="str">
        <f>IF(input_invoice[[#This Row],[entity]]="SL","EUR",IF(input_invoice[[#This Row],[entity]]="Ltd","GBP",IF(input_invoice[[#This Row],[entity]]="Inc","USD","XXX")))</f>
        <v>USD</v>
      </c>
    </row>
    <row r="166" spans="1:18" hidden="1" x14ac:dyDescent="0.3">
      <c r="A166">
        <v>202507</v>
      </c>
      <c r="B166" s="22" t="s">
        <v>917</v>
      </c>
      <c r="C166" s="48">
        <v>169919</v>
      </c>
      <c r="D166" s="43">
        <v>45869</v>
      </c>
      <c r="E166" s="43">
        <v>45869</v>
      </c>
      <c r="F166" t="s">
        <v>218</v>
      </c>
      <c r="G166" s="47">
        <f>MAX(+input_invoice[[#This Row],[net]]+input_invoice[[#This Row],[tax_iva]]+input_invoice[[#This Row],[tax_irpf]],input_invoice[[#This Row],[net]])</f>
        <v>1029.56</v>
      </c>
      <c r="H166" s="47">
        <f>input_invoice[[#This Row],[net]]*(MAX(input_invoice[[#This Row],[tax_rate_iva]],0)/100)</f>
        <v>0</v>
      </c>
      <c r="I166" s="47">
        <f>-input_invoice[[#This Row],[net]]*input_invoice[[#This Row],[tax_rate_irpf]]/100</f>
        <v>0</v>
      </c>
      <c r="J166" s="47">
        <v>1029.56</v>
      </c>
      <c r="K166" t="str">
        <f t="shared" ref="K166:K197" si="7">_xlfn.TEXTBEFORE(F166," - ")</f>
        <v>manufacturing</v>
      </c>
      <c r="L166">
        <v>0</v>
      </c>
      <c r="N166" t="str">
        <f>VLOOKUP(input_invoice[[#This Row],[concept/supplier]],'sel-invoice'!D:E,2,0)</f>
        <v>TGI Inc</v>
      </c>
      <c r="O166" t="str">
        <f>VLOOKUP(input_invoice[[#This Row],[concept/supplier]],'sel-invoice'!D:F,3,0)</f>
        <v>Inc</v>
      </c>
      <c r="P166" t="str">
        <f>IF(input_invoice[[#This Row],[entity]]="SL","EUR",IF(input_invoice[[#This Row],[entity]]="Ltd","GBP",IF(input_invoice[[#This Row],[entity]]="Inc","USD","XXX")))</f>
        <v>USD</v>
      </c>
      <c r="Q166" s="199" t="s">
        <v>526</v>
      </c>
      <c r="R166" s="259" t="b">
        <v>1</v>
      </c>
    </row>
    <row r="167" spans="1:18" hidden="1" x14ac:dyDescent="0.3">
      <c r="A167">
        <v>202507</v>
      </c>
      <c r="B167" s="22" t="s">
        <v>917</v>
      </c>
      <c r="C167" s="48">
        <v>169920</v>
      </c>
      <c r="D167" s="43">
        <v>45869</v>
      </c>
      <c r="E167" s="43">
        <v>45869</v>
      </c>
      <c r="F167" t="s">
        <v>221</v>
      </c>
      <c r="G167" s="47">
        <f>MAX(+input_invoice[[#This Row],[net]]+input_invoice[[#This Row],[tax_iva]]+input_invoice[[#This Row],[tax_irpf]],input_invoice[[#This Row],[net]])</f>
        <v>1385.61</v>
      </c>
      <c r="H167" s="47">
        <f>input_invoice[[#This Row],[net]]*(MAX(input_invoice[[#This Row],[tax_rate_iva]],0)/100)</f>
        <v>0</v>
      </c>
      <c r="I167" s="47">
        <f>-input_invoice[[#This Row],[net]]*input_invoice[[#This Row],[tax_rate_irpf]]/100</f>
        <v>0</v>
      </c>
      <c r="J167" s="47">
        <v>1385.61</v>
      </c>
      <c r="K167" t="str">
        <f t="shared" si="7"/>
        <v>logistics</v>
      </c>
      <c r="L167">
        <v>0</v>
      </c>
      <c r="N167" t="str">
        <f>VLOOKUP(input_invoice[[#This Row],[concept/supplier]],'sel-invoice'!D:E,2,0)</f>
        <v>TGI Inc</v>
      </c>
      <c r="O167" t="str">
        <f>VLOOKUP(input_invoice[[#This Row],[concept/supplier]],'sel-invoice'!D:F,3,0)</f>
        <v>Inc</v>
      </c>
      <c r="P167" t="str">
        <f>IF(input_invoice[[#This Row],[entity]]="SL","EUR",IF(input_invoice[[#This Row],[entity]]="Ltd","GBP",IF(input_invoice[[#This Row],[entity]]="Inc","USD","XXX")))</f>
        <v>USD</v>
      </c>
      <c r="Q167" s="199" t="s">
        <v>525</v>
      </c>
      <c r="R167" s="259" t="b">
        <v>1</v>
      </c>
    </row>
    <row r="168" spans="1:18" hidden="1" x14ac:dyDescent="0.3">
      <c r="A168">
        <v>202508</v>
      </c>
      <c r="B168" s="22" t="s">
        <v>917</v>
      </c>
      <c r="C168" s="48" t="s">
        <v>363</v>
      </c>
      <c r="D168" s="43">
        <v>45870</v>
      </c>
      <c r="E168" s="43">
        <v>45870</v>
      </c>
      <c r="F168" t="s">
        <v>81</v>
      </c>
      <c r="G168" s="47">
        <f>MAX(+input_invoice[[#This Row],[net]]+input_invoice[[#This Row],[tax_iva]]+input_invoice[[#This Row],[tax_irpf]],input_invoice[[#This Row],[net]])</f>
        <v>267.93029999999999</v>
      </c>
      <c r="H168" s="47">
        <f>input_invoice[[#This Row],[net]]*(MAX(input_invoice[[#This Row],[tax_rate_iva]],0)/100)</f>
        <v>46.500300000000003</v>
      </c>
      <c r="I168" s="47">
        <f>-input_invoice[[#This Row],[net]]*input_invoice[[#This Row],[tax_rate_irpf]]/100</f>
        <v>0</v>
      </c>
      <c r="J168" s="47">
        <v>221.43</v>
      </c>
      <c r="K168" t="str">
        <f t="shared" si="7"/>
        <v>returns</v>
      </c>
      <c r="L168">
        <v>21</v>
      </c>
      <c r="N168" t="str">
        <f>VLOOKUP(input_invoice[[#This Row],[concept/supplier]],'sel-invoice'!D:E,2,0)</f>
        <v>rever</v>
      </c>
      <c r="O168" t="str">
        <f>VLOOKUP(input_invoice[[#This Row],[concept/supplier]],'sel-invoice'!D:F,3,0)</f>
        <v>SL</v>
      </c>
      <c r="P168" t="str">
        <f>IF(input_invoice[[#This Row],[entity]]="SL","EUR",IF(input_invoice[[#This Row],[entity]]="Ltd","GBP",IF(input_invoice[[#This Row],[entity]]="Inc","USD","XXX")))</f>
        <v>EUR</v>
      </c>
    </row>
    <row r="169" spans="1:18" hidden="1" x14ac:dyDescent="0.3">
      <c r="A169">
        <v>202508</v>
      </c>
      <c r="B169" s="22" t="s">
        <v>917</v>
      </c>
      <c r="C169" s="48" t="s">
        <v>364</v>
      </c>
      <c r="D169" s="43">
        <v>45884</v>
      </c>
      <c r="E169" s="43">
        <v>45884</v>
      </c>
      <c r="F169" t="s">
        <v>354</v>
      </c>
      <c r="G169" s="47">
        <f>MAX(+input_invoice[[#This Row],[net]]+input_invoice[[#This Row],[tax_iva]]+input_invoice[[#This Row],[tax_irpf]],input_invoice[[#This Row],[net]])</f>
        <v>34.799999999999997</v>
      </c>
      <c r="H169" s="47">
        <f>input_invoice[[#This Row],[net]]*(MAX(input_invoice[[#This Row],[tax_rate_iva]],0)/100)</f>
        <v>0</v>
      </c>
      <c r="I169" s="47">
        <f>-input_invoice[[#This Row],[net]]*input_invoice[[#This Row],[tax_rate_irpf]]/100</f>
        <v>0</v>
      </c>
      <c r="J169" s="47">
        <v>34.799999999999997</v>
      </c>
      <c r="K169" t="str">
        <f t="shared" si="7"/>
        <v>it</v>
      </c>
      <c r="L169">
        <v>0</v>
      </c>
      <c r="N169" t="str">
        <f>VLOOKUP(input_invoice[[#This Row],[concept/supplier]],'sel-invoice'!D:E,2,0)</f>
        <v>lingpad</v>
      </c>
      <c r="O169" t="str">
        <f>VLOOKUP(input_invoice[[#This Row],[concept/supplier]],'sel-invoice'!D:F,3,0)</f>
        <v>SL</v>
      </c>
      <c r="P169" t="str">
        <f>IF(input_invoice[[#This Row],[entity]]="SL","EUR",IF(input_invoice[[#This Row],[entity]]="Ltd","GBP",IF(input_invoice[[#This Row],[entity]]="Inc","USD","XXX")))</f>
        <v>EUR</v>
      </c>
      <c r="Q169" s="199" t="s">
        <v>147</v>
      </c>
      <c r="R169" s="259" t="b">
        <v>1</v>
      </c>
    </row>
    <row r="170" spans="1:18" hidden="1" x14ac:dyDescent="0.3">
      <c r="A170">
        <v>202508</v>
      </c>
      <c r="B170" s="22" t="s">
        <v>917</v>
      </c>
      <c r="C170" s="48">
        <v>3201283838</v>
      </c>
      <c r="D170" s="43">
        <v>45897</v>
      </c>
      <c r="E170" s="43">
        <v>45897</v>
      </c>
      <c r="F170" t="s">
        <v>150</v>
      </c>
      <c r="G170" s="47">
        <f>MAX(+input_invoice[[#This Row],[net]]+input_invoice[[#This Row],[tax_iva]]+input_invoice[[#This Row],[tax_irpf]],input_invoice[[#This Row],[net]])</f>
        <v>33.49</v>
      </c>
      <c r="H170" s="47">
        <f>input_invoice[[#This Row],[net]]*(MAX(input_invoice[[#This Row],[tax_rate_iva]],0)/100)</f>
        <v>0</v>
      </c>
      <c r="I170" s="47">
        <f>-input_invoice[[#This Row],[net]]*input_invoice[[#This Row],[tax_rate_irpf]]/100</f>
        <v>0</v>
      </c>
      <c r="J170" s="47">
        <v>33.49</v>
      </c>
      <c r="K170" t="str">
        <f t="shared" si="7"/>
        <v>it</v>
      </c>
      <c r="L170">
        <v>0</v>
      </c>
      <c r="N170" t="str">
        <f>VLOOKUP(input_invoice[[#This Row],[concept/supplier]],'sel-invoice'!D:E,2,0)</f>
        <v>adobe</v>
      </c>
      <c r="O170" t="str">
        <f>VLOOKUP(input_invoice[[#This Row],[concept/supplier]],'sel-invoice'!D:F,3,0)</f>
        <v>SL</v>
      </c>
      <c r="P170" t="str">
        <f>IF(input_invoice[[#This Row],[entity]]="SL","EUR",IF(input_invoice[[#This Row],[entity]]="Ltd","GBP",IF(input_invoice[[#This Row],[entity]]="Inc","USD","XXX")))</f>
        <v>EUR</v>
      </c>
    </row>
    <row r="171" spans="1:18" hidden="1" x14ac:dyDescent="0.3">
      <c r="A171">
        <v>202508</v>
      </c>
      <c r="B171" s="22" t="s">
        <v>917</v>
      </c>
      <c r="C171" s="48" t="s">
        <v>362</v>
      </c>
      <c r="D171" s="43">
        <v>45897</v>
      </c>
      <c r="E171" s="43">
        <v>45897</v>
      </c>
      <c r="F171" t="s">
        <v>81</v>
      </c>
      <c r="G171" s="47">
        <f>MAX(+input_invoice[[#This Row],[net]]+input_invoice[[#This Row],[tax_iva]]+input_invoice[[#This Row],[tax_irpf]],input_invoice[[#This Row],[net]])</f>
        <v>95.59</v>
      </c>
      <c r="H171" s="47">
        <f>input_invoice[[#This Row],[net]]*(MAX(input_invoice[[#This Row],[tax_rate_iva]],0)/100)</f>
        <v>16.59</v>
      </c>
      <c r="I171" s="47">
        <f>-input_invoice[[#This Row],[net]]*input_invoice[[#This Row],[tax_rate_irpf]]/100</f>
        <v>0</v>
      </c>
      <c r="J171" s="47">
        <v>79</v>
      </c>
      <c r="K171" t="str">
        <f t="shared" si="7"/>
        <v>returns</v>
      </c>
      <c r="L171">
        <v>21</v>
      </c>
      <c r="N171" t="str">
        <f>VLOOKUP(input_invoice[[#This Row],[concept/supplier]],'sel-invoice'!D:E,2,0)</f>
        <v>rever</v>
      </c>
      <c r="O171" t="str">
        <f>VLOOKUP(input_invoice[[#This Row],[concept/supplier]],'sel-invoice'!D:F,3,0)</f>
        <v>SL</v>
      </c>
      <c r="P171" t="str">
        <f>IF(input_invoice[[#This Row],[entity]]="SL","EUR",IF(input_invoice[[#This Row],[entity]]="Ltd","GBP",IF(input_invoice[[#This Row],[entity]]="Inc","USD","XXX")))</f>
        <v>EUR</v>
      </c>
    </row>
    <row r="172" spans="1:18" hidden="1" x14ac:dyDescent="0.3">
      <c r="A172">
        <v>202501</v>
      </c>
      <c r="B172" s="22" t="s">
        <v>917</v>
      </c>
      <c r="F172" t="s">
        <v>88</v>
      </c>
      <c r="G172" s="47">
        <f>MAX(+input_invoice[[#This Row],[net]]+input_invoice[[#This Row],[tax_iva]]+input_invoice[[#This Row],[tax_irpf]],input_invoice[[#This Row],[net]])</f>
        <v>138</v>
      </c>
      <c r="H172" s="47">
        <f>input_invoice[[#This Row],[net]]*(MAX(input_invoice[[#This Row],[tax_rate_iva]],0)/100)</f>
        <v>0</v>
      </c>
      <c r="I172" s="47">
        <f>-input_invoice[[#This Row],[net]]*input_invoice[[#This Row],[tax_rate_irpf]]/100</f>
        <v>0</v>
      </c>
      <c r="J172" s="47">
        <v>138</v>
      </c>
      <c r="K172" t="str">
        <f t="shared" si="7"/>
        <v>marketing</v>
      </c>
      <c r="L172">
        <v>0</v>
      </c>
      <c r="N172" t="str">
        <f>VLOOKUP(input_invoice[[#This Row],[concept/supplier]],'sel-invoice'!D:E,2,0)</f>
        <v>google</v>
      </c>
      <c r="O172" t="str">
        <f>VLOOKUP(input_invoice[[#This Row],[concept/supplier]],'sel-invoice'!D:F,3,0)</f>
        <v>SL</v>
      </c>
      <c r="P172" t="str">
        <f>IF(input_invoice[[#This Row],[entity]]="SL","EUR",IF(input_invoice[[#This Row],[entity]]="Ltd","GBP",IF(input_invoice[[#This Row],[entity]]="Inc","USD","XXX")))</f>
        <v>EUR</v>
      </c>
      <c r="R172" s="259" t="b">
        <v>1</v>
      </c>
    </row>
    <row r="173" spans="1:18" hidden="1" x14ac:dyDescent="0.3">
      <c r="A173">
        <v>202508</v>
      </c>
      <c r="B173" s="22" t="s">
        <v>917</v>
      </c>
      <c r="C173" s="48" t="s">
        <v>385</v>
      </c>
      <c r="D173" s="43">
        <v>45900</v>
      </c>
      <c r="E173" s="43">
        <v>45900</v>
      </c>
      <c r="F173" t="s">
        <v>210</v>
      </c>
      <c r="G173" s="47">
        <f>MAX(+input_invoice[[#This Row],[net]]+input_invoice[[#This Row],[tax_iva]]+input_invoice[[#This Row],[tax_irpf]],input_invoice[[#This Row],[net]])</f>
        <v>32.799999999999997</v>
      </c>
      <c r="H173" s="47">
        <f>input_invoice[[#This Row],[net]]*(MAX(input_invoice[[#This Row],[tax_rate_iva]],0)/100)</f>
        <v>0</v>
      </c>
      <c r="I173" s="47">
        <f>-input_invoice[[#This Row],[net]]*input_invoice[[#This Row],[tax_rate_irpf]]/100</f>
        <v>0</v>
      </c>
      <c r="J173" s="47">
        <v>32.799999999999997</v>
      </c>
      <c r="K173" t="str">
        <f t="shared" si="7"/>
        <v>it</v>
      </c>
      <c r="L173">
        <v>0</v>
      </c>
      <c r="N173" t="str">
        <f>VLOOKUP(input_invoice[[#This Row],[concept/supplier]],'sel-invoice'!D:E,2,0)</f>
        <v>Amazon Subscription</v>
      </c>
      <c r="O173" t="str">
        <f>VLOOKUP(input_invoice[[#This Row],[concept/supplier]],'sel-invoice'!D:F,3,0)</f>
        <v>Ltd</v>
      </c>
      <c r="P173" t="str">
        <f>IF(input_invoice[[#This Row],[entity]]="SL","EUR",IF(input_invoice[[#This Row],[entity]]="Ltd","GBP",IF(input_invoice[[#This Row],[entity]]="Inc","USD","XXX")))</f>
        <v>GBP</v>
      </c>
    </row>
    <row r="174" spans="1:18" hidden="1" x14ac:dyDescent="0.3">
      <c r="A174">
        <v>202508</v>
      </c>
      <c r="B174" s="22" t="s">
        <v>917</v>
      </c>
      <c r="C174" s="48" t="s">
        <v>368</v>
      </c>
      <c r="D174" s="43">
        <v>45900</v>
      </c>
      <c r="E174" s="43">
        <v>45900</v>
      </c>
      <c r="F174" t="s">
        <v>117</v>
      </c>
      <c r="G174" s="47">
        <f>MAX(+input_invoice[[#This Row],[net]]+input_invoice[[#This Row],[tax_iva]]+input_invoice[[#This Row],[tax_irpf]],input_invoice[[#This Row],[net]])</f>
        <v>89.8</v>
      </c>
      <c r="H174" s="47">
        <f>input_invoice[[#This Row],[net]]*(MAX(input_invoice[[#This Row],[tax_rate_iva]],0)/100)</f>
        <v>0</v>
      </c>
      <c r="I174" s="47">
        <f>-input_invoice[[#This Row],[net]]*input_invoice[[#This Row],[tax_rate_irpf]]/100</f>
        <v>0</v>
      </c>
      <c r="J174" s="47">
        <v>89.8</v>
      </c>
      <c r="K174" t="str">
        <f t="shared" si="7"/>
        <v>administrative</v>
      </c>
      <c r="L174">
        <v>0</v>
      </c>
      <c r="N174" t="str">
        <f>VLOOKUP(input_invoice[[#This Row],[concept/supplier]],'sel-invoice'!D:E,2,0)</f>
        <v>regus</v>
      </c>
      <c r="O174" t="str">
        <f>VLOOKUP(input_invoice[[#This Row],[concept/supplier]],'sel-invoice'!D:F,3,0)</f>
        <v>Inc</v>
      </c>
      <c r="P174" t="str">
        <f>IF(input_invoice[[#This Row],[entity]]="SL","EUR",IF(input_invoice[[#This Row],[entity]]="Ltd","GBP",IF(input_invoice[[#This Row],[entity]]="Inc","USD","XXX")))</f>
        <v>USD</v>
      </c>
    </row>
    <row r="175" spans="1:18" hidden="1" x14ac:dyDescent="0.3">
      <c r="A175">
        <v>202508</v>
      </c>
      <c r="B175" s="22" t="s">
        <v>917</v>
      </c>
      <c r="C175" s="48">
        <v>170063</v>
      </c>
      <c r="D175" s="43">
        <v>45900</v>
      </c>
      <c r="E175" s="43">
        <v>45900</v>
      </c>
      <c r="F175" t="s">
        <v>218</v>
      </c>
      <c r="G175" s="47">
        <f>MAX(+input_invoice[[#This Row],[net]]+input_invoice[[#This Row],[tax_iva]]+input_invoice[[#This Row],[tax_irpf]],input_invoice[[#This Row],[net]])</f>
        <v>3596.74</v>
      </c>
      <c r="H175" s="47">
        <f>input_invoice[[#This Row],[net]]*(MAX(input_invoice[[#This Row],[tax_rate_iva]],0)/100)</f>
        <v>0</v>
      </c>
      <c r="I175" s="47">
        <f>-input_invoice[[#This Row],[net]]*input_invoice[[#This Row],[tax_rate_irpf]]/100</f>
        <v>0</v>
      </c>
      <c r="J175" s="47">
        <v>3596.74</v>
      </c>
      <c r="K175" t="str">
        <f t="shared" si="7"/>
        <v>manufacturing</v>
      </c>
      <c r="L175">
        <v>0</v>
      </c>
      <c r="N175" t="str">
        <f>VLOOKUP(input_invoice[[#This Row],[concept/supplier]],'sel-invoice'!D:E,2,0)</f>
        <v>TGI Inc</v>
      </c>
      <c r="O175" t="str">
        <f>VLOOKUP(input_invoice[[#This Row],[concept/supplier]],'sel-invoice'!D:F,3,0)</f>
        <v>Inc</v>
      </c>
      <c r="P175" t="str">
        <f>IF(input_invoice[[#This Row],[entity]]="SL","EUR",IF(input_invoice[[#This Row],[entity]]="Ltd","GBP",IF(input_invoice[[#This Row],[entity]]="Inc","USD","XXX")))</f>
        <v>USD</v>
      </c>
      <c r="Q175" s="257" t="s">
        <v>518</v>
      </c>
      <c r="R175" s="259" t="b">
        <v>1</v>
      </c>
    </row>
    <row r="176" spans="1:18" hidden="1" x14ac:dyDescent="0.3">
      <c r="A176">
        <v>202508</v>
      </c>
      <c r="B176" s="22" t="s">
        <v>917</v>
      </c>
      <c r="C176" s="48">
        <v>170064</v>
      </c>
      <c r="D176" s="43">
        <v>45900</v>
      </c>
      <c r="E176" s="43">
        <v>45900</v>
      </c>
      <c r="F176" t="s">
        <v>221</v>
      </c>
      <c r="G176" s="47">
        <f>MAX(+input_invoice[[#This Row],[net]]+input_invoice[[#This Row],[tax_iva]]+input_invoice[[#This Row],[tax_irpf]],input_invoice[[#This Row],[net]])</f>
        <v>5018.67</v>
      </c>
      <c r="H176" s="47">
        <f>input_invoice[[#This Row],[net]]*(MAX(input_invoice[[#This Row],[tax_rate_iva]],0)/100)</f>
        <v>0</v>
      </c>
      <c r="I176" s="47">
        <f>-input_invoice[[#This Row],[net]]*input_invoice[[#This Row],[tax_rate_irpf]]/100</f>
        <v>0</v>
      </c>
      <c r="J176" s="47">
        <v>5018.67</v>
      </c>
      <c r="K176" t="str">
        <f t="shared" si="7"/>
        <v>logistics</v>
      </c>
      <c r="L176">
        <v>0</v>
      </c>
      <c r="N176" t="str">
        <f>VLOOKUP(input_invoice[[#This Row],[concept/supplier]],'sel-invoice'!D:E,2,0)</f>
        <v>TGI Inc</v>
      </c>
      <c r="O176" t="str">
        <f>VLOOKUP(input_invoice[[#This Row],[concept/supplier]],'sel-invoice'!D:F,3,0)</f>
        <v>Inc</v>
      </c>
      <c r="P176" t="str">
        <f>IF(input_invoice[[#This Row],[entity]]="SL","EUR",IF(input_invoice[[#This Row],[entity]]="Ltd","GBP",IF(input_invoice[[#This Row],[entity]]="Inc","USD","XXX")))</f>
        <v>USD</v>
      </c>
      <c r="Q176" s="257" t="s">
        <v>519</v>
      </c>
      <c r="R176" s="259" t="b">
        <v>1</v>
      </c>
    </row>
    <row r="177" spans="1:19" hidden="1" x14ac:dyDescent="0.3">
      <c r="A177">
        <v>202507</v>
      </c>
      <c r="B177" s="22" t="s">
        <v>917</v>
      </c>
      <c r="C177" s="64" t="s">
        <v>344</v>
      </c>
      <c r="D177" s="43">
        <v>45840</v>
      </c>
      <c r="E177" s="43">
        <v>45840</v>
      </c>
      <c r="F177" t="s">
        <v>113</v>
      </c>
      <c r="G177" s="47">
        <f>MAX(+input_invoice[[#This Row],[net]]+input_invoice[[#This Row],[tax_iva]]+input_invoice[[#This Row],[tax_irpf]],input_invoice[[#This Row],[net]])</f>
        <v>18.149999999999999</v>
      </c>
      <c r="H177" s="47">
        <f>input_invoice[[#This Row],[net]]*(MAX(input_invoice[[#This Row],[tax_rate_iva]],0)/100)</f>
        <v>3.15</v>
      </c>
      <c r="I177" s="47">
        <f>-input_invoice[[#This Row],[net]]*input_invoice[[#This Row],[tax_rate_irpf]]/100</f>
        <v>0</v>
      </c>
      <c r="J177" s="47">
        <v>15</v>
      </c>
      <c r="K177" t="str">
        <f t="shared" si="7"/>
        <v>administrative</v>
      </c>
      <c r="L177">
        <v>21</v>
      </c>
      <c r="N177" t="str">
        <f>VLOOKUP(input_invoice[[#This Row],[concept/supplier]],'sel-invoice'!D:E,2,0)</f>
        <v>Torras y asociados</v>
      </c>
      <c r="O177" t="str">
        <f>VLOOKUP(input_invoice[[#This Row],[concept/supplier]],'sel-invoice'!D:F,3,0)</f>
        <v>SL</v>
      </c>
      <c r="P177" t="str">
        <f>IF(input_invoice[[#This Row],[entity]]="SL","EUR",IF(input_invoice[[#This Row],[entity]]="Ltd","GBP",IF(input_invoice[[#This Row],[entity]]="Inc","USD","XXX")))</f>
        <v>EUR</v>
      </c>
      <c r="R177" s="259" t="b">
        <v>1</v>
      </c>
      <c r="S177" s="60"/>
    </row>
    <row r="178" spans="1:19" hidden="1" x14ac:dyDescent="0.3">
      <c r="A178">
        <v>202509</v>
      </c>
      <c r="B178" s="22" t="s">
        <v>917</v>
      </c>
      <c r="C178" s="48" t="s">
        <v>523</v>
      </c>
      <c r="D178" s="43">
        <v>45901</v>
      </c>
      <c r="E178" s="43">
        <v>45901</v>
      </c>
      <c r="F178" t="s">
        <v>81</v>
      </c>
      <c r="G178" s="47">
        <f>MAX(+input_invoice[[#This Row],[net]]+input_invoice[[#This Row],[tax_iva]]+input_invoice[[#This Row],[tax_irpf]],input_invoice[[#This Row],[net]])</f>
        <v>450.16840000000002</v>
      </c>
      <c r="H178" s="47">
        <f>input_invoice[[#This Row],[net]]*(MAX(input_invoice[[#This Row],[tax_rate_iva]],0)/100)</f>
        <v>78.128399999999999</v>
      </c>
      <c r="I178" s="47">
        <f>-input_invoice[[#This Row],[net]]*input_invoice[[#This Row],[tax_rate_irpf]]/100</f>
        <v>0</v>
      </c>
      <c r="J178" s="47">
        <v>372.04</v>
      </c>
      <c r="K178" t="str">
        <f t="shared" si="7"/>
        <v>returns</v>
      </c>
      <c r="L178">
        <v>21</v>
      </c>
      <c r="N178" t="str">
        <f>VLOOKUP(input_invoice[[#This Row],[concept/supplier]],'sel-invoice'!D:E,2,0)</f>
        <v>rever</v>
      </c>
      <c r="O178" t="str">
        <f>VLOOKUP(input_invoice[[#This Row],[concept/supplier]],'sel-invoice'!D:F,3,0)</f>
        <v>SL</v>
      </c>
      <c r="P178" t="str">
        <f>IF(input_invoice[[#This Row],[entity]]="SL","EUR",IF(input_invoice[[#This Row],[entity]]="Ltd","GBP",IF(input_invoice[[#This Row],[entity]]="Inc","USD","XXX")))</f>
        <v>EUR</v>
      </c>
      <c r="Q178" s="199" t="s">
        <v>524</v>
      </c>
    </row>
    <row r="179" spans="1:19" hidden="1" x14ac:dyDescent="0.3">
      <c r="A179">
        <v>202509</v>
      </c>
      <c r="B179" s="22" t="s">
        <v>917</v>
      </c>
      <c r="C179" s="48" t="s">
        <v>523</v>
      </c>
      <c r="D179" s="43">
        <v>45901</v>
      </c>
      <c r="E179" s="43">
        <v>45901</v>
      </c>
      <c r="F179" t="s">
        <v>81</v>
      </c>
      <c r="G179" s="47">
        <f>MAX(+input_invoice[[#This Row],[net]]+input_invoice[[#This Row],[tax_iva]]+input_invoice[[#This Row],[tax_irpf]],input_invoice[[#This Row],[net]])</f>
        <v>-107.97</v>
      </c>
      <c r="H179" s="47">
        <f>input_invoice[[#This Row],[net]]*(MAX(input_invoice[[#This Row],[tax_rate_iva]],0)/100)</f>
        <v>0</v>
      </c>
      <c r="I179" s="47">
        <f>-input_invoice[[#This Row],[net]]*input_invoice[[#This Row],[tax_rate_irpf]]/100</f>
        <v>0</v>
      </c>
      <c r="J179" s="47">
        <v>-107.97</v>
      </c>
      <c r="K179" t="str">
        <f t="shared" si="7"/>
        <v>returns</v>
      </c>
      <c r="L179">
        <v>0</v>
      </c>
      <c r="N179" t="str">
        <f>VLOOKUP(input_invoice[[#This Row],[concept/supplier]],'sel-invoice'!D:E,2,0)</f>
        <v>rever</v>
      </c>
      <c r="O179" t="str">
        <f>VLOOKUP(input_invoice[[#This Row],[concept/supplier]],'sel-invoice'!D:F,3,0)</f>
        <v>SL</v>
      </c>
      <c r="P179" t="str">
        <f>IF(input_invoice[[#This Row],[entity]]="SL","EUR",IF(input_invoice[[#This Row],[entity]]="Ltd","GBP",IF(input_invoice[[#This Row],[entity]]="Inc","USD","XXX")))</f>
        <v>EUR</v>
      </c>
      <c r="Q179" s="199" t="s">
        <v>524</v>
      </c>
    </row>
    <row r="180" spans="1:19" hidden="1" x14ac:dyDescent="0.3">
      <c r="A180">
        <v>202508</v>
      </c>
      <c r="B180" s="22" t="s">
        <v>917</v>
      </c>
      <c r="C180" s="48" t="s">
        <v>505</v>
      </c>
      <c r="D180" s="43">
        <v>45900</v>
      </c>
      <c r="E180" s="43">
        <v>45900</v>
      </c>
      <c r="F180" t="s">
        <v>204</v>
      </c>
      <c r="G180" s="47">
        <f>MAX(+input_invoice[[#This Row],[net]]+input_invoice[[#This Row],[tax_iva]]+input_invoice[[#This Row],[tax_irpf]],input_invoice[[#This Row],[net]])</f>
        <v>15</v>
      </c>
      <c r="H180" s="47">
        <f>input_invoice[[#This Row],[net]]*(MAX(input_invoice[[#This Row],[tax_rate_iva]],0)/100)</f>
        <v>0</v>
      </c>
      <c r="I180" s="47">
        <f>-input_invoice[[#This Row],[net]]*input_invoice[[#This Row],[tax_rate_irpf]]/100</f>
        <v>0</v>
      </c>
      <c r="J180" s="47">
        <v>15</v>
      </c>
      <c r="K180" t="str">
        <f t="shared" si="7"/>
        <v>payment-suppliers</v>
      </c>
      <c r="L180">
        <v>0</v>
      </c>
      <c r="N180" t="str">
        <f>VLOOKUP(input_invoice[[#This Row],[concept/supplier]],'sel-invoice'!D:E,2,0)</f>
        <v>Amazon Seller</v>
      </c>
      <c r="O180" t="str">
        <f>VLOOKUP(input_invoice[[#This Row],[concept/supplier]],'sel-invoice'!D:F,3,0)</f>
        <v>Ltd</v>
      </c>
      <c r="P180" t="str">
        <f>IF(input_invoice[[#This Row],[entity]]="SL","EUR",IF(input_invoice[[#This Row],[entity]]="Ltd","GBP",IF(input_invoice[[#This Row],[entity]]="Inc","USD","XXX")))</f>
        <v>GBP</v>
      </c>
      <c r="Q180" t="s">
        <v>908</v>
      </c>
      <c r="R180" s="259" t="b">
        <v>1</v>
      </c>
    </row>
    <row r="181" spans="1:19" hidden="1" x14ac:dyDescent="0.3">
      <c r="A181">
        <v>202509</v>
      </c>
      <c r="B181" s="22" t="s">
        <v>917</v>
      </c>
      <c r="C181">
        <v>837138988</v>
      </c>
      <c r="D181" s="43">
        <v>45901</v>
      </c>
      <c r="E181" s="43">
        <f>input_invoice[[#This Row],[date]]</f>
        <v>45901</v>
      </c>
      <c r="F181" t="s">
        <v>55</v>
      </c>
      <c r="G181" s="47">
        <f>MAX(+input_invoice[[#This Row],[net]]+input_invoice[[#This Row],[tax_iva]],input_invoice[[#This Row],[net]])</f>
        <v>41.39</v>
      </c>
      <c r="H181" s="47">
        <f>input_invoice[[#This Row],[net]]*(MAX(input_invoice[[#This Row],[tax_rate_iva]],0)/100)</f>
        <v>0</v>
      </c>
      <c r="I181" s="47">
        <f>-input_invoice[[#This Row],[net]]*input_invoice[[#This Row],[tax_rate_irpf]]/100</f>
        <v>0</v>
      </c>
      <c r="J181" s="47">
        <v>41.39</v>
      </c>
      <c r="K181" t="str">
        <f t="shared" si="7"/>
        <v>logistics</v>
      </c>
      <c r="L181">
        <v>0</v>
      </c>
      <c r="N181" t="str">
        <f>VLOOKUP(input_invoice[[#This Row],[concept/supplier]],'sel-invoice'!D:E,2,0)</f>
        <v>UPS DE</v>
      </c>
      <c r="O181" t="str">
        <f>VLOOKUP(input_invoice[[#This Row],[concept/supplier]],'sel-invoice'!D:F,3,0)</f>
        <v>SL</v>
      </c>
      <c r="P181" t="str">
        <f>IF(input_invoice[[#This Row],[entity]]="SL","EUR",IF(input_invoice[[#This Row],[entity]]="Ltd","GBP",IF(input_invoice[[#This Row],[entity]]="Inc","USD","XXX")))</f>
        <v>EUR</v>
      </c>
      <c r="Q181" s="199" t="s">
        <v>427</v>
      </c>
      <c r="R181" s="259" t="b">
        <v>1</v>
      </c>
    </row>
    <row r="182" spans="1:19" hidden="1" x14ac:dyDescent="0.3">
      <c r="A182">
        <v>202509</v>
      </c>
      <c r="B182" s="22" t="s">
        <v>917</v>
      </c>
      <c r="C182" s="48">
        <v>326076048</v>
      </c>
      <c r="D182" s="43">
        <v>45902</v>
      </c>
      <c r="E182" s="43">
        <f>input_invoice[[#This Row],[date]]</f>
        <v>45902</v>
      </c>
      <c r="F182" t="s">
        <v>55</v>
      </c>
      <c r="G182" s="47">
        <f>MAX(+input_invoice[[#This Row],[net]]+input_invoice[[#This Row],[tax_iva]],input_invoice[[#This Row],[net]])</f>
        <v>1938.07</v>
      </c>
      <c r="H182" s="47">
        <f>input_invoice[[#This Row],[net]]*(MAX(input_invoice[[#This Row],[tax_rate_iva]],0)/100)</f>
        <v>0</v>
      </c>
      <c r="I182" s="47">
        <f>-input_invoice[[#This Row],[net]]*input_invoice[[#This Row],[tax_rate_irpf]]/100</f>
        <v>0</v>
      </c>
      <c r="J182" s="55">
        <v>1938.07</v>
      </c>
      <c r="K182" t="str">
        <f t="shared" si="7"/>
        <v>logistics</v>
      </c>
      <c r="L182">
        <v>0</v>
      </c>
      <c r="N182" t="str">
        <f>VLOOKUP(input_invoice[[#This Row],[concept/supplier]],'sel-invoice'!D:E,2,0)</f>
        <v>UPS DE</v>
      </c>
      <c r="O182" t="str">
        <f>VLOOKUP(input_invoice[[#This Row],[concept/supplier]],'sel-invoice'!D:F,3,0)</f>
        <v>SL</v>
      </c>
      <c r="P182" t="str">
        <f>IF(input_invoice[[#This Row],[entity]]="SL","EUR",IF(input_invoice[[#This Row],[entity]]="Ltd","GBP",IF(input_invoice[[#This Row],[entity]]="Inc","USD","XXX")))</f>
        <v>EUR</v>
      </c>
      <c r="Q182" s="199" t="s">
        <v>427</v>
      </c>
      <c r="R182" s="259" t="b">
        <v>1</v>
      </c>
    </row>
    <row r="183" spans="1:19" hidden="1" x14ac:dyDescent="0.3">
      <c r="A183">
        <v>202509</v>
      </c>
      <c r="B183" s="22" t="s">
        <v>917</v>
      </c>
      <c r="C183" s="48">
        <v>837178922</v>
      </c>
      <c r="D183" s="43">
        <v>45908</v>
      </c>
      <c r="E183" s="43">
        <f>input_invoice[[#This Row],[date]]</f>
        <v>45908</v>
      </c>
      <c r="F183" t="s">
        <v>55</v>
      </c>
      <c r="G183" s="47">
        <f>MAX(+input_invoice[[#This Row],[net]]+input_invoice[[#This Row],[tax_iva]],input_invoice[[#This Row],[net]])</f>
        <v>59.03</v>
      </c>
      <c r="H183" s="47">
        <f>input_invoice[[#This Row],[net]]*(MAX(input_invoice[[#This Row],[tax_rate_iva]],0)/100)</f>
        <v>0</v>
      </c>
      <c r="I183" s="47">
        <f>-input_invoice[[#This Row],[net]]*input_invoice[[#This Row],[tax_rate_irpf]]/100</f>
        <v>0</v>
      </c>
      <c r="J183" s="47">
        <v>59.03</v>
      </c>
      <c r="K183" t="str">
        <f t="shared" si="7"/>
        <v>logistics</v>
      </c>
      <c r="L183">
        <v>0</v>
      </c>
      <c r="N183" t="str">
        <f>VLOOKUP(input_invoice[[#This Row],[concept/supplier]],'sel-invoice'!D:E,2,0)</f>
        <v>UPS DE</v>
      </c>
      <c r="O183" t="str">
        <f>VLOOKUP(input_invoice[[#This Row],[concept/supplier]],'sel-invoice'!D:F,3,0)</f>
        <v>SL</v>
      </c>
      <c r="P183" t="str">
        <f>IF(input_invoice[[#This Row],[entity]]="SL","EUR",IF(input_invoice[[#This Row],[entity]]="Ltd","GBP",IF(input_invoice[[#This Row],[entity]]="Inc","USD","XXX")))</f>
        <v>EUR</v>
      </c>
      <c r="Q183" s="199" t="s">
        <v>427</v>
      </c>
      <c r="R183" s="259" t="b">
        <v>1</v>
      </c>
    </row>
    <row r="184" spans="1:19" hidden="1" x14ac:dyDescent="0.3">
      <c r="A184">
        <v>202509</v>
      </c>
      <c r="B184" s="22" t="s">
        <v>917</v>
      </c>
      <c r="C184" s="48">
        <v>3884508965</v>
      </c>
      <c r="D184" s="94">
        <v>45909</v>
      </c>
      <c r="E184" s="94">
        <v>45909</v>
      </c>
      <c r="F184" t="s">
        <v>125</v>
      </c>
      <c r="G184" s="47">
        <f>MAX(+input_invoice[[#This Row],[net]]+input_invoice[[#This Row],[tax_iva]]+input_invoice[[#This Row],[tax_irpf]],input_invoice[[#This Row],[net]])</f>
        <v>13.2979</v>
      </c>
      <c r="H184" s="47">
        <f>input_invoice[[#This Row],[net]]*(MAX(input_invoice[[#This Row],[tax_rate_iva]],0)/100)</f>
        <v>2.3079000000000001</v>
      </c>
      <c r="I184" s="47">
        <f>-input_invoice[[#This Row],[net]]*input_invoice[[#This Row],[tax_rate_irpf]]/100</f>
        <v>0</v>
      </c>
      <c r="J184" s="95">
        <v>10.99</v>
      </c>
      <c r="K184" t="str">
        <f t="shared" si="7"/>
        <v>it</v>
      </c>
      <c r="L184">
        <v>21</v>
      </c>
      <c r="N184" t="str">
        <f>VLOOKUP(input_invoice[[#This Row],[concept/supplier]],'sel-invoice'!D:E,2,0)</f>
        <v>Godaddy</v>
      </c>
      <c r="O184" t="str">
        <f>VLOOKUP(input_invoice[[#This Row],[concept/supplier]],'sel-invoice'!D:F,3,0)</f>
        <v>SL</v>
      </c>
      <c r="P184" t="str">
        <f>IF(input_invoice[[#This Row],[entity]]="SL","EUR",IF(input_invoice[[#This Row],[entity]]="Ltd","GBP",IF(input_invoice[[#This Row],[entity]]="Inc","USD","XXX")))</f>
        <v>EUR</v>
      </c>
    </row>
    <row r="185" spans="1:19" hidden="1" x14ac:dyDescent="0.3">
      <c r="A185">
        <v>202509</v>
      </c>
      <c r="B185" s="22" t="s">
        <v>917</v>
      </c>
      <c r="C185">
        <v>837253648</v>
      </c>
      <c r="D185" s="43">
        <v>45908</v>
      </c>
      <c r="E185" s="43">
        <f>input_invoice[[#This Row],[date]]</f>
        <v>45908</v>
      </c>
      <c r="F185" t="s">
        <v>55</v>
      </c>
      <c r="G185" s="47">
        <f>MAX(+input_invoice[[#This Row],[net]]+input_invoice[[#This Row],[tax_iva]],input_invoice[[#This Row],[net]])</f>
        <v>184.73</v>
      </c>
      <c r="H185" s="47">
        <f>input_invoice[[#This Row],[net]]*(MAX(input_invoice[[#This Row],[tax_rate_iva]],0)/100)</f>
        <v>0</v>
      </c>
      <c r="I185" s="47">
        <f>-input_invoice[[#This Row],[net]]*input_invoice[[#This Row],[tax_rate_irpf]]/100</f>
        <v>0</v>
      </c>
      <c r="J185">
        <v>184.73</v>
      </c>
      <c r="K185" t="str">
        <f t="shared" si="7"/>
        <v>logistics</v>
      </c>
      <c r="L185">
        <v>0</v>
      </c>
      <c r="N185" t="str">
        <f>VLOOKUP(input_invoice[[#This Row],[concept/supplier]],'sel-invoice'!D:E,2,0)</f>
        <v>UPS DE</v>
      </c>
      <c r="O185" t="str">
        <f>VLOOKUP(input_invoice[[#This Row],[concept/supplier]],'sel-invoice'!D:F,3,0)</f>
        <v>SL</v>
      </c>
      <c r="P185" t="str">
        <f>IF(input_invoice[[#This Row],[entity]]="SL","EUR",IF(input_invoice[[#This Row],[entity]]="Ltd","GBP",IF(input_invoice[[#This Row],[entity]]="Inc","USD","XXX")))</f>
        <v>EUR</v>
      </c>
      <c r="Q185" s="199" t="s">
        <v>427</v>
      </c>
      <c r="R185" s="259" t="b">
        <v>1</v>
      </c>
    </row>
    <row r="186" spans="1:19" hidden="1" x14ac:dyDescent="0.3">
      <c r="A186">
        <v>202509</v>
      </c>
      <c r="B186" s="22" t="s">
        <v>917</v>
      </c>
      <c r="C186" s="65" t="s">
        <v>372</v>
      </c>
      <c r="D186" s="94">
        <v>45913</v>
      </c>
      <c r="E186" s="94">
        <v>45913</v>
      </c>
      <c r="F186" t="s">
        <v>129</v>
      </c>
      <c r="G186" s="47">
        <f>MAX(+input_invoice[[#This Row],[net]]+input_invoice[[#This Row],[tax_iva]]+input_invoice[[#This Row],[tax_irpf]],input_invoice[[#This Row],[net]])</f>
        <v>23.716000000000001</v>
      </c>
      <c r="H186" s="47">
        <f>input_invoice[[#This Row],[net]]*(MAX(input_invoice[[#This Row],[tax_rate_iva]],0)/100)</f>
        <v>4.1160000000000005</v>
      </c>
      <c r="I186" s="47">
        <f>-input_invoice[[#This Row],[net]]*input_invoice[[#This Row],[tax_rate_irpf]]/100</f>
        <v>0</v>
      </c>
      <c r="J186" s="96">
        <v>19.600000000000001</v>
      </c>
      <c r="K186" t="str">
        <f t="shared" si="7"/>
        <v>it</v>
      </c>
      <c r="L186">
        <v>21</v>
      </c>
      <c r="N186" t="str">
        <f>VLOOKUP(input_invoice[[#This Row],[concept/supplier]],'sel-invoice'!D:E,2,0)</f>
        <v>Microsoft</v>
      </c>
      <c r="O186" t="str">
        <f>VLOOKUP(input_invoice[[#This Row],[concept/supplier]],'sel-invoice'!D:F,3,0)</f>
        <v>SL</v>
      </c>
      <c r="P186" t="str">
        <f>IF(input_invoice[[#This Row],[entity]]="SL","EUR",IF(input_invoice[[#This Row],[entity]]="Ltd","GBP",IF(input_invoice[[#This Row],[entity]]="Inc","USD","XXX")))</f>
        <v>EUR</v>
      </c>
    </row>
    <row r="187" spans="1:19" hidden="1" x14ac:dyDescent="0.3">
      <c r="A187">
        <v>202509</v>
      </c>
      <c r="B187" s="22" t="s">
        <v>917</v>
      </c>
      <c r="C187" s="48">
        <v>3890260980</v>
      </c>
      <c r="D187" s="94">
        <v>45914</v>
      </c>
      <c r="E187" s="94">
        <v>45914</v>
      </c>
      <c r="F187" t="s">
        <v>125</v>
      </c>
      <c r="G187" s="47">
        <f>MAX(+input_invoice[[#This Row],[net]]+input_invoice[[#This Row],[tax_iva]]+input_invoice[[#This Row],[tax_irpf]],input_invoice[[#This Row],[net]])</f>
        <v>26.607899999999997</v>
      </c>
      <c r="H187" s="47">
        <f>input_invoice[[#This Row],[net]]*(MAX(input_invoice[[#This Row],[tax_rate_iva]],0)/100)</f>
        <v>4.6178999999999997</v>
      </c>
      <c r="I187" s="47">
        <f>-input_invoice[[#This Row],[net]]*input_invoice[[#This Row],[tax_rate_irpf]]/100</f>
        <v>0</v>
      </c>
      <c r="J187" s="95">
        <v>21.99</v>
      </c>
      <c r="K187" t="str">
        <f t="shared" si="7"/>
        <v>it</v>
      </c>
      <c r="L187">
        <v>21</v>
      </c>
      <c r="N187" t="str">
        <f>VLOOKUP(input_invoice[[#This Row],[concept/supplier]],'sel-invoice'!D:E,2,0)</f>
        <v>Godaddy</v>
      </c>
      <c r="O187" t="str">
        <f>VLOOKUP(input_invoice[[#This Row],[concept/supplier]],'sel-invoice'!D:F,3,0)</f>
        <v>SL</v>
      </c>
      <c r="P187" t="str">
        <f>IF(input_invoice[[#This Row],[entity]]="SL","EUR",IF(input_invoice[[#This Row],[entity]]="Ltd","GBP",IF(input_invoice[[#This Row],[entity]]="Inc","USD","XXX")))</f>
        <v>EUR</v>
      </c>
    </row>
    <row r="188" spans="1:19" hidden="1" x14ac:dyDescent="0.3">
      <c r="A188">
        <v>202509</v>
      </c>
      <c r="B188" s="22" t="s">
        <v>917</v>
      </c>
      <c r="C188" s="48" t="s">
        <v>928</v>
      </c>
      <c r="D188" s="43">
        <v>45914</v>
      </c>
      <c r="E188" s="43">
        <v>45914</v>
      </c>
      <c r="F188" t="s">
        <v>924</v>
      </c>
      <c r="G188" s="47">
        <f>MAX(+input_invoice[[#This Row],[net]]+input_invoice[[#This Row],[tax_iva]],input_invoice[[#This Row],[net]])</f>
        <v>249</v>
      </c>
      <c r="H188" s="47">
        <f>input_invoice[[#This Row],[net]]*(MAX(input_invoice[[#This Row],[tax_rate_iva]],0)/100)</f>
        <v>0</v>
      </c>
      <c r="I188" s="47">
        <f>-input_invoice[[#This Row],[net]]*input_invoice[[#This Row],[tax_rate_irpf]]/100</f>
        <v>0</v>
      </c>
      <c r="J188" s="47">
        <v>249</v>
      </c>
      <c r="K188" t="str">
        <f t="shared" si="7"/>
        <v>it</v>
      </c>
      <c r="L188">
        <v>0</v>
      </c>
      <c r="N188" t="str">
        <f>VLOOKUP(input_invoice[[#This Row],[concept/supplier]],'sel-invoice'!D:E,2,0)</f>
        <v>Konvo</v>
      </c>
      <c r="O188" t="str">
        <f>VLOOKUP(input_invoice[[#This Row],[concept/supplier]],'sel-invoice'!D:F,3,0)</f>
        <v>SL</v>
      </c>
      <c r="P188" t="str">
        <f>IF(input_invoice[[#This Row],[entity]]="SL","EUR",IF(input_invoice[[#This Row],[entity]]="Ltd","GBP",IF(input_invoice[[#This Row],[entity]]="Inc","USD","XXX")))</f>
        <v>EUR</v>
      </c>
      <c r="Q188" s="199" t="s">
        <v>927</v>
      </c>
      <c r="R188" s="259" t="b">
        <v>1</v>
      </c>
    </row>
    <row r="189" spans="1:19" hidden="1" x14ac:dyDescent="0.3">
      <c r="A189">
        <v>202509</v>
      </c>
      <c r="B189" s="22" t="s">
        <v>917</v>
      </c>
      <c r="C189" s="48">
        <v>3891311246</v>
      </c>
      <c r="D189" s="94">
        <v>45915</v>
      </c>
      <c r="E189" s="94">
        <v>45915</v>
      </c>
      <c r="F189" t="s">
        <v>125</v>
      </c>
      <c r="G189" s="47">
        <f>MAX(+input_invoice[[#This Row],[net]]+input_invoice[[#This Row],[tax_iva]]+input_invoice[[#This Row],[tax_irpf]],input_invoice[[#This Row],[net]])</f>
        <v>14.507899999999999</v>
      </c>
      <c r="H189" s="47">
        <f>input_invoice[[#This Row],[net]]*(MAX(input_invoice[[#This Row],[tax_rate_iva]],0)/100)</f>
        <v>2.5179</v>
      </c>
      <c r="I189" s="47">
        <f>-input_invoice[[#This Row],[net]]*input_invoice[[#This Row],[tax_rate_irpf]]/100</f>
        <v>0</v>
      </c>
      <c r="J189" s="95">
        <v>11.99</v>
      </c>
      <c r="K189" t="str">
        <f t="shared" si="7"/>
        <v>it</v>
      </c>
      <c r="L189">
        <v>21</v>
      </c>
      <c r="N189" t="str">
        <f>VLOOKUP(input_invoice[[#This Row],[concept/supplier]],'sel-invoice'!D:E,2,0)</f>
        <v>Godaddy</v>
      </c>
      <c r="O189" t="str">
        <f>VLOOKUP(input_invoice[[#This Row],[concept/supplier]],'sel-invoice'!D:F,3,0)</f>
        <v>SL</v>
      </c>
      <c r="P189" t="str">
        <f>IF(input_invoice[[#This Row],[entity]]="SL","EUR",IF(input_invoice[[#This Row],[entity]]="Ltd","GBP",IF(input_invoice[[#This Row],[entity]]="Inc","USD","XXX")))</f>
        <v>EUR</v>
      </c>
    </row>
    <row r="190" spans="1:19" hidden="1" x14ac:dyDescent="0.3">
      <c r="A190">
        <v>202509</v>
      </c>
      <c r="B190" s="22" t="s">
        <v>917</v>
      </c>
      <c r="C190" s="48">
        <v>3891311246</v>
      </c>
      <c r="D190" s="94">
        <v>45915</v>
      </c>
      <c r="E190" s="94">
        <v>45915</v>
      </c>
      <c r="F190" t="s">
        <v>125</v>
      </c>
      <c r="G190" s="47">
        <f>MAX(+input_invoice[[#This Row],[net]]+input_invoice[[#This Row],[tax_iva]]+input_invoice[[#This Row],[tax_irpf]],input_invoice[[#This Row],[net]])</f>
        <v>12.087900000000001</v>
      </c>
      <c r="H190" s="47">
        <f>input_invoice[[#This Row],[net]]*(MAX(input_invoice[[#This Row],[tax_rate_iva]],0)/100)</f>
        <v>2.0979000000000001</v>
      </c>
      <c r="I190" s="47">
        <f>-input_invoice[[#This Row],[net]]*input_invoice[[#This Row],[tax_rate_irpf]]/100</f>
        <v>0</v>
      </c>
      <c r="J190" s="95">
        <v>9.99</v>
      </c>
      <c r="K190" t="str">
        <f t="shared" si="7"/>
        <v>it</v>
      </c>
      <c r="L190">
        <v>21</v>
      </c>
      <c r="N190" t="str">
        <f>VLOOKUP(input_invoice[[#This Row],[concept/supplier]],'sel-invoice'!D:E,2,0)</f>
        <v>Godaddy</v>
      </c>
      <c r="O190" t="str">
        <f>VLOOKUP(input_invoice[[#This Row],[concept/supplier]],'sel-invoice'!D:F,3,0)</f>
        <v>SL</v>
      </c>
      <c r="P190" t="str">
        <f>IF(input_invoice[[#This Row],[entity]]="SL","EUR",IF(input_invoice[[#This Row],[entity]]="Ltd","GBP",IF(input_invoice[[#This Row],[entity]]="Inc","USD","XXX")))</f>
        <v>EUR</v>
      </c>
    </row>
    <row r="191" spans="1:19" hidden="1" x14ac:dyDescent="0.3">
      <c r="A191">
        <v>202509</v>
      </c>
      <c r="B191" s="22" t="s">
        <v>917</v>
      </c>
      <c r="C191" s="48">
        <v>3891311246</v>
      </c>
      <c r="D191" s="94">
        <v>45915</v>
      </c>
      <c r="E191" s="94">
        <v>45915</v>
      </c>
      <c r="F191" t="s">
        <v>125</v>
      </c>
      <c r="G191" s="47">
        <f>MAX(+input_invoice[[#This Row],[net]]+input_invoice[[#This Row],[tax_iva]]+input_invoice[[#This Row],[tax_irpf]],input_invoice[[#This Row],[net]])</f>
        <v>36.2879</v>
      </c>
      <c r="H191" s="47">
        <f>input_invoice[[#This Row],[net]]*(MAX(input_invoice[[#This Row],[tax_rate_iva]],0)/100)</f>
        <v>6.2978999999999994</v>
      </c>
      <c r="I191" s="47">
        <f>-input_invoice[[#This Row],[net]]*input_invoice[[#This Row],[tax_rate_irpf]]/100</f>
        <v>0</v>
      </c>
      <c r="J191" s="95">
        <v>29.99</v>
      </c>
      <c r="K191" t="str">
        <f t="shared" si="7"/>
        <v>it</v>
      </c>
      <c r="L191">
        <v>21</v>
      </c>
      <c r="N191" t="str">
        <f>VLOOKUP(input_invoice[[#This Row],[concept/supplier]],'sel-invoice'!D:E,2,0)</f>
        <v>Godaddy</v>
      </c>
      <c r="O191" t="str">
        <f>VLOOKUP(input_invoice[[#This Row],[concept/supplier]],'sel-invoice'!D:F,3,0)</f>
        <v>SL</v>
      </c>
      <c r="P191" t="str">
        <f>IF(input_invoice[[#This Row],[entity]]="SL","EUR",IF(input_invoice[[#This Row],[entity]]="Ltd","GBP",IF(input_invoice[[#This Row],[entity]]="Inc","USD","XXX")))</f>
        <v>EUR</v>
      </c>
    </row>
    <row r="192" spans="1:19" hidden="1" x14ac:dyDescent="0.3">
      <c r="A192">
        <v>202509</v>
      </c>
      <c r="B192" s="22" t="s">
        <v>917</v>
      </c>
      <c r="C192" s="48">
        <v>3891311246</v>
      </c>
      <c r="D192" s="94">
        <v>45915</v>
      </c>
      <c r="E192" s="94">
        <v>45915</v>
      </c>
      <c r="F192" t="s">
        <v>125</v>
      </c>
      <c r="G192" s="47">
        <f>MAX(+input_invoice[[#This Row],[net]]+input_invoice[[#This Row],[tax_iva]]+input_invoice[[#This Row],[tax_irpf]],input_invoice[[#This Row],[net]])</f>
        <v>12.087900000000001</v>
      </c>
      <c r="H192" s="47">
        <f>input_invoice[[#This Row],[net]]*(MAX(input_invoice[[#This Row],[tax_rate_iva]],0)/100)</f>
        <v>2.0979000000000001</v>
      </c>
      <c r="I192" s="47">
        <f>-input_invoice[[#This Row],[net]]*input_invoice[[#This Row],[tax_rate_irpf]]/100</f>
        <v>0</v>
      </c>
      <c r="J192" s="95">
        <v>9.99</v>
      </c>
      <c r="K192" t="str">
        <f t="shared" si="7"/>
        <v>it</v>
      </c>
      <c r="L192">
        <v>21</v>
      </c>
      <c r="N192" t="str">
        <f>VLOOKUP(input_invoice[[#This Row],[concept/supplier]],'sel-invoice'!D:E,2,0)</f>
        <v>Godaddy</v>
      </c>
      <c r="O192" t="str">
        <f>VLOOKUP(input_invoice[[#This Row],[concept/supplier]],'sel-invoice'!D:F,3,0)</f>
        <v>SL</v>
      </c>
      <c r="P192" t="str">
        <f>IF(input_invoice[[#This Row],[entity]]="SL","EUR",IF(input_invoice[[#This Row],[entity]]="Ltd","GBP",IF(input_invoice[[#This Row],[entity]]="Inc","USD","XXX")))</f>
        <v>EUR</v>
      </c>
    </row>
    <row r="193" spans="1:18" hidden="1" x14ac:dyDescent="0.3">
      <c r="A193">
        <v>202509</v>
      </c>
      <c r="B193" s="22" t="s">
        <v>917</v>
      </c>
      <c r="C193" s="65" t="s">
        <v>374</v>
      </c>
      <c r="D193" s="94">
        <v>45915</v>
      </c>
      <c r="E193" s="94">
        <v>45915</v>
      </c>
      <c r="F193" t="s">
        <v>354</v>
      </c>
      <c r="G193" s="47">
        <f>MAX(+input_invoice[[#This Row],[net]]+input_invoice[[#This Row],[tax_iva]]+input_invoice[[#This Row],[tax_irpf]],input_invoice[[#This Row],[net]])</f>
        <v>34.799999999999997</v>
      </c>
      <c r="H193" s="47">
        <f>input_invoice[[#This Row],[net]]*(MAX(input_invoice[[#This Row],[tax_rate_iva]],0)/100)</f>
        <v>0</v>
      </c>
      <c r="I193" s="47">
        <f>-input_invoice[[#This Row],[net]]*input_invoice[[#This Row],[tax_rate_irpf]]/100</f>
        <v>0</v>
      </c>
      <c r="J193" s="47">
        <v>34.799999999999997</v>
      </c>
      <c r="K193" t="str">
        <f t="shared" si="7"/>
        <v>it</v>
      </c>
      <c r="L193">
        <v>0</v>
      </c>
      <c r="N193" t="str">
        <f>VLOOKUP(input_invoice[[#This Row],[concept/supplier]],'sel-invoice'!D:E,2,0)</f>
        <v>lingpad</v>
      </c>
      <c r="O193" t="str">
        <f>VLOOKUP(input_invoice[[#This Row],[concept/supplier]],'sel-invoice'!D:F,3,0)</f>
        <v>SL</v>
      </c>
      <c r="P193" t="str">
        <f>IF(input_invoice[[#This Row],[entity]]="SL","EUR",IF(input_invoice[[#This Row],[entity]]="Ltd","GBP",IF(input_invoice[[#This Row],[entity]]="Inc","USD","XXX")))</f>
        <v>EUR</v>
      </c>
      <c r="Q193" s="199" t="s">
        <v>147</v>
      </c>
      <c r="R193" s="259" t="b">
        <v>1</v>
      </c>
    </row>
    <row r="194" spans="1:18" hidden="1" x14ac:dyDescent="0.3">
      <c r="A194">
        <v>202509</v>
      </c>
      <c r="B194" s="22" t="s">
        <v>917</v>
      </c>
      <c r="C194" t="s">
        <v>377</v>
      </c>
      <c r="D194" s="43">
        <v>45914</v>
      </c>
      <c r="E194" s="43">
        <v>45915</v>
      </c>
      <c r="F194" t="s">
        <v>119</v>
      </c>
      <c r="G194" s="47">
        <f>MAX(+input_invoice[[#This Row],[net]]+input_invoice[[#This Row],[tax_iva]],input_invoice[[#This Row],[net]])</f>
        <v>2.5046999999999997</v>
      </c>
      <c r="H194" s="47">
        <f>input_invoice[[#This Row],[net]]*(MAX(input_invoice[[#This Row],[tax_rate_iva]],0)/100)</f>
        <v>0.43469999999999998</v>
      </c>
      <c r="I194" s="47">
        <f>-input_invoice[[#This Row],[net]]*input_invoice[[#This Row],[tax_rate_irpf]]/100</f>
        <v>0</v>
      </c>
      <c r="J194" s="47">
        <v>2.0699999999999998</v>
      </c>
      <c r="K194" t="str">
        <f t="shared" si="7"/>
        <v>administrative</v>
      </c>
      <c r="L194">
        <v>21</v>
      </c>
      <c r="N194" t="str">
        <f>VLOOKUP(input_invoice[[#This Row],[concept/supplier]],'sel-invoice'!D:E,2,0)</f>
        <v>otros</v>
      </c>
      <c r="O194" t="str">
        <f>VLOOKUP(input_invoice[[#This Row],[concept/supplier]],'sel-invoice'!D:F,3,0)</f>
        <v>SL</v>
      </c>
      <c r="P194" t="str">
        <f>IF(input_invoice[[#This Row],[entity]]="SL","EUR",IF(input_invoice[[#This Row],[entity]]="Ltd","GBP",IF(input_invoice[[#This Row],[entity]]="Inc","USD","XXX")))</f>
        <v>EUR</v>
      </c>
      <c r="Q194" s="199" t="s">
        <v>999</v>
      </c>
    </row>
    <row r="195" spans="1:18" hidden="1" x14ac:dyDescent="0.3">
      <c r="A195">
        <v>202509</v>
      </c>
      <c r="B195" s="22" t="s">
        <v>917</v>
      </c>
      <c r="C195" s="48">
        <v>326144491</v>
      </c>
      <c r="D195" s="43">
        <v>45909</v>
      </c>
      <c r="E195" s="43">
        <f>input_invoice[[#This Row],[date]]</f>
        <v>45909</v>
      </c>
      <c r="F195" t="s">
        <v>55</v>
      </c>
      <c r="G195" s="47">
        <f>MAX(+input_invoice[[#This Row],[net]]+input_invoice[[#This Row],[tax_iva]],input_invoice[[#This Row],[net]])</f>
        <v>1884.86</v>
      </c>
      <c r="H195" s="47">
        <f>input_invoice[[#This Row],[net]]*(MAX(input_invoice[[#This Row],[tax_rate_iva]],0)/100)</f>
        <v>0</v>
      </c>
      <c r="I195" s="47">
        <f>-input_invoice[[#This Row],[net]]*input_invoice[[#This Row],[tax_rate_irpf]]/100</f>
        <v>0</v>
      </c>
      <c r="J195" s="47">
        <v>1884.86</v>
      </c>
      <c r="K195" t="str">
        <f t="shared" si="7"/>
        <v>logistics</v>
      </c>
      <c r="L195">
        <v>0</v>
      </c>
      <c r="N195" t="str">
        <f>VLOOKUP(input_invoice[[#This Row],[concept/supplier]],'sel-invoice'!D:E,2,0)</f>
        <v>UPS DE</v>
      </c>
      <c r="O195" t="str">
        <f>VLOOKUP(input_invoice[[#This Row],[concept/supplier]],'sel-invoice'!D:F,3,0)</f>
        <v>SL</v>
      </c>
      <c r="P195" t="str">
        <f>IF(input_invoice[[#This Row],[entity]]="SL","EUR",IF(input_invoice[[#This Row],[entity]]="Ltd","GBP",IF(input_invoice[[#This Row],[entity]]="Inc","USD","XXX")))</f>
        <v>EUR</v>
      </c>
      <c r="Q195" s="199" t="s">
        <v>427</v>
      </c>
      <c r="R195" s="259" t="b">
        <v>1</v>
      </c>
    </row>
    <row r="196" spans="1:18" hidden="1" x14ac:dyDescent="0.3">
      <c r="A196">
        <v>202509</v>
      </c>
      <c r="B196" s="22" t="s">
        <v>917</v>
      </c>
      <c r="C196" s="65" t="s">
        <v>375</v>
      </c>
      <c r="D196" s="94">
        <v>45917</v>
      </c>
      <c r="E196" s="94">
        <v>45917</v>
      </c>
      <c r="F196" t="s">
        <v>354</v>
      </c>
      <c r="G196" s="47">
        <f>MAX(+input_invoice[[#This Row],[net]]+input_invoice[[#This Row],[tax_iva]]+input_invoice[[#This Row],[tax_irpf]],input_invoice[[#This Row],[net]])</f>
        <v>67.430000000000007</v>
      </c>
      <c r="H196" s="47">
        <f>input_invoice[[#This Row],[net]]*(MAX(input_invoice[[#This Row],[tax_rate_iva]],0)/100)</f>
        <v>0</v>
      </c>
      <c r="I196" s="47">
        <f>-input_invoice[[#This Row],[net]]*input_invoice[[#This Row],[tax_rate_irpf]]/100</f>
        <v>0</v>
      </c>
      <c r="J196" s="47">
        <v>67.430000000000007</v>
      </c>
      <c r="K196" t="str">
        <f t="shared" si="7"/>
        <v>it</v>
      </c>
      <c r="L196">
        <v>0</v>
      </c>
      <c r="N196" t="str">
        <f>VLOOKUP(input_invoice[[#This Row],[concept/supplier]],'sel-invoice'!D:E,2,0)</f>
        <v>lingpad</v>
      </c>
      <c r="O196" t="str">
        <f>VLOOKUP(input_invoice[[#This Row],[concept/supplier]],'sel-invoice'!D:F,3,0)</f>
        <v>SL</v>
      </c>
      <c r="P196" t="str">
        <f>IF(input_invoice[[#This Row],[entity]]="SL","EUR",IF(input_invoice[[#This Row],[entity]]="Ltd","GBP",IF(input_invoice[[#This Row],[entity]]="Inc","USD","XXX")))</f>
        <v>EUR</v>
      </c>
      <c r="Q196" s="199" t="s">
        <v>147</v>
      </c>
      <c r="R196" s="259" t="b">
        <v>1</v>
      </c>
    </row>
    <row r="197" spans="1:18" hidden="1" x14ac:dyDescent="0.3">
      <c r="A197">
        <v>202509</v>
      </c>
      <c r="B197" s="22" t="s">
        <v>917</v>
      </c>
      <c r="C197" s="65" t="s">
        <v>371</v>
      </c>
      <c r="D197" s="94">
        <v>45918</v>
      </c>
      <c r="E197" s="94">
        <v>45918</v>
      </c>
      <c r="F197" t="s">
        <v>129</v>
      </c>
      <c r="G197" s="47">
        <f>MAX(+input_invoice[[#This Row],[net]]+input_invoice[[#This Row],[tax_iva]]+input_invoice[[#This Row],[tax_irpf]],input_invoice[[#This Row],[net]])</f>
        <v>34.122</v>
      </c>
      <c r="H197" s="47">
        <f>input_invoice[[#This Row],[net]]*(MAX(input_invoice[[#This Row],[tax_rate_iva]],0)/100)</f>
        <v>5.9219999999999997</v>
      </c>
      <c r="I197" s="47">
        <f>-input_invoice[[#This Row],[net]]*input_invoice[[#This Row],[tax_rate_irpf]]/100</f>
        <v>0</v>
      </c>
      <c r="J197" s="96">
        <v>28.2</v>
      </c>
      <c r="K197" t="str">
        <f t="shared" si="7"/>
        <v>it</v>
      </c>
      <c r="L197">
        <v>21</v>
      </c>
      <c r="N197" t="str">
        <f>VLOOKUP(input_invoice[[#This Row],[concept/supplier]],'sel-invoice'!D:E,2,0)</f>
        <v>Microsoft</v>
      </c>
      <c r="O197" t="str">
        <f>VLOOKUP(input_invoice[[#This Row],[concept/supplier]],'sel-invoice'!D:F,3,0)</f>
        <v>SL</v>
      </c>
      <c r="P197" t="str">
        <f>IF(input_invoice[[#This Row],[entity]]="SL","EUR",IF(input_invoice[[#This Row],[entity]]="Ltd","GBP",IF(input_invoice[[#This Row],[entity]]="Inc","USD","XXX")))</f>
        <v>EUR</v>
      </c>
    </row>
    <row r="198" spans="1:18" hidden="1" x14ac:dyDescent="0.3">
      <c r="A198">
        <v>202509</v>
      </c>
      <c r="B198" s="22" t="s">
        <v>917</v>
      </c>
      <c r="C198" s="48" t="s">
        <v>371</v>
      </c>
      <c r="D198" s="43">
        <v>45918</v>
      </c>
      <c r="E198" s="43">
        <v>45918</v>
      </c>
      <c r="F198" t="s">
        <v>129</v>
      </c>
      <c r="G198" s="47">
        <v>34.122</v>
      </c>
      <c r="H198" s="47">
        <v>5.9219999999999997</v>
      </c>
      <c r="I198" s="47">
        <v>0</v>
      </c>
      <c r="J198" s="47">
        <v>28.2</v>
      </c>
      <c r="K198" t="s">
        <v>436</v>
      </c>
      <c r="L198">
        <v>21</v>
      </c>
      <c r="N198" t="s">
        <v>439</v>
      </c>
      <c r="O198" t="s">
        <v>399</v>
      </c>
      <c r="P198" t="s">
        <v>488</v>
      </c>
    </row>
    <row r="199" spans="1:18" hidden="1" x14ac:dyDescent="0.3">
      <c r="A199">
        <v>202509</v>
      </c>
      <c r="B199" s="22" t="s">
        <v>917</v>
      </c>
      <c r="C199" s="65" t="s">
        <v>376</v>
      </c>
      <c r="D199" s="94">
        <v>45922</v>
      </c>
      <c r="E199" s="94">
        <v>45922</v>
      </c>
      <c r="F199" t="s">
        <v>354</v>
      </c>
      <c r="G199" s="47">
        <f>MAX(+input_invoice[[#This Row],[net]]+input_invoice[[#This Row],[tax_iva]]+input_invoice[[#This Row],[tax_irpf]],input_invoice[[#This Row],[net]])</f>
        <v>-67.430000000000007</v>
      </c>
      <c r="H199" s="47">
        <f>input_invoice[[#This Row],[net]]*(MAX(input_invoice[[#This Row],[tax_rate_iva]],0)/100)</f>
        <v>0</v>
      </c>
      <c r="I199" s="47">
        <f>-input_invoice[[#This Row],[net]]*input_invoice[[#This Row],[tax_rate_irpf]]/100</f>
        <v>0</v>
      </c>
      <c r="J199" s="47">
        <v>-67.430000000000007</v>
      </c>
      <c r="K199" t="str">
        <f>_xlfn.TEXTBEFORE(F199," - ")</f>
        <v>it</v>
      </c>
      <c r="L199">
        <v>0</v>
      </c>
      <c r="N199" t="str">
        <f>VLOOKUP(input_invoice[[#This Row],[concept/supplier]],'sel-invoice'!D:E,2,0)</f>
        <v>lingpad</v>
      </c>
      <c r="O199" t="str">
        <f>VLOOKUP(input_invoice[[#This Row],[concept/supplier]],'sel-invoice'!D:F,3,0)</f>
        <v>SL</v>
      </c>
      <c r="P199" t="str">
        <f>IF(input_invoice[[#This Row],[entity]]="SL","EUR",IF(input_invoice[[#This Row],[entity]]="Ltd","GBP",IF(input_invoice[[#This Row],[entity]]="Inc","USD","XXX")))</f>
        <v>EUR</v>
      </c>
      <c r="Q199" s="199" t="s">
        <v>147</v>
      </c>
      <c r="R199" s="259" t="b">
        <v>1</v>
      </c>
    </row>
    <row r="200" spans="1:18" hidden="1" x14ac:dyDescent="0.3">
      <c r="A200">
        <v>202509</v>
      </c>
      <c r="B200" s="22" t="s">
        <v>917</v>
      </c>
      <c r="C200" s="48">
        <v>326176255</v>
      </c>
      <c r="D200" s="43">
        <v>45916</v>
      </c>
      <c r="E200" s="43">
        <f>input_invoice[[#This Row],[date]]</f>
        <v>45916</v>
      </c>
      <c r="F200" t="s">
        <v>55</v>
      </c>
      <c r="G200" s="47">
        <f>MAX(+input_invoice[[#This Row],[net]]+input_invoice[[#This Row],[tax_iva]],input_invoice[[#This Row],[net]])</f>
        <v>1120</v>
      </c>
      <c r="H200" s="47">
        <f>input_invoice[[#This Row],[net]]*(MAX(input_invoice[[#This Row],[tax_rate_iva]],0)/100)</f>
        <v>0</v>
      </c>
      <c r="I200" s="47">
        <f>-input_invoice[[#This Row],[net]]*input_invoice[[#This Row],[tax_rate_irpf]]/100</f>
        <v>0</v>
      </c>
      <c r="J200" s="47">
        <v>1120</v>
      </c>
      <c r="K200" t="str">
        <f>_xlfn.TEXTBEFORE(F200," - ")</f>
        <v>logistics</v>
      </c>
      <c r="L200">
        <v>0</v>
      </c>
      <c r="N200" t="str">
        <f>VLOOKUP(input_invoice[[#This Row],[concept/supplier]],'sel-invoice'!D:E,2,0)</f>
        <v>UPS DE</v>
      </c>
      <c r="O200" t="str">
        <f>VLOOKUP(input_invoice[[#This Row],[concept/supplier]],'sel-invoice'!D:F,3,0)</f>
        <v>SL</v>
      </c>
      <c r="P200" t="str">
        <f>IF(input_invoice[[#This Row],[entity]]="SL","EUR",IF(input_invoice[[#This Row],[entity]]="Ltd","GBP",IF(input_invoice[[#This Row],[entity]]="Inc","USD","XXX")))</f>
        <v>EUR</v>
      </c>
      <c r="Q200" s="199" t="s">
        <v>427</v>
      </c>
      <c r="R200" s="259" t="b">
        <v>1</v>
      </c>
    </row>
    <row r="201" spans="1:18" hidden="1" x14ac:dyDescent="0.3">
      <c r="A201">
        <v>202509</v>
      </c>
      <c r="B201" s="22" t="s">
        <v>917</v>
      </c>
      <c r="C201" s="65" t="s">
        <v>373</v>
      </c>
      <c r="D201" s="94">
        <v>45922</v>
      </c>
      <c r="E201" s="94">
        <v>45926</v>
      </c>
      <c r="F201" t="s">
        <v>139</v>
      </c>
      <c r="G201" s="47">
        <f>MAX(+input_invoice[[#This Row],[net]]+input_invoice[[#This Row],[tax_iva]]+input_invoice[[#This Row],[tax_irpf]],input_invoice[[#This Row],[net]])</f>
        <v>6.05</v>
      </c>
      <c r="H201" s="47">
        <f>input_invoice[[#This Row],[net]]*(MAX(input_invoice[[#This Row],[tax_rate_iva]],0)/100)</f>
        <v>1.05</v>
      </c>
      <c r="I201" s="47">
        <f>-input_invoice[[#This Row],[net]]*input_invoice[[#This Row],[tax_rate_irpf]]/100</f>
        <v>0</v>
      </c>
      <c r="J201" s="47">
        <v>5</v>
      </c>
      <c r="K201" t="str">
        <f>_xlfn.TEXTBEFORE(F201," - ")</f>
        <v>it</v>
      </c>
      <c r="L201">
        <v>21</v>
      </c>
      <c r="N201" t="str">
        <f>VLOOKUP(input_invoice[[#This Row],[concept/supplier]],'sel-invoice'!D:E,2,0)</f>
        <v>Mas Movil</v>
      </c>
      <c r="O201" t="str">
        <f>VLOOKUP(input_invoice[[#This Row],[concept/supplier]],'sel-invoice'!D:F,3,0)</f>
        <v>SL</v>
      </c>
      <c r="P201" t="str">
        <f>IF(input_invoice[[#This Row],[entity]]="SL","EUR",IF(input_invoice[[#This Row],[entity]]="Ltd","GBP",IF(input_invoice[[#This Row],[entity]]="Inc","USD","XXX")))</f>
        <v>EUR</v>
      </c>
    </row>
    <row r="202" spans="1:18" hidden="1" x14ac:dyDescent="0.3">
      <c r="A202">
        <v>202509</v>
      </c>
      <c r="B202" s="22" t="s">
        <v>917</v>
      </c>
      <c r="C202" s="48">
        <v>181076</v>
      </c>
      <c r="D202" s="43">
        <v>45928</v>
      </c>
      <c r="E202" s="43">
        <v>45928</v>
      </c>
      <c r="F202" t="s">
        <v>131</v>
      </c>
      <c r="G202" s="47">
        <f>MAX(+input_invoice[[#This Row],[net]]+input_invoice[[#This Row],[tax_iva]]+input_invoice[[#This Row],[tax_irpf]],input_invoice[[#This Row],[net]])</f>
        <v>134</v>
      </c>
      <c r="H202" s="47">
        <f>input_invoice[[#This Row],[net]]*(MAX(input_invoice[[#This Row],[tax_rate_iva]],0)/100)</f>
        <v>0</v>
      </c>
      <c r="I202" s="47">
        <f>-input_invoice[[#This Row],[net]]*input_invoice[[#This Row],[tax_rate_irpf]]/100</f>
        <v>0</v>
      </c>
      <c r="J202" s="47">
        <v>134</v>
      </c>
      <c r="K202" t="str">
        <f>_xlfn.TEXTBEFORE(F202," - ")</f>
        <v>it</v>
      </c>
      <c r="L202">
        <v>0</v>
      </c>
      <c r="N202" t="str">
        <f>VLOOKUP(input_invoice[[#This Row],[concept/supplier]],'sel-invoice'!D:E,2,0)</f>
        <v>Product Hero</v>
      </c>
      <c r="O202" t="str">
        <f>VLOOKUP(input_invoice[[#This Row],[concept/supplier]],'sel-invoice'!D:F,3,0)</f>
        <v>SL</v>
      </c>
      <c r="P202" t="str">
        <f>IF(input_invoice[[#This Row],[entity]]="SL","EUR",IF(input_invoice[[#This Row],[entity]]="Ltd","GBP",IF(input_invoice[[#This Row],[entity]]="Inc","USD","XXX")))</f>
        <v>EUR</v>
      </c>
      <c r="Q202" s="199" t="s">
        <v>520</v>
      </c>
    </row>
    <row r="203" spans="1:18" hidden="1" x14ac:dyDescent="0.3">
      <c r="A203">
        <v>202509</v>
      </c>
      <c r="B203" s="22" t="s">
        <v>917</v>
      </c>
      <c r="C203" s="48" t="s">
        <v>521</v>
      </c>
      <c r="D203" s="43">
        <v>45928</v>
      </c>
      <c r="E203" s="43">
        <v>45928</v>
      </c>
      <c r="F203" t="s">
        <v>81</v>
      </c>
      <c r="G203" s="47">
        <f>MAX(+input_invoice[[#This Row],[net]]+input_invoice[[#This Row],[tax_iva]]+input_invoice[[#This Row],[tax_irpf]],input_invoice[[#This Row],[net]])</f>
        <v>95.59</v>
      </c>
      <c r="H203" s="47">
        <f>input_invoice[[#This Row],[net]]*(MAX(input_invoice[[#This Row],[tax_rate_iva]],0)/100)</f>
        <v>16.59</v>
      </c>
      <c r="I203" s="47">
        <f>-input_invoice[[#This Row],[net]]*input_invoice[[#This Row],[tax_rate_irpf]]/100</f>
        <v>0</v>
      </c>
      <c r="J203" s="47">
        <v>79</v>
      </c>
      <c r="K203" t="str">
        <f>_xlfn.TEXTBEFORE(F203," - ")</f>
        <v>returns</v>
      </c>
      <c r="L203">
        <v>21</v>
      </c>
      <c r="N203" t="str">
        <f>VLOOKUP(input_invoice[[#This Row],[concept/supplier]],'sel-invoice'!D:E,2,0)</f>
        <v>rever</v>
      </c>
      <c r="O203" t="str">
        <f>VLOOKUP(input_invoice[[#This Row],[concept/supplier]],'sel-invoice'!D:F,3,0)</f>
        <v>SL</v>
      </c>
      <c r="P203" t="str">
        <f>IF(input_invoice[[#This Row],[entity]]="SL","EUR",IF(input_invoice[[#This Row],[entity]]="Ltd","GBP",IF(input_invoice[[#This Row],[entity]]="Inc","USD","XXX")))</f>
        <v>EUR</v>
      </c>
      <c r="Q203" s="199" t="s">
        <v>522</v>
      </c>
    </row>
    <row r="204" spans="1:18" hidden="1" x14ac:dyDescent="0.3">
      <c r="A204">
        <v>202509</v>
      </c>
      <c r="B204" s="22" t="s">
        <v>917</v>
      </c>
      <c r="C204" s="48" t="s">
        <v>929</v>
      </c>
      <c r="D204" s="43">
        <v>45928</v>
      </c>
      <c r="E204" s="43">
        <v>45928</v>
      </c>
      <c r="F204" t="s">
        <v>150</v>
      </c>
      <c r="G204" s="47">
        <v>33.49</v>
      </c>
      <c r="H204" s="47">
        <v>0</v>
      </c>
      <c r="I204" s="47">
        <v>0</v>
      </c>
      <c r="J204" s="47">
        <v>33.49</v>
      </c>
      <c r="K204" t="s">
        <v>436</v>
      </c>
      <c r="L204">
        <v>0</v>
      </c>
      <c r="N204" t="s">
        <v>471</v>
      </c>
      <c r="O204" t="s">
        <v>399</v>
      </c>
      <c r="P204" t="s">
        <v>488</v>
      </c>
    </row>
    <row r="205" spans="1:18" hidden="1" x14ac:dyDescent="0.3">
      <c r="A205">
        <v>202506</v>
      </c>
      <c r="B205" s="22" t="s">
        <v>917</v>
      </c>
      <c r="C205">
        <v>246983589</v>
      </c>
      <c r="D205" s="43">
        <v>45839</v>
      </c>
      <c r="E205" s="43">
        <f>input_invoice[[#This Row],[date]]+60</f>
        <v>45899</v>
      </c>
      <c r="F205" t="s">
        <v>90</v>
      </c>
      <c r="G205" s="47">
        <f>MAX(+input_invoice[[#This Row],[net]]+input_invoice[[#This Row],[tax_iva]]+input_invoice[[#This Row],[tax_irpf]],input_invoice[[#This Row],[net]])</f>
        <v>5754.66</v>
      </c>
      <c r="H205" s="47">
        <f>input_invoice[[#This Row],[net]]*(MAX(input_invoice[[#This Row],[tax_rate_iva]],0)/100)</f>
        <v>0</v>
      </c>
      <c r="I205" s="47">
        <f>-input_invoice[[#This Row],[net]]*input_invoice[[#This Row],[tax_rate_irpf]]/100</f>
        <v>0</v>
      </c>
      <c r="J205" s="47">
        <v>5754.66</v>
      </c>
      <c r="K205" t="str">
        <f t="shared" ref="K205:K213" si="8">_xlfn.TEXTBEFORE(F205," - ")</f>
        <v>marketing</v>
      </c>
      <c r="L205">
        <v>0</v>
      </c>
      <c r="N205" t="str">
        <f>VLOOKUP(input_invoice[[#This Row],[concept/supplier]],'sel-invoice'!D:E,2,0)</f>
        <v>meta</v>
      </c>
      <c r="O205" t="str">
        <f>VLOOKUP(input_invoice[[#This Row],[concept/supplier]],'sel-invoice'!D:F,3,0)</f>
        <v>SL</v>
      </c>
      <c r="P205" t="str">
        <f>IF(input_invoice[[#This Row],[entity]]="SL","EUR",IF(input_invoice[[#This Row],[entity]]="Ltd","GBP",IF(input_invoice[[#This Row],[entity]]="Inc","USD","XXX")))</f>
        <v>EUR</v>
      </c>
      <c r="R205" s="259" t="b">
        <v>1</v>
      </c>
    </row>
    <row r="206" spans="1:18" hidden="1" x14ac:dyDescent="0.3">
      <c r="A206">
        <v>202507</v>
      </c>
      <c r="B206" s="22" t="s">
        <v>917</v>
      </c>
      <c r="C206">
        <v>5328191433</v>
      </c>
      <c r="D206" s="43">
        <v>45869</v>
      </c>
      <c r="E206" s="43">
        <f>input_invoice[[#This Row],[date]]+60</f>
        <v>45929</v>
      </c>
      <c r="F206" t="s">
        <v>88</v>
      </c>
      <c r="G206" s="47">
        <f>MAX(+input_invoice[[#This Row],[net]]+input_invoice[[#This Row],[tax_iva]]+input_invoice[[#This Row],[tax_irpf]],input_invoice[[#This Row],[net]])</f>
        <v>37210.06</v>
      </c>
      <c r="H206" s="47">
        <f>input_invoice[[#This Row],[net]]*(MAX(input_invoice[[#This Row],[tax_rate_iva]],0)/100)</f>
        <v>0</v>
      </c>
      <c r="I206" s="47">
        <f>-input_invoice[[#This Row],[net]]*input_invoice[[#This Row],[tax_rate_irpf]]/100</f>
        <v>0</v>
      </c>
      <c r="J206" s="47">
        <v>37210.06</v>
      </c>
      <c r="K206" t="str">
        <f t="shared" si="8"/>
        <v>marketing</v>
      </c>
      <c r="L206">
        <v>0</v>
      </c>
      <c r="N206" t="str">
        <f>VLOOKUP(input_invoice[[#This Row],[concept/supplier]],'sel-invoice'!D:E,2,0)</f>
        <v>google</v>
      </c>
      <c r="O206" t="str">
        <f>VLOOKUP(input_invoice[[#This Row],[concept/supplier]],'sel-invoice'!D:F,3,0)</f>
        <v>SL</v>
      </c>
      <c r="P206" t="str">
        <f>IF(input_invoice[[#This Row],[entity]]="SL","EUR",IF(input_invoice[[#This Row],[entity]]="Ltd","GBP",IF(input_invoice[[#This Row],[entity]]="Inc","USD","XXX")))</f>
        <v>EUR</v>
      </c>
      <c r="R206" s="259" t="b">
        <v>1</v>
      </c>
    </row>
    <row r="207" spans="1:18" hidden="1" x14ac:dyDescent="0.3">
      <c r="A207">
        <v>202509</v>
      </c>
      <c r="B207" s="22" t="s">
        <v>917</v>
      </c>
      <c r="C207">
        <v>25008740</v>
      </c>
      <c r="D207" s="43">
        <v>45930</v>
      </c>
      <c r="E207" s="43">
        <v>45930</v>
      </c>
      <c r="F207" t="s">
        <v>41</v>
      </c>
      <c r="G207" s="47">
        <f>MAX(+input_invoice[[#This Row],[net]]+input_invoice[[#This Row],[tax_iva]]+input_invoice[[#This Row],[tax_irpf]],input_invoice[[#This Row],[net]])</f>
        <v>5208.7837999999992</v>
      </c>
      <c r="H207" s="47">
        <f>input_invoice[[#This Row],[net]]*(MAX(input_invoice[[#This Row],[tax_rate_iva]],0)/100)</f>
        <v>904.00379999999996</v>
      </c>
      <c r="I207" s="47">
        <f>-input_invoice[[#This Row],[net]]*input_invoice[[#This Row],[tax_rate_irpf]]/100</f>
        <v>0</v>
      </c>
      <c r="J207" s="47">
        <v>4304.78</v>
      </c>
      <c r="K207" t="str">
        <f t="shared" si="8"/>
        <v>manufacturing</v>
      </c>
      <c r="L207">
        <v>21</v>
      </c>
      <c r="N207" t="str">
        <f>VLOOKUP(input_invoice[[#This Row],[concept/supplier]],'sel-invoice'!D:E,2,0)</f>
        <v>Pressing</v>
      </c>
      <c r="O207" t="str">
        <f>VLOOKUP(input_invoice[[#This Row],[concept/supplier]],'sel-invoice'!D:F,3,0)</f>
        <v>SL</v>
      </c>
      <c r="P207" t="str">
        <f>IF(input_invoice[[#This Row],[entity]]="SL","EUR",IF(input_invoice[[#This Row],[entity]]="Ltd","GBP",IF(input_invoice[[#This Row],[entity]]="Inc","USD","XXX")))</f>
        <v>EUR</v>
      </c>
    </row>
    <row r="208" spans="1:18" hidden="1" x14ac:dyDescent="0.3">
      <c r="A208">
        <v>202509</v>
      </c>
      <c r="B208" s="22" t="s">
        <v>917</v>
      </c>
      <c r="C208" s="48">
        <v>5368088638</v>
      </c>
      <c r="D208" s="43">
        <v>45930</v>
      </c>
      <c r="E208" s="43">
        <v>45930</v>
      </c>
      <c r="F208" t="s">
        <v>133</v>
      </c>
      <c r="G208" s="47">
        <f>MAX(+input_invoice[[#This Row],[net]]+input_invoice[[#This Row],[tax_iva]],input_invoice[[#This Row],[net]])</f>
        <v>194.9</v>
      </c>
      <c r="H208" s="47">
        <f>input_invoice[[#This Row],[net]]*(MAX(input_invoice[[#This Row],[tax_rate_iva]],0)/100)</f>
        <v>0</v>
      </c>
      <c r="I208" s="47">
        <f>-input_invoice[[#This Row],[net]]*input_invoice[[#This Row],[tax_rate_irpf]]/100</f>
        <v>0</v>
      </c>
      <c r="J208" s="47">
        <v>194.9</v>
      </c>
      <c r="K208" t="str">
        <f t="shared" si="8"/>
        <v>it</v>
      </c>
      <c r="L208">
        <v>0</v>
      </c>
      <c r="N208" t="str">
        <f>VLOOKUP(input_invoice[[#This Row],[concept/supplier]],'sel-invoice'!D:E,2,0)</f>
        <v>Gsuite</v>
      </c>
      <c r="O208" t="str">
        <f>VLOOKUP(input_invoice[[#This Row],[concept/supplier]],'sel-invoice'!D:F,3,0)</f>
        <v>SL</v>
      </c>
      <c r="P208" t="str">
        <f>IF(input_invoice[[#This Row],[entity]]="SL","EUR",IF(input_invoice[[#This Row],[entity]]="Ltd","GBP",IF(input_invoice[[#This Row],[entity]]="Inc","USD","XXX")))</f>
        <v>EUR</v>
      </c>
    </row>
    <row r="209" spans="1:18" hidden="1" x14ac:dyDescent="0.3">
      <c r="A209">
        <v>202510</v>
      </c>
      <c r="B209" s="22" t="s">
        <v>917</v>
      </c>
      <c r="C209" s="48" t="s">
        <v>935</v>
      </c>
      <c r="D209" s="43">
        <v>45931</v>
      </c>
      <c r="E209" s="43">
        <v>45931</v>
      </c>
      <c r="F209" t="s">
        <v>119</v>
      </c>
      <c r="G209" s="47">
        <f>MAX(+input_invoice[[#This Row],[net]]+input_invoice[[#This Row],[tax_iva]],input_invoice[[#This Row],[net]])</f>
        <v>102.5596</v>
      </c>
      <c r="H209" s="47">
        <f>input_invoice[[#This Row],[net]]*(MAX(input_invoice[[#This Row],[tax_rate_iva]],0)/100)</f>
        <v>17.799600000000002</v>
      </c>
      <c r="I209" s="47">
        <f>-input_invoice[[#This Row],[net]]*input_invoice[[#This Row],[tax_rate_irpf]]/100</f>
        <v>0</v>
      </c>
      <c r="J209">
        <v>84.76</v>
      </c>
      <c r="K209" t="str">
        <f t="shared" si="8"/>
        <v>administrative</v>
      </c>
      <c r="L209">
        <v>21</v>
      </c>
      <c r="N209" t="str">
        <f>VLOOKUP(input_invoice[[#This Row],[concept/supplier]],'sel-invoice'!D:E,2,0)</f>
        <v>otros</v>
      </c>
      <c r="O209" t="str">
        <f>VLOOKUP(input_invoice[[#This Row],[concept/supplier]],'sel-invoice'!D:F,3,0)</f>
        <v>SL</v>
      </c>
      <c r="P209" t="str">
        <f>IF(input_invoice[[#This Row],[entity]]="SL","EUR",IF(input_invoice[[#This Row],[entity]]="Ltd","GBP",IF(input_invoice[[#This Row],[entity]]="Inc","USD","XXX")))</f>
        <v>EUR</v>
      </c>
      <c r="Q209" s="199" t="s">
        <v>934</v>
      </c>
    </row>
    <row r="210" spans="1:18" hidden="1" x14ac:dyDescent="0.3">
      <c r="A210">
        <v>202510</v>
      </c>
      <c r="B210" s="22" t="s">
        <v>917</v>
      </c>
      <c r="C210" s="48" t="s">
        <v>935</v>
      </c>
      <c r="D210" s="43">
        <v>45931</v>
      </c>
      <c r="E210" s="43">
        <v>45931</v>
      </c>
      <c r="F210" t="s">
        <v>119</v>
      </c>
      <c r="G210" s="47">
        <f>input_invoice[[#This Row],[tax_irpf]]</f>
        <v>-12.714</v>
      </c>
      <c r="H210" s="47">
        <f>input_invoice[[#This Row],[net]]*(MAX(input_invoice[[#This Row],[tax_rate_iva]],0)/100)</f>
        <v>0</v>
      </c>
      <c r="I210" s="47">
        <f>-input_invoice[[#This Row],[net]]*input_invoice[[#This Row],[tax_rate_irpf]]/100</f>
        <v>-12.714</v>
      </c>
      <c r="J210">
        <v>84.76</v>
      </c>
      <c r="K210" t="str">
        <f t="shared" si="8"/>
        <v>administrative</v>
      </c>
      <c r="L210">
        <v>0</v>
      </c>
      <c r="M210">
        <v>15</v>
      </c>
      <c r="N210" t="str">
        <f>VLOOKUP(input_invoice[[#This Row],[concept/supplier]],'sel-invoice'!D:E,2,0)</f>
        <v>otros</v>
      </c>
      <c r="O210" t="str">
        <f>VLOOKUP(input_invoice[[#This Row],[concept/supplier]],'sel-invoice'!D:F,3,0)</f>
        <v>SL</v>
      </c>
      <c r="P210" t="str">
        <f>IF(input_invoice[[#This Row],[entity]]="SL","EUR",IF(input_invoice[[#This Row],[entity]]="Ltd","GBP",IF(input_invoice[[#This Row],[entity]]="Inc","USD","XXX")))</f>
        <v>EUR</v>
      </c>
      <c r="Q210" s="199" t="s">
        <v>934</v>
      </c>
    </row>
    <row r="211" spans="1:18" hidden="1" x14ac:dyDescent="0.3">
      <c r="A211">
        <v>202510</v>
      </c>
      <c r="B211" s="22" t="s">
        <v>917</v>
      </c>
      <c r="C211" s="48" t="s">
        <v>935</v>
      </c>
      <c r="D211" s="43">
        <v>45931</v>
      </c>
      <c r="E211" s="43">
        <v>45931</v>
      </c>
      <c r="F211" t="s">
        <v>119</v>
      </c>
      <c r="G211" s="47">
        <f>MAX(+input_invoice[[#This Row],[net]]+input_invoice[[#This Row],[tax_iva]],input_invoice[[#This Row],[net]])</f>
        <v>2.5499999999999998</v>
      </c>
      <c r="H211" s="47">
        <f>input_invoice[[#This Row],[net]]*(MAX(input_invoice[[#This Row],[tax_rate_iva]],0)/100)</f>
        <v>0</v>
      </c>
      <c r="I211" s="47">
        <f>-input_invoice[[#This Row],[net]]*input_invoice[[#This Row],[tax_rate_irpf]]/100</f>
        <v>0</v>
      </c>
      <c r="J211" s="47">
        <v>2.5499999999999998</v>
      </c>
      <c r="K211" t="str">
        <f t="shared" si="8"/>
        <v>administrative</v>
      </c>
      <c r="L211">
        <v>0</v>
      </c>
      <c r="N211" t="str">
        <f>VLOOKUP(input_invoice[[#This Row],[concept/supplier]],'sel-invoice'!D:E,2,0)</f>
        <v>otros</v>
      </c>
      <c r="O211" t="str">
        <f>VLOOKUP(input_invoice[[#This Row],[concept/supplier]],'sel-invoice'!D:F,3,0)</f>
        <v>SL</v>
      </c>
      <c r="P211" t="str">
        <f>IF(input_invoice[[#This Row],[entity]]="SL","EUR",IF(input_invoice[[#This Row],[entity]]="Ltd","GBP",IF(input_invoice[[#This Row],[entity]]="Inc","USD","XXX")))</f>
        <v>EUR</v>
      </c>
      <c r="Q211" s="199" t="s">
        <v>934</v>
      </c>
    </row>
    <row r="212" spans="1:18" hidden="1" x14ac:dyDescent="0.3">
      <c r="A212">
        <v>202510</v>
      </c>
      <c r="B212" s="22" t="s">
        <v>917</v>
      </c>
      <c r="C212" s="48" t="s">
        <v>990</v>
      </c>
      <c r="D212" s="43">
        <v>45931</v>
      </c>
      <c r="E212" s="43">
        <v>45931</v>
      </c>
      <c r="F212" t="s">
        <v>137</v>
      </c>
      <c r="G212" s="47">
        <f>MAX(+input_invoice[[#This Row],[net]]+input_invoice[[#This Row],[tax_iva]],input_invoice[[#This Row],[net]])</f>
        <v>13.12</v>
      </c>
      <c r="H212" s="47">
        <f>input_invoice[[#This Row],[net]]*(MAX(input_invoice[[#This Row],[tax_rate_iva]],0)/100)</f>
        <v>0</v>
      </c>
      <c r="I212" s="47">
        <f>-input_invoice[[#This Row],[net]]*input_invoice[[#This Row],[tax_rate_irpf]]/100</f>
        <v>0</v>
      </c>
      <c r="J212" s="47">
        <v>13.12</v>
      </c>
      <c r="K212" t="str">
        <f t="shared" si="8"/>
        <v>it</v>
      </c>
      <c r="L212">
        <v>0</v>
      </c>
      <c r="N212" t="str">
        <f>VLOOKUP(input_invoice[[#This Row],[concept/supplier]],'sel-invoice'!D:E,2,0)</f>
        <v>Railway</v>
      </c>
      <c r="O212" t="str">
        <f>VLOOKUP(input_invoice[[#This Row],[concept/supplier]],'sel-invoice'!D:F,3,0)</f>
        <v>SL</v>
      </c>
      <c r="P212" t="str">
        <f>IF(input_invoice[[#This Row],[entity]]="SL","EUR",IF(input_invoice[[#This Row],[entity]]="Ltd","GBP",IF(input_invoice[[#This Row],[entity]]="Inc","USD","XXX")))</f>
        <v>EUR</v>
      </c>
      <c r="Q212" s="199" t="s">
        <v>991</v>
      </c>
    </row>
    <row r="213" spans="1:18" hidden="1" x14ac:dyDescent="0.3">
      <c r="A213">
        <v>202510</v>
      </c>
      <c r="B213" s="22" t="s">
        <v>917</v>
      </c>
      <c r="C213" s="261" t="s">
        <v>932</v>
      </c>
      <c r="D213" s="43">
        <v>45932</v>
      </c>
      <c r="E213" s="43">
        <v>45933</v>
      </c>
      <c r="F213" t="s">
        <v>113</v>
      </c>
      <c r="G213" s="47">
        <f>MAX(+input_invoice[[#This Row],[net]]+input_invoice[[#This Row],[tax_iva]],input_invoice[[#This Row],[net]])</f>
        <v>18.149999999999999</v>
      </c>
      <c r="H213" s="47">
        <f>input_invoice[[#This Row],[net]]*(MAX(input_invoice[[#This Row],[tax_rate_iva]],0)/100)</f>
        <v>3.15</v>
      </c>
      <c r="I213" s="47">
        <f>-input_invoice[[#This Row],[net]]*input_invoice[[#This Row],[tax_rate_irpf]]/100</f>
        <v>0</v>
      </c>
      <c r="J213" s="47">
        <v>15</v>
      </c>
      <c r="K213" t="str">
        <f t="shared" si="8"/>
        <v>administrative</v>
      </c>
      <c r="L213">
        <v>21</v>
      </c>
      <c r="N213" t="str">
        <f>VLOOKUP(input_invoice[[#This Row],[concept/supplier]],'sel-invoice'!D:E,2,0)</f>
        <v>Torras y asociados</v>
      </c>
      <c r="O213" t="str">
        <f>VLOOKUP(input_invoice[[#This Row],[concept/supplier]],'sel-invoice'!D:F,3,0)</f>
        <v>SL</v>
      </c>
      <c r="P213" t="str">
        <f>IF(input_invoice[[#This Row],[entity]]="SL","EUR",IF(input_invoice[[#This Row],[entity]]="Ltd","GBP",IF(input_invoice[[#This Row],[entity]]="Inc","USD","XXX")))</f>
        <v>EUR</v>
      </c>
    </row>
    <row r="214" spans="1:18" hidden="1" x14ac:dyDescent="0.3">
      <c r="A214">
        <v>202510</v>
      </c>
      <c r="B214" s="22" t="s">
        <v>917</v>
      </c>
      <c r="C214" t="s">
        <v>982</v>
      </c>
      <c r="D214" s="43">
        <v>45935</v>
      </c>
      <c r="E214" s="43">
        <v>45935</v>
      </c>
      <c r="F214" t="s">
        <v>129</v>
      </c>
      <c r="G214" s="47">
        <f>MAX(+input_invoice[[#This Row],[net]]+input_invoice[[#This Row],[tax_iva]],input_invoice[[#This Row],[net]])</f>
        <v>11.966900000000001</v>
      </c>
      <c r="H214" s="47">
        <f>input_invoice[[#This Row],[net]]*(MAX(input_invoice[[#This Row],[tax_rate_iva]],0)/100)</f>
        <v>2.0769000000000002</v>
      </c>
      <c r="I214" s="47">
        <f>-input_invoice[[#This Row],[net]]*input_invoice[[#This Row],[tax_rate_irpf]]/100</f>
        <v>0</v>
      </c>
      <c r="J214" s="47">
        <v>9.89</v>
      </c>
      <c r="K214" t="str">
        <f>_xlfn.TEXTBEFORE(F215," - ")</f>
        <v>it</v>
      </c>
      <c r="L214">
        <v>21</v>
      </c>
      <c r="N214" t="str">
        <f>VLOOKUP(input_invoice[[#This Row],[concept/supplier]],'sel-invoice'!D:E,2,0)</f>
        <v>Microsoft</v>
      </c>
      <c r="O214" t="str">
        <f>VLOOKUP(input_invoice[[#This Row],[concept/supplier]],'sel-invoice'!D:F,3,0)</f>
        <v>SL</v>
      </c>
      <c r="P214" t="str">
        <f>IF(input_invoice[[#This Row],[entity]]="SL","EUR",IF(input_invoice[[#This Row],[entity]]="Ltd","GBP",IF(input_invoice[[#This Row],[entity]]="Inc","USD","XXX")))</f>
        <v>EUR</v>
      </c>
      <c r="Q214" s="199" t="s">
        <v>984</v>
      </c>
    </row>
    <row r="215" spans="1:18" hidden="1" x14ac:dyDescent="0.3">
      <c r="A215">
        <v>202510</v>
      </c>
      <c r="B215" s="22" t="s">
        <v>917</v>
      </c>
      <c r="C215" t="s">
        <v>980</v>
      </c>
      <c r="D215" s="43">
        <v>45935</v>
      </c>
      <c r="E215" s="43">
        <v>45935</v>
      </c>
      <c r="F215" t="s">
        <v>129</v>
      </c>
      <c r="G215" s="47">
        <f>MAX(+input_invoice[[#This Row],[net]]+input_invoice[[#This Row],[tax_iva]],input_invoice[[#This Row],[net]])</f>
        <v>11.374000000000001</v>
      </c>
      <c r="H215" s="47">
        <f>input_invoice[[#This Row],[net]]*(MAX(input_invoice[[#This Row],[tax_rate_iva]],0)/100)</f>
        <v>1.974</v>
      </c>
      <c r="I215" s="47">
        <f>-input_invoice[[#This Row],[net]]*input_invoice[[#This Row],[tax_rate_irpf]]/100</f>
        <v>0</v>
      </c>
      <c r="J215" s="47">
        <v>9.4</v>
      </c>
      <c r="K215" t="str">
        <f t="shared" ref="K215:K278" si="9">_xlfn.TEXTBEFORE(F215," - ")</f>
        <v>it</v>
      </c>
      <c r="L215">
        <v>21</v>
      </c>
      <c r="N215" t="str">
        <f>VLOOKUP(input_invoice[[#This Row],[concept/supplier]],'sel-invoice'!D:E,2,0)</f>
        <v>Microsoft</v>
      </c>
      <c r="O215" t="str">
        <f>VLOOKUP(input_invoice[[#This Row],[concept/supplier]],'sel-invoice'!D:F,3,0)</f>
        <v>SL</v>
      </c>
      <c r="P215" t="str">
        <f>IF(input_invoice[[#This Row],[entity]]="SL","EUR",IF(input_invoice[[#This Row],[entity]]="Ltd","GBP",IF(input_invoice[[#This Row],[entity]]="Inc","USD","XXX")))</f>
        <v>EUR</v>
      </c>
      <c r="Q215" s="199" t="s">
        <v>985</v>
      </c>
    </row>
    <row r="216" spans="1:18" hidden="1" x14ac:dyDescent="0.3">
      <c r="A216">
        <v>202509</v>
      </c>
      <c r="B216" s="22" t="s">
        <v>917</v>
      </c>
      <c r="F216" t="s">
        <v>81</v>
      </c>
      <c r="G216" s="47">
        <f>MAX(+input_invoice[[#This Row],[net]]+input_invoice[[#This Row],[tax_iva]]+input_invoice[[#This Row],[tax_irpf]],input_invoice[[#This Row],[net]])</f>
        <v>319.5247</v>
      </c>
      <c r="H216" s="47">
        <f>input_invoice[[#This Row],[net]]*(MAX(input_invoice[[#This Row],[tax_rate_iva]],0)/100)</f>
        <v>55.454699999999995</v>
      </c>
      <c r="I216" s="47">
        <f>-input_invoice[[#This Row],[net]]*input_invoice[[#This Row],[tax_rate_irpf]]/100</f>
        <v>0</v>
      </c>
      <c r="J216" s="47">
        <v>264.07</v>
      </c>
      <c r="K216" t="str">
        <f t="shared" si="9"/>
        <v>returns</v>
      </c>
      <c r="L216">
        <v>21</v>
      </c>
      <c r="N216" t="str">
        <f>VLOOKUP(input_invoice[[#This Row],[concept/supplier]],'sel-invoice'!D:E,2,0)</f>
        <v>rever</v>
      </c>
      <c r="O216" t="str">
        <f>VLOOKUP(input_invoice[[#This Row],[concept/supplier]],'sel-invoice'!D:F,3,0)</f>
        <v>SL</v>
      </c>
      <c r="P216" t="str">
        <f>IF(input_invoice[[#This Row],[entity]]="SL","EUR",IF(input_invoice[[#This Row],[entity]]="Ltd","GBP",IF(input_invoice[[#This Row],[entity]]="Inc","USD","XXX")))</f>
        <v>EUR</v>
      </c>
    </row>
    <row r="217" spans="1:18" hidden="1" x14ac:dyDescent="0.3">
      <c r="A217">
        <v>202510</v>
      </c>
      <c r="B217" s="22" t="s">
        <v>917</v>
      </c>
      <c r="C217" s="48">
        <v>3915554716</v>
      </c>
      <c r="D217" s="43">
        <v>45936</v>
      </c>
      <c r="E217" s="43">
        <v>45936</v>
      </c>
      <c r="F217" t="s">
        <v>125</v>
      </c>
      <c r="G217" s="47">
        <f>MAX(+input_invoice[[#This Row],[net]]+input_invoice[[#This Row],[tax_iva]],input_invoice[[#This Row],[net]])</f>
        <v>15.7179</v>
      </c>
      <c r="H217" s="47">
        <f>input_invoice[[#This Row],[net]]*(MAX(input_invoice[[#This Row],[tax_rate_iva]],0)/100)</f>
        <v>2.7279</v>
      </c>
      <c r="I217" s="47">
        <f>-input_invoice[[#This Row],[net]]*input_invoice[[#This Row],[tax_rate_irpf]]/100</f>
        <v>0</v>
      </c>
      <c r="J217" s="47">
        <v>12.99</v>
      </c>
      <c r="K217" t="str">
        <f t="shared" si="9"/>
        <v>it</v>
      </c>
      <c r="L217">
        <v>21</v>
      </c>
      <c r="N217" t="str">
        <f>VLOOKUP(input_invoice[[#This Row],[concept/supplier]],'sel-invoice'!D:E,2,0)</f>
        <v>Godaddy</v>
      </c>
      <c r="O217" t="str">
        <f>VLOOKUP(input_invoice[[#This Row],[concept/supplier]],'sel-invoice'!D:F,3,0)</f>
        <v>SL</v>
      </c>
      <c r="P217" t="str">
        <f>IF(input_invoice[[#This Row],[entity]]="SL","EUR",IF(input_invoice[[#This Row],[entity]]="Ltd","GBP",IF(input_invoice[[#This Row],[entity]]="Inc","USD","XXX")))</f>
        <v>EUR</v>
      </c>
      <c r="Q217" s="199" t="s">
        <v>994</v>
      </c>
    </row>
    <row r="218" spans="1:18" hidden="1" x14ac:dyDescent="0.3">
      <c r="A218">
        <v>202509</v>
      </c>
      <c r="B218" s="22" t="s">
        <v>917</v>
      </c>
      <c r="C218">
        <v>326207567</v>
      </c>
      <c r="D218" s="43">
        <v>45923</v>
      </c>
      <c r="E218" s="43">
        <f>input_invoice[[#This Row],[date]]</f>
        <v>45923</v>
      </c>
      <c r="F218" t="s">
        <v>55</v>
      </c>
      <c r="G218" s="47">
        <f>MAX(+input_invoice[[#This Row],[net]]+input_invoice[[#This Row],[tax_iva]],input_invoice[[#This Row],[net]])</f>
        <v>1586.2</v>
      </c>
      <c r="H218" s="47">
        <f>input_invoice[[#This Row],[net]]*(MAX(input_invoice[[#This Row],[tax_rate_iva]],0)/100)</f>
        <v>0</v>
      </c>
      <c r="I218" s="47">
        <f>-input_invoice[[#This Row],[net]]*input_invoice[[#This Row],[tax_rate_irpf]]/100</f>
        <v>0</v>
      </c>
      <c r="J218" s="55">
        <v>1586.2</v>
      </c>
      <c r="K218" t="str">
        <f t="shared" si="9"/>
        <v>logistics</v>
      </c>
      <c r="L218">
        <v>0</v>
      </c>
      <c r="N218" t="str">
        <f>VLOOKUP(input_invoice[[#This Row],[concept/supplier]],'sel-invoice'!D:E,2,0)</f>
        <v>UPS DE</v>
      </c>
      <c r="O218" t="str">
        <f>VLOOKUP(input_invoice[[#This Row],[concept/supplier]],'sel-invoice'!D:F,3,0)</f>
        <v>SL</v>
      </c>
      <c r="P218" t="str">
        <f>IF(input_invoice[[#This Row],[entity]]="SL","EUR",IF(input_invoice[[#This Row],[entity]]="Ltd","GBP",IF(input_invoice[[#This Row],[entity]]="Inc","USD","XXX")))</f>
        <v>EUR</v>
      </c>
      <c r="Q218" s="199" t="s">
        <v>427</v>
      </c>
      <c r="R218" s="259" t="b">
        <v>1</v>
      </c>
    </row>
    <row r="219" spans="1:18" hidden="1" x14ac:dyDescent="0.3">
      <c r="A219">
        <v>202510</v>
      </c>
      <c r="B219" s="22" t="s">
        <v>917</v>
      </c>
      <c r="C219" s="48" t="s">
        <v>938</v>
      </c>
      <c r="D219" s="43">
        <v>45936</v>
      </c>
      <c r="E219" s="43">
        <v>45940</v>
      </c>
      <c r="F219" t="s">
        <v>111</v>
      </c>
      <c r="G219" s="47">
        <f>MAX(+input_invoice[[#This Row],[net]]+input_invoice[[#This Row],[tax_iva]],input_invoice[[#This Row],[net]])</f>
        <v>888.87810000000002</v>
      </c>
      <c r="H219" s="47">
        <f>input_invoice[[#This Row],[net]]*(MAX(input_invoice[[#This Row],[tax_rate_iva]],0)/100)</f>
        <v>154.2681</v>
      </c>
      <c r="I219" s="47">
        <f>-input_invoice[[#This Row],[net]]*input_invoice[[#This Row],[tax_rate_irpf]]/100</f>
        <v>0</v>
      </c>
      <c r="J219" s="47">
        <v>734.61</v>
      </c>
      <c r="K219" t="str">
        <f t="shared" si="9"/>
        <v>administrative</v>
      </c>
      <c r="L219">
        <v>21</v>
      </c>
      <c r="N219" t="str">
        <f>VLOOKUP(input_invoice[[#This Row],[concept/supplier]],'sel-invoice'!D:E,2,0)</f>
        <v>Claris Gestio</v>
      </c>
      <c r="O219" t="str">
        <f>VLOOKUP(input_invoice[[#This Row],[concept/supplier]],'sel-invoice'!D:F,3,0)</f>
        <v>SL</v>
      </c>
      <c r="P219" t="str">
        <f>IF(input_invoice[[#This Row],[entity]]="SL","EUR",IF(input_invoice[[#This Row],[entity]]="Ltd","GBP",IF(input_invoice[[#This Row],[entity]]="Inc","USD","XXX")))</f>
        <v>EUR</v>
      </c>
      <c r="Q219" s="199" t="s">
        <v>939</v>
      </c>
    </row>
    <row r="220" spans="1:18" hidden="1" x14ac:dyDescent="0.3">
      <c r="A220">
        <v>202510</v>
      </c>
      <c r="B220" s="22" t="s">
        <v>917</v>
      </c>
      <c r="C220" s="48" t="s">
        <v>931</v>
      </c>
      <c r="D220" s="43">
        <v>45936</v>
      </c>
      <c r="E220" s="43">
        <v>45943</v>
      </c>
      <c r="F220" t="s">
        <v>54</v>
      </c>
      <c r="G220" s="47">
        <f>MAX(+input_invoice[[#This Row],[net]]+input_invoice[[#This Row],[tax_iva]],input_invoice[[#This Row],[net]])</f>
        <v>34.218800000000002</v>
      </c>
      <c r="H220" s="47">
        <f>input_invoice[[#This Row],[net]]*(MAX(input_invoice[[#This Row],[tax_rate_iva]],0)/100)</f>
        <v>5.9387999999999996</v>
      </c>
      <c r="I220" s="47">
        <f>-input_invoice[[#This Row],[net]]*input_invoice[[#This Row],[tax_rate_irpf]]/100</f>
        <v>0</v>
      </c>
      <c r="J220" s="47">
        <v>28.28</v>
      </c>
      <c r="K220" t="str">
        <f t="shared" si="9"/>
        <v>logistics</v>
      </c>
      <c r="L220">
        <v>21</v>
      </c>
      <c r="N220" t="str">
        <f>VLOOKUP(input_invoice[[#This Row],[concept/supplier]],'sel-invoice'!D:E,2,0)</f>
        <v>Spring</v>
      </c>
      <c r="O220" t="str">
        <f>VLOOKUP(input_invoice[[#This Row],[concept/supplier]],'sel-invoice'!D:F,3,0)</f>
        <v>SL</v>
      </c>
      <c r="P220" t="str">
        <f>IF(input_invoice[[#This Row],[entity]]="SL","EUR",IF(input_invoice[[#This Row],[entity]]="Ltd","GBP",IF(input_invoice[[#This Row],[entity]]="Inc","USD","XXX")))</f>
        <v>EUR</v>
      </c>
    </row>
    <row r="221" spans="1:18" hidden="1" x14ac:dyDescent="0.3">
      <c r="A221">
        <v>202510</v>
      </c>
      <c r="B221" s="22" t="s">
        <v>917</v>
      </c>
      <c r="C221" s="48" t="s">
        <v>940</v>
      </c>
      <c r="D221" s="43">
        <v>45943</v>
      </c>
      <c r="E221" s="43">
        <v>45943</v>
      </c>
      <c r="F221" t="s">
        <v>148</v>
      </c>
      <c r="G221" s="47">
        <f>MAX(+input_invoice[[#This Row],[net]]+input_invoice[[#This Row],[tax_iva]],input_invoice[[#This Row],[net]])</f>
        <v>440</v>
      </c>
      <c r="H221" s="47">
        <f>input_invoice[[#This Row],[net]]*(MAX(input_invoice[[#This Row],[tax_rate_iva]],0)/100)</f>
        <v>0</v>
      </c>
      <c r="I221" s="47">
        <f>-input_invoice[[#This Row],[net]]*input_invoice[[#This Row],[tax_rate_irpf]]/100</f>
        <v>0</v>
      </c>
      <c r="J221" s="47">
        <v>440</v>
      </c>
      <c r="K221" t="str">
        <f t="shared" si="9"/>
        <v>it</v>
      </c>
      <c r="L221">
        <v>0</v>
      </c>
      <c r="N221" t="str">
        <f>VLOOKUP(input_invoice[[#This Row],[concept/supplier]],'sel-invoice'!D:E,2,0)</f>
        <v>Yuma</v>
      </c>
      <c r="O221" t="str">
        <f>VLOOKUP(input_invoice[[#This Row],[concept/supplier]],'sel-invoice'!D:F,3,0)</f>
        <v>SL</v>
      </c>
      <c r="P221" t="str">
        <f>IF(input_invoice[[#This Row],[entity]]="SL","EUR",IF(input_invoice[[#This Row],[entity]]="Ltd","GBP",IF(input_invoice[[#This Row],[entity]]="Inc","USD","XXX")))</f>
        <v>EUR</v>
      </c>
    </row>
    <row r="222" spans="1:18" hidden="1" x14ac:dyDescent="0.3">
      <c r="A222">
        <v>202510</v>
      </c>
      <c r="B222" s="22" t="s">
        <v>917</v>
      </c>
      <c r="C222" t="s">
        <v>983</v>
      </c>
      <c r="D222" s="43">
        <v>45943</v>
      </c>
      <c r="E222" s="43">
        <v>45943</v>
      </c>
      <c r="F222" t="s">
        <v>129</v>
      </c>
      <c r="G222" s="47">
        <f>MAX(+input_invoice[[#This Row],[net]]+input_invoice[[#This Row],[tax_iva]],input_invoice[[#This Row],[net]])</f>
        <v>35.573999999999998</v>
      </c>
      <c r="H222" s="47">
        <f>input_invoice[[#This Row],[net]]*(MAX(input_invoice[[#This Row],[tax_rate_iva]],0)/100)</f>
        <v>6.1739999999999995</v>
      </c>
      <c r="I222" s="47">
        <f>-input_invoice[[#This Row],[net]]*input_invoice[[#This Row],[tax_rate_irpf]]/100</f>
        <v>0</v>
      </c>
      <c r="J222" s="47">
        <v>29.4</v>
      </c>
      <c r="K222" t="str">
        <f t="shared" si="9"/>
        <v>it</v>
      </c>
      <c r="L222">
        <v>21</v>
      </c>
      <c r="N222" t="str">
        <f>VLOOKUP(input_invoice[[#This Row],[concept/supplier]],'sel-invoice'!D:E,2,0)</f>
        <v>Microsoft</v>
      </c>
      <c r="O222" t="str">
        <f>VLOOKUP(input_invoice[[#This Row],[concept/supplier]],'sel-invoice'!D:F,3,0)</f>
        <v>SL</v>
      </c>
      <c r="P222" t="str">
        <f>IF(input_invoice[[#This Row],[entity]]="SL","EUR",IF(input_invoice[[#This Row],[entity]]="Ltd","GBP",IF(input_invoice[[#This Row],[entity]]="Inc","USD","XXX")))</f>
        <v>EUR</v>
      </c>
      <c r="Q222" s="199" t="s">
        <v>981</v>
      </c>
    </row>
    <row r="223" spans="1:18" hidden="1" x14ac:dyDescent="0.3">
      <c r="A223">
        <v>202509</v>
      </c>
      <c r="B223" s="22" t="s">
        <v>917</v>
      </c>
      <c r="C223" s="48" t="s">
        <v>915</v>
      </c>
      <c r="D223" s="43">
        <v>45930</v>
      </c>
      <c r="E223" s="43">
        <v>45944</v>
      </c>
      <c r="F223" t="s">
        <v>43</v>
      </c>
      <c r="G223" s="47">
        <f>MAX(+input_invoice[[#This Row],[net]]+input_invoice[[#This Row],[tax_iva]]+input_invoice[[#This Row],[tax_irpf]],input_invoice[[#This Row],[net]])</f>
        <v>11193.3066</v>
      </c>
      <c r="H223" s="47">
        <f>input_invoice[[#This Row],[net]]*(MAX(input_invoice[[#This Row],[tax_rate_iva]],0)/100)</f>
        <v>1787.1666</v>
      </c>
      <c r="I223" s="47">
        <f>-input_invoice[[#This Row],[net]]*input_invoice[[#This Row],[tax_rate_irpf]]/100</f>
        <v>0</v>
      </c>
      <c r="J223" s="47">
        <v>9406.14</v>
      </c>
      <c r="K223" t="str">
        <f t="shared" si="9"/>
        <v>manufacturing</v>
      </c>
      <c r="L223">
        <v>19</v>
      </c>
      <c r="N223" t="str">
        <f>VLOOKUP(input_invoice[[#This Row],[concept/supplier]],'sel-invoice'!D:E,2,0)</f>
        <v>DCT</v>
      </c>
      <c r="O223" t="str">
        <f>VLOOKUP(input_invoice[[#This Row],[concept/supplier]],'sel-invoice'!D:F,3,0)</f>
        <v>SL</v>
      </c>
      <c r="P223" t="str">
        <f>IF(input_invoice[[#This Row],[entity]]="SL","EUR",IF(input_invoice[[#This Row],[entity]]="Ltd","GBP",IF(input_invoice[[#This Row],[entity]]="Inc","USD","XXX")))</f>
        <v>EUR</v>
      </c>
    </row>
    <row r="224" spans="1:18" hidden="1" x14ac:dyDescent="0.3">
      <c r="A224">
        <v>202509</v>
      </c>
      <c r="B224" s="22" t="s">
        <v>917</v>
      </c>
      <c r="C224" s="48">
        <v>3050009950</v>
      </c>
      <c r="D224" s="43">
        <v>45930</v>
      </c>
      <c r="E224" s="43">
        <v>45937</v>
      </c>
      <c r="F224" t="s">
        <v>53</v>
      </c>
      <c r="G224" s="47">
        <f>MAX(+input_invoice[[#This Row],[net]]+input_invoice[[#This Row],[tax_iva]],input_invoice[[#This Row],[net]])</f>
        <v>2263.6075000000001</v>
      </c>
      <c r="H224" s="47">
        <f>input_invoice[[#This Row],[net]]*(MAX(input_invoice[[#This Row],[tax_rate_iva]],0)/100)</f>
        <v>392.85749999999996</v>
      </c>
      <c r="I224" s="47">
        <f>-input_invoice[[#This Row],[net]]*input_invoice[[#This Row],[tax_rate_irpf]]/100</f>
        <v>0</v>
      </c>
      <c r="J224">
        <v>1870.75</v>
      </c>
      <c r="K224" t="str">
        <f t="shared" si="9"/>
        <v>logistics</v>
      </c>
      <c r="L224">
        <v>21</v>
      </c>
      <c r="N224" t="str">
        <f>VLOOKUP(input_invoice[[#This Row],[concept/supplier]],'sel-invoice'!D:E,2,0)</f>
        <v>Asendia</v>
      </c>
      <c r="O224" t="str">
        <f>VLOOKUP(input_invoice[[#This Row],[concept/supplier]],'sel-invoice'!D:F,3,0)</f>
        <v>SL</v>
      </c>
      <c r="P224" t="str">
        <f>IF(input_invoice[[#This Row],[entity]]="SL","EUR",IF(input_invoice[[#This Row],[entity]]="Ltd","GBP",IF(input_invoice[[#This Row],[entity]]="Inc","USD","XXX")))</f>
        <v>EUR</v>
      </c>
      <c r="R224" s="259" t="b">
        <v>1</v>
      </c>
    </row>
    <row r="225" spans="1:19" hidden="1" x14ac:dyDescent="0.3">
      <c r="A225">
        <v>202509</v>
      </c>
      <c r="B225" s="22" t="s">
        <v>917</v>
      </c>
      <c r="C225" s="48" t="s">
        <v>527</v>
      </c>
      <c r="D225" s="43">
        <v>45929</v>
      </c>
      <c r="E225" s="43">
        <v>45945</v>
      </c>
      <c r="F225" t="s">
        <v>39</v>
      </c>
      <c r="G225" s="47">
        <f>MAX(+input_invoice[[#This Row],[net]]+input_invoice[[#This Row],[tax_iva]]+input_invoice[[#This Row],[tax_irpf]],input_invoice[[#This Row],[net]])</f>
        <v>189.8287</v>
      </c>
      <c r="H225" s="47">
        <f>input_invoice[[#This Row],[net]]*(MAX(input_invoice[[#This Row],[tax_rate_iva]],0)/100)</f>
        <v>12.418700000000001</v>
      </c>
      <c r="I225" s="47">
        <f>-input_invoice[[#This Row],[net]]*input_invoice[[#This Row],[tax_rate_irpf]]/100</f>
        <v>0</v>
      </c>
      <c r="J225" s="47">
        <v>177.41</v>
      </c>
      <c r="K225" t="str">
        <f t="shared" si="9"/>
        <v>manufacturing</v>
      </c>
      <c r="L225">
        <v>7</v>
      </c>
      <c r="N225" t="str">
        <f>VLOOKUP(input_invoice[[#This Row],[concept/supplier]],'sel-invoice'!D:E,2,0)</f>
        <v>Apphoto Canarias</v>
      </c>
      <c r="O225" t="str">
        <f>VLOOKUP(input_invoice[[#This Row],[concept/supplier]],'sel-invoice'!D:F,3,0)</f>
        <v>SL</v>
      </c>
      <c r="P225" t="str">
        <f>IF(input_invoice[[#This Row],[entity]]="SL","EUR",IF(input_invoice[[#This Row],[entity]]="Ltd","GBP",IF(input_invoice[[#This Row],[entity]]="Inc","USD","XXX")))</f>
        <v>EUR</v>
      </c>
      <c r="Q225" s="199" t="s">
        <v>528</v>
      </c>
    </row>
    <row r="226" spans="1:19" hidden="1" x14ac:dyDescent="0.3">
      <c r="A226">
        <v>202510</v>
      </c>
      <c r="B226" s="22" t="s">
        <v>917</v>
      </c>
      <c r="C226" s="48">
        <v>90002696</v>
      </c>
      <c r="D226" s="43">
        <v>45946</v>
      </c>
      <c r="E226" s="43">
        <v>45947</v>
      </c>
      <c r="F226" t="s">
        <v>53</v>
      </c>
      <c r="G226" s="47">
        <f>MAX(+input_invoice[[#This Row],[net]]+input_invoice[[#This Row],[tax_iva]],input_invoice[[#This Row],[net]])</f>
        <v>-3.11</v>
      </c>
      <c r="H226" s="47">
        <f>input_invoice[[#This Row],[net]]*(MAX(input_invoice[[#This Row],[tax_rate_iva]],0)/100)</f>
        <v>0</v>
      </c>
      <c r="I226" s="47">
        <f>-input_invoice[[#This Row],[net]]*input_invoice[[#This Row],[tax_rate_irpf]]/100</f>
        <v>0</v>
      </c>
      <c r="J226" s="47">
        <v>-3.11</v>
      </c>
      <c r="K226" t="str">
        <f t="shared" si="9"/>
        <v>logistics</v>
      </c>
      <c r="L226">
        <v>0</v>
      </c>
      <c r="N226" t="str">
        <f>VLOOKUP(input_invoice[[#This Row],[concept/supplier]],'sel-invoice'!D:E,2,0)</f>
        <v>Asendia</v>
      </c>
      <c r="O226" t="str">
        <f>VLOOKUP(input_invoice[[#This Row],[concept/supplier]],'sel-invoice'!D:F,3,0)</f>
        <v>SL</v>
      </c>
      <c r="P226" t="str">
        <f>IF(input_invoice[[#This Row],[entity]]="SL","EUR",IF(input_invoice[[#This Row],[entity]]="Ltd","GBP",IF(input_invoice[[#This Row],[entity]]="Inc","USD","XXX")))</f>
        <v>EUR</v>
      </c>
      <c r="Q226" s="199" t="s">
        <v>945</v>
      </c>
    </row>
    <row r="227" spans="1:19" hidden="1" x14ac:dyDescent="0.3">
      <c r="A227">
        <v>202510</v>
      </c>
      <c r="B227" s="22" t="s">
        <v>917</v>
      </c>
      <c r="C227" t="s">
        <v>949</v>
      </c>
      <c r="D227" s="43">
        <v>45948</v>
      </c>
      <c r="E227" s="43">
        <v>45948</v>
      </c>
      <c r="F227" t="s">
        <v>129</v>
      </c>
      <c r="G227" s="47">
        <f>MAX(+input_invoice[[#This Row],[net]]+input_invoice[[#This Row],[tax_iva]],input_invoice[[#This Row],[net]])</f>
        <v>45.496000000000002</v>
      </c>
      <c r="H227" s="47">
        <f>input_invoice[[#This Row],[net]]*(MAX(input_invoice[[#This Row],[tax_rate_iva]],0)/100)</f>
        <v>7.8959999999999999</v>
      </c>
      <c r="I227" s="47">
        <f>-input_invoice[[#This Row],[net]]*input_invoice[[#This Row],[tax_rate_irpf]]/100</f>
        <v>0</v>
      </c>
      <c r="J227" s="47">
        <v>37.6</v>
      </c>
      <c r="K227" t="str">
        <f t="shared" si="9"/>
        <v>it</v>
      </c>
      <c r="L227">
        <v>21</v>
      </c>
      <c r="N227" t="str">
        <f>VLOOKUP(input_invoice[[#This Row],[concept/supplier]],'sel-invoice'!D:E,2,0)</f>
        <v>Microsoft</v>
      </c>
      <c r="O227" t="str">
        <f>VLOOKUP(input_invoice[[#This Row],[concept/supplier]],'sel-invoice'!D:F,3,0)</f>
        <v>SL</v>
      </c>
      <c r="P227" t="str">
        <f>IF(input_invoice[[#This Row],[entity]]="SL","EUR",IF(input_invoice[[#This Row],[entity]]="Ltd","GBP",IF(input_invoice[[#This Row],[entity]]="Inc","USD","XXX")))</f>
        <v>EUR</v>
      </c>
      <c r="Q227" s="199" t="s">
        <v>950</v>
      </c>
    </row>
    <row r="228" spans="1:19" hidden="1" x14ac:dyDescent="0.3">
      <c r="A228">
        <v>202510</v>
      </c>
      <c r="B228" s="22" t="s">
        <v>917</v>
      </c>
      <c r="C228" s="48" t="s">
        <v>947</v>
      </c>
      <c r="D228" s="43">
        <v>45948</v>
      </c>
      <c r="E228" s="43">
        <v>45949</v>
      </c>
      <c r="F228" t="s">
        <v>143</v>
      </c>
      <c r="G228" s="47">
        <f>MAX(+input_invoice[[#This Row],[net]]+input_invoice[[#This Row],[tax_iva]],input_invoice[[#This Row],[net]])</f>
        <v>11.991099999999999</v>
      </c>
      <c r="H228" s="47">
        <f>input_invoice[[#This Row],[net]]*(MAX(input_invoice[[#This Row],[tax_rate_iva]],0)/100)</f>
        <v>2.0811000000000002</v>
      </c>
      <c r="I228" s="47">
        <f>-input_invoice[[#This Row],[net]]*input_invoice[[#This Row],[tax_rate_irpf]]/100</f>
        <v>0</v>
      </c>
      <c r="J228" s="47">
        <v>9.91</v>
      </c>
      <c r="K228" t="str">
        <f t="shared" si="9"/>
        <v>it</v>
      </c>
      <c r="L228">
        <v>21</v>
      </c>
      <c r="N228" t="str">
        <f>VLOOKUP(input_invoice[[#This Row],[concept/supplier]],'sel-invoice'!D:E,2,0)</f>
        <v>Canva</v>
      </c>
      <c r="O228" t="str">
        <f>VLOOKUP(input_invoice[[#This Row],[concept/supplier]],'sel-invoice'!D:F,3,0)</f>
        <v>SL</v>
      </c>
      <c r="P228" t="str">
        <f>IF(input_invoice[[#This Row],[entity]]="SL","EUR",IF(input_invoice[[#This Row],[entity]]="Ltd","GBP",IF(input_invoice[[#This Row],[entity]]="Inc","USD","XXX")))</f>
        <v>EUR</v>
      </c>
      <c r="Q228" s="199" t="s">
        <v>948</v>
      </c>
    </row>
    <row r="229" spans="1:19" hidden="1" x14ac:dyDescent="0.3">
      <c r="A229">
        <v>202510</v>
      </c>
      <c r="B229" s="22" t="s">
        <v>917</v>
      </c>
      <c r="C229" t="s">
        <v>1030</v>
      </c>
      <c r="D229" s="43">
        <v>45950</v>
      </c>
      <c r="E229" s="43">
        <v>45950</v>
      </c>
      <c r="F229" t="s">
        <v>387</v>
      </c>
      <c r="G229" s="47">
        <f>MAX(+input_invoice[[#This Row],[net]]+input_invoice[[#This Row],[tax_iva]],input_invoice[[#This Row],[net]])</f>
        <v>4.99</v>
      </c>
      <c r="H229" s="47">
        <f>input_invoice[[#This Row],[net]]*(MAX(input_invoice[[#This Row],[tax_rate_iva]],0)/100)</f>
        <v>0</v>
      </c>
      <c r="I229" s="47">
        <f>-input_invoice[[#This Row],[net]]*input_invoice[[#This Row],[tax_rate_irpf]]/100</f>
        <v>0</v>
      </c>
      <c r="J229" s="47">
        <v>4.99</v>
      </c>
      <c r="K229" t="str">
        <f t="shared" si="9"/>
        <v>it</v>
      </c>
      <c r="L229">
        <v>0</v>
      </c>
      <c r="N229" t="str">
        <f>VLOOKUP(input_invoice[[#This Row],[concept/supplier]],'sel-invoice'!D:E,2,0)</f>
        <v>hushed</v>
      </c>
      <c r="O229" t="str">
        <f>VLOOKUP(input_invoice[[#This Row],[concept/supplier]],'sel-invoice'!D:F,3,0)</f>
        <v>Inc</v>
      </c>
      <c r="P229" t="str">
        <f>IF(input_invoice[[#This Row],[entity]]="SL","EUR",IF(input_invoice[[#This Row],[entity]]="Ltd","GBP",IF(input_invoice[[#This Row],[entity]]="Inc","USD","XXX")))</f>
        <v>USD</v>
      </c>
      <c r="Q229" s="199" t="s">
        <v>1031</v>
      </c>
    </row>
    <row r="230" spans="1:19" hidden="1" x14ac:dyDescent="0.3">
      <c r="A230">
        <v>202510</v>
      </c>
      <c r="B230" s="22" t="s">
        <v>917</v>
      </c>
      <c r="C230" s="48" t="s">
        <v>941</v>
      </c>
      <c r="D230" s="43">
        <v>45944</v>
      </c>
      <c r="E230" s="43">
        <v>45951</v>
      </c>
      <c r="F230" t="s">
        <v>54</v>
      </c>
      <c r="G230" s="47">
        <f>MAX(+input_invoice[[#This Row],[net]]+input_invoice[[#This Row],[tax_iva]],input_invoice[[#This Row],[net]])</f>
        <v>22.639099999999999</v>
      </c>
      <c r="H230" s="47">
        <f>input_invoice[[#This Row],[net]]*(MAX(input_invoice[[#This Row],[tax_rate_iva]],0)/100)</f>
        <v>3.9291</v>
      </c>
      <c r="I230" s="47">
        <f>-input_invoice[[#This Row],[net]]*input_invoice[[#This Row],[tax_rate_irpf]]/100</f>
        <v>0</v>
      </c>
      <c r="J230" s="47">
        <v>18.71</v>
      </c>
      <c r="K230" t="str">
        <f t="shared" si="9"/>
        <v>logistics</v>
      </c>
      <c r="L230">
        <v>21</v>
      </c>
      <c r="N230" t="str">
        <f>VLOOKUP(input_invoice[[#This Row],[concept/supplier]],'sel-invoice'!D:E,2,0)</f>
        <v>Spring</v>
      </c>
      <c r="O230" t="str">
        <f>VLOOKUP(input_invoice[[#This Row],[concept/supplier]],'sel-invoice'!D:F,3,0)</f>
        <v>SL</v>
      </c>
      <c r="P230" t="str">
        <f>IF(input_invoice[[#This Row],[entity]]="SL","EUR",IF(input_invoice[[#This Row],[entity]]="Ltd","GBP",IF(input_invoice[[#This Row],[entity]]="Inc","USD","XXX")))</f>
        <v>EUR</v>
      </c>
      <c r="Q230" s="199" t="s">
        <v>942</v>
      </c>
    </row>
    <row r="231" spans="1:19" hidden="1" x14ac:dyDescent="0.3">
      <c r="A231">
        <v>202510</v>
      </c>
      <c r="B231" s="22" t="s">
        <v>917</v>
      </c>
      <c r="C231" s="48">
        <v>86000488343</v>
      </c>
      <c r="D231" s="43">
        <v>45946</v>
      </c>
      <c r="E231" s="43">
        <v>45951</v>
      </c>
      <c r="F231" t="s">
        <v>127</v>
      </c>
      <c r="G231" s="47">
        <f>MAX(+input_invoice[[#This Row],[net]]+input_invoice[[#This Row],[tax_iva]],input_invoice[[#This Row],[net]])</f>
        <v>13.189</v>
      </c>
      <c r="H231" s="47">
        <f>input_invoice[[#This Row],[net]]*(MAX(input_invoice[[#This Row],[tax_rate_iva]],0)/100)</f>
        <v>2.2890000000000001</v>
      </c>
      <c r="I231" s="47">
        <f>-input_invoice[[#This Row],[net]]*input_invoice[[#This Row],[tax_rate_irpf]]/100</f>
        <v>0</v>
      </c>
      <c r="J231" s="47">
        <v>10.9</v>
      </c>
      <c r="K231" t="str">
        <f t="shared" si="9"/>
        <v>it</v>
      </c>
      <c r="L231">
        <v>21</v>
      </c>
      <c r="N231" t="str">
        <f>VLOOKUP(input_invoice[[#This Row],[concept/supplier]],'sel-invoice'!D:E,2,0)</f>
        <v>Hetzner</v>
      </c>
      <c r="O231" t="str">
        <f>VLOOKUP(input_invoice[[#This Row],[concept/supplier]],'sel-invoice'!D:F,3,0)</f>
        <v>SL</v>
      </c>
      <c r="P231" t="str">
        <f>IF(input_invoice[[#This Row],[entity]]="SL","EUR",IF(input_invoice[[#This Row],[entity]]="Ltd","GBP",IF(input_invoice[[#This Row],[entity]]="Inc","USD","XXX")))</f>
        <v>EUR</v>
      </c>
    </row>
    <row r="232" spans="1:19" hidden="1" x14ac:dyDescent="0.3">
      <c r="A232">
        <v>202510</v>
      </c>
      <c r="B232" s="22" t="s">
        <v>917</v>
      </c>
      <c r="C232" s="48" t="s">
        <v>936</v>
      </c>
      <c r="D232" s="43">
        <v>45937</v>
      </c>
      <c r="E232" s="43">
        <v>45952</v>
      </c>
      <c r="F232" t="s">
        <v>37</v>
      </c>
      <c r="G232" s="47">
        <f>MAX(+input_invoice[[#This Row],[net]]+input_invoice[[#This Row],[tax_iva]],input_invoice[[#This Row],[net]])</f>
        <v>3564.3090999999999</v>
      </c>
      <c r="H232" s="47">
        <f>input_invoice[[#This Row],[net]]*(MAX(input_invoice[[#This Row],[tax_rate_iva]],0)/100)</f>
        <v>618.59910000000002</v>
      </c>
      <c r="I232" s="47">
        <f>-input_invoice[[#This Row],[net]]*input_invoice[[#This Row],[tax_rate_irpf]]/100</f>
        <v>0</v>
      </c>
      <c r="J232" s="47">
        <v>2945.71</v>
      </c>
      <c r="K232" t="str">
        <f t="shared" si="9"/>
        <v>manufacturing</v>
      </c>
      <c r="L232">
        <v>21</v>
      </c>
      <c r="N232" t="str">
        <f>VLOOKUP(input_invoice[[#This Row],[concept/supplier]],'sel-invoice'!D:E,2,0)</f>
        <v>Apphoto España</v>
      </c>
      <c r="O232" t="str">
        <f>VLOOKUP(input_invoice[[#This Row],[concept/supplier]],'sel-invoice'!D:F,3,0)</f>
        <v>SL</v>
      </c>
      <c r="P232" t="str">
        <f>IF(input_invoice[[#This Row],[entity]]="SL","EUR",IF(input_invoice[[#This Row],[entity]]="Ltd","GBP",IF(input_invoice[[#This Row],[entity]]="Inc","USD","XXX")))</f>
        <v>EUR</v>
      </c>
      <c r="Q232" s="199" t="s">
        <v>937</v>
      </c>
    </row>
    <row r="233" spans="1:19" hidden="1" x14ac:dyDescent="0.3">
      <c r="A233">
        <v>202506</v>
      </c>
      <c r="B233" s="22" t="s">
        <v>917</v>
      </c>
      <c r="C233">
        <v>375864939</v>
      </c>
      <c r="D233" s="43">
        <v>45816</v>
      </c>
      <c r="E233" s="43">
        <v>45817</v>
      </c>
      <c r="F233" t="s">
        <v>209</v>
      </c>
      <c r="G233" s="47">
        <f>MAX(+input_invoice[[#This Row],[net]]+input_invoice[[#This Row],[tax_iva]]+input_invoice[[#This Row],[tax_irpf]],input_invoice[[#This Row],[net]])</f>
        <v>127.99</v>
      </c>
      <c r="H233" s="47">
        <f>input_invoice[[#This Row],[net]]*(MAX(input_invoice[[#This Row],[tax_rate_iva]],0)/100)</f>
        <v>0</v>
      </c>
      <c r="I233" s="47">
        <f>-input_invoice[[#This Row],[net]]*input_invoice[[#This Row],[tax_rate_irpf]]/100</f>
        <v>0</v>
      </c>
      <c r="J233" s="47">
        <v>127.99</v>
      </c>
      <c r="K233" t="str">
        <f t="shared" si="9"/>
        <v>it</v>
      </c>
      <c r="L233">
        <v>0</v>
      </c>
      <c r="N233" t="str">
        <f>VLOOKUP(input_invoice[[#This Row],[concept/supplier]],'sel-invoice'!D:E,2,0)</f>
        <v>Shopify</v>
      </c>
      <c r="O233" t="str">
        <f>VLOOKUP(input_invoice[[#This Row],[concept/supplier]],'sel-invoice'!D:F,3,0)</f>
        <v>Ltd</v>
      </c>
      <c r="P233" t="str">
        <f>IF(input_invoice[[#This Row],[entity]]="SL","EUR",IF(input_invoice[[#This Row],[entity]]="Ltd","GBP",IF(input_invoice[[#This Row],[entity]]="Inc","USD","XXX")))</f>
        <v>GBP</v>
      </c>
      <c r="Q233" s="182"/>
      <c r="R233" s="259" t="b">
        <v>1</v>
      </c>
      <c r="S233" s="60"/>
    </row>
    <row r="234" spans="1:19" hidden="1" x14ac:dyDescent="0.3">
      <c r="A234">
        <v>202510</v>
      </c>
      <c r="B234" s="22" t="s">
        <v>917</v>
      </c>
      <c r="C234" s="48">
        <v>187149</v>
      </c>
      <c r="D234" s="43">
        <v>45958</v>
      </c>
      <c r="E234" s="43">
        <v>45958</v>
      </c>
      <c r="F234" t="s">
        <v>131</v>
      </c>
      <c r="G234" s="47">
        <f ca="1">MAX(+input_invoice[[#This Row],[net]]+input_invoice[[#This Row],[tax_iva]],input_invoice[[#This Row],[net]])</f>
        <v>0</v>
      </c>
      <c r="H234" s="47">
        <f ca="1">input_invoice[[#This Row],[net]]*(MAX(input_invoice[[#This Row],[tax_rate_iva]],0)/100)</f>
        <v>0</v>
      </c>
      <c r="I234" s="47">
        <f>-input_invoice[[#This Row],[net]]*input_invoice[[#This Row],[tax_rate_irpf]]/100</f>
        <v>0</v>
      </c>
      <c r="J234" s="47">
        <v>134</v>
      </c>
      <c r="K234" t="str">
        <f t="shared" si="9"/>
        <v>it</v>
      </c>
      <c r="L234">
        <f ca="1">+input_invoice[[#This Row],[gross]]-input_invoice[[#This Row],[net]]</f>
        <v>0</v>
      </c>
      <c r="N234" t="str">
        <f>VLOOKUP(input_invoice[[#This Row],[concept/supplier]],'sel-invoice'!D:E,2,0)</f>
        <v>Product Hero</v>
      </c>
      <c r="O234" t="str">
        <f>VLOOKUP(input_invoice[[#This Row],[concept/supplier]],'sel-invoice'!D:F,3,0)</f>
        <v>SL</v>
      </c>
      <c r="P234" t="str">
        <f>IF(input_invoice[[#This Row],[entity]]="SL","EUR",IF(input_invoice[[#This Row],[entity]]="Ltd","GBP",IF(input_invoice[[#This Row],[entity]]="Inc","USD","XXX")))</f>
        <v>EUR</v>
      </c>
      <c r="Q234" s="199" t="s">
        <v>978</v>
      </c>
    </row>
    <row r="235" spans="1:19" hidden="1" x14ac:dyDescent="0.3">
      <c r="A235">
        <v>202510</v>
      </c>
      <c r="B235" s="22" t="s">
        <v>917</v>
      </c>
      <c r="C235" s="48" t="s">
        <v>933</v>
      </c>
      <c r="D235" s="43">
        <v>45936</v>
      </c>
      <c r="E235" s="43">
        <v>45936</v>
      </c>
      <c r="F235" t="s">
        <v>81</v>
      </c>
      <c r="G235" s="47">
        <f>MAX(+input_invoice[[#This Row],[net]]+input_invoice[[#This Row],[tax_iva]],input_invoice[[#This Row],[net]])</f>
        <v>434.97080000000005</v>
      </c>
      <c r="H235" s="47">
        <f>input_invoice[[#This Row],[net]]*(MAX(input_invoice[[#This Row],[tax_rate_iva]],0)/100)</f>
        <v>75.490800000000007</v>
      </c>
      <c r="I235" s="47">
        <f>-input_invoice[[#This Row],[net]]*input_invoice[[#This Row],[tax_rate_irpf]]/100</f>
        <v>0</v>
      </c>
      <c r="J235" s="47">
        <v>359.48</v>
      </c>
      <c r="K235" t="str">
        <f t="shared" si="9"/>
        <v>returns</v>
      </c>
      <c r="L235">
        <v>21</v>
      </c>
      <c r="N235" t="str">
        <f>VLOOKUP(input_invoice[[#This Row],[concept/supplier]],'sel-invoice'!D:E,2,0)</f>
        <v>rever</v>
      </c>
      <c r="O235" t="str">
        <f>VLOOKUP(input_invoice[[#This Row],[concept/supplier]],'sel-invoice'!D:F,3,0)</f>
        <v>SL</v>
      </c>
      <c r="P235" t="str">
        <f>IF(input_invoice[[#This Row],[entity]]="SL","EUR",IF(input_invoice[[#This Row],[entity]]="Ltd","GBP",IF(input_invoice[[#This Row],[entity]]="Inc","USD","XXX")))</f>
        <v>EUR</v>
      </c>
    </row>
    <row r="236" spans="1:19" hidden="1" x14ac:dyDescent="0.3">
      <c r="A236">
        <v>202510</v>
      </c>
      <c r="B236" s="22" t="s">
        <v>917</v>
      </c>
      <c r="C236" s="48" t="s">
        <v>992</v>
      </c>
      <c r="D236" s="43">
        <v>45952</v>
      </c>
      <c r="E236" s="43">
        <v>45958</v>
      </c>
      <c r="F236" t="s">
        <v>139</v>
      </c>
      <c r="G236" s="47">
        <f>MAX(+input_invoice[[#This Row],[net]]+input_invoice[[#This Row],[tax_iva]],input_invoice[[#This Row],[net]])</f>
        <v>6.05</v>
      </c>
      <c r="H236" s="47">
        <f>input_invoice[[#This Row],[net]]*(MAX(input_invoice[[#This Row],[tax_rate_iva]],0)/100)</f>
        <v>1.05</v>
      </c>
      <c r="I236" s="47">
        <f>-input_invoice[[#This Row],[net]]*input_invoice[[#This Row],[tax_rate_irpf]]/100</f>
        <v>0</v>
      </c>
      <c r="J236" s="47">
        <v>5</v>
      </c>
      <c r="K236" t="str">
        <f t="shared" si="9"/>
        <v>it</v>
      </c>
      <c r="L236" s="47">
        <v>21</v>
      </c>
      <c r="N236" t="str">
        <f>VLOOKUP(input_invoice[[#This Row],[concept/supplier]],'sel-invoice'!D:E,2,0)</f>
        <v>Mas Movil</v>
      </c>
      <c r="O236" t="str">
        <f>VLOOKUP(input_invoice[[#This Row],[concept/supplier]],'sel-invoice'!D:F,3,0)</f>
        <v>SL</v>
      </c>
      <c r="P236" t="str">
        <f>IF(input_invoice[[#This Row],[entity]]="SL","EUR",IF(input_invoice[[#This Row],[entity]]="Ltd","GBP",IF(input_invoice[[#This Row],[entity]]="Inc","USD","XXX")))</f>
        <v>EUR</v>
      </c>
      <c r="Q236" s="199" t="s">
        <v>993</v>
      </c>
    </row>
    <row r="237" spans="1:19" hidden="1" x14ac:dyDescent="0.3">
      <c r="A237">
        <v>202510</v>
      </c>
      <c r="B237" s="22" t="s">
        <v>917</v>
      </c>
      <c r="C237" s="48" t="s">
        <v>995</v>
      </c>
      <c r="D237" s="43">
        <v>45958</v>
      </c>
      <c r="E237" s="43">
        <v>45958</v>
      </c>
      <c r="F237" t="s">
        <v>150</v>
      </c>
      <c r="G237" s="47">
        <f>MAX(+input_invoice[[#This Row],[net]]+input_invoice[[#This Row],[tax_iva]],input_invoice[[#This Row],[net]])</f>
        <v>33.49</v>
      </c>
      <c r="H237" s="47">
        <f>input_invoice[[#This Row],[net]]*(MAX(input_invoice[[#This Row],[tax_rate_iva]],0)/100)</f>
        <v>0</v>
      </c>
      <c r="I237" s="47">
        <f>-input_invoice[[#This Row],[net]]*input_invoice[[#This Row],[tax_rate_irpf]]/100</f>
        <v>0</v>
      </c>
      <c r="J237" s="47">
        <v>33.49</v>
      </c>
      <c r="K237" t="str">
        <f t="shared" si="9"/>
        <v>it</v>
      </c>
      <c r="L237" s="47">
        <v>0</v>
      </c>
      <c r="N237" t="str">
        <f>VLOOKUP(input_invoice[[#This Row],[concept/supplier]],'sel-invoice'!D:E,2,0)</f>
        <v>adobe</v>
      </c>
      <c r="O237" t="str">
        <f>VLOOKUP(input_invoice[[#This Row],[concept/supplier]],'sel-invoice'!D:F,3,0)</f>
        <v>SL</v>
      </c>
      <c r="P237" t="str">
        <f>IF(input_invoice[[#This Row],[entity]]="SL","EUR",IF(input_invoice[[#This Row],[entity]]="Ltd","GBP",IF(input_invoice[[#This Row],[entity]]="Inc","USD","XXX")))</f>
        <v>EUR</v>
      </c>
      <c r="Q237" s="199" t="s">
        <v>996</v>
      </c>
    </row>
    <row r="238" spans="1:19" hidden="1" x14ac:dyDescent="0.3">
      <c r="A238">
        <v>202510</v>
      </c>
      <c r="B238" s="22" t="s">
        <v>917</v>
      </c>
      <c r="C238" s="48" t="s">
        <v>943</v>
      </c>
      <c r="D238" s="43">
        <v>45944</v>
      </c>
      <c r="E238" s="43">
        <v>45959</v>
      </c>
      <c r="F238" t="s">
        <v>37</v>
      </c>
      <c r="G238" s="47">
        <f>MAX(+input_invoice[[#This Row],[net]]+input_invoice[[#This Row],[tax_iva]],input_invoice[[#This Row],[net]])</f>
        <v>5854.4398000000001</v>
      </c>
      <c r="H238" s="47">
        <f>input_invoice[[#This Row],[net]]*(MAX(input_invoice[[#This Row],[tax_rate_iva]],0)/100)</f>
        <v>1016.0598</v>
      </c>
      <c r="I238" s="47">
        <f>-input_invoice[[#This Row],[net]]*input_invoice[[#This Row],[tax_rate_irpf]]/100</f>
        <v>0</v>
      </c>
      <c r="J238" s="47">
        <v>4838.38</v>
      </c>
      <c r="K238" t="str">
        <f t="shared" si="9"/>
        <v>manufacturing</v>
      </c>
      <c r="L238">
        <v>21</v>
      </c>
      <c r="N238" t="str">
        <f>VLOOKUP(input_invoice[[#This Row],[concept/supplier]],'sel-invoice'!D:E,2,0)</f>
        <v>Apphoto España</v>
      </c>
      <c r="O238" t="str">
        <f>VLOOKUP(input_invoice[[#This Row],[concept/supplier]],'sel-invoice'!D:F,3,0)</f>
        <v>SL</v>
      </c>
      <c r="P238" t="str">
        <f>IF(input_invoice[[#This Row],[entity]]="SL","EUR",IF(input_invoice[[#This Row],[entity]]="Ltd","GBP",IF(input_invoice[[#This Row],[entity]]="Inc","USD","XXX")))</f>
        <v>EUR</v>
      </c>
    </row>
    <row r="239" spans="1:19" hidden="1" x14ac:dyDescent="0.3">
      <c r="A239">
        <v>202510</v>
      </c>
      <c r="B239" s="22" t="s">
        <v>917</v>
      </c>
      <c r="C239" s="48" t="s">
        <v>944</v>
      </c>
      <c r="D239" s="43">
        <v>45945</v>
      </c>
      <c r="E239" s="43">
        <f>input_invoice[[#This Row],[date]]+14</f>
        <v>45959</v>
      </c>
      <c r="F239" t="s">
        <v>43</v>
      </c>
      <c r="G239" s="47">
        <f>MAX(+input_invoice[[#This Row],[net]]+input_invoice[[#This Row],[tax_iva]],input_invoice[[#This Row],[net]])</f>
        <v>7695.0635999999995</v>
      </c>
      <c r="H239" s="47">
        <f>input_invoice[[#This Row],[net]]*(MAX(input_invoice[[#This Row],[tax_rate_iva]],0)/100)</f>
        <v>1228.6235999999999</v>
      </c>
      <c r="I239" s="47">
        <f>-input_invoice[[#This Row],[net]]*input_invoice[[#This Row],[tax_rate_irpf]]/100</f>
        <v>0</v>
      </c>
      <c r="J239" s="47">
        <v>6466.44</v>
      </c>
      <c r="K239" t="str">
        <f t="shared" si="9"/>
        <v>manufacturing</v>
      </c>
      <c r="L239">
        <v>19</v>
      </c>
      <c r="N239" t="str">
        <f>VLOOKUP(input_invoice[[#This Row],[concept/supplier]],'sel-invoice'!D:E,2,0)</f>
        <v>DCT</v>
      </c>
      <c r="O239" t="str">
        <f>VLOOKUP(input_invoice[[#This Row],[concept/supplier]],'sel-invoice'!D:F,3,0)</f>
        <v>SL</v>
      </c>
      <c r="P239" t="str">
        <f>IF(input_invoice[[#This Row],[entity]]="SL","EUR",IF(input_invoice[[#This Row],[entity]]="Ltd","GBP",IF(input_invoice[[#This Row],[entity]]="Inc","USD","XXX")))</f>
        <v>EUR</v>
      </c>
    </row>
    <row r="240" spans="1:19" hidden="1" x14ac:dyDescent="0.3">
      <c r="A240">
        <v>202510</v>
      </c>
      <c r="B240" s="22" t="s">
        <v>917</v>
      </c>
      <c r="C240" s="48" t="s">
        <v>971</v>
      </c>
      <c r="D240" s="43">
        <v>45952</v>
      </c>
      <c r="E240" s="43">
        <v>45959</v>
      </c>
      <c r="F240" t="s">
        <v>54</v>
      </c>
      <c r="G240" s="47">
        <f>MAX(+input_invoice[[#This Row],[net]]+input_invoice[[#This Row],[tax_iva]],input_invoice[[#This Row],[net]])</f>
        <v>47.8797</v>
      </c>
      <c r="H240" s="47">
        <f>input_invoice[[#This Row],[net]]*(MAX(input_invoice[[#This Row],[tax_rate_iva]],0)/100)</f>
        <v>8.3096999999999994</v>
      </c>
      <c r="I240" s="47">
        <f>-input_invoice[[#This Row],[net]]*input_invoice[[#This Row],[tax_rate_irpf]]/100</f>
        <v>0</v>
      </c>
      <c r="J240" s="47">
        <v>39.57</v>
      </c>
      <c r="K240" t="str">
        <f t="shared" si="9"/>
        <v>logistics</v>
      </c>
      <c r="L240">
        <v>21</v>
      </c>
      <c r="N240" t="str">
        <f>VLOOKUP(input_invoice[[#This Row],[concept/supplier]],'sel-invoice'!D:E,2,0)</f>
        <v>Spring</v>
      </c>
      <c r="O240" t="str">
        <f>VLOOKUP(input_invoice[[#This Row],[concept/supplier]],'sel-invoice'!D:F,3,0)</f>
        <v>SL</v>
      </c>
      <c r="P240" t="str">
        <f>IF(input_invoice[[#This Row],[entity]]="SL","EUR",IF(input_invoice[[#This Row],[entity]]="Ltd","GBP",IF(input_invoice[[#This Row],[entity]]="Inc","USD","XXX")))</f>
        <v>EUR</v>
      </c>
      <c r="Q240" s="199" t="s">
        <v>972</v>
      </c>
    </row>
    <row r="241" spans="1:18" hidden="1" x14ac:dyDescent="0.3">
      <c r="A241">
        <v>202507</v>
      </c>
      <c r="B241" s="22" t="s">
        <v>917</v>
      </c>
      <c r="C241">
        <v>247345741</v>
      </c>
      <c r="D241" s="43">
        <v>45870</v>
      </c>
      <c r="E241" s="43">
        <f>input_invoice[[#This Row],[date]]+60</f>
        <v>45930</v>
      </c>
      <c r="F241" t="s">
        <v>90</v>
      </c>
      <c r="G241" s="47">
        <f>MAX(+input_invoice[[#This Row],[net]]+input_invoice[[#This Row],[tax_iva]]+input_invoice[[#This Row],[tax_irpf]],input_invoice[[#This Row],[net]])</f>
        <v>16867.47</v>
      </c>
      <c r="H241" s="47">
        <f>input_invoice[[#This Row],[net]]*(MAX(input_invoice[[#This Row],[tax_rate_iva]],0)/100)</f>
        <v>0</v>
      </c>
      <c r="I241" s="47">
        <f>-input_invoice[[#This Row],[net]]*input_invoice[[#This Row],[tax_rate_irpf]]/100</f>
        <v>0</v>
      </c>
      <c r="J241" s="47">
        <v>16867.47</v>
      </c>
      <c r="K241" t="str">
        <f t="shared" si="9"/>
        <v>marketing</v>
      </c>
      <c r="L241">
        <v>0</v>
      </c>
      <c r="N241" t="str">
        <f>VLOOKUP(input_invoice[[#This Row],[concept/supplier]],'sel-invoice'!D:E,2,0)</f>
        <v>meta</v>
      </c>
      <c r="O241" t="str">
        <f>VLOOKUP(input_invoice[[#This Row],[concept/supplier]],'sel-invoice'!D:F,3,0)</f>
        <v>SL</v>
      </c>
      <c r="P241" t="str">
        <f>IF(input_invoice[[#This Row],[entity]]="SL","EUR",IF(input_invoice[[#This Row],[entity]]="Ltd","GBP",IF(input_invoice[[#This Row],[entity]]="Inc","USD","XXX")))</f>
        <v>EUR</v>
      </c>
      <c r="R241" s="259" t="b">
        <v>1</v>
      </c>
    </row>
    <row r="242" spans="1:18" hidden="1" x14ac:dyDescent="0.3">
      <c r="A242">
        <v>202509</v>
      </c>
      <c r="B242" s="22" t="s">
        <v>917</v>
      </c>
      <c r="C242">
        <v>6029341</v>
      </c>
      <c r="D242" s="43">
        <v>45930</v>
      </c>
      <c r="E242" s="43">
        <f>input_invoice[[#This Row],[date]]+30</f>
        <v>45960</v>
      </c>
      <c r="F242" t="s">
        <v>182</v>
      </c>
      <c r="G242" s="47">
        <f>MAX(+input_invoice[[#This Row],[net]]+input_invoice[[#This Row],[tax_iva]],input_invoice[[#This Row],[net]])</f>
        <v>6106.6200000000008</v>
      </c>
      <c r="H242" s="47">
        <f>input_invoice[[#This Row],[net]]*(MAX(input_invoice[[#This Row],[tax_rate_iva]],0)/100)</f>
        <v>1017.7700000000001</v>
      </c>
      <c r="I242" s="47">
        <f>-input_invoice[[#This Row],[net]]*input_invoice[[#This Row],[tax_rate_irpf]]/100</f>
        <v>0</v>
      </c>
      <c r="J242" s="47">
        <v>5088.8500000000004</v>
      </c>
      <c r="K242" t="str">
        <f t="shared" si="9"/>
        <v>manufacturing</v>
      </c>
      <c r="L242">
        <v>20</v>
      </c>
      <c r="N242" t="str">
        <f>VLOOKUP(input_invoice[[#This Row],[concept/supplier]],'sel-invoice'!D:E,2,0)</f>
        <v>Proco</v>
      </c>
      <c r="O242" t="str">
        <f>VLOOKUP(input_invoice[[#This Row],[concept/supplier]],'sel-invoice'!D:F,3,0)</f>
        <v>Ltd</v>
      </c>
      <c r="P242" t="str">
        <f>IF(input_invoice[[#This Row],[entity]]="SL","EUR",IF(input_invoice[[#This Row],[entity]]="Ltd","GBP",IF(input_invoice[[#This Row],[entity]]="Inc","USD","XXX")))</f>
        <v>GBP</v>
      </c>
      <c r="R242" s="259" t="b">
        <v>1</v>
      </c>
    </row>
    <row r="243" spans="1:18" hidden="1" x14ac:dyDescent="0.3">
      <c r="A243">
        <v>202509</v>
      </c>
      <c r="B243" s="22" t="s">
        <v>917</v>
      </c>
      <c r="C243">
        <v>6029341</v>
      </c>
      <c r="D243" s="43">
        <v>45930</v>
      </c>
      <c r="E243" s="43">
        <f>input_invoice[[#This Row],[date]]+30</f>
        <v>45960</v>
      </c>
      <c r="F243" t="s">
        <v>194</v>
      </c>
      <c r="G243" s="47">
        <f>MAX(+input_invoice[[#This Row],[net]]+input_invoice[[#This Row],[tax_iva]],input_invoice[[#This Row],[net]])</f>
        <v>959.04000000000008</v>
      </c>
      <c r="H243" s="47">
        <f>input_invoice[[#This Row],[net]]*(MAX(input_invoice[[#This Row],[tax_rate_iva]],0)/100)</f>
        <v>159.84000000000003</v>
      </c>
      <c r="I243" s="47">
        <f>-input_invoice[[#This Row],[net]]*input_invoice[[#This Row],[tax_rate_irpf]]/100</f>
        <v>0</v>
      </c>
      <c r="J243" s="47">
        <v>799.2</v>
      </c>
      <c r="K243" t="str">
        <f t="shared" si="9"/>
        <v>logistics</v>
      </c>
      <c r="L243">
        <v>20</v>
      </c>
      <c r="N243" t="str">
        <f>VLOOKUP(input_invoice[[#This Row],[concept/supplier]],'sel-invoice'!D:E,2,0)</f>
        <v>Proco</v>
      </c>
      <c r="O243" t="str">
        <f>VLOOKUP(input_invoice[[#This Row],[concept/supplier]],'sel-invoice'!D:F,3,0)</f>
        <v>Ltd</v>
      </c>
      <c r="P243" t="str">
        <f>IF(input_invoice[[#This Row],[entity]]="SL","EUR",IF(input_invoice[[#This Row],[entity]]="Ltd","GBP",IF(input_invoice[[#This Row],[entity]]="Inc","USD","XXX")))</f>
        <v>GBP</v>
      </c>
      <c r="R243" s="259" t="b">
        <v>1</v>
      </c>
    </row>
    <row r="244" spans="1:18" hidden="1" x14ac:dyDescent="0.3">
      <c r="A244">
        <v>202509</v>
      </c>
      <c r="B244" s="22" t="s">
        <v>917</v>
      </c>
      <c r="C244">
        <v>6029341</v>
      </c>
      <c r="D244" s="43">
        <v>45930</v>
      </c>
      <c r="E244" s="43">
        <f>input_invoice[[#This Row],[date]]+30</f>
        <v>45960</v>
      </c>
      <c r="F244" t="s">
        <v>196</v>
      </c>
      <c r="G244" s="47">
        <f>MAX(+input_invoice[[#This Row],[net]]+input_invoice[[#This Row],[tax_iva]],input_invoice[[#This Row],[net]])</f>
        <v>1702.8719999999998</v>
      </c>
      <c r="H244" s="47">
        <f>input_invoice[[#This Row],[net]]*(MAX(input_invoice[[#This Row],[tax_rate_iva]],0)/100)</f>
        <v>283.81200000000001</v>
      </c>
      <c r="I244" s="47">
        <f>-input_invoice[[#This Row],[net]]*input_invoice[[#This Row],[tax_rate_irpf]]/100</f>
        <v>0</v>
      </c>
      <c r="J244" s="47">
        <v>1419.06</v>
      </c>
      <c r="K244" t="str">
        <f t="shared" si="9"/>
        <v>logistics</v>
      </c>
      <c r="L244">
        <v>20</v>
      </c>
      <c r="N244" t="str">
        <f>VLOOKUP(input_invoice[[#This Row],[concept/supplier]],'sel-invoice'!D:E,2,0)</f>
        <v>Proco</v>
      </c>
      <c r="O244" t="str">
        <f>VLOOKUP(input_invoice[[#This Row],[concept/supplier]],'sel-invoice'!D:F,3,0)</f>
        <v>Ltd</v>
      </c>
      <c r="P244" t="str">
        <f>IF(input_invoice[[#This Row],[entity]]="SL","EUR",IF(input_invoice[[#This Row],[entity]]="Ltd","GBP",IF(input_invoice[[#This Row],[entity]]="Inc","USD","XXX")))</f>
        <v>GBP</v>
      </c>
      <c r="R244" s="259" t="b">
        <v>1</v>
      </c>
    </row>
    <row r="245" spans="1:18" hidden="1" x14ac:dyDescent="0.3">
      <c r="A245">
        <v>202509</v>
      </c>
      <c r="B245" s="22" t="s">
        <v>917</v>
      </c>
      <c r="C245">
        <v>6029341</v>
      </c>
      <c r="D245" s="43">
        <v>45930</v>
      </c>
      <c r="E245" s="43">
        <f>input_invoice[[#This Row],[date]]+30</f>
        <v>45960</v>
      </c>
      <c r="F245" t="s">
        <v>186</v>
      </c>
      <c r="G245" s="47">
        <f>MAX(+input_invoice[[#This Row],[net]]+input_invoice[[#This Row],[tax_iva]],input_invoice[[#This Row],[net]])</f>
        <v>702</v>
      </c>
      <c r="H245" s="47">
        <f>input_invoice[[#This Row],[net]]*(MAX(input_invoice[[#This Row],[tax_rate_iva]],0)/100)</f>
        <v>117</v>
      </c>
      <c r="I245" s="47">
        <f>-input_invoice[[#This Row],[net]]*input_invoice[[#This Row],[tax_rate_irpf]]/100</f>
        <v>0</v>
      </c>
      <c r="J245" s="47">
        <v>585</v>
      </c>
      <c r="K245" t="str">
        <f t="shared" si="9"/>
        <v>manufacturing</v>
      </c>
      <c r="L245">
        <v>20</v>
      </c>
      <c r="N245" t="str">
        <f>VLOOKUP(input_invoice[[#This Row],[concept/supplier]],'sel-invoice'!D:E,2,0)</f>
        <v>Proco</v>
      </c>
      <c r="O245" t="str">
        <f>VLOOKUP(input_invoice[[#This Row],[concept/supplier]],'sel-invoice'!D:F,3,0)</f>
        <v>Ltd</v>
      </c>
      <c r="P245" t="str">
        <f>IF(input_invoice[[#This Row],[entity]]="SL","EUR",IF(input_invoice[[#This Row],[entity]]="Ltd","GBP",IF(input_invoice[[#This Row],[entity]]="Inc","USD","XXX")))</f>
        <v>GBP</v>
      </c>
      <c r="R245" s="259" t="b">
        <v>1</v>
      </c>
    </row>
    <row r="246" spans="1:18" hidden="1" x14ac:dyDescent="0.3">
      <c r="A246">
        <v>202509</v>
      </c>
      <c r="B246" s="22" t="s">
        <v>917</v>
      </c>
      <c r="C246">
        <v>6029341</v>
      </c>
      <c r="D246" s="43">
        <v>45930</v>
      </c>
      <c r="E246" s="43">
        <f>input_invoice[[#This Row],[date]]+30</f>
        <v>45960</v>
      </c>
      <c r="F246" t="s">
        <v>184</v>
      </c>
      <c r="G246" s="47">
        <f>MAX(+input_invoice[[#This Row],[net]]+input_invoice[[#This Row],[tax_iva]],input_invoice[[#This Row],[net]])</f>
        <v>4106.6399999999994</v>
      </c>
      <c r="H246" s="47">
        <f>input_invoice[[#This Row],[net]]*(MAX(input_invoice[[#This Row],[tax_rate_iva]],0)/100)</f>
        <v>684.44</v>
      </c>
      <c r="I246" s="47">
        <f>-input_invoice[[#This Row],[net]]*input_invoice[[#This Row],[tax_rate_irpf]]/100</f>
        <v>0</v>
      </c>
      <c r="J246" s="47">
        <v>3422.2</v>
      </c>
      <c r="K246" t="str">
        <f t="shared" si="9"/>
        <v>manufacturing</v>
      </c>
      <c r="L246">
        <v>20</v>
      </c>
      <c r="N246" t="str">
        <f>VLOOKUP(input_invoice[[#This Row],[concept/supplier]],'sel-invoice'!D:E,2,0)</f>
        <v>Proco</v>
      </c>
      <c r="O246" t="str">
        <f>VLOOKUP(input_invoice[[#This Row],[concept/supplier]],'sel-invoice'!D:F,3,0)</f>
        <v>Ltd</v>
      </c>
      <c r="P246" t="str">
        <f>IF(input_invoice[[#This Row],[entity]]="SL","EUR",IF(input_invoice[[#This Row],[entity]]="Ltd","GBP",IF(input_invoice[[#This Row],[entity]]="Inc","USD","XXX")))</f>
        <v>GBP</v>
      </c>
      <c r="R246" s="259" t="b">
        <v>1</v>
      </c>
    </row>
    <row r="247" spans="1:18" hidden="1" x14ac:dyDescent="0.3">
      <c r="A247">
        <v>202510</v>
      </c>
      <c r="B247" s="22" t="s">
        <v>917</v>
      </c>
      <c r="C247" s="48" t="s">
        <v>1004</v>
      </c>
      <c r="D247" s="43">
        <v>45960</v>
      </c>
      <c r="E247" s="43">
        <v>45960</v>
      </c>
      <c r="F247" t="s">
        <v>119</v>
      </c>
      <c r="G247" s="47">
        <f>MAX(+input_invoice[[#This Row],[net]]+input_invoice[[#This Row],[tax_iva]],input_invoice[[#This Row],[net]])+input_invoice[[#This Row],[tax_irpf]]</f>
        <v>473.83060000000006</v>
      </c>
      <c r="H247" s="47">
        <f>input_invoice[[#This Row],[net]]*(MAX(input_invoice[[#This Row],[tax_rate_iva]],0)/100)</f>
        <v>93.872099999999989</v>
      </c>
      <c r="I247" s="47">
        <f>-input_invoice[[#This Row],[net]]*input_invoice[[#This Row],[tax_rate_irpf]]/100</f>
        <v>-67.05149999999999</v>
      </c>
      <c r="J247" s="47">
        <v>447.01</v>
      </c>
      <c r="K247" t="str">
        <f t="shared" si="9"/>
        <v>administrative</v>
      </c>
      <c r="L247">
        <v>21</v>
      </c>
      <c r="M247">
        <v>15</v>
      </c>
      <c r="N247" t="str">
        <f>VLOOKUP(input_invoice[[#This Row],[concept/supplier]],'sel-invoice'!D:E,2,0)</f>
        <v>otros</v>
      </c>
      <c r="O247" t="str">
        <f>VLOOKUP(input_invoice[[#This Row],[concept/supplier]],'sel-invoice'!D:F,3,0)</f>
        <v>SL</v>
      </c>
      <c r="P247" t="str">
        <f>IF(input_invoice[[#This Row],[entity]]="SL","EUR",IF(input_invoice[[#This Row],[entity]]="Ltd","GBP",IF(input_invoice[[#This Row],[entity]]="Inc","USD","XXX")))</f>
        <v>EUR</v>
      </c>
      <c r="Q247" s="199" t="s">
        <v>1006</v>
      </c>
    </row>
    <row r="248" spans="1:18" hidden="1" x14ac:dyDescent="0.3">
      <c r="A248">
        <v>202511</v>
      </c>
      <c r="B248" s="22" t="s">
        <v>917</v>
      </c>
      <c r="C248" s="48" t="s">
        <v>1005</v>
      </c>
      <c r="D248" s="43">
        <v>45960</v>
      </c>
      <c r="E248" s="43">
        <v>45960</v>
      </c>
      <c r="F248" t="s">
        <v>119</v>
      </c>
      <c r="G248" s="47">
        <f>MAX(+input_invoice[[#This Row],[net]]+input_invoice[[#This Row],[tax_iva]],input_invoice[[#This Row],[net]])</f>
        <v>4</v>
      </c>
      <c r="H248" s="47">
        <f>input_invoice[[#This Row],[net]]*(MAX(input_invoice[[#This Row],[tax_rate_iva]],0)/100)</f>
        <v>0</v>
      </c>
      <c r="I248" s="47">
        <f>-input_invoice[[#This Row],[net]]*input_invoice[[#This Row],[tax_rate_irpf]]/100</f>
        <v>0</v>
      </c>
      <c r="J248" s="47">
        <v>4</v>
      </c>
      <c r="K248" t="str">
        <f t="shared" si="9"/>
        <v>administrative</v>
      </c>
      <c r="L248">
        <v>0</v>
      </c>
      <c r="N248" t="str">
        <f>VLOOKUP(input_invoice[[#This Row],[concept/supplier]],'sel-invoice'!D:E,2,0)</f>
        <v>otros</v>
      </c>
      <c r="O248" t="str">
        <f>VLOOKUP(input_invoice[[#This Row],[concept/supplier]],'sel-invoice'!D:F,3,0)</f>
        <v>SL</v>
      </c>
      <c r="P248" t="str">
        <f>IF(input_invoice[[#This Row],[entity]]="SL","EUR",IF(input_invoice[[#This Row],[entity]]="Ltd","GBP",IF(input_invoice[[#This Row],[entity]]="Inc","USD","XXX")))</f>
        <v>EUR</v>
      </c>
      <c r="Q248" s="199" t="s">
        <v>1006</v>
      </c>
    </row>
    <row r="249" spans="1:18" hidden="1" x14ac:dyDescent="0.3">
      <c r="A249">
        <v>202509</v>
      </c>
      <c r="B249" s="22" t="s">
        <v>917</v>
      </c>
      <c r="C249" t="s">
        <v>920</v>
      </c>
      <c r="D249" s="43">
        <v>45930</v>
      </c>
      <c r="E249" s="43">
        <f>input_invoice[[#This Row],[date]]+14</f>
        <v>45944</v>
      </c>
      <c r="F249" t="s">
        <v>43</v>
      </c>
      <c r="G249" s="47">
        <f>MAX(+input_invoice[[#This Row],[net]]+input_invoice[[#This Row],[tax_iva]],input_invoice[[#This Row],[net]])</f>
        <v>252.875</v>
      </c>
      <c r="H249" s="47">
        <f>input_invoice[[#This Row],[net]]*(MAX(input_invoice[[#This Row],[tax_rate_iva]],0)/100)</f>
        <v>40.375</v>
      </c>
      <c r="I249" s="47">
        <f>-input_invoice[[#This Row],[net]]*input_invoice[[#This Row],[tax_rate_irpf]]/100</f>
        <v>0</v>
      </c>
      <c r="J249" s="47">
        <v>212.5</v>
      </c>
      <c r="K249" t="str">
        <f t="shared" si="9"/>
        <v>manufacturing</v>
      </c>
      <c r="L249">
        <v>19</v>
      </c>
      <c r="N249" t="str">
        <f>VLOOKUP(input_invoice[[#This Row],[concept/supplier]],'sel-invoice'!D:E,2,0)</f>
        <v>DCT</v>
      </c>
      <c r="O249" t="str">
        <f>VLOOKUP(input_invoice[[#This Row],[concept/supplier]],'sel-invoice'!D:F,3,0)</f>
        <v>SL</v>
      </c>
      <c r="P249" t="str">
        <f>IF(input_invoice[[#This Row],[entity]]="SL","EUR",IF(input_invoice[[#This Row],[entity]]="Ltd","GBP",IF(input_invoice[[#This Row],[entity]]="Inc","USD","XXX")))</f>
        <v>EUR</v>
      </c>
      <c r="Q249" s="199" t="s">
        <v>919</v>
      </c>
      <c r="R249" s="259" t="b">
        <v>1</v>
      </c>
    </row>
    <row r="250" spans="1:18" hidden="1" x14ac:dyDescent="0.3">
      <c r="A250">
        <v>202509</v>
      </c>
      <c r="B250" s="22" t="s">
        <v>917</v>
      </c>
      <c r="C250" s="48">
        <v>4004462884</v>
      </c>
      <c r="D250" s="43">
        <v>45930</v>
      </c>
      <c r="E250" s="43">
        <v>45961</v>
      </c>
      <c r="F250" t="s">
        <v>52</v>
      </c>
      <c r="G250" s="47">
        <f>MAX(+input_invoice[[#This Row],[net]]+input_invoice[[#This Row],[tax_iva]],input_invoice[[#This Row],[net]])</f>
        <v>222.56739999999999</v>
      </c>
      <c r="H250" s="47">
        <f>input_invoice[[#This Row],[net]]*(MAX(input_invoice[[#This Row],[tax_rate_iva]],0)/100)</f>
        <v>38.627400000000002</v>
      </c>
      <c r="I250" s="47">
        <f>-input_invoice[[#This Row],[net]]*input_invoice[[#This Row],[tax_rate_irpf]]/100</f>
        <v>0</v>
      </c>
      <c r="J250" s="47">
        <v>183.94</v>
      </c>
      <c r="K250" t="str">
        <f t="shared" si="9"/>
        <v>logistics</v>
      </c>
      <c r="L250">
        <v>21</v>
      </c>
      <c r="N250" t="str">
        <f>VLOOKUP(input_invoice[[#This Row],[concept/supplier]],'sel-invoice'!D:E,2,0)</f>
        <v>Correos</v>
      </c>
      <c r="O250" t="str">
        <f>VLOOKUP(input_invoice[[#This Row],[concept/supplier]],'sel-invoice'!D:F,3,0)</f>
        <v>SL</v>
      </c>
      <c r="P250" t="str">
        <f>IF(input_invoice[[#This Row],[entity]]="SL","EUR",IF(input_invoice[[#This Row],[entity]]="Ltd","GBP",IF(input_invoice[[#This Row],[entity]]="Inc","USD","XXX")))</f>
        <v>EUR</v>
      </c>
      <c r="R250" s="259" t="b">
        <v>1</v>
      </c>
    </row>
    <row r="251" spans="1:18" hidden="1" x14ac:dyDescent="0.3">
      <c r="A251">
        <v>202509</v>
      </c>
      <c r="B251" s="22" t="s">
        <v>917</v>
      </c>
      <c r="C251">
        <v>4004462885</v>
      </c>
      <c r="D251" s="43">
        <v>45930</v>
      </c>
      <c r="E251" s="43">
        <v>45961</v>
      </c>
      <c r="F251" t="s">
        <v>52</v>
      </c>
      <c r="G251" s="47">
        <f>MAX(+input_invoice[[#This Row],[net]]+input_invoice[[#This Row],[tax_iva]],input_invoice[[#This Row],[net]])</f>
        <v>11.02</v>
      </c>
      <c r="H251" s="47">
        <f>input_invoice[[#This Row],[net]]*(MAX(input_invoice[[#This Row],[tax_rate_iva]],0)/100)</f>
        <v>0</v>
      </c>
      <c r="I251" s="47">
        <f>-input_invoice[[#This Row],[net]]*input_invoice[[#This Row],[tax_rate_irpf]]/100</f>
        <v>0</v>
      </c>
      <c r="J251" s="47">
        <v>11.02</v>
      </c>
      <c r="K251" t="str">
        <f t="shared" si="9"/>
        <v>logistics</v>
      </c>
      <c r="L251">
        <v>0</v>
      </c>
      <c r="N251" t="str">
        <f>VLOOKUP(input_invoice[[#This Row],[concept/supplier]],'sel-invoice'!D:E,2,0)</f>
        <v>Correos</v>
      </c>
      <c r="O251" t="str">
        <f>VLOOKUP(input_invoice[[#This Row],[concept/supplier]],'sel-invoice'!D:F,3,0)</f>
        <v>SL</v>
      </c>
      <c r="P251" t="str">
        <f>IF(input_invoice[[#This Row],[entity]]="SL","EUR",IF(input_invoice[[#This Row],[entity]]="Ltd","GBP",IF(input_invoice[[#This Row],[entity]]="Inc","USD","XXX")))</f>
        <v>EUR</v>
      </c>
      <c r="R251" s="259" t="b">
        <v>1</v>
      </c>
    </row>
    <row r="252" spans="1:18" hidden="1" x14ac:dyDescent="0.3">
      <c r="A252">
        <v>202510</v>
      </c>
      <c r="B252" s="22" t="s">
        <v>917</v>
      </c>
      <c r="C252" s="48">
        <v>25009943</v>
      </c>
      <c r="D252" s="43">
        <v>45961</v>
      </c>
      <c r="E252" s="43">
        <v>45961</v>
      </c>
      <c r="F252" t="s">
        <v>41</v>
      </c>
      <c r="G252" s="47">
        <f>MAX(+input_invoice[[#This Row],[net]]+input_invoice[[#This Row],[tax_iva]],input_invoice[[#This Row],[net]])</f>
        <v>4237.6499000000003</v>
      </c>
      <c r="H252" s="47">
        <f>input_invoice[[#This Row],[net]]*(MAX(input_invoice[[#This Row],[tax_rate_iva]],0)/100)</f>
        <v>735.45989999999995</v>
      </c>
      <c r="I252" s="47">
        <f>-input_invoice[[#This Row],[net]]*input_invoice[[#This Row],[tax_rate_irpf]]/100</f>
        <v>0</v>
      </c>
      <c r="J252" s="47">
        <v>3502.19</v>
      </c>
      <c r="K252" t="str">
        <f t="shared" si="9"/>
        <v>manufacturing</v>
      </c>
      <c r="L252">
        <v>21</v>
      </c>
      <c r="N252" t="str">
        <f>VLOOKUP(input_invoice[[#This Row],[concept/supplier]],'sel-invoice'!D:E,2,0)</f>
        <v>Pressing</v>
      </c>
      <c r="O252" t="str">
        <f>VLOOKUP(input_invoice[[#This Row],[concept/supplier]],'sel-invoice'!D:F,3,0)</f>
        <v>SL</v>
      </c>
      <c r="P252" t="str">
        <f>IF(input_invoice[[#This Row],[entity]]="SL","EUR",IF(input_invoice[[#This Row],[entity]]="Ltd","GBP",IF(input_invoice[[#This Row],[entity]]="Inc","USD","XXX")))</f>
        <v>EUR</v>
      </c>
      <c r="Q252" s="199" t="s">
        <v>1012</v>
      </c>
    </row>
    <row r="253" spans="1:18" hidden="1" x14ac:dyDescent="0.3">
      <c r="A253">
        <v>202510</v>
      </c>
      <c r="B253" s="22" t="s">
        <v>917</v>
      </c>
      <c r="C253" s="48">
        <v>5399889449</v>
      </c>
      <c r="D253" s="43">
        <v>45961</v>
      </c>
      <c r="E253" s="43">
        <f>input_invoice[[#This Row],[date]]</f>
        <v>45961</v>
      </c>
      <c r="F253" t="s">
        <v>133</v>
      </c>
      <c r="G253" s="47">
        <f>MAX(+input_invoice[[#This Row],[net]]+input_invoice[[#This Row],[tax_iva]],input_invoice[[#This Row],[net]])</f>
        <v>194.4</v>
      </c>
      <c r="H253" s="47">
        <f>input_invoice[[#This Row],[net]]*(MAX(input_invoice[[#This Row],[tax_rate_iva]],0)/100)</f>
        <v>0</v>
      </c>
      <c r="I253" s="47">
        <f>-input_invoice[[#This Row],[net]]*input_invoice[[#This Row],[tax_rate_irpf]]/100</f>
        <v>0</v>
      </c>
      <c r="J253" s="47">
        <v>194.4</v>
      </c>
      <c r="K253" t="str">
        <f t="shared" si="9"/>
        <v>it</v>
      </c>
      <c r="L253">
        <v>0</v>
      </c>
      <c r="N253" t="str">
        <f>VLOOKUP(input_invoice[[#This Row],[concept/supplier]],'sel-invoice'!D:E,2,0)</f>
        <v>Gsuite</v>
      </c>
      <c r="O253" t="str">
        <f>VLOOKUP(input_invoice[[#This Row],[concept/supplier]],'sel-invoice'!D:F,3,0)</f>
        <v>SL</v>
      </c>
      <c r="P253" t="str">
        <f>IF(input_invoice[[#This Row],[entity]]="SL","EUR",IF(input_invoice[[#This Row],[entity]]="Ltd","GBP",IF(input_invoice[[#This Row],[entity]]="Inc","USD","XXX")))</f>
        <v>EUR</v>
      </c>
      <c r="Q253" s="199" t="s">
        <v>1045</v>
      </c>
    </row>
    <row r="254" spans="1:18" hidden="1" x14ac:dyDescent="0.3">
      <c r="A254">
        <v>202510</v>
      </c>
      <c r="B254" s="22" t="s">
        <v>917</v>
      </c>
      <c r="C254" s="48">
        <v>4004491556</v>
      </c>
      <c r="D254" s="43">
        <v>45961</v>
      </c>
      <c r="E254" s="43">
        <v>45962</v>
      </c>
      <c r="F254" t="s">
        <v>52</v>
      </c>
      <c r="G254" s="47">
        <f>MAX(+input_invoice[[#This Row],[net]]+input_invoice[[#This Row],[tax_iva]],input_invoice[[#This Row],[net]])</f>
        <v>127.2799</v>
      </c>
      <c r="H254" s="47">
        <f>input_invoice[[#This Row],[net]]*(MAX(input_invoice[[#This Row],[tax_rate_iva]],0)/100)</f>
        <v>22.0899</v>
      </c>
      <c r="I254" s="47">
        <f>-input_invoice[[#This Row],[net]]*input_invoice[[#This Row],[tax_rate_irpf]]/100</f>
        <v>0</v>
      </c>
      <c r="J254" s="47">
        <v>105.19</v>
      </c>
      <c r="K254" t="str">
        <f t="shared" si="9"/>
        <v>logistics</v>
      </c>
      <c r="L254">
        <v>21</v>
      </c>
      <c r="N254" t="str">
        <f>VLOOKUP(input_invoice[[#This Row],[concept/supplier]],'sel-invoice'!D:E,2,0)</f>
        <v>Correos</v>
      </c>
      <c r="O254" t="str">
        <f>VLOOKUP(input_invoice[[#This Row],[concept/supplier]],'sel-invoice'!D:F,3,0)</f>
        <v>SL</v>
      </c>
      <c r="P254" t="str">
        <f>IF(input_invoice[[#This Row],[entity]]="SL","EUR",IF(input_invoice[[#This Row],[entity]]="Ltd","GBP",IF(input_invoice[[#This Row],[entity]]="Inc","USD","XXX")))</f>
        <v>EUR</v>
      </c>
      <c r="Q254" s="199" t="s">
        <v>1028</v>
      </c>
    </row>
    <row r="255" spans="1:18" hidden="1" x14ac:dyDescent="0.3">
      <c r="A255">
        <v>202510</v>
      </c>
      <c r="B255" s="22" t="s">
        <v>917</v>
      </c>
      <c r="C255" s="48">
        <v>4004491558</v>
      </c>
      <c r="D255" s="43">
        <v>45961</v>
      </c>
      <c r="E255" s="43">
        <v>45962</v>
      </c>
      <c r="F255" t="s">
        <v>52</v>
      </c>
      <c r="G255" s="47">
        <f>MAX(+input_invoice[[#This Row],[net]]+input_invoice[[#This Row],[tax_iva]],input_invoice[[#This Row],[net]])</f>
        <v>20.61</v>
      </c>
      <c r="H255" s="47">
        <f>input_invoice[[#This Row],[net]]*(MAX(input_invoice[[#This Row],[tax_rate_iva]],0)/100)</f>
        <v>0</v>
      </c>
      <c r="I255" s="47">
        <f>-input_invoice[[#This Row],[net]]*input_invoice[[#This Row],[tax_rate_irpf]]/100</f>
        <v>0</v>
      </c>
      <c r="J255" s="47">
        <v>20.61</v>
      </c>
      <c r="K255" t="str">
        <f t="shared" si="9"/>
        <v>logistics</v>
      </c>
      <c r="L255">
        <v>0</v>
      </c>
      <c r="N255" t="str">
        <f>VLOOKUP(input_invoice[[#This Row],[concept/supplier]],'sel-invoice'!D:E,2,0)</f>
        <v>Correos</v>
      </c>
      <c r="O255" t="str">
        <f>VLOOKUP(input_invoice[[#This Row],[concept/supplier]],'sel-invoice'!D:F,3,0)</f>
        <v>SL</v>
      </c>
      <c r="P255" t="str">
        <f>IF(input_invoice[[#This Row],[entity]]="SL","EUR",IF(input_invoice[[#This Row],[entity]]="Ltd","GBP",IF(input_invoice[[#This Row],[entity]]="Inc","USD","XXX")))</f>
        <v>EUR</v>
      </c>
      <c r="Q255" s="199" t="s">
        <v>1029</v>
      </c>
    </row>
    <row r="256" spans="1:18" hidden="1" x14ac:dyDescent="0.3">
      <c r="A256">
        <v>202510</v>
      </c>
      <c r="B256" s="22" t="s">
        <v>917</v>
      </c>
      <c r="C256" s="48">
        <v>4004491558</v>
      </c>
      <c r="D256" s="43">
        <v>45961</v>
      </c>
      <c r="E256" s="43">
        <v>45962</v>
      </c>
      <c r="F256" t="s">
        <v>52</v>
      </c>
      <c r="G256" s="47">
        <f>MAX(+input_invoice[[#This Row],[net]]+input_invoice[[#This Row],[tax_iva]],input_invoice[[#This Row],[net]])</f>
        <v>25.540900000000001</v>
      </c>
      <c r="H256" s="47">
        <f>input_invoice[[#This Row],[net]]*(MAX(input_invoice[[#This Row],[tax_rate_iva]],0)/100)</f>
        <v>1.6709000000000003</v>
      </c>
      <c r="I256" s="47">
        <f>-input_invoice[[#This Row],[net]]*input_invoice[[#This Row],[tax_rate_irpf]]/100</f>
        <v>0</v>
      </c>
      <c r="J256" s="47">
        <v>23.87</v>
      </c>
      <c r="K256" t="str">
        <f t="shared" si="9"/>
        <v>logistics</v>
      </c>
      <c r="L256">
        <v>7</v>
      </c>
      <c r="N256" t="str">
        <f>VLOOKUP(input_invoice[[#This Row],[concept/supplier]],'sel-invoice'!D:E,2,0)</f>
        <v>Correos</v>
      </c>
      <c r="O256" t="str">
        <f>VLOOKUP(input_invoice[[#This Row],[concept/supplier]],'sel-invoice'!D:F,3,0)</f>
        <v>SL</v>
      </c>
      <c r="P256" t="str">
        <f>IF(input_invoice[[#This Row],[entity]]="SL","EUR",IF(input_invoice[[#This Row],[entity]]="Ltd","GBP",IF(input_invoice[[#This Row],[entity]]="Inc","USD","XXX")))</f>
        <v>EUR</v>
      </c>
      <c r="Q256" s="199" t="s">
        <v>1029</v>
      </c>
    </row>
    <row r="257" spans="1:18" hidden="1" x14ac:dyDescent="0.3">
      <c r="A257">
        <v>202511</v>
      </c>
      <c r="B257" s="22" t="s">
        <v>917</v>
      </c>
      <c r="C257" s="48" t="s">
        <v>1008</v>
      </c>
      <c r="D257" s="43">
        <v>45962</v>
      </c>
      <c r="E257" s="43">
        <v>45962</v>
      </c>
      <c r="F257" t="s">
        <v>137</v>
      </c>
      <c r="G257" s="47">
        <f>MAX(+input_invoice[[#This Row],[net]]+input_invoice[[#This Row],[tax_iva]],input_invoice[[#This Row],[net]])</f>
        <v>22.9</v>
      </c>
      <c r="H257" s="47">
        <f>input_invoice[[#This Row],[net]]*(MAX(input_invoice[[#This Row],[tax_rate_iva]],0)/100)</f>
        <v>0</v>
      </c>
      <c r="I257" s="47">
        <f>-input_invoice[[#This Row],[net]]*input_invoice[[#This Row],[tax_rate_irpf]]/100</f>
        <v>0</v>
      </c>
      <c r="J257" s="47">
        <v>22.9</v>
      </c>
      <c r="K257" t="str">
        <f t="shared" si="9"/>
        <v>it</v>
      </c>
      <c r="L257">
        <v>0</v>
      </c>
      <c r="N257" t="str">
        <f>VLOOKUP(input_invoice[[#This Row],[concept/supplier]],'sel-invoice'!D:E,2,0)</f>
        <v>Railway</v>
      </c>
      <c r="O257" t="str">
        <f>VLOOKUP(input_invoice[[#This Row],[concept/supplier]],'sel-invoice'!D:F,3,0)</f>
        <v>SL</v>
      </c>
      <c r="P257" t="str">
        <f>IF(input_invoice[[#This Row],[entity]]="SL","EUR",IF(input_invoice[[#This Row],[entity]]="Ltd","GBP",IF(input_invoice[[#This Row],[entity]]="Inc","USD","XXX")))</f>
        <v>EUR</v>
      </c>
      <c r="Q257" s="199" t="s">
        <v>1009</v>
      </c>
    </row>
    <row r="258" spans="1:18" hidden="1" x14ac:dyDescent="0.3">
      <c r="A258">
        <v>202510</v>
      </c>
      <c r="B258" s="22" t="s">
        <v>917</v>
      </c>
      <c r="C258" s="48" t="s">
        <v>988</v>
      </c>
      <c r="D258" s="43">
        <v>45958</v>
      </c>
      <c r="E258" s="43">
        <v>45958</v>
      </c>
      <c r="F258" t="s">
        <v>81</v>
      </c>
      <c r="G258" s="47">
        <f>MAX(+input_invoice[[#This Row],[net]]+input_invoice[[#This Row],[tax_iva]],input_invoice[[#This Row],[net]])</f>
        <v>95.59</v>
      </c>
      <c r="H258" s="47">
        <f>input_invoice[[#This Row],[net]]*(MAX(input_invoice[[#This Row],[tax_rate_iva]],0)/100)</f>
        <v>16.59</v>
      </c>
      <c r="I258" s="47">
        <f>-input_invoice[[#This Row],[net]]*input_invoice[[#This Row],[tax_rate_irpf]]/100</f>
        <v>0</v>
      </c>
      <c r="J258" s="47">
        <v>79</v>
      </c>
      <c r="K258" t="str">
        <f t="shared" si="9"/>
        <v>returns</v>
      </c>
      <c r="L258">
        <v>21</v>
      </c>
      <c r="N258" t="str">
        <f>VLOOKUP(input_invoice[[#This Row],[concept/supplier]],'sel-invoice'!D:E,2,0)</f>
        <v>rever</v>
      </c>
      <c r="O258" t="str">
        <f>VLOOKUP(input_invoice[[#This Row],[concept/supplier]],'sel-invoice'!D:F,3,0)</f>
        <v>SL</v>
      </c>
      <c r="P258" t="str">
        <f>IF(input_invoice[[#This Row],[entity]]="SL","EUR",IF(input_invoice[[#This Row],[entity]]="Ltd","GBP",IF(input_invoice[[#This Row],[entity]]="Inc","USD","XXX")))</f>
        <v>EUR</v>
      </c>
      <c r="Q258" s="199" t="s">
        <v>989</v>
      </c>
    </row>
    <row r="259" spans="1:18" hidden="1" x14ac:dyDescent="0.3">
      <c r="A259">
        <v>202510</v>
      </c>
      <c r="B259" s="22" t="s">
        <v>917</v>
      </c>
      <c r="C259" s="43" t="s">
        <v>946</v>
      </c>
      <c r="D259" s="43">
        <v>45947</v>
      </c>
      <c r="E259" s="43">
        <v>45964</v>
      </c>
      <c r="F259" t="s">
        <v>37</v>
      </c>
      <c r="G259" s="47">
        <f>MAX(+input_invoice[[#This Row],[net]]+input_invoice[[#This Row],[tax_iva]],input_invoice[[#This Row],[net]])</f>
        <v>4389.4565000000002</v>
      </c>
      <c r="H259" s="47">
        <f>input_invoice[[#This Row],[net]]*(MAX(input_invoice[[#This Row],[tax_rate_iva]],0)/100)</f>
        <v>761.80650000000003</v>
      </c>
      <c r="I259" s="47">
        <f>-input_invoice[[#This Row],[net]]*input_invoice[[#This Row],[tax_rate_irpf]]/100</f>
        <v>0</v>
      </c>
      <c r="J259" s="47">
        <v>3627.65</v>
      </c>
      <c r="K259" t="str">
        <f t="shared" si="9"/>
        <v>manufacturing</v>
      </c>
      <c r="L259">
        <v>21</v>
      </c>
      <c r="N259" t="str">
        <f>VLOOKUP(input_invoice[[#This Row],[concept/supplier]],'sel-invoice'!D:E,2,0)</f>
        <v>Apphoto España</v>
      </c>
      <c r="O259" t="str">
        <f>VLOOKUP(input_invoice[[#This Row],[concept/supplier]],'sel-invoice'!D:F,3,0)</f>
        <v>SL</v>
      </c>
      <c r="P259" t="str">
        <f>IF(input_invoice[[#This Row],[entity]]="SL","EUR",IF(input_invoice[[#This Row],[entity]]="Ltd","GBP",IF(input_invoice[[#This Row],[entity]]="Inc","USD","XXX")))</f>
        <v>EUR</v>
      </c>
    </row>
    <row r="260" spans="1:18" hidden="1" x14ac:dyDescent="0.3">
      <c r="A260">
        <v>202511</v>
      </c>
      <c r="B260" s="22" t="s">
        <v>917</v>
      </c>
      <c r="C260" s="48">
        <v>703640</v>
      </c>
      <c r="D260" s="43">
        <v>45963</v>
      </c>
      <c r="E260" s="43">
        <v>45964</v>
      </c>
      <c r="F260" t="s">
        <v>113</v>
      </c>
      <c r="G260" s="47">
        <f>MAX(+input_invoice[[#This Row],[net]]+input_invoice[[#This Row],[tax_iva]],input_invoice[[#This Row],[net]])</f>
        <v>18.149999999999999</v>
      </c>
      <c r="H260" s="47">
        <f>input_invoice[[#This Row],[net]]*(MAX(input_invoice[[#This Row],[tax_rate_iva]],0)/100)</f>
        <v>3.15</v>
      </c>
      <c r="I260" s="47">
        <f>-input_invoice[[#This Row],[net]]*input_invoice[[#This Row],[tax_rate_irpf]]/100</f>
        <v>0</v>
      </c>
      <c r="J260" s="47">
        <v>15</v>
      </c>
      <c r="K260" t="str">
        <f t="shared" si="9"/>
        <v>administrative</v>
      </c>
      <c r="L260">
        <v>21</v>
      </c>
      <c r="N260" t="str">
        <f>VLOOKUP(input_invoice[[#This Row],[concept/supplier]],'sel-invoice'!D:E,2,0)</f>
        <v>Torras y asociados</v>
      </c>
      <c r="O260" t="str">
        <f>VLOOKUP(input_invoice[[#This Row],[concept/supplier]],'sel-invoice'!D:F,3,0)</f>
        <v>SL</v>
      </c>
      <c r="P260" t="str">
        <f>IF(input_invoice[[#This Row],[entity]]="SL","EUR",IF(input_invoice[[#This Row],[entity]]="Ltd","GBP",IF(input_invoice[[#This Row],[entity]]="Inc","USD","XXX")))</f>
        <v>EUR</v>
      </c>
      <c r="Q260" s="199" t="s">
        <v>1048</v>
      </c>
    </row>
    <row r="261" spans="1:18" hidden="1" x14ac:dyDescent="0.3">
      <c r="A261">
        <v>202510</v>
      </c>
      <c r="B261" s="22" t="s">
        <v>917</v>
      </c>
      <c r="C261" s="48" t="s">
        <v>986</v>
      </c>
      <c r="D261" s="43">
        <v>45958</v>
      </c>
      <c r="E261" s="43">
        <v>45965</v>
      </c>
      <c r="F261" t="s">
        <v>54</v>
      </c>
      <c r="G261" s="47">
        <f>MAX(+input_invoice[[#This Row],[net]]+input_invoice[[#This Row],[tax_iva]],input_invoice[[#This Row],[net]])</f>
        <v>8.5909999999999993</v>
      </c>
      <c r="H261" s="47">
        <f>input_invoice[[#This Row],[net]]*(MAX(input_invoice[[#This Row],[tax_rate_iva]],0)/100)</f>
        <v>1.4909999999999999</v>
      </c>
      <c r="I261" s="47">
        <f>-input_invoice[[#This Row],[net]]*input_invoice[[#This Row],[tax_rate_irpf]]/100</f>
        <v>0</v>
      </c>
      <c r="J261" s="47">
        <v>7.1</v>
      </c>
      <c r="K261" t="str">
        <f t="shared" si="9"/>
        <v>logistics</v>
      </c>
      <c r="L261">
        <v>21</v>
      </c>
      <c r="N261" t="str">
        <f>VLOOKUP(input_invoice[[#This Row],[concept/supplier]],'sel-invoice'!D:E,2,0)</f>
        <v>Spring</v>
      </c>
      <c r="O261" t="str">
        <f>VLOOKUP(input_invoice[[#This Row],[concept/supplier]],'sel-invoice'!D:F,3,0)</f>
        <v>SL</v>
      </c>
      <c r="P261" t="str">
        <f>IF(input_invoice[[#This Row],[entity]]="SL","EUR",IF(input_invoice[[#This Row],[entity]]="Ltd","GBP",IF(input_invoice[[#This Row],[entity]]="Inc","USD","XXX")))</f>
        <v>EUR</v>
      </c>
      <c r="Q261" s="199" t="s">
        <v>987</v>
      </c>
    </row>
    <row r="262" spans="1:18" hidden="1" x14ac:dyDescent="0.3">
      <c r="A262">
        <v>202510</v>
      </c>
      <c r="B262" s="22" t="s">
        <v>917</v>
      </c>
      <c r="C262" s="48" t="s">
        <v>970</v>
      </c>
      <c r="D262" s="43">
        <v>45951</v>
      </c>
      <c r="E262" s="43">
        <f>input_invoice[[#This Row],[date]]+15</f>
        <v>45966</v>
      </c>
      <c r="F262" t="s">
        <v>37</v>
      </c>
      <c r="G262" s="47">
        <f>MAX(+input_invoice[[#This Row],[net]]+input_invoice[[#This Row],[tax_iva]],input_invoice[[#This Row],[net]])</f>
        <v>5290.8339000000005</v>
      </c>
      <c r="H262" s="47">
        <f>input_invoice[[#This Row],[net]]*(MAX(input_invoice[[#This Row],[tax_rate_iva]],0)/100)</f>
        <v>918.24390000000005</v>
      </c>
      <c r="I262" s="47">
        <f>-input_invoice[[#This Row],[net]]*input_invoice[[#This Row],[tax_rate_irpf]]/100</f>
        <v>0</v>
      </c>
      <c r="J262" s="47">
        <v>4372.59</v>
      </c>
      <c r="K262" t="str">
        <f t="shared" si="9"/>
        <v>manufacturing</v>
      </c>
      <c r="L262">
        <v>21</v>
      </c>
      <c r="N262" t="str">
        <f>VLOOKUP(input_invoice[[#This Row],[concept/supplier]],'sel-invoice'!D:E,2,0)</f>
        <v>Apphoto España</v>
      </c>
      <c r="O262" t="str">
        <f>VLOOKUP(input_invoice[[#This Row],[concept/supplier]],'sel-invoice'!D:F,3,0)</f>
        <v>SL</v>
      </c>
      <c r="P262" t="str">
        <f>IF(input_invoice[[#This Row],[entity]]="SL","EUR",IF(input_invoice[[#This Row],[entity]]="Ltd","GBP",IF(input_invoice[[#This Row],[entity]]="Inc","USD","XXX")))</f>
        <v>EUR</v>
      </c>
      <c r="Q262" s="199" t="s">
        <v>973</v>
      </c>
    </row>
    <row r="263" spans="1:18" hidden="1" x14ac:dyDescent="0.3">
      <c r="A263">
        <v>202510</v>
      </c>
      <c r="B263" s="22" t="s">
        <v>917</v>
      </c>
      <c r="C263">
        <v>3050010225</v>
      </c>
      <c r="D263" s="43">
        <v>45961</v>
      </c>
      <c r="E263" s="43">
        <v>45968</v>
      </c>
      <c r="F263" t="s">
        <v>53</v>
      </c>
      <c r="G263" s="47">
        <f>MAX(+input_invoice[[#This Row],[net]]+input_invoice[[#This Row],[tax_iva]],input_invoice[[#This Row],[net]])</f>
        <v>1276.2354</v>
      </c>
      <c r="H263" s="47">
        <f>input_invoice[[#This Row],[net]]*(MAX(input_invoice[[#This Row],[tax_rate_iva]],0)/100)</f>
        <v>221.49539999999999</v>
      </c>
      <c r="I263" s="47">
        <f>-input_invoice[[#This Row],[net]]*input_invoice[[#This Row],[tax_rate_irpf]]/100</f>
        <v>0</v>
      </c>
      <c r="J263">
        <v>1054.74</v>
      </c>
      <c r="K263" t="str">
        <f t="shared" si="9"/>
        <v>logistics</v>
      </c>
      <c r="L263">
        <v>21</v>
      </c>
      <c r="N263" t="str">
        <f>VLOOKUP(input_invoice[[#This Row],[concept/supplier]],'sel-invoice'!D:E,2,0)</f>
        <v>Asendia</v>
      </c>
      <c r="O263" t="str">
        <f>VLOOKUP(input_invoice[[#This Row],[concept/supplier]],'sel-invoice'!D:F,3,0)</f>
        <v>SL</v>
      </c>
      <c r="P263" t="str">
        <f>IF(input_invoice[[#This Row],[entity]]="SL","EUR",IF(input_invoice[[#This Row],[entity]]="Ltd","GBP",IF(input_invoice[[#This Row],[entity]]="Inc","USD","XXX")))</f>
        <v>EUR</v>
      </c>
      <c r="Q263" s="199" t="s">
        <v>1039</v>
      </c>
    </row>
    <row r="264" spans="1:18" hidden="1" x14ac:dyDescent="0.3">
      <c r="A264">
        <v>202508</v>
      </c>
      <c r="B264" s="22" t="s">
        <v>917</v>
      </c>
      <c r="C264">
        <v>5351943776</v>
      </c>
      <c r="D264" s="43">
        <v>45900</v>
      </c>
      <c r="E264" s="43">
        <f>input_invoice[[#This Row],[date]]+60</f>
        <v>45960</v>
      </c>
      <c r="F264" t="s">
        <v>88</v>
      </c>
      <c r="G264" s="47">
        <f>MAX(+input_invoice[[#This Row],[net]]+input_invoice[[#This Row],[tax_iva]]+input_invoice[[#This Row],[tax_irpf]],input_invoice[[#This Row],[net]])</f>
        <v>25050.639999999999</v>
      </c>
      <c r="H264" s="47">
        <f>input_invoice[[#This Row],[net]]*(MAX(input_invoice[[#This Row],[tax_rate_iva]],0)/100)</f>
        <v>0</v>
      </c>
      <c r="I264" s="47">
        <f>-input_invoice[[#This Row],[net]]*input_invoice[[#This Row],[tax_rate_irpf]]/100</f>
        <v>0</v>
      </c>
      <c r="J264" s="47">
        <v>25050.639999999999</v>
      </c>
      <c r="K264" t="str">
        <f t="shared" si="9"/>
        <v>marketing</v>
      </c>
      <c r="L264">
        <v>0</v>
      </c>
      <c r="N264" t="str">
        <f>VLOOKUP(input_invoice[[#This Row],[concept/supplier]],'sel-invoice'!D:E,2,0)</f>
        <v>google</v>
      </c>
      <c r="O264" t="str">
        <f>VLOOKUP(input_invoice[[#This Row],[concept/supplier]],'sel-invoice'!D:F,3,0)</f>
        <v>SL</v>
      </c>
      <c r="P264" t="str">
        <f>IF(input_invoice[[#This Row],[entity]]="SL","EUR",IF(input_invoice[[#This Row],[entity]]="Ltd","GBP",IF(input_invoice[[#This Row],[entity]]="Inc","USD","XXX")))</f>
        <v>EUR</v>
      </c>
      <c r="Q264" s="199" t="s">
        <v>961</v>
      </c>
      <c r="R264" s="259" t="b">
        <v>1</v>
      </c>
    </row>
    <row r="265" spans="1:18" hidden="1" x14ac:dyDescent="0.3">
      <c r="A265">
        <v>202511</v>
      </c>
      <c r="B265" s="22" t="s">
        <v>917</v>
      </c>
      <c r="C265" s="48" t="s">
        <v>1049</v>
      </c>
      <c r="D265" s="43">
        <v>45964</v>
      </c>
      <c r="E265" s="43">
        <v>45971</v>
      </c>
      <c r="F265" t="s">
        <v>54</v>
      </c>
      <c r="G265" s="47">
        <f>MAX(+input_invoice[[#This Row],[net]]+input_invoice[[#This Row],[tax_iva]],input_invoice[[#This Row],[net]])</f>
        <v>17.181999999999999</v>
      </c>
      <c r="H265" s="47">
        <f>input_invoice[[#This Row],[net]]*(MAX(input_invoice[[#This Row],[tax_rate_iva]],0)/100)</f>
        <v>2.9819999999999998</v>
      </c>
      <c r="I265" s="47">
        <f>-input_invoice[[#This Row],[net]]*input_invoice[[#This Row],[tax_rate_irpf]]/100</f>
        <v>0</v>
      </c>
      <c r="J265" s="47">
        <v>14.2</v>
      </c>
      <c r="K265" t="str">
        <f t="shared" si="9"/>
        <v>logistics</v>
      </c>
      <c r="L265">
        <v>21</v>
      </c>
      <c r="N265" t="str">
        <f>VLOOKUP(input_invoice[[#This Row],[concept/supplier]],'sel-invoice'!D:E,2,0)</f>
        <v>Spring</v>
      </c>
      <c r="O265" t="str">
        <f>VLOOKUP(input_invoice[[#This Row],[concept/supplier]],'sel-invoice'!D:F,3,0)</f>
        <v>SL</v>
      </c>
      <c r="P265" t="str">
        <f>IF(input_invoice[[#This Row],[entity]]="SL","EUR",IF(input_invoice[[#This Row],[entity]]="Ltd","GBP",IF(input_invoice[[#This Row],[entity]]="Inc","USD","XXX")))</f>
        <v>EUR</v>
      </c>
      <c r="Q265" s="199" t="s">
        <v>1050</v>
      </c>
    </row>
    <row r="266" spans="1:18" hidden="1" x14ac:dyDescent="0.3">
      <c r="A266">
        <v>202511</v>
      </c>
      <c r="B266" s="22" t="s">
        <v>917</v>
      </c>
      <c r="C266" s="48" t="s">
        <v>1051</v>
      </c>
      <c r="D266" s="43">
        <v>45966</v>
      </c>
      <c r="E266" s="43">
        <v>45971</v>
      </c>
      <c r="F266" t="s">
        <v>111</v>
      </c>
      <c r="G266" s="47">
        <f>MAX(+input_invoice[[#This Row],[net]]+input_invoice[[#This Row],[tax_iva]],input_invoice[[#This Row],[net]])</f>
        <v>888.87810000000002</v>
      </c>
      <c r="H266" s="47">
        <f>input_invoice[[#This Row],[net]]*(MAX(input_invoice[[#This Row],[tax_rate_iva]],0)/100)</f>
        <v>154.2681</v>
      </c>
      <c r="I266" s="47">
        <f>-input_invoice[[#This Row],[net]]*input_invoice[[#This Row],[tax_rate_irpf]]/100</f>
        <v>0</v>
      </c>
      <c r="J266" s="47">
        <v>734.61</v>
      </c>
      <c r="K266" t="str">
        <f t="shared" si="9"/>
        <v>administrative</v>
      </c>
      <c r="L266">
        <v>21</v>
      </c>
      <c r="N266" t="str">
        <f>VLOOKUP(input_invoice[[#This Row],[concept/supplier]],'sel-invoice'!D:E,2,0)</f>
        <v>Claris Gestio</v>
      </c>
      <c r="O266" t="str">
        <f>VLOOKUP(input_invoice[[#This Row],[concept/supplier]],'sel-invoice'!D:F,3,0)</f>
        <v>SL</v>
      </c>
      <c r="P266" t="str">
        <f>IF(input_invoice[[#This Row],[entity]]="SL","EUR",IF(input_invoice[[#This Row],[entity]]="Ltd","GBP",IF(input_invoice[[#This Row],[entity]]="Inc","USD","XXX")))</f>
        <v>EUR</v>
      </c>
      <c r="Q266" s="199" t="s">
        <v>1052</v>
      </c>
    </row>
    <row r="267" spans="1:18" hidden="1" x14ac:dyDescent="0.3">
      <c r="A267">
        <v>202510</v>
      </c>
      <c r="B267" s="22" t="s">
        <v>917</v>
      </c>
      <c r="C267" s="48" t="s">
        <v>977</v>
      </c>
      <c r="D267" s="43">
        <v>45958</v>
      </c>
      <c r="E267" s="43">
        <v>45973</v>
      </c>
      <c r="F267" t="s">
        <v>37</v>
      </c>
      <c r="G267" s="47">
        <f>MAX(+input_invoice[[#This Row],[net]]+input_invoice[[#This Row],[tax_iva]],input_invoice[[#This Row],[net]])</f>
        <v>8120.9755000000005</v>
      </c>
      <c r="H267" s="47">
        <f>input_invoice[[#This Row],[net]]*(MAX(input_invoice[[#This Row],[tax_rate_iva]],0)/100)</f>
        <v>1409.4255000000001</v>
      </c>
      <c r="I267" s="47">
        <f>-input_invoice[[#This Row],[net]]*input_invoice[[#This Row],[tax_rate_irpf]]/100</f>
        <v>0</v>
      </c>
      <c r="J267" s="47">
        <v>6711.55</v>
      </c>
      <c r="K267" t="str">
        <f t="shared" si="9"/>
        <v>manufacturing</v>
      </c>
      <c r="L267">
        <v>21</v>
      </c>
      <c r="N267" t="str">
        <f>VLOOKUP(input_invoice[[#This Row],[concept/supplier]],'sel-invoice'!D:E,2,0)</f>
        <v>Apphoto España</v>
      </c>
      <c r="O267" t="str">
        <f>VLOOKUP(input_invoice[[#This Row],[concept/supplier]],'sel-invoice'!D:F,3,0)</f>
        <v>SL</v>
      </c>
      <c r="P267" t="str">
        <f>IF(input_invoice[[#This Row],[entity]]="SL","EUR",IF(input_invoice[[#This Row],[entity]]="Ltd","GBP",IF(input_invoice[[#This Row],[entity]]="Inc","USD","XXX")))</f>
        <v>EUR</v>
      </c>
      <c r="Q267" s="199" t="s">
        <v>979</v>
      </c>
    </row>
    <row r="268" spans="1:18" hidden="1" x14ac:dyDescent="0.3">
      <c r="A268">
        <v>202511</v>
      </c>
      <c r="B268" s="22" t="s">
        <v>917</v>
      </c>
      <c r="C268" s="48" t="s">
        <v>1057</v>
      </c>
      <c r="D268" s="43">
        <v>45974</v>
      </c>
      <c r="E268" s="43">
        <v>45974</v>
      </c>
      <c r="F268" t="s">
        <v>148</v>
      </c>
      <c r="G268" s="47">
        <f>MAX(+input_invoice[[#This Row],[net]]+input_invoice[[#This Row],[tax_iva]],input_invoice[[#This Row],[net]])</f>
        <v>440</v>
      </c>
      <c r="H268" s="47">
        <f>input_invoice[[#This Row],[net]]*(MAX(input_invoice[[#This Row],[tax_rate_iva]],0)/100)</f>
        <v>0</v>
      </c>
      <c r="I268" s="47">
        <f>-input_invoice[[#This Row],[net]]*input_invoice[[#This Row],[tax_rate_irpf]]/100</f>
        <v>0</v>
      </c>
      <c r="J268" s="47">
        <v>440</v>
      </c>
      <c r="K268" t="str">
        <f t="shared" si="9"/>
        <v>it</v>
      </c>
      <c r="L268">
        <v>0</v>
      </c>
      <c r="N268" t="str">
        <f>VLOOKUP(input_invoice[[#This Row],[concept/supplier]],'sel-invoice'!D:E,2,0)</f>
        <v>Yuma</v>
      </c>
      <c r="O268" t="str">
        <f>VLOOKUP(input_invoice[[#This Row],[concept/supplier]],'sel-invoice'!D:F,3,0)</f>
        <v>SL</v>
      </c>
      <c r="P268" t="str">
        <f>IF(input_invoice[[#This Row],[entity]]="SL","EUR",IF(input_invoice[[#This Row],[entity]]="Ltd","GBP",IF(input_invoice[[#This Row],[entity]]="Inc","USD","XXX")))</f>
        <v>EUR</v>
      </c>
      <c r="Q268" s="199" t="s">
        <v>1058</v>
      </c>
    </row>
    <row r="269" spans="1:18" hidden="1" x14ac:dyDescent="0.3">
      <c r="A269">
        <v>202509</v>
      </c>
      <c r="B269" s="22" t="s">
        <v>917</v>
      </c>
      <c r="C269" s="48">
        <v>170377</v>
      </c>
      <c r="D269" s="43">
        <v>45930</v>
      </c>
      <c r="E269" s="43">
        <f>input_invoice[[#This Row],[date]]+45</f>
        <v>45975</v>
      </c>
      <c r="F269" t="s">
        <v>221</v>
      </c>
      <c r="G269" s="47">
        <f>MAX(+input_invoice[[#This Row],[net]]+input_invoice[[#This Row],[tax_iva]],input_invoice[[#This Row],[net]])</f>
        <v>5229</v>
      </c>
      <c r="H269" s="47">
        <f>input_invoice[[#This Row],[net]]*(MAX(input_invoice[[#This Row],[tax_rate_iva]],0)/100)</f>
        <v>0</v>
      </c>
      <c r="I269" s="47">
        <f>-input_invoice[[#This Row],[net]]*input_invoice[[#This Row],[tax_rate_irpf]]/100</f>
        <v>0</v>
      </c>
      <c r="J269" s="47">
        <v>5229</v>
      </c>
      <c r="K269" t="str">
        <f t="shared" si="9"/>
        <v>logistics</v>
      </c>
      <c r="L269">
        <v>0</v>
      </c>
      <c r="N269" t="str">
        <f>VLOOKUP(input_invoice[[#This Row],[concept/supplier]],'sel-invoice'!D:E,2,0)</f>
        <v>TGI Inc</v>
      </c>
      <c r="O269" t="str">
        <f>VLOOKUP(input_invoice[[#This Row],[concept/supplier]],'sel-invoice'!D:F,3,0)</f>
        <v>Inc</v>
      </c>
      <c r="P269" t="str">
        <f>IF(input_invoice[[#This Row],[entity]]="SL","EUR",IF(input_invoice[[#This Row],[entity]]="Ltd","GBP",IF(input_invoice[[#This Row],[entity]]="Inc","USD","XXX")))</f>
        <v>USD</v>
      </c>
      <c r="Q269" s="199" t="s">
        <v>968</v>
      </c>
      <c r="R269" s="259" t="b">
        <v>1</v>
      </c>
    </row>
    <row r="270" spans="1:18" hidden="1" x14ac:dyDescent="0.3">
      <c r="A270">
        <v>202509</v>
      </c>
      <c r="B270" s="22" t="s">
        <v>917</v>
      </c>
      <c r="C270" s="48">
        <v>170376</v>
      </c>
      <c r="D270" s="43">
        <v>45930</v>
      </c>
      <c r="E270" s="43">
        <f>input_invoice[[#This Row],[date]]+45</f>
        <v>45975</v>
      </c>
      <c r="F270" t="s">
        <v>218</v>
      </c>
      <c r="G270" s="47">
        <f>MAX(+input_invoice[[#This Row],[net]]+input_invoice[[#This Row],[tax_iva]],input_invoice[[#This Row],[net]])</f>
        <v>3541.84</v>
      </c>
      <c r="H270" s="47">
        <f>input_invoice[[#This Row],[net]]*(MAX(input_invoice[[#This Row],[tax_rate_iva]],0)/100)</f>
        <v>0</v>
      </c>
      <c r="I270" s="47">
        <f>-input_invoice[[#This Row],[net]]*input_invoice[[#This Row],[tax_rate_irpf]]/100</f>
        <v>0</v>
      </c>
      <c r="J270" s="47">
        <v>3541.84</v>
      </c>
      <c r="K270" t="str">
        <f t="shared" si="9"/>
        <v>manufacturing</v>
      </c>
      <c r="L270">
        <v>0</v>
      </c>
      <c r="N270" t="str">
        <f>VLOOKUP(input_invoice[[#This Row],[concept/supplier]],'sel-invoice'!D:E,2,0)</f>
        <v>TGI Inc</v>
      </c>
      <c r="O270" t="str">
        <f>VLOOKUP(input_invoice[[#This Row],[concept/supplier]],'sel-invoice'!D:F,3,0)</f>
        <v>Inc</v>
      </c>
      <c r="P270" t="str">
        <f>IF(input_invoice[[#This Row],[entity]]="SL","EUR",IF(input_invoice[[#This Row],[entity]]="Ltd","GBP",IF(input_invoice[[#This Row],[entity]]="Inc","USD","XXX")))</f>
        <v>USD</v>
      </c>
      <c r="Q270" s="199" t="s">
        <v>969</v>
      </c>
      <c r="R270" s="259" t="b">
        <v>1</v>
      </c>
    </row>
    <row r="271" spans="1:18" hidden="1" x14ac:dyDescent="0.3">
      <c r="A271">
        <v>202510</v>
      </c>
      <c r="B271" s="22" t="s">
        <v>917</v>
      </c>
      <c r="C271" s="48" t="s">
        <v>1002</v>
      </c>
      <c r="D271" s="43">
        <v>45960</v>
      </c>
      <c r="E271" s="43">
        <v>45975</v>
      </c>
      <c r="F271" t="s">
        <v>37</v>
      </c>
      <c r="G271" s="47">
        <f>MAX(+input_invoice[[#This Row],[net]]+input_invoice[[#This Row],[tax_iva]],input_invoice[[#This Row],[net]])</f>
        <v>3907.6587</v>
      </c>
      <c r="H271" s="47">
        <f>input_invoice[[#This Row],[net]]*(MAX(input_invoice[[#This Row],[tax_rate_iva]],0)/100)</f>
        <v>678.18869999999993</v>
      </c>
      <c r="I271" s="47">
        <f>-input_invoice[[#This Row],[net]]*input_invoice[[#This Row],[tax_rate_irpf]]/100</f>
        <v>0</v>
      </c>
      <c r="J271" s="47">
        <v>3229.47</v>
      </c>
      <c r="K271" t="str">
        <f t="shared" si="9"/>
        <v>manufacturing</v>
      </c>
      <c r="L271">
        <v>21</v>
      </c>
      <c r="N271" t="str">
        <f>VLOOKUP(input_invoice[[#This Row],[concept/supplier]],'sel-invoice'!D:E,2,0)</f>
        <v>Apphoto España</v>
      </c>
      <c r="O271" t="str">
        <f>VLOOKUP(input_invoice[[#This Row],[concept/supplier]],'sel-invoice'!D:F,3,0)</f>
        <v>SL</v>
      </c>
      <c r="P271" t="str">
        <f>IF(input_invoice[[#This Row],[entity]]="SL","EUR",IF(input_invoice[[#This Row],[entity]]="Ltd","GBP",IF(input_invoice[[#This Row],[entity]]="Inc","USD","XXX")))</f>
        <v>EUR</v>
      </c>
      <c r="Q271" s="199" t="s">
        <v>1003</v>
      </c>
    </row>
    <row r="272" spans="1:18" hidden="1" x14ac:dyDescent="0.3">
      <c r="A272">
        <v>202510</v>
      </c>
      <c r="B272" s="22" t="s">
        <v>917</v>
      </c>
      <c r="C272" s="48" t="s">
        <v>1013</v>
      </c>
      <c r="D272" s="43">
        <v>45961</v>
      </c>
      <c r="E272" s="43">
        <f>input_invoice[[#This Row],[date]]+14</f>
        <v>45975</v>
      </c>
      <c r="F272" t="s">
        <v>43</v>
      </c>
      <c r="G272" s="47">
        <f>MAX(+input_invoice[[#This Row],[net]]+input_invoice[[#This Row],[tax_iva]],input_invoice[[#This Row],[net]])</f>
        <v>11992.700999999999</v>
      </c>
      <c r="H272" s="47">
        <f>input_invoice[[#This Row],[net]]*(MAX(input_invoice[[#This Row],[tax_rate_iva]],0)/100)</f>
        <v>1914.8009999999999</v>
      </c>
      <c r="I272" s="47">
        <f>-input_invoice[[#This Row],[net]]*input_invoice[[#This Row],[tax_rate_irpf]]/100</f>
        <v>0</v>
      </c>
      <c r="J272" s="47">
        <v>10077.9</v>
      </c>
      <c r="K272" t="str">
        <f t="shared" si="9"/>
        <v>manufacturing</v>
      </c>
      <c r="L272">
        <v>19</v>
      </c>
      <c r="N272" t="str">
        <f>VLOOKUP(input_invoice[[#This Row],[concept/supplier]],'sel-invoice'!D:E,2,0)</f>
        <v>DCT</v>
      </c>
      <c r="O272" t="str">
        <f>VLOOKUP(input_invoice[[#This Row],[concept/supplier]],'sel-invoice'!D:F,3,0)</f>
        <v>SL</v>
      </c>
      <c r="P272" t="str">
        <f>IF(input_invoice[[#This Row],[entity]]="SL","EUR",IF(input_invoice[[#This Row],[entity]]="Ltd","GBP",IF(input_invoice[[#This Row],[entity]]="Inc","USD","XXX")))</f>
        <v>EUR</v>
      </c>
      <c r="Q272" s="199" t="s">
        <v>1016</v>
      </c>
    </row>
    <row r="273" spans="1:18" hidden="1" x14ac:dyDescent="0.3">
      <c r="A273">
        <v>202510</v>
      </c>
      <c r="B273" s="22" t="s">
        <v>917</v>
      </c>
      <c r="C273" s="48" t="s">
        <v>1014</v>
      </c>
      <c r="D273" s="43">
        <v>45961</v>
      </c>
      <c r="E273" s="43">
        <f>input_invoice[[#This Row],[date]]+14</f>
        <v>45975</v>
      </c>
      <c r="F273" t="s">
        <v>43</v>
      </c>
      <c r="G273" s="47">
        <f>MAX(+input_invoice[[#This Row],[net]]+input_invoice[[#This Row],[tax_iva]],input_invoice[[#This Row],[net]])</f>
        <v>119</v>
      </c>
      <c r="H273" s="47">
        <f>input_invoice[[#This Row],[net]]*(MAX(input_invoice[[#This Row],[tax_rate_iva]],0)/100)</f>
        <v>19</v>
      </c>
      <c r="I273" s="47">
        <f>-input_invoice[[#This Row],[net]]*input_invoice[[#This Row],[tax_rate_irpf]]/100</f>
        <v>0</v>
      </c>
      <c r="J273" s="47">
        <v>100</v>
      </c>
      <c r="K273" t="str">
        <f t="shared" si="9"/>
        <v>manufacturing</v>
      </c>
      <c r="L273">
        <v>19</v>
      </c>
      <c r="N273" t="str">
        <f>VLOOKUP(input_invoice[[#This Row],[concept/supplier]],'sel-invoice'!D:E,2,0)</f>
        <v>DCT</v>
      </c>
      <c r="O273" t="str">
        <f>VLOOKUP(input_invoice[[#This Row],[concept/supplier]],'sel-invoice'!D:F,3,0)</f>
        <v>SL</v>
      </c>
      <c r="P273" t="str">
        <f>IF(input_invoice[[#This Row],[entity]]="SL","EUR",IF(input_invoice[[#This Row],[entity]]="Ltd","GBP",IF(input_invoice[[#This Row],[entity]]="Inc","USD","XXX")))</f>
        <v>EUR</v>
      </c>
      <c r="Q273" s="199" t="s">
        <v>1015</v>
      </c>
    </row>
    <row r="274" spans="1:18" hidden="1" x14ac:dyDescent="0.3">
      <c r="A274">
        <v>202511</v>
      </c>
      <c r="B274" s="22" t="s">
        <v>917</v>
      </c>
      <c r="C274" t="s">
        <v>1059</v>
      </c>
      <c r="D274" s="43">
        <v>45974</v>
      </c>
      <c r="E274" s="43">
        <v>45975</v>
      </c>
      <c r="F274" t="s">
        <v>129</v>
      </c>
      <c r="G274" s="47">
        <f>MAX(+input_invoice[[#This Row],[net]]+input_invoice[[#This Row],[tax_iva]],input_invoice[[#This Row],[net]])</f>
        <v>35.573999999999998</v>
      </c>
      <c r="H274" s="47">
        <f>input_invoice[[#This Row],[net]]*(MAX(input_invoice[[#This Row],[tax_rate_iva]],0)/100)</f>
        <v>6.1739999999999995</v>
      </c>
      <c r="I274" s="47">
        <f>-input_invoice[[#This Row],[net]]*input_invoice[[#This Row],[tax_rate_irpf]]/100</f>
        <v>0</v>
      </c>
      <c r="J274" s="47">
        <v>29.4</v>
      </c>
      <c r="K274" t="str">
        <f t="shared" si="9"/>
        <v>it</v>
      </c>
      <c r="L274">
        <v>21</v>
      </c>
      <c r="N274" t="str">
        <f>VLOOKUP(input_invoice[[#This Row],[concept/supplier]],'sel-invoice'!D:E,2,0)</f>
        <v>Microsoft</v>
      </c>
      <c r="O274" t="str">
        <f>VLOOKUP(input_invoice[[#This Row],[concept/supplier]],'sel-invoice'!D:F,3,0)</f>
        <v>SL</v>
      </c>
      <c r="P274" t="str">
        <f>IF(input_invoice[[#This Row],[entity]]="SL","EUR",IF(input_invoice[[#This Row],[entity]]="Ltd","GBP",IF(input_invoice[[#This Row],[entity]]="Inc","USD","XXX")))</f>
        <v>EUR</v>
      </c>
      <c r="Q274" s="199" t="s">
        <v>1060</v>
      </c>
    </row>
    <row r="275" spans="1:18" hidden="1" x14ac:dyDescent="0.3">
      <c r="A275">
        <v>202511</v>
      </c>
      <c r="B275" s="22" t="s">
        <v>917</v>
      </c>
      <c r="C275" s="48" t="s">
        <v>1061</v>
      </c>
      <c r="D275" s="43">
        <v>45975</v>
      </c>
      <c r="E275" s="43">
        <v>45975</v>
      </c>
      <c r="F275" t="s">
        <v>145</v>
      </c>
      <c r="G275" s="47">
        <f>MAX(+input_invoice[[#This Row],[net]]+input_invoice[[#This Row],[tax_iva]],input_invoice[[#This Row],[net]])</f>
        <v>193.66</v>
      </c>
      <c r="H275" s="47">
        <f>input_invoice[[#This Row],[net]]*(MAX(input_invoice[[#This Row],[tax_rate_iva]],0)/100)</f>
        <v>0</v>
      </c>
      <c r="I275" s="47">
        <f>-input_invoice[[#This Row],[net]]*input_invoice[[#This Row],[tax_rate_irpf]]/100</f>
        <v>0</v>
      </c>
      <c r="J275" s="47">
        <v>193.66</v>
      </c>
      <c r="K275" t="str">
        <f t="shared" si="9"/>
        <v>it</v>
      </c>
      <c r="L275">
        <v>0</v>
      </c>
      <c r="N275" t="str">
        <f>VLOOKUP(input_invoice[[#This Row],[concept/supplier]],'sel-invoice'!D:E,2,0)</f>
        <v>Gorgias</v>
      </c>
      <c r="O275" t="str">
        <f>VLOOKUP(input_invoice[[#This Row],[concept/supplier]],'sel-invoice'!D:F,3,0)</f>
        <v>SL</v>
      </c>
      <c r="P275" t="str">
        <f>IF(input_invoice[[#This Row],[entity]]="SL","EUR",IF(input_invoice[[#This Row],[entity]]="Ltd","GBP",IF(input_invoice[[#This Row],[entity]]="Inc","USD","XXX")))</f>
        <v>EUR</v>
      </c>
      <c r="Q275" s="199" t="s">
        <v>1062</v>
      </c>
    </row>
    <row r="276" spans="1:18" hidden="1" x14ac:dyDescent="0.3">
      <c r="A276">
        <v>202510</v>
      </c>
      <c r="B276" s="22" t="s">
        <v>917</v>
      </c>
      <c r="C276" s="48" t="s">
        <v>998</v>
      </c>
      <c r="D276" s="43">
        <v>45959</v>
      </c>
      <c r="E276" s="43">
        <v>45978</v>
      </c>
      <c r="F276" t="s">
        <v>39</v>
      </c>
      <c r="G276" s="47">
        <f>MAX(+input_invoice[[#This Row],[net]]+input_invoice[[#This Row],[tax_iva]],input_invoice[[#This Row],[net]])</f>
        <v>225.42760000000001</v>
      </c>
      <c r="H276" s="47">
        <f>input_invoice[[#This Row],[net]]*(MAX(input_invoice[[#This Row],[tax_rate_iva]],0)/100)</f>
        <v>14.747600000000002</v>
      </c>
      <c r="I276" s="47">
        <f>-input_invoice[[#This Row],[net]]*input_invoice[[#This Row],[tax_rate_irpf]]/100</f>
        <v>0</v>
      </c>
      <c r="J276" s="47">
        <v>210.68</v>
      </c>
      <c r="K276" t="str">
        <f t="shared" si="9"/>
        <v>manufacturing</v>
      </c>
      <c r="L276">
        <v>7</v>
      </c>
      <c r="N276" t="str">
        <f>VLOOKUP(input_invoice[[#This Row],[concept/supplier]],'sel-invoice'!D:E,2,0)</f>
        <v>Apphoto Canarias</v>
      </c>
      <c r="O276" t="str">
        <f>VLOOKUP(input_invoice[[#This Row],[concept/supplier]],'sel-invoice'!D:F,3,0)</f>
        <v>SL</v>
      </c>
      <c r="P276" t="str">
        <f>IF(input_invoice[[#This Row],[entity]]="SL","EUR",IF(input_invoice[[#This Row],[entity]]="Ltd","GBP",IF(input_invoice[[#This Row],[entity]]="Inc","USD","XXX")))</f>
        <v>EUR</v>
      </c>
      <c r="Q276" s="199" t="s">
        <v>997</v>
      </c>
    </row>
    <row r="277" spans="1:18" hidden="1" x14ac:dyDescent="0.3">
      <c r="A277">
        <v>202510</v>
      </c>
      <c r="B277" s="22" t="s">
        <v>917</v>
      </c>
      <c r="C277" s="48" t="s">
        <v>1026</v>
      </c>
      <c r="D277" s="43">
        <v>45961</v>
      </c>
      <c r="E277" s="43">
        <v>45978</v>
      </c>
      <c r="F277" t="s">
        <v>37</v>
      </c>
      <c r="G277" s="47">
        <f>MAX(+input_invoice[[#This Row],[net]]+input_invoice[[#This Row],[tax_iva]],input_invoice[[#This Row],[net]])</f>
        <v>4613.8873000000003</v>
      </c>
      <c r="H277" s="47">
        <f>input_invoice[[#This Row],[net]]*(MAX(input_invoice[[#This Row],[tax_rate_iva]],0)/100)</f>
        <v>800.75729999999999</v>
      </c>
      <c r="I277" s="47">
        <f>-input_invoice[[#This Row],[net]]*input_invoice[[#This Row],[tax_rate_irpf]]/100</f>
        <v>0</v>
      </c>
      <c r="J277" s="47">
        <v>3813.13</v>
      </c>
      <c r="K277" t="str">
        <f t="shared" si="9"/>
        <v>manufacturing</v>
      </c>
      <c r="L277">
        <v>21</v>
      </c>
      <c r="N277" t="str">
        <f>VLOOKUP(input_invoice[[#This Row],[concept/supplier]],'sel-invoice'!D:E,2,0)</f>
        <v>Apphoto España</v>
      </c>
      <c r="O277" t="str">
        <f>VLOOKUP(input_invoice[[#This Row],[concept/supplier]],'sel-invoice'!D:F,3,0)</f>
        <v>SL</v>
      </c>
      <c r="P277" t="str">
        <f>IF(input_invoice[[#This Row],[entity]]="SL","EUR",IF(input_invoice[[#This Row],[entity]]="Ltd","GBP",IF(input_invoice[[#This Row],[entity]]="Inc","USD","XXX")))</f>
        <v>EUR</v>
      </c>
      <c r="Q277" s="199" t="s">
        <v>1027</v>
      </c>
    </row>
    <row r="278" spans="1:18" hidden="1" x14ac:dyDescent="0.3">
      <c r="A278">
        <v>202511</v>
      </c>
      <c r="B278" s="22" t="s">
        <v>917</v>
      </c>
      <c r="C278" s="48" t="s">
        <v>1053</v>
      </c>
      <c r="D278" s="43">
        <v>45971</v>
      </c>
      <c r="E278" s="43">
        <v>45978</v>
      </c>
      <c r="F278" t="s">
        <v>54</v>
      </c>
      <c r="G278" s="47">
        <f>MAX(+input_invoice[[#This Row],[net]]+input_invoice[[#This Row],[tax_iva]],input_invoice[[#This Row],[net]])</f>
        <v>30.697700000000001</v>
      </c>
      <c r="H278" s="47">
        <f>input_invoice[[#This Row],[net]]*(MAX(input_invoice[[#This Row],[tax_rate_iva]],0)/100)</f>
        <v>5.3277000000000001</v>
      </c>
      <c r="I278" s="47">
        <f>-input_invoice[[#This Row],[net]]*input_invoice[[#This Row],[tax_rate_irpf]]/100</f>
        <v>0</v>
      </c>
      <c r="J278" s="47">
        <v>25.37</v>
      </c>
      <c r="K278" t="str">
        <f t="shared" si="9"/>
        <v>logistics</v>
      </c>
      <c r="L278">
        <v>21</v>
      </c>
      <c r="N278" t="str">
        <f>VLOOKUP(input_invoice[[#This Row],[concept/supplier]],'sel-invoice'!D:E,2,0)</f>
        <v>Spring</v>
      </c>
      <c r="O278" t="str">
        <f>VLOOKUP(input_invoice[[#This Row],[concept/supplier]],'sel-invoice'!D:F,3,0)</f>
        <v>SL</v>
      </c>
      <c r="P278" t="str">
        <f>IF(input_invoice[[#This Row],[entity]]="SL","EUR",IF(input_invoice[[#This Row],[entity]]="Ltd","GBP",IF(input_invoice[[#This Row],[entity]]="Inc","USD","XXX")))</f>
        <v>EUR</v>
      </c>
      <c r="Q278" s="199" t="s">
        <v>1054</v>
      </c>
    </row>
    <row r="279" spans="1:18" hidden="1" x14ac:dyDescent="0.3">
      <c r="A279">
        <v>202511</v>
      </c>
      <c r="B279" s="22" t="s">
        <v>917</v>
      </c>
      <c r="C279" s="48" t="s">
        <v>1055</v>
      </c>
      <c r="D279" s="43">
        <v>45972</v>
      </c>
      <c r="E279" s="43">
        <v>45987</v>
      </c>
      <c r="F279" t="s">
        <v>37</v>
      </c>
      <c r="G279" s="47">
        <f>MAX(+input_invoice[[#This Row],[net]]+input_invoice[[#This Row],[tax_iva]],input_invoice[[#This Row],[net]])</f>
        <v>7464.6957000000002</v>
      </c>
      <c r="H279" s="47">
        <f>input_invoice[[#This Row],[net]]*(MAX(input_invoice[[#This Row],[tax_rate_iva]],0)/100)</f>
        <v>1295.5256999999999</v>
      </c>
      <c r="I279" s="47">
        <f>-input_invoice[[#This Row],[net]]*input_invoice[[#This Row],[tax_rate_irpf]]/100</f>
        <v>0</v>
      </c>
      <c r="J279" s="47">
        <v>6169.17</v>
      </c>
      <c r="K279" t="str">
        <f t="shared" ref="K279:K342" si="10">_xlfn.TEXTBEFORE(F279," - ")</f>
        <v>manufacturing</v>
      </c>
      <c r="L279">
        <v>21</v>
      </c>
      <c r="N279" t="str">
        <f>VLOOKUP(input_invoice[[#This Row],[concept/supplier]],'sel-invoice'!D:E,2,0)</f>
        <v>Apphoto España</v>
      </c>
      <c r="O279" t="str">
        <f>VLOOKUP(input_invoice[[#This Row],[concept/supplier]],'sel-invoice'!D:F,3,0)</f>
        <v>SL</v>
      </c>
      <c r="P279" t="str">
        <f>IF(input_invoice[[#This Row],[entity]]="SL","EUR",IF(input_invoice[[#This Row],[entity]]="Ltd","GBP",IF(input_invoice[[#This Row],[entity]]="Inc","USD","XXX")))</f>
        <v>EUR</v>
      </c>
      <c r="Q279" s="199" t="s">
        <v>1056</v>
      </c>
    </row>
    <row r="280" spans="1:18" hidden="1" x14ac:dyDescent="0.3">
      <c r="A280">
        <v>202509</v>
      </c>
      <c r="B280" s="22" t="s">
        <v>917</v>
      </c>
      <c r="C280" s="48">
        <v>837291951</v>
      </c>
      <c r="D280" s="43">
        <v>45929</v>
      </c>
      <c r="E280" s="43">
        <f>input_invoice[[#This Row],[date]]+60</f>
        <v>45989</v>
      </c>
      <c r="F280" t="s">
        <v>55</v>
      </c>
      <c r="G280" s="47">
        <f>MAX(+input_invoice[[#This Row],[net]]+input_invoice[[#This Row],[tax_iva]],input_invoice[[#This Row],[net]])</f>
        <v>92.63</v>
      </c>
      <c r="H280" s="47">
        <f>input_invoice[[#This Row],[net]]*(MAX(input_invoice[[#This Row],[tax_rate_iva]],0)/100)</f>
        <v>0</v>
      </c>
      <c r="I280" s="47">
        <f>-input_invoice[[#This Row],[net]]*input_invoice[[#This Row],[tax_rate_irpf]]/100</f>
        <v>0</v>
      </c>
      <c r="J280" s="47">
        <v>92.63</v>
      </c>
      <c r="K280" t="str">
        <f t="shared" si="10"/>
        <v>logistics</v>
      </c>
      <c r="L280">
        <v>0</v>
      </c>
      <c r="N280" t="str">
        <f>VLOOKUP(input_invoice[[#This Row],[concept/supplier]],'sel-invoice'!D:E,2,0)</f>
        <v>UPS DE</v>
      </c>
      <c r="O280" t="str">
        <f>VLOOKUP(input_invoice[[#This Row],[concept/supplier]],'sel-invoice'!D:F,3,0)</f>
        <v>SL</v>
      </c>
      <c r="P280" t="str">
        <f>IF(input_invoice[[#This Row],[entity]]="SL","EUR",IF(input_invoice[[#This Row],[entity]]="Ltd","GBP",IF(input_invoice[[#This Row],[entity]]="Inc","USD","XXX")))</f>
        <v>EUR</v>
      </c>
      <c r="Q280" s="199" t="s">
        <v>976</v>
      </c>
    </row>
    <row r="281" spans="1:18" hidden="1" x14ac:dyDescent="0.3">
      <c r="A281">
        <v>202501</v>
      </c>
      <c r="B281" s="22" t="s">
        <v>917</v>
      </c>
      <c r="F281" t="s">
        <v>278</v>
      </c>
      <c r="G281" s="47">
        <f>MAX(+input_invoice[[#This Row],[net]]+input_invoice[[#This Row],[tax_iva]]+input_invoice[[#This Row],[tax_irpf]],input_invoice[[#This Row],[net]])</f>
        <v>2534.7600000000002</v>
      </c>
      <c r="H281" s="47">
        <f>input_invoice[[#This Row],[net]]*(MAX(input_invoice[[#This Row],[tax_rate_iva]],0)/100)</f>
        <v>0</v>
      </c>
      <c r="I281" s="47">
        <f>-input_invoice[[#This Row],[net]]*input_invoice[[#This Row],[tax_rate_irpf]]/100</f>
        <v>0</v>
      </c>
      <c r="J281" s="47">
        <v>2534.7600000000002</v>
      </c>
      <c r="K281" t="str">
        <f t="shared" si="10"/>
        <v>shared-services</v>
      </c>
      <c r="L281">
        <v>0</v>
      </c>
      <c r="N281" t="str">
        <f>VLOOKUP(input_invoice[[#This Row],[concept/supplier]],'sel-invoice'!D:E,2,0)</f>
        <v>ArtestaSL</v>
      </c>
      <c r="O281" t="str">
        <f>VLOOKUP(input_invoice[[#This Row],[concept/supplier]],'sel-invoice'!D:F,3,0)</f>
        <v>Ltd</v>
      </c>
      <c r="P281" t="str">
        <f>IF(input_invoice[[#This Row],[entity]]="SL","EUR",IF(input_invoice[[#This Row],[entity]]="Ltd","GBP",IF(input_invoice[[#This Row],[entity]]="Inc","USD","XXX")))</f>
        <v>GBP</v>
      </c>
    </row>
    <row r="282" spans="1:18" hidden="1" x14ac:dyDescent="0.3">
      <c r="A282">
        <v>202509</v>
      </c>
      <c r="B282" s="22" t="s">
        <v>917</v>
      </c>
      <c r="C282" s="48">
        <v>5379365734</v>
      </c>
      <c r="D282" s="43">
        <v>45930</v>
      </c>
      <c r="E282" s="43">
        <f>input_invoice[[#This Row],[date]]+60</f>
        <v>45990</v>
      </c>
      <c r="F282" t="s">
        <v>88</v>
      </c>
      <c r="G282" s="47">
        <f>MAX(+input_invoice[[#This Row],[net]]+input_invoice[[#This Row],[tax_iva]],input_invoice[[#This Row],[net]])</f>
        <v>27939.11</v>
      </c>
      <c r="H282" s="47">
        <f>input_invoice[[#This Row],[net]]*(MAX(input_invoice[[#This Row],[tax_rate_iva]],0)/100)</f>
        <v>0</v>
      </c>
      <c r="I282" s="47">
        <f>-input_invoice[[#This Row],[net]]*input_invoice[[#This Row],[tax_rate_irpf]]/100</f>
        <v>0</v>
      </c>
      <c r="J282" s="47">
        <v>27939.11</v>
      </c>
      <c r="K282" t="str">
        <f t="shared" si="10"/>
        <v>marketing</v>
      </c>
      <c r="L282">
        <v>0</v>
      </c>
      <c r="N282" t="str">
        <f>VLOOKUP(input_invoice[[#This Row],[concept/supplier]],'sel-invoice'!D:E,2,0)</f>
        <v>google</v>
      </c>
      <c r="O282" t="str">
        <f>VLOOKUP(input_invoice[[#This Row],[concept/supplier]],'sel-invoice'!D:F,3,0)</f>
        <v>SL</v>
      </c>
      <c r="P282" t="str">
        <f>IF(input_invoice[[#This Row],[entity]]="SL","EUR",IF(input_invoice[[#This Row],[entity]]="Ltd","GBP",IF(input_invoice[[#This Row],[entity]]="Inc","USD","XXX")))</f>
        <v>EUR</v>
      </c>
      <c r="R282" s="259" t="b">
        <v>1</v>
      </c>
    </row>
    <row r="283" spans="1:18" hidden="1" x14ac:dyDescent="0.3">
      <c r="A283">
        <v>202509</v>
      </c>
      <c r="B283" s="22" t="s">
        <v>917</v>
      </c>
      <c r="C283" s="48">
        <v>326239916</v>
      </c>
      <c r="D283" s="43">
        <v>45930</v>
      </c>
      <c r="E283" s="43">
        <f>input_invoice[[#This Row],[date]]+60</f>
        <v>45990</v>
      </c>
      <c r="F283" t="s">
        <v>55</v>
      </c>
      <c r="G283" s="47">
        <f>MAX(+input_invoice[[#This Row],[net]]+input_invoice[[#This Row],[tax_iva]],input_invoice[[#This Row],[net]])</f>
        <v>1516.69</v>
      </c>
      <c r="H283" s="47">
        <f>input_invoice[[#This Row],[net]]*(MAX(input_invoice[[#This Row],[tax_rate_iva]],0)/100)</f>
        <v>0</v>
      </c>
      <c r="I283" s="47">
        <f>-input_invoice[[#This Row],[net]]*input_invoice[[#This Row],[tax_rate_irpf]]/100</f>
        <v>0</v>
      </c>
      <c r="J283" s="47">
        <v>1516.69</v>
      </c>
      <c r="K283" t="str">
        <f t="shared" si="10"/>
        <v>logistics</v>
      </c>
      <c r="L283">
        <v>0</v>
      </c>
      <c r="N283" t="str">
        <f>VLOOKUP(input_invoice[[#This Row],[concept/supplier]],'sel-invoice'!D:E,2,0)</f>
        <v>UPS DE</v>
      </c>
      <c r="O283" t="str">
        <f>VLOOKUP(input_invoice[[#This Row],[concept/supplier]],'sel-invoice'!D:F,3,0)</f>
        <v>SL</v>
      </c>
      <c r="P283" t="str">
        <f>IF(input_invoice[[#This Row],[entity]]="SL","EUR",IF(input_invoice[[#This Row],[entity]]="Ltd","GBP",IF(input_invoice[[#This Row],[entity]]="Inc","USD","XXX")))</f>
        <v>EUR</v>
      </c>
      <c r="Q283" s="199" t="s">
        <v>967</v>
      </c>
    </row>
    <row r="284" spans="1:18" hidden="1" x14ac:dyDescent="0.3">
      <c r="A284">
        <v>202509</v>
      </c>
      <c r="B284" s="22" t="s">
        <v>917</v>
      </c>
      <c r="C284" s="48">
        <v>248617731</v>
      </c>
      <c r="D284" s="43">
        <v>45931</v>
      </c>
      <c r="E284" s="43">
        <f>input_invoice[[#This Row],[date]]+60</f>
        <v>45991</v>
      </c>
      <c r="F284" t="s">
        <v>90</v>
      </c>
      <c r="G284" s="47">
        <f>MAX(+input_invoice[[#This Row],[net]]+input_invoice[[#This Row],[tax_iva]]+input_invoice[[#This Row],[tax_irpf]],input_invoice[[#This Row],[net]])</f>
        <v>22903.439999999999</v>
      </c>
      <c r="H284" s="47">
        <f>input_invoice[[#This Row],[net]]*(MAX(input_invoice[[#This Row],[tax_rate_iva]],0)/100)</f>
        <v>0</v>
      </c>
      <c r="I284" s="47">
        <f>-input_invoice[[#This Row],[net]]*input_invoice[[#This Row],[tax_rate_irpf]]/100</f>
        <v>0</v>
      </c>
      <c r="J284" s="47">
        <v>22903.439999999999</v>
      </c>
      <c r="K284" t="str">
        <f t="shared" si="10"/>
        <v>marketing</v>
      </c>
      <c r="L284">
        <v>0</v>
      </c>
      <c r="N284" t="str">
        <f>VLOOKUP(input_invoice[[#This Row],[concept/supplier]],'sel-invoice'!D:E,2,0)</f>
        <v>meta</v>
      </c>
      <c r="O284" t="str">
        <f>VLOOKUP(input_invoice[[#This Row],[concept/supplier]],'sel-invoice'!D:F,3,0)</f>
        <v>SL</v>
      </c>
      <c r="P284" t="str">
        <f>IF(input_invoice[[#This Row],[entity]]="SL","EUR",IF(input_invoice[[#This Row],[entity]]="Ltd","GBP",IF(input_invoice[[#This Row],[entity]]="Inc","USD","XXX")))</f>
        <v>EUR</v>
      </c>
      <c r="Q284" s="199" t="s">
        <v>962</v>
      </c>
      <c r="R284" s="259" t="b">
        <v>1</v>
      </c>
    </row>
    <row r="285" spans="1:18" hidden="1" x14ac:dyDescent="0.3">
      <c r="A285">
        <v>202501</v>
      </c>
      <c r="B285" s="22" t="s">
        <v>917</v>
      </c>
      <c r="F285" t="s">
        <v>279</v>
      </c>
      <c r="G285" s="47">
        <f>MAX(+input_invoice[[#This Row],[net]]+input_invoice[[#This Row],[tax_iva]]+input_invoice[[#This Row],[tax_irpf]],input_invoice[[#This Row],[net]])</f>
        <v>25.63</v>
      </c>
      <c r="H285" s="47">
        <f>input_invoice[[#This Row],[net]]*(MAX(input_invoice[[#This Row],[tax_rate_iva]],0)/100)</f>
        <v>0</v>
      </c>
      <c r="I285" s="47">
        <f>-input_invoice[[#This Row],[net]]*input_invoice[[#This Row],[tax_rate_irpf]]/100</f>
        <v>0</v>
      </c>
      <c r="J285" s="47">
        <v>25.63</v>
      </c>
      <c r="K285" t="str">
        <f t="shared" si="10"/>
        <v>shared-services</v>
      </c>
      <c r="L285">
        <v>0</v>
      </c>
      <c r="N285" t="str">
        <f>VLOOKUP(input_invoice[[#This Row],[concept/supplier]],'sel-invoice'!D:E,2,0)</f>
        <v>ArtestaSL</v>
      </c>
      <c r="O285" t="str">
        <f>VLOOKUP(input_invoice[[#This Row],[concept/supplier]],'sel-invoice'!D:F,3,0)</f>
        <v>Ltd</v>
      </c>
      <c r="P285" t="str">
        <f>IF(input_invoice[[#This Row],[entity]]="SL","EUR",IF(input_invoice[[#This Row],[entity]]="Ltd","GBP",IF(input_invoice[[#This Row],[entity]]="Inc","USD","XXX")))</f>
        <v>GBP</v>
      </c>
    </row>
    <row r="286" spans="1:18" hidden="1" x14ac:dyDescent="0.3">
      <c r="A286">
        <v>202511</v>
      </c>
      <c r="B286" s="22" t="s">
        <v>917</v>
      </c>
      <c r="C286" t="s">
        <v>1041</v>
      </c>
      <c r="D286" s="43">
        <v>45968</v>
      </c>
      <c r="E286" s="43">
        <v>45968</v>
      </c>
      <c r="F286" t="s">
        <v>1040</v>
      </c>
      <c r="G286" s="47">
        <f>MAX(+input_invoice[[#This Row],[net]]+input_invoice[[#This Row],[tax_iva]],input_invoice[[#This Row],[net]])</f>
        <v>52</v>
      </c>
      <c r="H286" s="47">
        <f>input_invoice[[#This Row],[net]]*(MAX(input_invoice[[#This Row],[tax_rate_iva]],0)/100)</f>
        <v>0</v>
      </c>
      <c r="I286" s="47">
        <f>-input_invoice[[#This Row],[net]]*input_invoice[[#This Row],[tax_rate_irpf]]/100</f>
        <v>0</v>
      </c>
      <c r="J286" s="47">
        <v>52</v>
      </c>
      <c r="K286" t="str">
        <f t="shared" si="10"/>
        <v>logistics</v>
      </c>
      <c r="L286">
        <v>0</v>
      </c>
      <c r="N286" t="str">
        <f>VLOOKUP(input_invoice[[#This Row],[concept/supplier]],'sel-invoice'!D:E,2,0)</f>
        <v>artlink</v>
      </c>
      <c r="O286" t="str">
        <f>VLOOKUP(input_invoice[[#This Row],[concept/supplier]],'sel-invoice'!D:F,3,0)</f>
        <v>Ltd</v>
      </c>
      <c r="P286" t="str">
        <f>IF(input_invoice[[#This Row],[entity]]="SL","EUR",IF(input_invoice[[#This Row],[entity]]="Ltd","GBP",IF(input_invoice[[#This Row],[entity]]="Inc","USD","XXX")))</f>
        <v>GBP</v>
      </c>
      <c r="Q286" s="199" t="s">
        <v>1042</v>
      </c>
      <c r="R286" s="259" t="b">
        <v>1</v>
      </c>
    </row>
    <row r="287" spans="1:18" hidden="1" x14ac:dyDescent="0.3">
      <c r="A287">
        <v>202510</v>
      </c>
      <c r="B287" s="22" t="s">
        <v>917</v>
      </c>
      <c r="C287">
        <v>6030234</v>
      </c>
      <c r="D287" s="43">
        <v>45961</v>
      </c>
      <c r="E287" s="43">
        <f>input_invoice[[#This Row],[date]]+30</f>
        <v>45991</v>
      </c>
      <c r="F287" t="s">
        <v>182</v>
      </c>
      <c r="G287" s="47">
        <f>MAX(+input_invoice[[#This Row],[net]]+input_invoice[[#This Row],[tax_iva]],input_invoice[[#This Row],[net]])</f>
        <v>7328.9040000000005</v>
      </c>
      <c r="H287" s="47">
        <f>input_invoice[[#This Row],[net]]*(MAX(input_invoice[[#This Row],[tax_rate_iva]],0)/100)</f>
        <v>1221.4840000000002</v>
      </c>
      <c r="I287" s="47">
        <f>-input_invoice[[#This Row],[net]]*input_invoice[[#This Row],[tax_rate_irpf]]/100</f>
        <v>0</v>
      </c>
      <c r="J287" s="47">
        <v>6107.42</v>
      </c>
      <c r="K287" t="str">
        <f t="shared" si="10"/>
        <v>manufacturing</v>
      </c>
      <c r="L287">
        <v>20</v>
      </c>
      <c r="N287" t="str">
        <f>VLOOKUP(input_invoice[[#This Row],[concept/supplier]],'sel-invoice'!D:E,2,0)</f>
        <v>Proco</v>
      </c>
      <c r="O287" t="str">
        <f>VLOOKUP(input_invoice[[#This Row],[concept/supplier]],'sel-invoice'!D:F,3,0)</f>
        <v>Ltd</v>
      </c>
      <c r="P287" t="str">
        <f>IF(input_invoice[[#This Row],[entity]]="SL","EUR",IF(input_invoice[[#This Row],[entity]]="Ltd","GBP",IF(input_invoice[[#This Row],[entity]]="Inc","USD","XXX")))</f>
        <v>GBP</v>
      </c>
      <c r="Q287" s="199" t="s">
        <v>1036</v>
      </c>
    </row>
    <row r="288" spans="1:18" hidden="1" x14ac:dyDescent="0.3">
      <c r="A288">
        <v>202510</v>
      </c>
      <c r="B288" s="22" t="s">
        <v>917</v>
      </c>
      <c r="C288">
        <v>6030234</v>
      </c>
      <c r="D288" s="43">
        <v>45961</v>
      </c>
      <c r="E288" s="43">
        <f>input_invoice[[#This Row],[date]]+30</f>
        <v>45991</v>
      </c>
      <c r="F288" t="s">
        <v>194</v>
      </c>
      <c r="G288" s="47">
        <f>MAX(+input_invoice[[#This Row],[net]]+input_invoice[[#This Row],[tax_iva]],input_invoice[[#This Row],[net]])</f>
        <v>1054.08</v>
      </c>
      <c r="H288" s="47">
        <f>input_invoice[[#This Row],[net]]*(MAX(input_invoice[[#This Row],[tax_rate_iva]],0)/100)</f>
        <v>175.68</v>
      </c>
      <c r="I288" s="47">
        <f>-input_invoice[[#This Row],[net]]*input_invoice[[#This Row],[tax_rate_irpf]]/100</f>
        <v>0</v>
      </c>
      <c r="J288" s="47">
        <v>878.4</v>
      </c>
      <c r="K288" t="str">
        <f t="shared" si="10"/>
        <v>logistics</v>
      </c>
      <c r="L288">
        <v>20</v>
      </c>
      <c r="N288" t="str">
        <f>VLOOKUP(input_invoice[[#This Row],[concept/supplier]],'sel-invoice'!D:E,2,0)</f>
        <v>Proco</v>
      </c>
      <c r="O288" t="str">
        <f>VLOOKUP(input_invoice[[#This Row],[concept/supplier]],'sel-invoice'!D:F,3,0)</f>
        <v>Ltd</v>
      </c>
      <c r="P288" t="str">
        <f>IF(input_invoice[[#This Row],[entity]]="SL","EUR",IF(input_invoice[[#This Row],[entity]]="Ltd","GBP",IF(input_invoice[[#This Row],[entity]]="Inc","USD","XXX")))</f>
        <v>GBP</v>
      </c>
      <c r="Q288" s="199" t="s">
        <v>1036</v>
      </c>
    </row>
    <row r="289" spans="1:18" hidden="1" x14ac:dyDescent="0.3">
      <c r="A289">
        <v>202510</v>
      </c>
      <c r="B289" s="22" t="s">
        <v>917</v>
      </c>
      <c r="C289">
        <v>6030234</v>
      </c>
      <c r="D289" s="43">
        <v>45961</v>
      </c>
      <c r="E289" s="43">
        <f>input_invoice[[#This Row],[date]]+30</f>
        <v>45991</v>
      </c>
      <c r="F289" t="s">
        <v>196</v>
      </c>
      <c r="G289" s="47">
        <f>MAX(+input_invoice[[#This Row],[net]]+input_invoice[[#This Row],[tax_iva]],input_invoice[[#This Row],[net]])</f>
        <v>1861.5</v>
      </c>
      <c r="H289" s="47">
        <f>input_invoice[[#This Row],[net]]*(MAX(input_invoice[[#This Row],[tax_rate_iva]],0)/100)</f>
        <v>310.25</v>
      </c>
      <c r="I289" s="47">
        <f>-input_invoice[[#This Row],[net]]*input_invoice[[#This Row],[tax_rate_irpf]]/100</f>
        <v>0</v>
      </c>
      <c r="J289" s="47">
        <v>1551.25</v>
      </c>
      <c r="K289" t="str">
        <f t="shared" si="10"/>
        <v>logistics</v>
      </c>
      <c r="L289">
        <v>20</v>
      </c>
      <c r="N289" t="str">
        <f>VLOOKUP(input_invoice[[#This Row],[concept/supplier]],'sel-invoice'!D:E,2,0)</f>
        <v>Proco</v>
      </c>
      <c r="O289" t="str">
        <f>VLOOKUP(input_invoice[[#This Row],[concept/supplier]],'sel-invoice'!D:F,3,0)</f>
        <v>Ltd</v>
      </c>
      <c r="P289" t="str">
        <f>IF(input_invoice[[#This Row],[entity]]="SL","EUR",IF(input_invoice[[#This Row],[entity]]="Ltd","GBP",IF(input_invoice[[#This Row],[entity]]="Inc","USD","XXX")))</f>
        <v>GBP</v>
      </c>
      <c r="Q289" s="199" t="s">
        <v>1036</v>
      </c>
    </row>
    <row r="290" spans="1:18" hidden="1" x14ac:dyDescent="0.3">
      <c r="A290">
        <v>202510</v>
      </c>
      <c r="B290" s="22" t="s">
        <v>917</v>
      </c>
      <c r="C290">
        <v>6030234</v>
      </c>
      <c r="D290" s="43">
        <v>45961</v>
      </c>
      <c r="E290" s="43">
        <f>input_invoice[[#This Row],[date]]+30</f>
        <v>45991</v>
      </c>
      <c r="F290" t="s">
        <v>184</v>
      </c>
      <c r="G290" s="47">
        <f>MAX(+input_invoice[[#This Row],[net]]+input_invoice[[#This Row],[tax_iva]],input_invoice[[#This Row],[net]])</f>
        <v>6273.2520000000004</v>
      </c>
      <c r="H290" s="47">
        <f>input_invoice[[#This Row],[net]]*(MAX(input_invoice[[#This Row],[tax_rate_iva]],0)/100)</f>
        <v>1045.5420000000001</v>
      </c>
      <c r="I290" s="47">
        <f>-input_invoice[[#This Row],[net]]*input_invoice[[#This Row],[tax_rate_irpf]]/100</f>
        <v>0</v>
      </c>
      <c r="J290" s="47">
        <v>5227.71</v>
      </c>
      <c r="K290" t="str">
        <f t="shared" si="10"/>
        <v>manufacturing</v>
      </c>
      <c r="L290">
        <v>20</v>
      </c>
      <c r="N290" t="str">
        <f>VLOOKUP(input_invoice[[#This Row],[concept/supplier]],'sel-invoice'!D:E,2,0)</f>
        <v>Proco</v>
      </c>
      <c r="O290" t="str">
        <f>VLOOKUP(input_invoice[[#This Row],[concept/supplier]],'sel-invoice'!D:F,3,0)</f>
        <v>Ltd</v>
      </c>
      <c r="P290" t="str">
        <f>IF(input_invoice[[#This Row],[entity]]="SL","EUR",IF(input_invoice[[#This Row],[entity]]="Ltd","GBP",IF(input_invoice[[#This Row],[entity]]="Inc","USD","XXX")))</f>
        <v>GBP</v>
      </c>
      <c r="Q290" s="199" t="s">
        <v>1036</v>
      </c>
    </row>
    <row r="291" spans="1:18" hidden="1" x14ac:dyDescent="0.3">
      <c r="A291">
        <v>202510</v>
      </c>
      <c r="B291" s="22" t="s">
        <v>917</v>
      </c>
      <c r="C291">
        <v>6030234</v>
      </c>
      <c r="D291" s="43">
        <v>45961</v>
      </c>
      <c r="E291" s="43">
        <f>input_invoice[[#This Row],[date]]+30</f>
        <v>45991</v>
      </c>
      <c r="F291" t="s">
        <v>186</v>
      </c>
      <c r="G291" s="47">
        <f>MAX(+input_invoice[[#This Row],[net]]+input_invoice[[#This Row],[tax_iva]],input_invoice[[#This Row],[net]])</f>
        <v>837</v>
      </c>
      <c r="H291" s="47">
        <f>input_invoice[[#This Row],[net]]*(MAX(input_invoice[[#This Row],[tax_rate_iva]],0)/100)</f>
        <v>139.5</v>
      </c>
      <c r="I291" s="47">
        <f>-input_invoice[[#This Row],[net]]*input_invoice[[#This Row],[tax_rate_irpf]]/100</f>
        <v>0</v>
      </c>
      <c r="J291" s="47">
        <v>697.5</v>
      </c>
      <c r="K291" t="str">
        <f t="shared" si="10"/>
        <v>manufacturing</v>
      </c>
      <c r="L291">
        <v>20</v>
      </c>
      <c r="N291" t="str">
        <f>VLOOKUP(input_invoice[[#This Row],[concept/supplier]],'sel-invoice'!D:E,2,0)</f>
        <v>Proco</v>
      </c>
      <c r="O291" t="str">
        <f>VLOOKUP(input_invoice[[#This Row],[concept/supplier]],'sel-invoice'!D:F,3,0)</f>
        <v>Ltd</v>
      </c>
      <c r="P291" t="str">
        <f>IF(input_invoice[[#This Row],[entity]]="SL","EUR",IF(input_invoice[[#This Row],[entity]]="Ltd","GBP",IF(input_invoice[[#This Row],[entity]]="Inc","USD","XXX")))</f>
        <v>GBP</v>
      </c>
      <c r="Q291" s="199" t="s">
        <v>1036</v>
      </c>
    </row>
    <row r="292" spans="1:18" hidden="1" x14ac:dyDescent="0.3">
      <c r="A292">
        <v>202510</v>
      </c>
      <c r="B292" s="22" t="s">
        <v>917</v>
      </c>
      <c r="C292" s="48">
        <v>20250627</v>
      </c>
      <c r="D292" s="43">
        <v>45961</v>
      </c>
      <c r="E292" s="43">
        <f>input_invoice[[#This Row],[date]]+30</f>
        <v>45991</v>
      </c>
      <c r="F292" t="s">
        <v>51</v>
      </c>
      <c r="G292" s="47">
        <f>MAX(+input_invoice[[#This Row],[net]]+input_invoice[[#This Row],[tax_iva]],input_invoice[[#This Row],[net]])</f>
        <v>4464.5974999999999</v>
      </c>
      <c r="H292" s="47">
        <f>input_invoice[[#This Row],[net]]*(MAX(input_invoice[[#This Row],[tax_rate_iva]],0)/100)</f>
        <v>774.84749999999997</v>
      </c>
      <c r="I292" s="47">
        <f>-input_invoice[[#This Row],[net]]*input_invoice[[#This Row],[tax_rate_irpf]]/100</f>
        <v>0</v>
      </c>
      <c r="J292" s="47">
        <v>3689.75</v>
      </c>
      <c r="K292" t="str">
        <f t="shared" si="10"/>
        <v>logistics</v>
      </c>
      <c r="L292">
        <v>21</v>
      </c>
      <c r="N292" t="str">
        <f>VLOOKUP(input_invoice[[#This Row],[concept/supplier]],'sel-invoice'!D:E,2,0)</f>
        <v>GLS</v>
      </c>
      <c r="O292" t="str">
        <f>VLOOKUP(input_invoice[[#This Row],[concept/supplier]],'sel-invoice'!D:F,3,0)</f>
        <v>SL</v>
      </c>
      <c r="P292" t="str">
        <f>IF(input_invoice[[#This Row],[entity]]="SL","EUR",IF(input_invoice[[#This Row],[entity]]="Ltd","GBP",IF(input_invoice[[#This Row],[entity]]="Inc","USD","XXX")))</f>
        <v>EUR</v>
      </c>
      <c r="Q292" s="199" t="s">
        <v>1038</v>
      </c>
      <c r="R292" s="267" t="b">
        <v>1</v>
      </c>
    </row>
    <row r="293" spans="1:18" hidden="1" x14ac:dyDescent="0.3">
      <c r="A293">
        <v>202502</v>
      </c>
      <c r="B293" s="22" t="s">
        <v>917</v>
      </c>
      <c r="C293" s="48" t="s">
        <v>291</v>
      </c>
      <c r="D293" s="43">
        <v>45715</v>
      </c>
      <c r="E293" s="43">
        <v>45733</v>
      </c>
      <c r="F293" t="s">
        <v>39</v>
      </c>
      <c r="G293" s="47">
        <f>MAX(+input_invoice[[#This Row],[net]]+input_invoice[[#This Row],[tax_iva]]+input_invoice[[#This Row],[tax_irpf]],input_invoice[[#This Row],[net]])</f>
        <v>59.0854</v>
      </c>
      <c r="H293" s="47">
        <f>input_invoice[[#This Row],[net]]*(MAX(input_invoice[[#This Row],[tax_rate_iva]],0)/100)</f>
        <v>3.8654000000000002</v>
      </c>
      <c r="I293" s="47">
        <f>-input_invoice[[#This Row],[net]]*input_invoice[[#This Row],[tax_rate_irpf]]/100</f>
        <v>0</v>
      </c>
      <c r="J293" s="47">
        <v>55.22</v>
      </c>
      <c r="K293" t="str">
        <f t="shared" si="10"/>
        <v>manufacturing</v>
      </c>
      <c r="L293">
        <v>7</v>
      </c>
      <c r="N293" t="str">
        <f>VLOOKUP(input_invoice[[#This Row],[concept/supplier]],'sel-invoice'!D:E,2,0)</f>
        <v>Apphoto Canarias</v>
      </c>
      <c r="O293" t="str">
        <f>VLOOKUP(input_invoice[[#This Row],[concept/supplier]],'sel-invoice'!D:F,3,0)</f>
        <v>SL</v>
      </c>
      <c r="P293" t="str">
        <f>IF(input_invoice[[#This Row],[entity]]="SL","EUR",IF(input_invoice[[#This Row],[entity]]="Ltd","GBP",IF(input_invoice[[#This Row],[entity]]="Inc","USD","XXX")))</f>
        <v>EUR</v>
      </c>
      <c r="Q293" s="60"/>
    </row>
    <row r="294" spans="1:18" hidden="1" x14ac:dyDescent="0.3">
      <c r="A294">
        <v>202510</v>
      </c>
      <c r="B294" s="22" t="s">
        <v>917</v>
      </c>
      <c r="C294" s="48">
        <v>837333944</v>
      </c>
      <c r="D294" s="43">
        <v>45936</v>
      </c>
      <c r="E294" s="43">
        <f>input_invoice[[#This Row],[date]]+60</f>
        <v>45996</v>
      </c>
      <c r="F294" t="s">
        <v>55</v>
      </c>
      <c r="G294" s="47">
        <f>MAX(+input_invoice[[#This Row],[net]]+input_invoice[[#This Row],[tax_iva]],input_invoice[[#This Row],[net]])</f>
        <v>28.56</v>
      </c>
      <c r="H294" s="47">
        <f>input_invoice[[#This Row],[net]]*(MAX(input_invoice[[#This Row],[tax_rate_iva]],0)/100)</f>
        <v>0</v>
      </c>
      <c r="I294" s="47">
        <f>-input_invoice[[#This Row],[net]]*input_invoice[[#This Row],[tax_rate_irpf]]/100</f>
        <v>0</v>
      </c>
      <c r="J294" s="47">
        <v>28.56</v>
      </c>
      <c r="K294" t="str">
        <f t="shared" si="10"/>
        <v>logistics</v>
      </c>
      <c r="L294">
        <v>0</v>
      </c>
      <c r="N294" t="str">
        <f>VLOOKUP(input_invoice[[#This Row],[concept/supplier]],'sel-invoice'!D:E,2,0)</f>
        <v>UPS DE</v>
      </c>
      <c r="O294" t="str">
        <f>VLOOKUP(input_invoice[[#This Row],[concept/supplier]],'sel-invoice'!D:F,3,0)</f>
        <v>SL</v>
      </c>
      <c r="P294" t="str">
        <f>IF(input_invoice[[#This Row],[entity]]="SL","EUR",IF(input_invoice[[#This Row],[entity]]="Ltd","GBP",IF(input_invoice[[#This Row],[entity]]="Inc","USD","XXX")))</f>
        <v>EUR</v>
      </c>
      <c r="Q294" s="199" t="s">
        <v>966</v>
      </c>
    </row>
    <row r="295" spans="1:18" hidden="1" x14ac:dyDescent="0.3">
      <c r="A295">
        <v>202510</v>
      </c>
      <c r="B295" s="22" t="s">
        <v>917</v>
      </c>
      <c r="C295" s="48">
        <v>2003460703</v>
      </c>
      <c r="D295" s="43">
        <v>45936</v>
      </c>
      <c r="E295" s="43">
        <f>input_invoice[[#This Row],[date]]+60</f>
        <v>45996</v>
      </c>
      <c r="F295" t="s">
        <v>55</v>
      </c>
      <c r="G295" s="47">
        <f>MAX(+input_invoice[[#This Row],[net]]+input_invoice[[#This Row],[tax_iva]],input_invoice[[#This Row],[net]])</f>
        <v>-802.07</v>
      </c>
      <c r="H295" s="47">
        <f>input_invoice[[#This Row],[net]]*(MAX(input_invoice[[#This Row],[tax_rate_iva]],0)/100)</f>
        <v>0</v>
      </c>
      <c r="I295" s="47">
        <f>-input_invoice[[#This Row],[net]]*input_invoice[[#This Row],[tax_rate_irpf]]/100</f>
        <v>0</v>
      </c>
      <c r="J295" s="47">
        <f>-802.07</f>
        <v>-802.07</v>
      </c>
      <c r="K295" t="str">
        <f t="shared" si="10"/>
        <v>logistics</v>
      </c>
      <c r="L295">
        <v>0</v>
      </c>
      <c r="N295" t="str">
        <f>VLOOKUP(input_invoice[[#This Row],[concept/supplier]],'sel-invoice'!D:E,2,0)</f>
        <v>UPS DE</v>
      </c>
      <c r="O295" t="str">
        <f>VLOOKUP(input_invoice[[#This Row],[concept/supplier]],'sel-invoice'!D:F,3,0)</f>
        <v>SL</v>
      </c>
      <c r="P295" t="str">
        <f>IF(input_invoice[[#This Row],[entity]]="SL","EUR",IF(input_invoice[[#This Row],[entity]]="Ltd","GBP",IF(input_invoice[[#This Row],[entity]]="Inc","USD","XXX")))</f>
        <v>EUR</v>
      </c>
      <c r="Q295" s="199" t="s">
        <v>1032</v>
      </c>
    </row>
    <row r="296" spans="1:18" hidden="1" x14ac:dyDescent="0.3">
      <c r="A296">
        <v>202510</v>
      </c>
      <c r="B296" s="22" t="s">
        <v>917</v>
      </c>
      <c r="C296" s="48">
        <v>326308211</v>
      </c>
      <c r="D296" s="43">
        <v>45937</v>
      </c>
      <c r="E296" s="43">
        <f>input_invoice[[#This Row],[date]]+60</f>
        <v>45997</v>
      </c>
      <c r="F296" t="s">
        <v>55</v>
      </c>
      <c r="G296" s="47">
        <f>MAX(+input_invoice[[#This Row],[net]]+input_invoice[[#This Row],[tax_iva]],input_invoice[[#This Row],[net]])</f>
        <v>994.56</v>
      </c>
      <c r="H296" s="47">
        <f>input_invoice[[#This Row],[net]]*(MAX(input_invoice[[#This Row],[tax_rate_iva]],0)/100)</f>
        <v>0</v>
      </c>
      <c r="I296" s="47">
        <f>-input_invoice[[#This Row],[net]]*input_invoice[[#This Row],[tax_rate_irpf]]/100</f>
        <v>0</v>
      </c>
      <c r="J296" s="47">
        <v>994.56</v>
      </c>
      <c r="K296" t="str">
        <f t="shared" si="10"/>
        <v>logistics</v>
      </c>
      <c r="L296">
        <v>0</v>
      </c>
      <c r="N296" t="str">
        <f>VLOOKUP(input_invoice[[#This Row],[concept/supplier]],'sel-invoice'!D:E,2,0)</f>
        <v>UPS DE</v>
      </c>
      <c r="O296" t="str">
        <f>VLOOKUP(input_invoice[[#This Row],[concept/supplier]],'sel-invoice'!D:F,3,0)</f>
        <v>SL</v>
      </c>
      <c r="P296" t="str">
        <f>IF(input_invoice[[#This Row],[entity]]="SL","EUR",IF(input_invoice[[#This Row],[entity]]="Ltd","GBP",IF(input_invoice[[#This Row],[entity]]="Inc","USD","XXX")))</f>
        <v>EUR</v>
      </c>
      <c r="Q296" s="199" t="s">
        <v>965</v>
      </c>
    </row>
    <row r="297" spans="1:18" hidden="1" x14ac:dyDescent="0.3">
      <c r="A297">
        <v>202510</v>
      </c>
      <c r="B297" s="22" t="s">
        <v>917</v>
      </c>
      <c r="C297" s="48">
        <v>837372210</v>
      </c>
      <c r="D297" s="43">
        <v>45943</v>
      </c>
      <c r="E297" s="43">
        <f>input_invoice[[#This Row],[date]]+60</f>
        <v>46003</v>
      </c>
      <c r="F297" t="s">
        <v>55</v>
      </c>
      <c r="G297" s="47">
        <f>MAX(+input_invoice[[#This Row],[net]]+input_invoice[[#This Row],[tax_iva]],input_invoice[[#This Row],[net]])</f>
        <v>7.84</v>
      </c>
      <c r="H297" s="47">
        <f>input_invoice[[#This Row],[net]]*(MAX(input_invoice[[#This Row],[tax_rate_iva]],0)/100)</f>
        <v>0</v>
      </c>
      <c r="I297" s="47">
        <f>-input_invoice[[#This Row],[net]]*input_invoice[[#This Row],[tax_rate_irpf]]/100</f>
        <v>0</v>
      </c>
      <c r="J297" s="47">
        <v>7.84</v>
      </c>
      <c r="K297" t="str">
        <f t="shared" si="10"/>
        <v>logistics</v>
      </c>
      <c r="L297">
        <v>0</v>
      </c>
      <c r="N297" t="str">
        <f>VLOOKUP(input_invoice[[#This Row],[concept/supplier]],'sel-invoice'!D:E,2,0)</f>
        <v>UPS DE</v>
      </c>
      <c r="O297" t="str">
        <f>VLOOKUP(input_invoice[[#This Row],[concept/supplier]],'sel-invoice'!D:F,3,0)</f>
        <v>SL</v>
      </c>
      <c r="P297" t="str">
        <f>IF(input_invoice[[#This Row],[entity]]="SL","EUR",IF(input_invoice[[#This Row],[entity]]="Ltd","GBP",IF(input_invoice[[#This Row],[entity]]="Inc","USD","XXX")))</f>
        <v>EUR</v>
      </c>
      <c r="Q297" s="199" t="s">
        <v>964</v>
      </c>
    </row>
    <row r="298" spans="1:18" hidden="1" x14ac:dyDescent="0.3">
      <c r="A298">
        <v>202510</v>
      </c>
      <c r="B298" s="22" t="s">
        <v>917</v>
      </c>
      <c r="C298" s="48">
        <v>326338437</v>
      </c>
      <c r="D298" s="43">
        <v>45944</v>
      </c>
      <c r="E298" s="43">
        <f>input_invoice[[#This Row],[date]]+60</f>
        <v>46004</v>
      </c>
      <c r="F298" t="s">
        <v>55</v>
      </c>
      <c r="G298" s="47">
        <f>MAX(+input_invoice[[#This Row],[net]]+input_invoice[[#This Row],[tax_iva]],input_invoice[[#This Row],[net]])</f>
        <v>2093.3000000000002</v>
      </c>
      <c r="H298" s="47">
        <f>input_invoice[[#This Row],[net]]*(MAX(input_invoice[[#This Row],[tax_rate_iva]],0)/100)</f>
        <v>0</v>
      </c>
      <c r="I298" s="47">
        <f>-input_invoice[[#This Row],[net]]*input_invoice[[#This Row],[tax_rate_irpf]]/100</f>
        <v>0</v>
      </c>
      <c r="J298" s="47">
        <v>2093.3000000000002</v>
      </c>
      <c r="K298" t="str">
        <f t="shared" si="10"/>
        <v>logistics</v>
      </c>
      <c r="L298">
        <v>0</v>
      </c>
      <c r="N298" t="str">
        <f>VLOOKUP(input_invoice[[#This Row],[concept/supplier]],'sel-invoice'!D:E,2,0)</f>
        <v>UPS DE</v>
      </c>
      <c r="O298" t="str">
        <f>VLOOKUP(input_invoice[[#This Row],[concept/supplier]],'sel-invoice'!D:F,3,0)</f>
        <v>SL</v>
      </c>
      <c r="P298" t="str">
        <f>IF(input_invoice[[#This Row],[entity]]="SL","EUR",IF(input_invoice[[#This Row],[entity]]="Ltd","GBP",IF(input_invoice[[#This Row],[entity]]="Inc","USD","XXX")))</f>
        <v>EUR</v>
      </c>
      <c r="Q298" s="199" t="s">
        <v>963</v>
      </c>
    </row>
    <row r="299" spans="1:18" hidden="1" x14ac:dyDescent="0.3">
      <c r="A299">
        <v>202510</v>
      </c>
      <c r="B299" s="22" t="s">
        <v>917</v>
      </c>
      <c r="C299" s="48">
        <v>326370052</v>
      </c>
      <c r="D299" s="43">
        <v>45952</v>
      </c>
      <c r="E299" s="43">
        <f>input_invoice[[#This Row],[date]]+60</f>
        <v>46012</v>
      </c>
      <c r="F299" t="s">
        <v>55</v>
      </c>
      <c r="G299" s="47">
        <f>MAX(+input_invoice[[#This Row],[net]]+input_invoice[[#This Row],[tax_iva]],input_invoice[[#This Row],[net]])</f>
        <v>1183.68</v>
      </c>
      <c r="H299" s="47">
        <f>input_invoice[[#This Row],[net]]*(MAX(input_invoice[[#This Row],[tax_rate_iva]],0)/100)</f>
        <v>0</v>
      </c>
      <c r="I299" s="47">
        <f>-input_invoice[[#This Row],[net]]*input_invoice[[#This Row],[tax_rate_irpf]]/100</f>
        <v>0</v>
      </c>
      <c r="J299" s="47">
        <v>1183.68</v>
      </c>
      <c r="K299" t="str">
        <f t="shared" si="10"/>
        <v>logistics</v>
      </c>
      <c r="L299">
        <v>0</v>
      </c>
      <c r="N299" t="str">
        <f>VLOOKUP(input_invoice[[#This Row],[concept/supplier]],'sel-invoice'!D:E,2,0)</f>
        <v>UPS DE</v>
      </c>
      <c r="O299" t="str">
        <f>VLOOKUP(input_invoice[[#This Row],[concept/supplier]],'sel-invoice'!D:F,3,0)</f>
        <v>SL</v>
      </c>
      <c r="P299" t="str">
        <f>IF(input_invoice[[#This Row],[entity]]="SL","EUR",IF(input_invoice[[#This Row],[entity]]="Ltd","GBP",IF(input_invoice[[#This Row],[entity]]="Inc","USD","XXX")))</f>
        <v>EUR</v>
      </c>
      <c r="Q299" s="199" t="s">
        <v>1018</v>
      </c>
    </row>
    <row r="300" spans="1:18" hidden="1" x14ac:dyDescent="0.3">
      <c r="A300">
        <v>202510</v>
      </c>
      <c r="B300" s="22" t="s">
        <v>917</v>
      </c>
      <c r="C300" s="48">
        <v>837449990</v>
      </c>
      <c r="D300" s="43">
        <v>45957</v>
      </c>
      <c r="E300" s="43">
        <f>input_invoice[[#This Row],[date]]+60</f>
        <v>46017</v>
      </c>
      <c r="F300" t="s">
        <v>55</v>
      </c>
      <c r="G300" s="47">
        <f>MAX(+input_invoice[[#This Row],[net]]+input_invoice[[#This Row],[tax_iva]],input_invoice[[#This Row],[net]])</f>
        <v>154.02000000000001</v>
      </c>
      <c r="H300" s="47">
        <f>input_invoice[[#This Row],[net]]*(MAX(input_invoice[[#This Row],[tax_rate_iva]],0)/100)</f>
        <v>0</v>
      </c>
      <c r="I300" s="47">
        <f>-input_invoice[[#This Row],[net]]*input_invoice[[#This Row],[tax_rate_irpf]]/100</f>
        <v>0</v>
      </c>
      <c r="J300" s="47">
        <v>154.02000000000001</v>
      </c>
      <c r="K300" t="str">
        <f t="shared" si="10"/>
        <v>logistics</v>
      </c>
      <c r="L300">
        <v>0</v>
      </c>
      <c r="N300" t="str">
        <f>VLOOKUP(input_invoice[[#This Row],[concept/supplier]],'sel-invoice'!D:E,2,0)</f>
        <v>UPS DE</v>
      </c>
      <c r="O300" t="str">
        <f>VLOOKUP(input_invoice[[#This Row],[concept/supplier]],'sel-invoice'!D:F,3,0)</f>
        <v>SL</v>
      </c>
      <c r="P300" t="str">
        <f>IF(input_invoice[[#This Row],[entity]]="SL","EUR",IF(input_invoice[[#This Row],[entity]]="Ltd","GBP",IF(input_invoice[[#This Row],[entity]]="Inc","USD","XXX")))</f>
        <v>EUR</v>
      </c>
      <c r="Q300" s="199" t="s">
        <v>1032</v>
      </c>
    </row>
    <row r="301" spans="1:18" hidden="1" x14ac:dyDescent="0.3">
      <c r="A301">
        <v>202510</v>
      </c>
      <c r="B301" s="22" t="s">
        <v>917</v>
      </c>
      <c r="C301">
        <v>326402778</v>
      </c>
      <c r="D301" s="43">
        <v>45959</v>
      </c>
      <c r="E301" s="43">
        <f>input_invoice[[#This Row],[date]]+60</f>
        <v>46019</v>
      </c>
      <c r="F301" t="s">
        <v>55</v>
      </c>
      <c r="G301" s="47">
        <f>MAX(+input_invoice[[#This Row],[net]]+input_invoice[[#This Row],[tax_iva]],input_invoice[[#This Row],[net]])</f>
        <v>1917.68</v>
      </c>
      <c r="H301" s="47">
        <f>input_invoice[[#This Row],[net]]*(MAX(input_invoice[[#This Row],[tax_rate_iva]],0)/100)</f>
        <v>0</v>
      </c>
      <c r="I301" s="47">
        <f>-input_invoice[[#This Row],[net]]*input_invoice[[#This Row],[tax_rate_irpf]]/100</f>
        <v>0</v>
      </c>
      <c r="J301" s="47">
        <v>1917.68</v>
      </c>
      <c r="K301" t="str">
        <f t="shared" si="10"/>
        <v>logistics</v>
      </c>
      <c r="L301">
        <v>0</v>
      </c>
      <c r="N301" t="str">
        <f>VLOOKUP(input_invoice[[#This Row],[concept/supplier]],'sel-invoice'!D:E,2,0)</f>
        <v>UPS DE</v>
      </c>
      <c r="O301" t="str">
        <f>VLOOKUP(input_invoice[[#This Row],[concept/supplier]],'sel-invoice'!D:F,3,0)</f>
        <v>SL</v>
      </c>
      <c r="P301" t="str">
        <f>IF(input_invoice[[#This Row],[entity]]="SL","EUR",IF(input_invoice[[#This Row],[entity]]="Ltd","GBP",IF(input_invoice[[#This Row],[entity]]="Inc","USD","XXX")))</f>
        <v>EUR</v>
      </c>
      <c r="Q301" s="199" t="s">
        <v>1019</v>
      </c>
    </row>
    <row r="302" spans="1:18" hidden="1" x14ac:dyDescent="0.3">
      <c r="A302">
        <v>202510</v>
      </c>
      <c r="B302" s="22" t="s">
        <v>917</v>
      </c>
      <c r="C302" s="48">
        <v>5406375175</v>
      </c>
      <c r="D302" s="43">
        <v>45961</v>
      </c>
      <c r="E302" s="43">
        <v>46021</v>
      </c>
      <c r="F302" t="s">
        <v>88</v>
      </c>
      <c r="G302" s="47">
        <f>MAX(+input_invoice[[#This Row],[net]]+input_invoice[[#This Row],[tax_iva]],input_invoice[[#This Row],[net]])</f>
        <v>33388.92</v>
      </c>
      <c r="H302" s="47">
        <f>input_invoice[[#This Row],[net]]*(MAX(input_invoice[[#This Row],[tax_rate_iva]],0)/100)</f>
        <v>0</v>
      </c>
      <c r="I302" s="47">
        <f>-input_invoice[[#This Row],[net]]*input_invoice[[#This Row],[tax_rate_irpf]]/100</f>
        <v>0</v>
      </c>
      <c r="J302" s="55">
        <v>33388.92</v>
      </c>
      <c r="K302" t="str">
        <f t="shared" si="10"/>
        <v>marketing</v>
      </c>
      <c r="L302">
        <v>0</v>
      </c>
      <c r="N302" t="str">
        <f>VLOOKUP(input_invoice[[#This Row],[concept/supplier]],'sel-invoice'!D:E,2,0)</f>
        <v>google</v>
      </c>
      <c r="O302" t="str">
        <f>VLOOKUP(input_invoice[[#This Row],[concept/supplier]],'sel-invoice'!D:F,3,0)</f>
        <v>SL</v>
      </c>
      <c r="P302" t="str">
        <f>IF(input_invoice[[#This Row],[entity]]="SL","EUR",IF(input_invoice[[#This Row],[entity]]="Ltd","GBP",IF(input_invoice[[#This Row],[entity]]="Inc","USD","XXX")))</f>
        <v>EUR</v>
      </c>
      <c r="R302" s="259" t="b">
        <v>1</v>
      </c>
    </row>
    <row r="303" spans="1:18" hidden="1" x14ac:dyDescent="0.3">
      <c r="A303">
        <v>202505</v>
      </c>
      <c r="B303" s="22" t="s">
        <v>917</v>
      </c>
      <c r="C303" s="48" t="s">
        <v>326</v>
      </c>
      <c r="D303" s="43" t="s">
        <v>327</v>
      </c>
      <c r="E303" s="43" t="s">
        <v>327</v>
      </c>
      <c r="F303" t="s">
        <v>129</v>
      </c>
      <c r="G303" s="47">
        <f>MAX(+input_invoice[[#This Row],[net]]+input_invoice[[#This Row],[tax_iva]]+input_invoice[[#This Row],[tax_irpf]],input_invoice[[#This Row],[net]])</f>
        <v>23.716000000000001</v>
      </c>
      <c r="H303" s="47">
        <f>input_invoice[[#This Row],[net]]*(MAX(input_invoice[[#This Row],[tax_rate_iva]],0)/100)</f>
        <v>4.1160000000000005</v>
      </c>
      <c r="I303" s="47">
        <f>-input_invoice[[#This Row],[net]]*input_invoice[[#This Row],[tax_rate_irpf]]/100</f>
        <v>0</v>
      </c>
      <c r="J303" s="47">
        <v>19.600000000000001</v>
      </c>
      <c r="K303" t="str">
        <f t="shared" si="10"/>
        <v>it</v>
      </c>
      <c r="L303">
        <v>21</v>
      </c>
      <c r="N303" t="str">
        <f>VLOOKUP(input_invoice[[#This Row],[concept/supplier]],'sel-invoice'!D:E,2,0)</f>
        <v>Microsoft</v>
      </c>
      <c r="O303" t="str">
        <f>VLOOKUP(input_invoice[[#This Row],[concept/supplier]],'sel-invoice'!D:F,3,0)</f>
        <v>SL</v>
      </c>
      <c r="P303" t="str">
        <f>IF(input_invoice[[#This Row],[entity]]="SL","EUR",IF(input_invoice[[#This Row],[entity]]="Ltd","GBP",IF(input_invoice[[#This Row],[entity]]="Inc","USD","XXX")))</f>
        <v>EUR</v>
      </c>
    </row>
    <row r="304" spans="1:18" hidden="1" x14ac:dyDescent="0.3">
      <c r="A304">
        <v>202505</v>
      </c>
      <c r="B304" s="22" t="s">
        <v>917</v>
      </c>
      <c r="C304" s="48">
        <v>87000313888</v>
      </c>
      <c r="D304" s="43" t="s">
        <v>322</v>
      </c>
      <c r="E304" s="43" t="s">
        <v>322</v>
      </c>
      <c r="F304" t="s">
        <v>127</v>
      </c>
      <c r="G304" s="47">
        <f>MAX(+input_invoice[[#This Row],[net]]+input_invoice[[#This Row],[tax_iva]]+input_invoice[[#This Row],[tax_irpf]],input_invoice[[#This Row],[net]])</f>
        <v>10.9</v>
      </c>
      <c r="H304" s="47">
        <v>10.9</v>
      </c>
      <c r="I304" s="47">
        <f>-input_invoice[[#This Row],[net]]*input_invoice[[#This Row],[tax_rate_irpf]]/100</f>
        <v>0</v>
      </c>
      <c r="K304" t="str">
        <f t="shared" si="10"/>
        <v>it</v>
      </c>
      <c r="L304">
        <v>21</v>
      </c>
      <c r="N304" t="str">
        <f>VLOOKUP(input_invoice[[#This Row],[concept/supplier]],'sel-invoice'!D:E,2,0)</f>
        <v>Hetzner</v>
      </c>
      <c r="O304" t="str">
        <f>VLOOKUP(input_invoice[[#This Row],[concept/supplier]],'sel-invoice'!D:F,3,0)</f>
        <v>SL</v>
      </c>
      <c r="P304" t="str">
        <f>IF(input_invoice[[#This Row],[entity]]="SL","EUR",IF(input_invoice[[#This Row],[entity]]="Ltd","GBP",IF(input_invoice[[#This Row],[entity]]="Inc","USD","XXX")))</f>
        <v>EUR</v>
      </c>
    </row>
    <row r="305" spans="1:18" hidden="1" x14ac:dyDescent="0.3">
      <c r="A305">
        <v>202506</v>
      </c>
      <c r="B305" s="22" t="s">
        <v>917</v>
      </c>
      <c r="C305">
        <v>383603991</v>
      </c>
      <c r="D305" s="43">
        <v>45833</v>
      </c>
      <c r="E305" s="43">
        <v>45833</v>
      </c>
      <c r="F305" t="s">
        <v>209</v>
      </c>
      <c r="G305" s="47">
        <f>MAX(+input_invoice[[#This Row],[net]]+input_invoice[[#This Row],[tax_iva]]+input_invoice[[#This Row],[tax_irpf]],input_invoice[[#This Row],[net]])</f>
        <v>60.85</v>
      </c>
      <c r="H305" s="47">
        <f>input_invoice[[#This Row],[net]]*(MAX(input_invoice[[#This Row],[tax_rate_iva]],0)/100)</f>
        <v>0</v>
      </c>
      <c r="I305" s="47">
        <f>-input_invoice[[#This Row],[net]]*input_invoice[[#This Row],[tax_rate_irpf]]/100</f>
        <v>0</v>
      </c>
      <c r="J305" s="47">
        <v>60.85</v>
      </c>
      <c r="K305" t="str">
        <f t="shared" si="10"/>
        <v>it</v>
      </c>
      <c r="L305">
        <v>0</v>
      </c>
      <c r="N305" t="str">
        <f>VLOOKUP(input_invoice[[#This Row],[concept/supplier]],'sel-invoice'!D:E,2,0)</f>
        <v>Shopify</v>
      </c>
      <c r="O305" t="str">
        <f>VLOOKUP(input_invoice[[#This Row],[concept/supplier]],'sel-invoice'!D:F,3,0)</f>
        <v>Ltd</v>
      </c>
      <c r="P305" t="str">
        <f>IF(input_invoice[[#This Row],[entity]]="SL","EUR",IF(input_invoice[[#This Row],[entity]]="Ltd","GBP",IF(input_invoice[[#This Row],[entity]]="Inc","USD","XXX")))</f>
        <v>GBP</v>
      </c>
      <c r="Q305" s="182"/>
      <c r="R305" s="259" t="b">
        <v>1</v>
      </c>
    </row>
    <row r="306" spans="1:18" hidden="1" x14ac:dyDescent="0.3">
      <c r="A306">
        <v>202505</v>
      </c>
      <c r="B306" s="22" t="s">
        <v>917</v>
      </c>
      <c r="C306" s="48" t="s">
        <v>319</v>
      </c>
      <c r="D306" t="s">
        <v>320</v>
      </c>
      <c r="E306" t="s">
        <v>320</v>
      </c>
      <c r="F306" t="s">
        <v>143</v>
      </c>
      <c r="G306" s="47">
        <v>11.99</v>
      </c>
      <c r="H306" s="47">
        <v>2.08</v>
      </c>
      <c r="I306" s="47">
        <f>-input_invoice[[#This Row],[net]]*input_invoice[[#This Row],[tax_rate_irpf]]/100</f>
        <v>0</v>
      </c>
      <c r="J306" s="47">
        <f>+input_invoice[[#This Row],[gross]]-input_invoice[[#This Row],[tax_iva]]</f>
        <v>9.91</v>
      </c>
      <c r="K306" t="str">
        <f t="shared" si="10"/>
        <v>it</v>
      </c>
      <c r="L306">
        <v>21</v>
      </c>
      <c r="N306" t="str">
        <f>VLOOKUP(input_invoice[[#This Row],[concept/supplier]],'sel-invoice'!D:E,2,0)</f>
        <v>Canva</v>
      </c>
      <c r="O306" t="str">
        <f>VLOOKUP(input_invoice[[#This Row],[concept/supplier]],'sel-invoice'!D:F,3,0)</f>
        <v>SL</v>
      </c>
      <c r="P306" t="str">
        <f>IF(input_invoice[[#This Row],[entity]]="SL","EUR",IF(input_invoice[[#This Row],[entity]]="Ltd","GBP",IF(input_invoice[[#This Row],[entity]]="Inc","USD","XXX")))</f>
        <v>EUR</v>
      </c>
    </row>
    <row r="307" spans="1:18" hidden="1" x14ac:dyDescent="0.3">
      <c r="A307">
        <v>202505</v>
      </c>
      <c r="B307" s="22" t="s">
        <v>917</v>
      </c>
      <c r="C307" s="48" t="s">
        <v>328</v>
      </c>
      <c r="D307" t="s">
        <v>320</v>
      </c>
      <c r="E307" s="43" t="s">
        <v>320</v>
      </c>
      <c r="F307" t="s">
        <v>129</v>
      </c>
      <c r="G307" s="47">
        <f>MAX(+input_invoice[[#This Row],[net]]+input_invoice[[#This Row],[tax_iva]]+input_invoice[[#This Row],[tax_irpf]],input_invoice[[#This Row],[net]])</f>
        <v>34.122</v>
      </c>
      <c r="H307" s="47">
        <f>input_invoice[[#This Row],[net]]*(MAX(input_invoice[[#This Row],[tax_rate_iva]],0)/100)</f>
        <v>5.9219999999999997</v>
      </c>
      <c r="I307" s="47">
        <f>-input_invoice[[#This Row],[net]]*input_invoice[[#This Row],[tax_rate_irpf]]/100</f>
        <v>0</v>
      </c>
      <c r="J307" s="47">
        <v>28.2</v>
      </c>
      <c r="K307" t="str">
        <f t="shared" si="10"/>
        <v>it</v>
      </c>
      <c r="L307">
        <v>21</v>
      </c>
      <c r="N307" t="str">
        <f>VLOOKUP(input_invoice[[#This Row],[concept/supplier]],'sel-invoice'!D:E,2,0)</f>
        <v>Microsoft</v>
      </c>
      <c r="O307" t="str">
        <f>VLOOKUP(input_invoice[[#This Row],[concept/supplier]],'sel-invoice'!D:F,3,0)</f>
        <v>SL</v>
      </c>
      <c r="P307" t="str">
        <f>IF(input_invoice[[#This Row],[entity]]="SL","EUR",IF(input_invoice[[#This Row],[entity]]="Ltd","GBP",IF(input_invoice[[#This Row],[entity]]="Inc","USD","XXX")))</f>
        <v>EUR</v>
      </c>
    </row>
    <row r="308" spans="1:18" hidden="1" x14ac:dyDescent="0.3">
      <c r="A308">
        <v>202505</v>
      </c>
      <c r="B308" s="22" t="s">
        <v>917</v>
      </c>
      <c r="C308" s="48" t="s">
        <v>323</v>
      </c>
      <c r="D308" s="43" t="s">
        <v>324</v>
      </c>
      <c r="E308" s="43" t="s">
        <v>325</v>
      </c>
      <c r="F308" t="s">
        <v>139</v>
      </c>
      <c r="G308" s="47">
        <f>MAX(+input_invoice[[#This Row],[net]]+input_invoice[[#This Row],[tax_iva]]+input_invoice[[#This Row],[tax_irpf]],input_invoice[[#This Row],[net]])</f>
        <v>4.2350000000000003</v>
      </c>
      <c r="H308" s="47">
        <f>input_invoice[[#This Row],[net]]*(MAX(input_invoice[[#This Row],[tax_rate_iva]],0)/100)</f>
        <v>0.73499999999999999</v>
      </c>
      <c r="I308" s="47">
        <f>-input_invoice[[#This Row],[net]]*input_invoice[[#This Row],[tax_rate_irpf]]/100</f>
        <v>0</v>
      </c>
      <c r="J308" s="47">
        <v>3.5</v>
      </c>
      <c r="K308" t="str">
        <f t="shared" si="10"/>
        <v>it</v>
      </c>
      <c r="L308">
        <v>21</v>
      </c>
      <c r="N308" t="str">
        <f>VLOOKUP(input_invoice[[#This Row],[concept/supplier]],'sel-invoice'!D:E,2,0)</f>
        <v>Mas Movil</v>
      </c>
      <c r="O308" t="str">
        <f>VLOOKUP(input_invoice[[#This Row],[concept/supplier]],'sel-invoice'!D:F,3,0)</f>
        <v>SL</v>
      </c>
      <c r="P308" t="str">
        <f>IF(input_invoice[[#This Row],[entity]]="SL","EUR",IF(input_invoice[[#This Row],[entity]]="Ltd","GBP",IF(input_invoice[[#This Row],[entity]]="Inc","USD","XXX")))</f>
        <v>EUR</v>
      </c>
    </row>
    <row r="309" spans="1:18" hidden="1" x14ac:dyDescent="0.3">
      <c r="A309">
        <v>202505</v>
      </c>
      <c r="B309" s="22" t="s">
        <v>917</v>
      </c>
      <c r="C309" s="48">
        <v>157705</v>
      </c>
      <c r="D309" s="43" t="s">
        <v>325</v>
      </c>
      <c r="E309" s="43" t="s">
        <v>325</v>
      </c>
      <c r="F309" t="s">
        <v>131</v>
      </c>
      <c r="G309" s="47">
        <f>MAX(+input_invoice[[#This Row],[net]]+input_invoice[[#This Row],[tax_iva]]+input_invoice[[#This Row],[tax_irpf]],input_invoice[[#This Row],[net]])</f>
        <v>39</v>
      </c>
      <c r="H309" s="47">
        <f>input_invoice[[#This Row],[net]]*(MAX(input_invoice[[#This Row],[tax_rate_iva]],0)/100)</f>
        <v>0</v>
      </c>
      <c r="I309" s="47">
        <f>-input_invoice[[#This Row],[net]]*input_invoice[[#This Row],[tax_rate_irpf]]/100</f>
        <v>0</v>
      </c>
      <c r="J309" s="47">
        <v>39</v>
      </c>
      <c r="K309" t="str">
        <f t="shared" si="10"/>
        <v>it</v>
      </c>
      <c r="L309">
        <v>0</v>
      </c>
      <c r="N309" t="str">
        <f>VLOOKUP(input_invoice[[#This Row],[concept/supplier]],'sel-invoice'!D:E,2,0)</f>
        <v>Product Hero</v>
      </c>
      <c r="O309" t="str">
        <f>VLOOKUP(input_invoice[[#This Row],[concept/supplier]],'sel-invoice'!D:F,3,0)</f>
        <v>SL</v>
      </c>
      <c r="P309" t="str">
        <f>IF(input_invoice[[#This Row],[entity]]="SL","EUR",IF(input_invoice[[#This Row],[entity]]="Ltd","GBP",IF(input_invoice[[#This Row],[entity]]="Inc","USD","XXX")))</f>
        <v>EUR</v>
      </c>
    </row>
    <row r="310" spans="1:18" hidden="1" x14ac:dyDescent="0.3">
      <c r="A310">
        <v>202505</v>
      </c>
      <c r="B310" s="22" t="s">
        <v>917</v>
      </c>
      <c r="C310" s="48" t="s">
        <v>329</v>
      </c>
      <c r="D310" s="43" t="s">
        <v>330</v>
      </c>
      <c r="E310" s="43" t="s">
        <v>330</v>
      </c>
      <c r="F310" t="s">
        <v>137</v>
      </c>
      <c r="G310" s="47">
        <f>MAX(+input_invoice[[#This Row],[net]]+input_invoice[[#This Row],[tax_iva]]+input_invoice[[#This Row],[tax_irpf]],input_invoice[[#This Row],[net]])</f>
        <v>5</v>
      </c>
      <c r="H310" s="47">
        <f>input_invoice[[#This Row],[net]]*(MAX(input_invoice[[#This Row],[tax_rate_iva]],0)/100)</f>
        <v>0</v>
      </c>
      <c r="I310" s="47">
        <f>-input_invoice[[#This Row],[net]]*input_invoice[[#This Row],[tax_rate_irpf]]/100</f>
        <v>0</v>
      </c>
      <c r="J310" s="47">
        <v>5</v>
      </c>
      <c r="K310" t="str">
        <f t="shared" si="10"/>
        <v>it</v>
      </c>
      <c r="L310">
        <v>0</v>
      </c>
      <c r="N310" t="str">
        <f>VLOOKUP(input_invoice[[#This Row],[concept/supplier]],'sel-invoice'!D:E,2,0)</f>
        <v>Railway</v>
      </c>
      <c r="O310" t="str">
        <f>VLOOKUP(input_invoice[[#This Row],[concept/supplier]],'sel-invoice'!D:F,3,0)</f>
        <v>SL</v>
      </c>
      <c r="P310" t="str">
        <f>IF(input_invoice[[#This Row],[entity]]="SL","EUR",IF(input_invoice[[#This Row],[entity]]="Ltd","GBP",IF(input_invoice[[#This Row],[entity]]="Inc","USD","XXX")))</f>
        <v>EUR</v>
      </c>
    </row>
    <row r="311" spans="1:18" hidden="1" x14ac:dyDescent="0.3">
      <c r="A311">
        <v>202505</v>
      </c>
      <c r="B311" s="22" t="s">
        <v>917</v>
      </c>
      <c r="C311" s="48">
        <v>5266901713</v>
      </c>
      <c r="D311" s="43" t="s">
        <v>321</v>
      </c>
      <c r="E311" s="43" t="s">
        <v>321</v>
      </c>
      <c r="F311" t="s">
        <v>133</v>
      </c>
      <c r="G311" s="47">
        <f>MAX(+input_invoice[[#This Row],[net]]+input_invoice[[#This Row],[tax_iva]]+input_invoice[[#This Row],[tax_irpf]],input_invoice[[#This Row],[net]])</f>
        <v>191.26</v>
      </c>
      <c r="H311" s="47">
        <f>input_invoice[[#This Row],[net]]*(MAX(input_invoice[[#This Row],[tax_rate_iva]],0)/100)</f>
        <v>0</v>
      </c>
      <c r="I311" s="47">
        <f>-input_invoice[[#This Row],[net]]*input_invoice[[#This Row],[tax_rate_irpf]]/100</f>
        <v>0</v>
      </c>
      <c r="J311" s="47">
        <v>191.26</v>
      </c>
      <c r="K311" t="str">
        <f t="shared" si="10"/>
        <v>it</v>
      </c>
      <c r="L311">
        <v>0</v>
      </c>
      <c r="N311" t="str">
        <f>VLOOKUP(input_invoice[[#This Row],[concept/supplier]],'sel-invoice'!D:E,2,0)</f>
        <v>Gsuite</v>
      </c>
      <c r="O311" t="str">
        <f>VLOOKUP(input_invoice[[#This Row],[concept/supplier]],'sel-invoice'!D:F,3,0)</f>
        <v>SL</v>
      </c>
      <c r="P311" t="str">
        <f>IF(input_invoice[[#This Row],[entity]]="SL","EUR",IF(input_invoice[[#This Row],[entity]]="Ltd","GBP",IF(input_invoice[[#This Row],[entity]]="Inc","USD","XXX")))</f>
        <v>EUR</v>
      </c>
    </row>
    <row r="312" spans="1:18" hidden="1" x14ac:dyDescent="0.3">
      <c r="A312">
        <v>202501</v>
      </c>
      <c r="B312" s="22" t="s">
        <v>917</v>
      </c>
      <c r="F312" t="s">
        <v>68</v>
      </c>
      <c r="G312" s="47">
        <f>MAX(+input_invoice[[#This Row],[net]]+input_invoice[[#This Row],[tax_iva]]+input_invoice[[#This Row],[tax_irpf]],input_invoice[[#This Row],[net]])</f>
        <v>0</v>
      </c>
      <c r="H312" s="47">
        <f>input_invoice[[#This Row],[net]]*(MAX(input_invoice[[#This Row],[tax_rate_iva]],0)/100)</f>
        <v>0</v>
      </c>
      <c r="I312" s="47">
        <f>-input_invoice[[#This Row],[net]]*input_invoice[[#This Row],[tax_rate_irpf]]/100</f>
        <v>0</v>
      </c>
      <c r="J312" s="47">
        <v>0</v>
      </c>
      <c r="K312" t="str">
        <f t="shared" si="10"/>
        <v>payment-suppliers</v>
      </c>
      <c r="L312">
        <v>0</v>
      </c>
      <c r="N312" t="str">
        <f>VLOOKUP(input_invoice[[#This Row],[concept/supplier]],'sel-invoice'!D:E,2,0)</f>
        <v>Amazon Pay</v>
      </c>
      <c r="O312" t="str">
        <f>VLOOKUP(input_invoice[[#This Row],[concept/supplier]],'sel-invoice'!D:F,3,0)</f>
        <v>SL</v>
      </c>
      <c r="P312" t="str">
        <f>IF(input_invoice[[#This Row],[entity]]="SL","EUR",IF(input_invoice[[#This Row],[entity]]="Ltd","GBP",IF(input_invoice[[#This Row],[entity]]="Inc","USD","XXX")))</f>
        <v>EUR</v>
      </c>
      <c r="Q312" t="s">
        <v>908</v>
      </c>
    </row>
    <row r="313" spans="1:18" hidden="1" x14ac:dyDescent="0.3">
      <c r="A313">
        <v>202501</v>
      </c>
      <c r="B313" s="22" t="s">
        <v>917</v>
      </c>
      <c r="F313" t="s">
        <v>79</v>
      </c>
      <c r="G313" s="47">
        <f>MAX(+input_invoice[[#This Row],[net]]+input_invoice[[#This Row],[tax_iva]]+input_invoice[[#This Row],[tax_irpf]],input_invoice[[#This Row],[net]])</f>
        <v>0</v>
      </c>
      <c r="H313" s="47">
        <f>input_invoice[[#This Row],[net]]*(MAX(input_invoice[[#This Row],[tax_rate_iva]],0)/100)</f>
        <v>0</v>
      </c>
      <c r="I313" s="47">
        <f>-input_invoice[[#This Row],[net]]*input_invoice[[#This Row],[tax_rate_irpf]]/100</f>
        <v>0</v>
      </c>
      <c r="J313" s="47">
        <v>0</v>
      </c>
      <c r="K313" t="str">
        <f t="shared" si="10"/>
        <v>payment-suppliers</v>
      </c>
      <c r="L313">
        <v>0</v>
      </c>
      <c r="N313" t="str">
        <f>VLOOKUP(input_invoice[[#This Row],[concept/supplier]],'sel-invoice'!D:E,2,0)</f>
        <v>Home24</v>
      </c>
      <c r="O313" t="str">
        <f>VLOOKUP(input_invoice[[#This Row],[concept/supplier]],'sel-invoice'!D:F,3,0)</f>
        <v>SL</v>
      </c>
      <c r="P313" t="str">
        <f>IF(input_invoice[[#This Row],[entity]]="SL","EUR",IF(input_invoice[[#This Row],[entity]]="Ltd","GBP",IF(input_invoice[[#This Row],[entity]]="Inc","USD","XXX")))</f>
        <v>EUR</v>
      </c>
      <c r="Q313" t="s">
        <v>908</v>
      </c>
    </row>
    <row r="314" spans="1:18" hidden="1" x14ac:dyDescent="0.3">
      <c r="A314">
        <v>202501</v>
      </c>
      <c r="B314" s="22" t="s">
        <v>917</v>
      </c>
      <c r="F314" t="s">
        <v>70</v>
      </c>
      <c r="G314" s="47">
        <f>MAX(+input_invoice[[#This Row],[net]]+input_invoice[[#This Row],[tax_iva]]+input_invoice[[#This Row],[tax_irpf]],input_invoice[[#This Row],[net]])</f>
        <v>48.54</v>
      </c>
      <c r="H314" s="47">
        <f>input_invoice[[#This Row],[net]]*(MAX(input_invoice[[#This Row],[tax_rate_iva]],0)/100)</f>
        <v>0</v>
      </c>
      <c r="I314" s="47">
        <f>-input_invoice[[#This Row],[net]]*input_invoice[[#This Row],[tax_rate_irpf]]/100</f>
        <v>0</v>
      </c>
      <c r="J314" s="47">
        <v>48.54</v>
      </c>
      <c r="K314" t="str">
        <f t="shared" si="10"/>
        <v>payment-suppliers</v>
      </c>
      <c r="L314">
        <v>0</v>
      </c>
      <c r="N314" t="str">
        <f>VLOOKUP(input_invoice[[#This Row],[concept/supplier]],'sel-invoice'!D:E,2,0)</f>
        <v>Klarna</v>
      </c>
      <c r="O314" t="str">
        <f>VLOOKUP(input_invoice[[#This Row],[concept/supplier]],'sel-invoice'!D:F,3,0)</f>
        <v>SL</v>
      </c>
      <c r="P314" t="str">
        <f>IF(input_invoice[[#This Row],[entity]]="SL","EUR",IF(input_invoice[[#This Row],[entity]]="Ltd","GBP",IF(input_invoice[[#This Row],[entity]]="Inc","USD","XXX")))</f>
        <v>EUR</v>
      </c>
      <c r="Q314" t="s">
        <v>908</v>
      </c>
    </row>
    <row r="315" spans="1:18" hidden="1" x14ac:dyDescent="0.3">
      <c r="A315">
        <v>202501</v>
      </c>
      <c r="B315" s="22" t="s">
        <v>917</v>
      </c>
      <c r="F315" t="s">
        <v>202</v>
      </c>
      <c r="G315" s="47">
        <f>MAX(+input_invoice[[#This Row],[net]]+input_invoice[[#This Row],[tax_iva]]+input_invoice[[#This Row],[tax_irpf]],input_invoice[[#This Row],[net]])</f>
        <v>51.072000000000003</v>
      </c>
      <c r="H315" s="47">
        <f>input_invoice[[#This Row],[net]]*(MAX(input_invoice[[#This Row],[tax_rate_iva]],0)/100)</f>
        <v>8.5120000000000005</v>
      </c>
      <c r="I315" s="47">
        <f>-input_invoice[[#This Row],[net]]*input_invoice[[#This Row],[tax_rate_irpf]]/100</f>
        <v>0</v>
      </c>
      <c r="J315" s="47">
        <v>42.56</v>
      </c>
      <c r="K315" t="str">
        <f t="shared" si="10"/>
        <v>payment-suppliers</v>
      </c>
      <c r="L315" s="47">
        <v>20</v>
      </c>
      <c r="M315" s="47"/>
      <c r="N315" t="str">
        <f>VLOOKUP(input_invoice[[#This Row],[concept/supplier]],'sel-invoice'!D:E,2,0)</f>
        <v>Klarna</v>
      </c>
      <c r="O315" t="str">
        <f>VLOOKUP(input_invoice[[#This Row],[concept/supplier]],'sel-invoice'!D:F,3,0)</f>
        <v>Ltd</v>
      </c>
      <c r="P315" t="str">
        <f>IF(input_invoice[[#This Row],[entity]]="SL","EUR",IF(input_invoice[[#This Row],[entity]]="Ltd","GBP",IF(input_invoice[[#This Row],[entity]]="Inc","USD","XXX")))</f>
        <v>GBP</v>
      </c>
      <c r="Q315" t="s">
        <v>908</v>
      </c>
    </row>
    <row r="316" spans="1:18" hidden="1" x14ac:dyDescent="0.3">
      <c r="A316">
        <v>202501</v>
      </c>
      <c r="B316" s="22" t="s">
        <v>917</v>
      </c>
      <c r="F316" t="s">
        <v>78</v>
      </c>
      <c r="G316" s="47">
        <f>MAX(+input_invoice[[#This Row],[net]]+input_invoice[[#This Row],[tax_iva]]+input_invoice[[#This Row],[tax_irpf]],input_invoice[[#This Row],[net]])</f>
        <v>0</v>
      </c>
      <c r="H316" s="47">
        <f>input_invoice[[#This Row],[net]]*(MAX(input_invoice[[#This Row],[tax_rate_iva]],0)/100)</f>
        <v>0</v>
      </c>
      <c r="I316" s="47">
        <f>-input_invoice[[#This Row],[net]]*input_invoice[[#This Row],[tax_rate_irpf]]/100</f>
        <v>0</v>
      </c>
      <c r="J316" s="47">
        <v>0</v>
      </c>
      <c r="K316" t="str">
        <f t="shared" si="10"/>
        <v>payment-suppliers</v>
      </c>
      <c r="L316">
        <v>0</v>
      </c>
      <c r="N316" t="str">
        <f>VLOOKUP(input_invoice[[#This Row],[concept/supplier]],'sel-invoice'!D:E,2,0)</f>
        <v>Leroy Merlin</v>
      </c>
      <c r="O316" t="str">
        <f>VLOOKUP(input_invoice[[#This Row],[concept/supplier]],'sel-invoice'!D:F,3,0)</f>
        <v>SL</v>
      </c>
      <c r="P316" t="str">
        <f>IF(input_invoice[[#This Row],[entity]]="SL","EUR",IF(input_invoice[[#This Row],[entity]]="Ltd","GBP",IF(input_invoice[[#This Row],[entity]]="Inc","USD","XXX")))</f>
        <v>EUR</v>
      </c>
      <c r="Q316" t="s">
        <v>908</v>
      </c>
    </row>
    <row r="317" spans="1:18" hidden="1" x14ac:dyDescent="0.3">
      <c r="A317">
        <v>202501</v>
      </c>
      <c r="B317" s="22" t="s">
        <v>917</v>
      </c>
      <c r="F317" t="s">
        <v>77</v>
      </c>
      <c r="G317" s="47">
        <f>MAX(+input_invoice[[#This Row],[net]]+input_invoice[[#This Row],[tax_iva]]+input_invoice[[#This Row],[tax_irpf]],input_invoice[[#This Row],[net]])</f>
        <v>562.03</v>
      </c>
      <c r="H317" s="47">
        <f>input_invoice[[#This Row],[net]]*(MAX(input_invoice[[#This Row],[tax_rate_iva]],0)/100)</f>
        <v>0</v>
      </c>
      <c r="I317" s="47">
        <f>-input_invoice[[#This Row],[net]]*input_invoice[[#This Row],[tax_rate_irpf]]/100</f>
        <v>0</v>
      </c>
      <c r="J317" s="47">
        <v>562.03</v>
      </c>
      <c r="K317" t="str">
        <f t="shared" si="10"/>
        <v>payment-suppliers</v>
      </c>
      <c r="L317">
        <v>0</v>
      </c>
      <c r="N317" t="str">
        <f>VLOOKUP(input_invoice[[#This Row],[concept/supplier]],'sel-invoice'!D:E,2,0)</f>
        <v>Maisons du Monde</v>
      </c>
      <c r="O317" t="str">
        <f>VLOOKUP(input_invoice[[#This Row],[concept/supplier]],'sel-invoice'!D:F,3,0)</f>
        <v>SL</v>
      </c>
      <c r="P317" t="str">
        <f>IF(input_invoice[[#This Row],[entity]]="SL","EUR",IF(input_invoice[[#This Row],[entity]]="Ltd","GBP",IF(input_invoice[[#This Row],[entity]]="Inc","USD","XXX")))</f>
        <v>EUR</v>
      </c>
      <c r="Q317" t="s">
        <v>908</v>
      </c>
    </row>
    <row r="318" spans="1:18" hidden="1" x14ac:dyDescent="0.3">
      <c r="A318">
        <v>202501</v>
      </c>
      <c r="B318" s="22" t="s">
        <v>917</v>
      </c>
      <c r="F318" t="s">
        <v>66</v>
      </c>
      <c r="G318" s="47">
        <f>MAX(+input_invoice[[#This Row],[net]]+input_invoice[[#This Row],[tax_iva]]+input_invoice[[#This Row],[tax_irpf]],input_invoice[[#This Row],[net]])</f>
        <v>1523.21</v>
      </c>
      <c r="H318" s="47">
        <f>input_invoice[[#This Row],[net]]*(MAX(input_invoice[[#This Row],[tax_rate_iva]],0)/100)</f>
        <v>0</v>
      </c>
      <c r="I318" s="47">
        <f>-input_invoice[[#This Row],[net]]*input_invoice[[#This Row],[tax_rate_irpf]]/100</f>
        <v>0</v>
      </c>
      <c r="J318" s="47">
        <v>1523.21</v>
      </c>
      <c r="K318" t="str">
        <f t="shared" si="10"/>
        <v>payment-suppliers</v>
      </c>
      <c r="L318">
        <v>0</v>
      </c>
      <c r="N318" t="str">
        <f>VLOOKUP(input_invoice[[#This Row],[concept/supplier]],'sel-invoice'!D:E,2,0)</f>
        <v>Paypal</v>
      </c>
      <c r="O318" t="str">
        <f>VLOOKUP(input_invoice[[#This Row],[concept/supplier]],'sel-invoice'!D:F,3,0)</f>
        <v>SL</v>
      </c>
      <c r="P318" t="str">
        <f>IF(input_invoice[[#This Row],[entity]]="SL","EUR",IF(input_invoice[[#This Row],[entity]]="Ltd","GBP",IF(input_invoice[[#This Row],[entity]]="Inc","USD","XXX")))</f>
        <v>EUR</v>
      </c>
      <c r="Q318" t="s">
        <v>908</v>
      </c>
    </row>
    <row r="319" spans="1:18" hidden="1" x14ac:dyDescent="0.3">
      <c r="A319">
        <v>202501</v>
      </c>
      <c r="B319" s="22" t="s">
        <v>917</v>
      </c>
      <c r="F319" t="s">
        <v>200</v>
      </c>
      <c r="G319" s="47">
        <f>MAX(+input_invoice[[#This Row],[net]]+input_invoice[[#This Row],[tax_iva]]+input_invoice[[#This Row],[tax_irpf]],input_invoice[[#This Row],[net]])</f>
        <v>170.28</v>
      </c>
      <c r="H319" s="47">
        <f>input_invoice[[#This Row],[net]]*(MAX(input_invoice[[#This Row],[tax_rate_iva]],0)/100)</f>
        <v>0</v>
      </c>
      <c r="I319" s="47">
        <f>-input_invoice[[#This Row],[net]]*input_invoice[[#This Row],[tax_rate_irpf]]/100</f>
        <v>0</v>
      </c>
      <c r="J319" s="47">
        <v>170.28</v>
      </c>
      <c r="K319" t="str">
        <f t="shared" si="10"/>
        <v>payment-suppliers</v>
      </c>
      <c r="L319">
        <v>0</v>
      </c>
      <c r="N319" t="str">
        <f>VLOOKUP(input_invoice[[#This Row],[concept/supplier]],'sel-invoice'!D:E,2,0)</f>
        <v>Paypal</v>
      </c>
      <c r="O319" t="str">
        <f>VLOOKUP(input_invoice[[#This Row],[concept/supplier]],'sel-invoice'!D:F,3,0)</f>
        <v>Ltd</v>
      </c>
      <c r="P319" t="str">
        <f>IF(input_invoice[[#This Row],[entity]]="SL","EUR",IF(input_invoice[[#This Row],[entity]]="Ltd","GBP",IF(input_invoice[[#This Row],[entity]]="Inc","USD","XXX")))</f>
        <v>GBP</v>
      </c>
      <c r="Q319" t="s">
        <v>908</v>
      </c>
    </row>
    <row r="320" spans="1:18" hidden="1" x14ac:dyDescent="0.3">
      <c r="A320">
        <v>202501</v>
      </c>
      <c r="B320" s="22" t="s">
        <v>917</v>
      </c>
      <c r="F320" t="s">
        <v>72</v>
      </c>
      <c r="G320" s="47">
        <f>MAX(+input_invoice[[#This Row],[net]]+input_invoice[[#This Row],[tax_iva]]+input_invoice[[#This Row],[tax_irpf]],input_invoice[[#This Row],[net]])</f>
        <v>7.05</v>
      </c>
      <c r="H320" s="47">
        <f>input_invoice[[#This Row],[net]]*(MAX(input_invoice[[#This Row],[tax_rate_iva]],0)/100)</f>
        <v>0</v>
      </c>
      <c r="I320" s="47">
        <f>-input_invoice[[#This Row],[net]]*input_invoice[[#This Row],[tax_rate_irpf]]/100</f>
        <v>0</v>
      </c>
      <c r="J320" s="47">
        <v>7.05</v>
      </c>
      <c r="K320" t="str">
        <f t="shared" si="10"/>
        <v>payment-suppliers</v>
      </c>
      <c r="L320">
        <v>0</v>
      </c>
      <c r="N320" t="str">
        <f>VLOOKUP(input_invoice[[#This Row],[concept/supplier]],'sel-invoice'!D:E,2,0)</f>
        <v>Revolut</v>
      </c>
      <c r="O320" t="str">
        <f>VLOOKUP(input_invoice[[#This Row],[concept/supplier]],'sel-invoice'!D:F,3,0)</f>
        <v>SL</v>
      </c>
      <c r="P320" t="str">
        <f>IF(input_invoice[[#This Row],[entity]]="SL","EUR",IF(input_invoice[[#This Row],[entity]]="Ltd","GBP",IF(input_invoice[[#This Row],[entity]]="Inc","USD","XXX")))</f>
        <v>EUR</v>
      </c>
      <c r="Q320" t="s">
        <v>908</v>
      </c>
    </row>
    <row r="321" spans="1:18" hidden="1" x14ac:dyDescent="0.3">
      <c r="A321">
        <v>202501</v>
      </c>
      <c r="B321" s="22" t="s">
        <v>917</v>
      </c>
      <c r="F321" t="s">
        <v>74</v>
      </c>
      <c r="G321" s="47">
        <f>MAX(+input_invoice[[#This Row],[net]]+input_invoice[[#This Row],[tax_iva]]+input_invoice[[#This Row],[tax_irpf]],input_invoice[[#This Row],[net]])</f>
        <v>0</v>
      </c>
      <c r="H321" s="47">
        <f>input_invoice[[#This Row],[net]]*(MAX(input_invoice[[#This Row],[tax_rate_iva]],0)/100)</f>
        <v>0</v>
      </c>
      <c r="I321" s="47">
        <f>-input_invoice[[#This Row],[net]]*input_invoice[[#This Row],[tax_rate_irpf]]/100</f>
        <v>0</v>
      </c>
      <c r="J321" s="47">
        <v>0</v>
      </c>
      <c r="K321" t="str">
        <f t="shared" si="10"/>
        <v>payment-suppliers</v>
      </c>
      <c r="L321">
        <v>0</v>
      </c>
      <c r="N321" t="str">
        <f>VLOOKUP(input_invoice[[#This Row],[concept/supplier]],'sel-invoice'!D:E,2,0)</f>
        <v>SeQura</v>
      </c>
      <c r="O321" t="str">
        <f>VLOOKUP(input_invoice[[#This Row],[concept/supplier]],'sel-invoice'!D:F,3,0)</f>
        <v>SL</v>
      </c>
      <c r="P321" t="str">
        <f>IF(input_invoice[[#This Row],[entity]]="SL","EUR",IF(input_invoice[[#This Row],[entity]]="Ltd","GBP",IF(input_invoice[[#This Row],[entity]]="Inc","USD","XXX")))</f>
        <v>EUR</v>
      </c>
      <c r="Q321" t="s">
        <v>908</v>
      </c>
    </row>
    <row r="322" spans="1:18" hidden="1" x14ac:dyDescent="0.3">
      <c r="A322">
        <v>202501</v>
      </c>
      <c r="B322" s="22" t="s">
        <v>917</v>
      </c>
      <c r="F322" t="s">
        <v>65</v>
      </c>
      <c r="G322" s="47">
        <f>MAX(+input_invoice[[#This Row],[net]]+input_invoice[[#This Row],[tax_iva]]+input_invoice[[#This Row],[tax_irpf]],input_invoice[[#This Row],[net]])</f>
        <v>2608.2600000000002</v>
      </c>
      <c r="H322" s="47">
        <f>input_invoice[[#This Row],[net]]*(MAX(input_invoice[[#This Row],[tax_rate_iva]],0)/100)</f>
        <v>0</v>
      </c>
      <c r="I322" s="47">
        <f>-input_invoice[[#This Row],[net]]*input_invoice[[#This Row],[tax_rate_irpf]]/100</f>
        <v>0</v>
      </c>
      <c r="J322" s="47">
        <v>2608.2600000000002</v>
      </c>
      <c r="K322" t="str">
        <f t="shared" si="10"/>
        <v>payment-suppliers</v>
      </c>
      <c r="L322">
        <v>0</v>
      </c>
      <c r="N322" t="str">
        <f>VLOOKUP(input_invoice[[#This Row],[concept/supplier]],'sel-invoice'!D:E,2,0)</f>
        <v>Shopify</v>
      </c>
      <c r="O322" t="str">
        <f>VLOOKUP(input_invoice[[#This Row],[concept/supplier]],'sel-invoice'!D:F,3,0)</f>
        <v>SL</v>
      </c>
      <c r="P322" t="str">
        <f>IF(input_invoice[[#This Row],[entity]]="SL","EUR",IF(input_invoice[[#This Row],[entity]]="Ltd","GBP",IF(input_invoice[[#This Row],[entity]]="Inc","USD","XXX")))</f>
        <v>EUR</v>
      </c>
      <c r="Q322" t="s">
        <v>908</v>
      </c>
      <c r="R322" s="267" t="b">
        <v>1</v>
      </c>
    </row>
    <row r="323" spans="1:18" hidden="1" x14ac:dyDescent="0.3">
      <c r="A323">
        <v>202501</v>
      </c>
      <c r="B323" s="22" t="s">
        <v>917</v>
      </c>
      <c r="F323" t="s">
        <v>199</v>
      </c>
      <c r="G323" s="47">
        <f>MAX(+input_invoice[[#This Row],[net]]+input_invoice[[#This Row],[tax_iva]]+input_invoice[[#This Row],[tax_irpf]],input_invoice[[#This Row],[net]])</f>
        <v>661.63</v>
      </c>
      <c r="H323" s="47">
        <f>input_invoice[[#This Row],[net]]*(MAX(input_invoice[[#This Row],[tax_rate_iva]],0)/100)</f>
        <v>0</v>
      </c>
      <c r="I323" s="47">
        <f>-input_invoice[[#This Row],[net]]*input_invoice[[#This Row],[tax_rate_irpf]]/100</f>
        <v>0</v>
      </c>
      <c r="J323" s="47">
        <v>661.63</v>
      </c>
      <c r="K323" t="str">
        <f t="shared" si="10"/>
        <v>payment-suppliers</v>
      </c>
      <c r="L323">
        <v>0</v>
      </c>
      <c r="N323" t="str">
        <f>VLOOKUP(input_invoice[[#This Row],[concept/supplier]],'sel-invoice'!D:E,2,0)</f>
        <v>Shopify</v>
      </c>
      <c r="O323" t="str">
        <f>VLOOKUP(input_invoice[[#This Row],[concept/supplier]],'sel-invoice'!D:F,3,0)</f>
        <v>Ltd</v>
      </c>
      <c r="P323" t="str">
        <f>IF(input_invoice[[#This Row],[entity]]="SL","EUR",IF(input_invoice[[#This Row],[entity]]="Ltd","GBP",IF(input_invoice[[#This Row],[entity]]="Inc","USD","XXX")))</f>
        <v>GBP</v>
      </c>
      <c r="Q323" t="s">
        <v>908</v>
      </c>
    </row>
    <row r="324" spans="1:18" hidden="1" x14ac:dyDescent="0.3">
      <c r="A324">
        <v>202501</v>
      </c>
      <c r="B324" s="22" t="s">
        <v>917</v>
      </c>
      <c r="F324" t="s">
        <v>210</v>
      </c>
      <c r="G324" s="47">
        <f>MAX(+input_invoice[[#This Row],[net]]+input_invoice[[#This Row],[tax_iva]]+input_invoice[[#This Row],[tax_irpf]],input_invoice[[#This Row],[net]])</f>
        <v>32.6</v>
      </c>
      <c r="H324" s="47">
        <f>input_invoice[[#This Row],[net]]*(MAX(input_invoice[[#This Row],[tax_rate_iva]],0)/100)</f>
        <v>0</v>
      </c>
      <c r="I324" s="47">
        <f>-input_invoice[[#This Row],[net]]*input_invoice[[#This Row],[tax_rate_irpf]]/100</f>
        <v>0</v>
      </c>
      <c r="J324" s="47">
        <v>32.6</v>
      </c>
      <c r="K324" t="str">
        <f t="shared" si="10"/>
        <v>it</v>
      </c>
      <c r="L324">
        <v>0</v>
      </c>
      <c r="N324" t="str">
        <f>VLOOKUP(input_invoice[[#This Row],[concept/supplier]],'sel-invoice'!D:E,2,0)</f>
        <v>Amazon Subscription</v>
      </c>
      <c r="O324" t="str">
        <f>VLOOKUP(input_invoice[[#This Row],[concept/supplier]],'sel-invoice'!D:F,3,0)</f>
        <v>Ltd</v>
      </c>
      <c r="P324" t="str">
        <f>IF(input_invoice[[#This Row],[entity]]="SL","EUR",IF(input_invoice[[#This Row],[entity]]="Ltd","GBP",IF(input_invoice[[#This Row],[entity]]="Inc","USD","XXX")))</f>
        <v>GBP</v>
      </c>
    </row>
    <row r="325" spans="1:18" hidden="1" x14ac:dyDescent="0.3">
      <c r="A325">
        <v>202510</v>
      </c>
      <c r="B325" s="22" t="s">
        <v>917</v>
      </c>
      <c r="C325" s="48">
        <v>200478</v>
      </c>
      <c r="D325" s="43">
        <v>45959</v>
      </c>
      <c r="E325" s="43">
        <v>45989</v>
      </c>
      <c r="F325" t="s">
        <v>46</v>
      </c>
      <c r="G325" s="47">
        <f>MAX(+input_invoice[[#This Row],[net]]+input_invoice[[#This Row],[tax_iva]],input_invoice[[#This Row],[net]])</f>
        <v>1374.49</v>
      </c>
      <c r="H325" s="47">
        <f>input_invoice[[#This Row],[net]]*(MAX(input_invoice[[#This Row],[tax_rate_iva]],0)/100)</f>
        <v>0</v>
      </c>
      <c r="I325" s="47">
        <f>-input_invoice[[#This Row],[net]]*input_invoice[[#This Row],[tax_rate_irpf]]/100</f>
        <v>0</v>
      </c>
      <c r="J325" s="47">
        <v>1374.49</v>
      </c>
      <c r="K325" t="str">
        <f t="shared" si="10"/>
        <v>logistics</v>
      </c>
      <c r="L325">
        <v>0</v>
      </c>
      <c r="N325" t="str">
        <f>VLOOKUP(input_invoice[[#This Row],[concept/supplier]],'sel-invoice'!D:E,2,0)</f>
        <v>artlink</v>
      </c>
      <c r="O325" t="str">
        <f>VLOOKUP(input_invoice[[#This Row],[concept/supplier]],'sel-invoice'!D:F,3,0)</f>
        <v>SL</v>
      </c>
      <c r="P325" t="str">
        <f>IF(input_invoice[[#This Row],[entity]]="SL","EUR",IF(input_invoice[[#This Row],[entity]]="Ltd","GBP",IF(input_invoice[[#This Row],[entity]]="Inc","USD","XXX")))</f>
        <v>EUR</v>
      </c>
      <c r="Q325" s="199" t="s">
        <v>1000</v>
      </c>
      <c r="R325" s="259" t="b">
        <v>1</v>
      </c>
    </row>
    <row r="326" spans="1:18" hidden="1" x14ac:dyDescent="0.3">
      <c r="A326">
        <v>202510</v>
      </c>
      <c r="B326" s="22" t="s">
        <v>917</v>
      </c>
      <c r="C326" s="48">
        <v>200600</v>
      </c>
      <c r="D326" s="43">
        <v>45961</v>
      </c>
      <c r="E326" s="43">
        <v>45991</v>
      </c>
      <c r="F326" t="s">
        <v>46</v>
      </c>
      <c r="G326" s="47">
        <f ca="1">MAX(+input_invoice[[#This Row],[net]]+input_invoice[[#This Row],[tax_iva]],input_invoice[[#This Row],[net]])</f>
        <v>0</v>
      </c>
      <c r="H326" s="47">
        <f ca="1">input_invoice[[#This Row],[net]]*(MAX(input_invoice[[#This Row],[tax_rate_iva]],0)/100)</f>
        <v>0</v>
      </c>
      <c r="I326" s="47">
        <f>-input_invoice[[#This Row],[net]]*input_invoice[[#This Row],[tax_rate_irpf]]/100</f>
        <v>0</v>
      </c>
      <c r="J326" s="47">
        <v>1640</v>
      </c>
      <c r="K326" t="str">
        <f t="shared" si="10"/>
        <v>logistics</v>
      </c>
      <c r="L326">
        <f ca="1">+input_invoice[[#This Row],[gross]]-input_invoice[[#This Row],[net]]</f>
        <v>0</v>
      </c>
      <c r="N326" t="str">
        <f>VLOOKUP(input_invoice[[#This Row],[concept/supplier]],'sel-invoice'!D:E,2,0)</f>
        <v>artlink</v>
      </c>
      <c r="O326" t="str">
        <f>VLOOKUP(input_invoice[[#This Row],[concept/supplier]],'sel-invoice'!D:F,3,0)</f>
        <v>SL</v>
      </c>
      <c r="P326" t="str">
        <f>IF(input_invoice[[#This Row],[entity]]="SL","EUR",IF(input_invoice[[#This Row],[entity]]="Ltd","GBP",IF(input_invoice[[#This Row],[entity]]="Inc","USD","XXX")))</f>
        <v>EUR</v>
      </c>
      <c r="Q326" s="199" t="s">
        <v>1011</v>
      </c>
      <c r="R326" s="259" t="b">
        <v>1</v>
      </c>
    </row>
    <row r="327" spans="1:18" hidden="1" x14ac:dyDescent="0.3">
      <c r="A327">
        <v>202510</v>
      </c>
      <c r="B327" s="22" t="s">
        <v>917</v>
      </c>
      <c r="C327" s="48">
        <v>200601</v>
      </c>
      <c r="D327" s="43">
        <v>45961</v>
      </c>
      <c r="E327" s="43">
        <v>45991</v>
      </c>
      <c r="F327" t="s">
        <v>46</v>
      </c>
      <c r="G327" s="47">
        <f>MAX(+input_invoice[[#This Row],[net]]+input_invoice[[#This Row],[tax_iva]],input_invoice[[#This Row],[net]])</f>
        <v>674</v>
      </c>
      <c r="H327" s="47">
        <f>input_invoice[[#This Row],[net]]*(MAX(input_invoice[[#This Row],[tax_rate_iva]],0)/100)</f>
        <v>0</v>
      </c>
      <c r="I327" s="47">
        <f>-input_invoice[[#This Row],[net]]*input_invoice[[#This Row],[tax_rate_irpf]]/100</f>
        <v>0</v>
      </c>
      <c r="J327" s="47">
        <v>674</v>
      </c>
      <c r="K327" t="str">
        <f t="shared" si="10"/>
        <v>logistics</v>
      </c>
      <c r="L327">
        <v>0</v>
      </c>
      <c r="N327" t="str">
        <f>VLOOKUP(input_invoice[[#This Row],[concept/supplier]],'sel-invoice'!D:E,2,0)</f>
        <v>artlink</v>
      </c>
      <c r="O327" t="str">
        <f>VLOOKUP(input_invoice[[#This Row],[concept/supplier]],'sel-invoice'!D:F,3,0)</f>
        <v>SL</v>
      </c>
      <c r="P327" t="str">
        <f>IF(input_invoice[[#This Row],[entity]]="SL","EUR",IF(input_invoice[[#This Row],[entity]]="Ltd","GBP",IF(input_invoice[[#This Row],[entity]]="Inc","USD","XXX")))</f>
        <v>EUR</v>
      </c>
      <c r="Q327" s="199" t="s">
        <v>1010</v>
      </c>
      <c r="R327" s="259" t="b">
        <v>1</v>
      </c>
    </row>
    <row r="328" spans="1:18" hidden="1" x14ac:dyDescent="0.3">
      <c r="A328">
        <v>202501</v>
      </c>
      <c r="B328" s="22" t="s">
        <v>917</v>
      </c>
      <c r="C328" s="48">
        <v>6020047</v>
      </c>
      <c r="D328" s="43">
        <v>45688</v>
      </c>
      <c r="F328" t="s">
        <v>182</v>
      </c>
      <c r="G328" s="47">
        <f>MAX(+input_invoice[[#This Row],[net]]+input_invoice[[#This Row],[tax_iva]]+input_invoice[[#This Row],[tax_irpf]],input_invoice[[#This Row],[net]])</f>
        <v>6479.52</v>
      </c>
      <c r="H328" s="47">
        <f>input_invoice[[#This Row],[net]]*(MAX(input_invoice[[#This Row],[tax_rate_iva]],0)/100)</f>
        <v>1079.92</v>
      </c>
      <c r="I328" s="47">
        <f>-input_invoice[[#This Row],[net]]*input_invoice[[#This Row],[tax_rate_irpf]]/100</f>
        <v>0</v>
      </c>
      <c r="J328" s="47">
        <v>5399.6</v>
      </c>
      <c r="K328" t="str">
        <f t="shared" si="10"/>
        <v>manufacturing</v>
      </c>
      <c r="L328">
        <v>20</v>
      </c>
      <c r="N328" t="str">
        <f>VLOOKUP(input_invoice[[#This Row],[concept/supplier]],'sel-invoice'!D:E,2,0)</f>
        <v>Proco</v>
      </c>
      <c r="O328" t="str">
        <f>VLOOKUP(input_invoice[[#This Row],[concept/supplier]],'sel-invoice'!D:F,3,0)</f>
        <v>Ltd</v>
      </c>
      <c r="P328" t="str">
        <f>IF(input_invoice[[#This Row],[entity]]="SL","EUR",IF(input_invoice[[#This Row],[entity]]="Ltd","GBP",IF(input_invoice[[#This Row],[entity]]="Inc","USD","XXX")))</f>
        <v>GBP</v>
      </c>
    </row>
    <row r="329" spans="1:18" hidden="1" x14ac:dyDescent="0.3">
      <c r="A329">
        <v>202501</v>
      </c>
      <c r="B329" s="22" t="s">
        <v>917</v>
      </c>
      <c r="C329" s="48">
        <v>6020047</v>
      </c>
      <c r="D329" s="43">
        <v>45688</v>
      </c>
      <c r="F329" t="s">
        <v>194</v>
      </c>
      <c r="G329" s="47">
        <f>MAX(+input_invoice[[#This Row],[net]]+input_invoice[[#This Row],[tax_iva]]+input_invoice[[#This Row],[tax_irpf]],input_invoice[[#This Row],[net]])</f>
        <v>250.56</v>
      </c>
      <c r="H329" s="47">
        <f>input_invoice[[#This Row],[net]]*(MAX(input_invoice[[#This Row],[tax_rate_iva]],0)/100)</f>
        <v>41.760000000000005</v>
      </c>
      <c r="I329" s="47">
        <f>-input_invoice[[#This Row],[net]]*input_invoice[[#This Row],[tax_rate_irpf]]/100</f>
        <v>0</v>
      </c>
      <c r="J329" s="47">
        <v>208.8</v>
      </c>
      <c r="K329" t="str">
        <f t="shared" si="10"/>
        <v>logistics</v>
      </c>
      <c r="L329">
        <v>20</v>
      </c>
      <c r="N329" t="str">
        <f>VLOOKUP(input_invoice[[#This Row],[concept/supplier]],'sel-invoice'!D:E,2,0)</f>
        <v>Proco</v>
      </c>
      <c r="O329" t="str">
        <f>VLOOKUP(input_invoice[[#This Row],[concept/supplier]],'sel-invoice'!D:F,3,0)</f>
        <v>Ltd</v>
      </c>
      <c r="P329" t="str">
        <f>IF(input_invoice[[#This Row],[entity]]="SL","EUR",IF(input_invoice[[#This Row],[entity]]="Ltd","GBP",IF(input_invoice[[#This Row],[entity]]="Inc","USD","XXX")))</f>
        <v>GBP</v>
      </c>
    </row>
    <row r="330" spans="1:18" hidden="1" x14ac:dyDescent="0.3">
      <c r="A330">
        <v>202501</v>
      </c>
      <c r="B330" s="22" t="s">
        <v>917</v>
      </c>
      <c r="C330" s="48">
        <v>6020047</v>
      </c>
      <c r="D330" s="43">
        <v>45688</v>
      </c>
      <c r="F330" t="s">
        <v>196</v>
      </c>
      <c r="G330" s="47">
        <f>MAX(+input_invoice[[#This Row],[net]]+input_invoice[[#This Row],[tax_iva]]+input_invoice[[#This Row],[tax_irpf]],input_invoice[[#This Row],[net]])</f>
        <v>655.77600000000007</v>
      </c>
      <c r="H330" s="47">
        <f>input_invoice[[#This Row],[net]]*(MAX(input_invoice[[#This Row],[tax_rate_iva]],0)/100)</f>
        <v>109.29600000000001</v>
      </c>
      <c r="I330" s="47">
        <f>-input_invoice[[#This Row],[net]]*input_invoice[[#This Row],[tax_rate_irpf]]/100</f>
        <v>0</v>
      </c>
      <c r="J330" s="47">
        <v>546.48</v>
      </c>
      <c r="K330" t="str">
        <f t="shared" si="10"/>
        <v>logistics</v>
      </c>
      <c r="L330">
        <v>20</v>
      </c>
      <c r="N330" t="str">
        <f>VLOOKUP(input_invoice[[#This Row],[concept/supplier]],'sel-invoice'!D:E,2,0)</f>
        <v>Proco</v>
      </c>
      <c r="O330" t="str">
        <f>VLOOKUP(input_invoice[[#This Row],[concept/supplier]],'sel-invoice'!D:F,3,0)</f>
        <v>Ltd</v>
      </c>
      <c r="P330" t="str">
        <f>IF(input_invoice[[#This Row],[entity]]="SL","EUR",IF(input_invoice[[#This Row],[entity]]="Ltd","GBP",IF(input_invoice[[#This Row],[entity]]="Inc","USD","XXX")))</f>
        <v>GBP</v>
      </c>
    </row>
    <row r="331" spans="1:18" hidden="1" x14ac:dyDescent="0.3">
      <c r="A331">
        <v>202501</v>
      </c>
      <c r="B331" s="22" t="s">
        <v>917</v>
      </c>
      <c r="C331" s="48">
        <v>6020047</v>
      </c>
      <c r="D331" s="43">
        <v>45688</v>
      </c>
      <c r="F331" t="s">
        <v>184</v>
      </c>
      <c r="G331" s="47">
        <f>MAX(+input_invoice[[#This Row],[net]]+input_invoice[[#This Row],[tax_iva]]+input_invoice[[#This Row],[tax_irpf]],input_invoice[[#This Row],[net]])</f>
        <v>5502.3359999999993</v>
      </c>
      <c r="H331" s="47">
        <f>input_invoice[[#This Row],[net]]*(MAX(input_invoice[[#This Row],[tax_rate_iva]],0)/100)</f>
        <v>917.05600000000004</v>
      </c>
      <c r="I331" s="47">
        <f>-input_invoice[[#This Row],[net]]*input_invoice[[#This Row],[tax_rate_irpf]]/100</f>
        <v>0</v>
      </c>
      <c r="J331" s="47">
        <v>4585.28</v>
      </c>
      <c r="K331" t="str">
        <f t="shared" si="10"/>
        <v>manufacturing</v>
      </c>
      <c r="L331">
        <v>20</v>
      </c>
      <c r="N331" t="str">
        <f>VLOOKUP(input_invoice[[#This Row],[concept/supplier]],'sel-invoice'!D:E,2,0)</f>
        <v>Proco</v>
      </c>
      <c r="O331" t="str">
        <f>VLOOKUP(input_invoice[[#This Row],[concept/supplier]],'sel-invoice'!D:F,3,0)</f>
        <v>Ltd</v>
      </c>
      <c r="P331" t="str">
        <f>IF(input_invoice[[#This Row],[entity]]="SL","EUR",IF(input_invoice[[#This Row],[entity]]="Ltd","GBP",IF(input_invoice[[#This Row],[entity]]="Inc","USD","XXX")))</f>
        <v>GBP</v>
      </c>
      <c r="R331" s="259" t="b">
        <v>0</v>
      </c>
    </row>
    <row r="332" spans="1:18" hidden="1" x14ac:dyDescent="0.3">
      <c r="A332">
        <v>202501</v>
      </c>
      <c r="B332" s="22" t="s">
        <v>917</v>
      </c>
      <c r="C332" s="48">
        <v>6020047</v>
      </c>
      <c r="D332" s="43">
        <v>45688</v>
      </c>
      <c r="F332" t="s">
        <v>186</v>
      </c>
      <c r="G332" s="47">
        <f>MAX(+input_invoice[[#This Row],[net]]+input_invoice[[#This Row],[tax_iva]]+input_invoice[[#This Row],[tax_irpf]],input_invoice[[#This Row],[net]])</f>
        <v>540</v>
      </c>
      <c r="H332" s="47">
        <f>input_invoice[[#This Row],[net]]*(MAX(input_invoice[[#This Row],[tax_rate_iva]],0)/100)</f>
        <v>90</v>
      </c>
      <c r="I332" s="47">
        <f>-input_invoice[[#This Row],[net]]*input_invoice[[#This Row],[tax_rate_irpf]]/100</f>
        <v>0</v>
      </c>
      <c r="J332" s="47">
        <v>450</v>
      </c>
      <c r="K332" t="str">
        <f t="shared" si="10"/>
        <v>manufacturing</v>
      </c>
      <c r="L332">
        <v>20</v>
      </c>
      <c r="N332" t="str">
        <f>VLOOKUP(input_invoice[[#This Row],[concept/supplier]],'sel-invoice'!D:E,2,0)</f>
        <v>Proco</v>
      </c>
      <c r="O332" t="str">
        <f>VLOOKUP(input_invoice[[#This Row],[concept/supplier]],'sel-invoice'!D:F,3,0)</f>
        <v>Ltd</v>
      </c>
      <c r="P332" t="str">
        <f>IF(input_invoice[[#This Row],[entity]]="SL","EUR",IF(input_invoice[[#This Row],[entity]]="Ltd","GBP",IF(input_invoice[[#This Row],[entity]]="Inc","USD","XXX")))</f>
        <v>GBP</v>
      </c>
    </row>
    <row r="333" spans="1:18" hidden="1" x14ac:dyDescent="0.3">
      <c r="A333">
        <v>202501</v>
      </c>
      <c r="B333" s="22" t="s">
        <v>917</v>
      </c>
      <c r="C333" s="48">
        <v>6019591</v>
      </c>
      <c r="D333" s="43">
        <v>45688</v>
      </c>
      <c r="F333" t="s">
        <v>188</v>
      </c>
      <c r="G333" s="47">
        <f>MAX(+input_invoice[[#This Row],[net]]+input_invoice[[#This Row],[tax_iva]]+input_invoice[[#This Row],[tax_irpf]],input_invoice[[#This Row],[net]])</f>
        <v>120</v>
      </c>
      <c r="H333" s="47">
        <f>input_invoice[[#This Row],[net]]*(MAX(input_invoice[[#This Row],[tax_rate_iva]],0)/100)</f>
        <v>20</v>
      </c>
      <c r="I333" s="47">
        <f>-input_invoice[[#This Row],[net]]*input_invoice[[#This Row],[tax_rate_irpf]]/100</f>
        <v>0</v>
      </c>
      <c r="J333" s="47">
        <v>100</v>
      </c>
      <c r="K333" t="str">
        <f t="shared" si="10"/>
        <v>manufacturing</v>
      </c>
      <c r="L333">
        <v>20</v>
      </c>
      <c r="N333" t="str">
        <f>VLOOKUP(input_invoice[[#This Row],[concept/supplier]],'sel-invoice'!D:E,2,0)</f>
        <v>Proco</v>
      </c>
      <c r="O333" t="str">
        <f>VLOOKUP(input_invoice[[#This Row],[concept/supplier]],'sel-invoice'!D:F,3,0)</f>
        <v>Ltd</v>
      </c>
      <c r="P333" t="str">
        <f>IF(input_invoice[[#This Row],[entity]]="SL","EUR",IF(input_invoice[[#This Row],[entity]]="Ltd","GBP",IF(input_invoice[[#This Row],[entity]]="Inc","USD","XXX")))</f>
        <v>GBP</v>
      </c>
    </row>
    <row r="334" spans="1:18" hidden="1" x14ac:dyDescent="0.3">
      <c r="A334">
        <v>202512</v>
      </c>
      <c r="B334" s="22" t="s">
        <v>917</v>
      </c>
      <c r="C334" s="48">
        <v>201780</v>
      </c>
      <c r="D334" s="43">
        <v>46008</v>
      </c>
      <c r="E334" s="43">
        <v>46038</v>
      </c>
      <c r="F334" t="s">
        <v>1040</v>
      </c>
      <c r="G334" s="47">
        <f>MAX(+input_invoice[[#This Row],[net]]+input_invoice[[#This Row],[tax_iva]],input_invoice[[#This Row],[net]])</f>
        <v>1058</v>
      </c>
      <c r="H334" s="47">
        <f>input_invoice[[#This Row],[net]]*(MAX(input_invoice[[#This Row],[tax_rate_iva]],0)/100)</f>
        <v>0</v>
      </c>
      <c r="I334" s="47">
        <f>-input_invoice[[#This Row],[net]]*input_invoice[[#This Row],[tax_rate_irpf]]/100</f>
        <v>0</v>
      </c>
      <c r="J334" s="47">
        <v>1058</v>
      </c>
      <c r="K334" t="str">
        <f t="shared" si="10"/>
        <v>logistics</v>
      </c>
      <c r="L334">
        <v>0</v>
      </c>
      <c r="N334" t="str">
        <f>VLOOKUP(input_invoice[[#This Row],[concept/supplier]],'sel-invoice'!D:E,2,0)</f>
        <v>artlink</v>
      </c>
      <c r="O334" t="str">
        <f>VLOOKUP(input_invoice[[#This Row],[concept/supplier]],'sel-invoice'!D:F,3,0)</f>
        <v>Ltd</v>
      </c>
      <c r="P334" t="str">
        <f>IF(input_invoice[[#This Row],[entity]]="SL","EUR",IF(input_invoice[[#This Row],[entity]]="Ltd","GBP",IF(input_invoice[[#This Row],[entity]]="Inc","USD","XXX")))</f>
        <v>GBP</v>
      </c>
      <c r="Q334" s="199" t="s">
        <v>1271</v>
      </c>
      <c r="R334" s="267" t="b">
        <v>1</v>
      </c>
    </row>
    <row r="335" spans="1:18" hidden="1" x14ac:dyDescent="0.3">
      <c r="A335">
        <v>202501</v>
      </c>
      <c r="B335" s="22" t="s">
        <v>917</v>
      </c>
      <c r="C335" s="48">
        <v>6013339</v>
      </c>
      <c r="D335" s="43">
        <v>45586</v>
      </c>
      <c r="F335" t="s">
        <v>188</v>
      </c>
      <c r="G335" s="47">
        <f>MAX(+input_invoice[[#This Row],[net]]+input_invoice[[#This Row],[tax_iva]]+input_invoice[[#This Row],[tax_irpf]],input_invoice[[#This Row],[net]])</f>
        <v>1080</v>
      </c>
      <c r="H335" s="47">
        <f>input_invoice[[#This Row],[net]]*(MAX(input_invoice[[#This Row],[tax_rate_iva]],0)/100)</f>
        <v>180</v>
      </c>
      <c r="I335" s="47">
        <f>-input_invoice[[#This Row],[net]]*input_invoice[[#This Row],[tax_rate_irpf]]/100</f>
        <v>0</v>
      </c>
      <c r="J335" s="47">
        <v>900</v>
      </c>
      <c r="K335" t="str">
        <f t="shared" si="10"/>
        <v>manufacturing</v>
      </c>
      <c r="L335">
        <v>20</v>
      </c>
      <c r="N335" t="str">
        <f>VLOOKUP(input_invoice[[#This Row],[concept/supplier]],'sel-invoice'!D:E,2,0)</f>
        <v>Proco</v>
      </c>
      <c r="O335" t="str">
        <f>VLOOKUP(input_invoice[[#This Row],[concept/supplier]],'sel-invoice'!D:F,3,0)</f>
        <v>Ltd</v>
      </c>
      <c r="P335" t="str">
        <f>IF(input_invoice[[#This Row],[entity]]="SL","EUR",IF(input_invoice[[#This Row],[entity]]="Ltd","GBP",IF(input_invoice[[#This Row],[entity]]="Inc","USD","XXX")))</f>
        <v>GBP</v>
      </c>
    </row>
    <row r="336" spans="1:18" hidden="1" x14ac:dyDescent="0.3">
      <c r="A336">
        <v>202502</v>
      </c>
      <c r="B336" s="22" t="s">
        <v>917</v>
      </c>
      <c r="F336" t="s">
        <v>68</v>
      </c>
      <c r="G336" s="47">
        <f>MAX(+input_invoice[[#This Row],[net]]+input_invoice[[#This Row],[tax_iva]]+input_invoice[[#This Row],[tax_irpf]],input_invoice[[#This Row],[net]])</f>
        <v>0</v>
      </c>
      <c r="H336" s="47">
        <f>input_invoice[[#This Row],[net]]*(MAX(input_invoice[[#This Row],[tax_rate_iva]],0)/100)</f>
        <v>0</v>
      </c>
      <c r="I336" s="47">
        <f>-input_invoice[[#This Row],[net]]*input_invoice[[#This Row],[tax_rate_irpf]]/100</f>
        <v>0</v>
      </c>
      <c r="J336" s="47">
        <v>0</v>
      </c>
      <c r="K336" t="str">
        <f t="shared" si="10"/>
        <v>payment-suppliers</v>
      </c>
      <c r="L336">
        <v>0</v>
      </c>
      <c r="N336" t="str">
        <f>VLOOKUP(input_invoice[[#This Row],[concept/supplier]],'sel-invoice'!D:E,2,0)</f>
        <v>Amazon Pay</v>
      </c>
      <c r="O336" t="str">
        <f>VLOOKUP(input_invoice[[#This Row],[concept/supplier]],'sel-invoice'!D:F,3,0)</f>
        <v>SL</v>
      </c>
      <c r="P336" t="str">
        <f>IF(input_invoice[[#This Row],[entity]]="SL","EUR",IF(input_invoice[[#This Row],[entity]]="Ltd","GBP",IF(input_invoice[[#This Row],[entity]]="Inc","USD","XXX")))</f>
        <v>EUR</v>
      </c>
      <c r="Q336" t="s">
        <v>908</v>
      </c>
    </row>
    <row r="337" spans="1:18" hidden="1" x14ac:dyDescent="0.3">
      <c r="A337">
        <v>202502</v>
      </c>
      <c r="B337" s="22" t="s">
        <v>917</v>
      </c>
      <c r="F337" t="s">
        <v>76</v>
      </c>
      <c r="G337" s="47">
        <f>MAX(+input_invoice[[#This Row],[net]]+input_invoice[[#This Row],[tax_iva]]+input_invoice[[#This Row],[tax_irpf]],input_invoice[[#This Row],[net]])</f>
        <v>133.56</v>
      </c>
      <c r="H337" s="47">
        <f>input_invoice[[#This Row],[net]]*(MAX(input_invoice[[#This Row],[tax_rate_iva]],0)/100)</f>
        <v>0</v>
      </c>
      <c r="I337" s="47">
        <f>-input_invoice[[#This Row],[net]]*input_invoice[[#This Row],[tax_rate_irpf]]/100</f>
        <v>0</v>
      </c>
      <c r="J337" s="47">
        <v>133.56</v>
      </c>
      <c r="K337" t="str">
        <f t="shared" si="10"/>
        <v>payment-suppliers</v>
      </c>
      <c r="L337">
        <v>0</v>
      </c>
      <c r="N337" t="str">
        <f>VLOOKUP(input_invoice[[#This Row],[concept/supplier]],'sel-invoice'!D:E,2,0)</f>
        <v>Amazon Seller</v>
      </c>
      <c r="O337" t="str">
        <f>VLOOKUP(input_invoice[[#This Row],[concept/supplier]],'sel-invoice'!D:F,3,0)</f>
        <v>SL</v>
      </c>
      <c r="P337" t="str">
        <f>IF(input_invoice[[#This Row],[entity]]="SL","EUR",IF(input_invoice[[#This Row],[entity]]="Ltd","GBP",IF(input_invoice[[#This Row],[entity]]="Inc","USD","XXX")))</f>
        <v>EUR</v>
      </c>
      <c r="Q337" t="s">
        <v>908</v>
      </c>
    </row>
    <row r="338" spans="1:18" hidden="1" x14ac:dyDescent="0.3">
      <c r="A338">
        <v>202502</v>
      </c>
      <c r="B338" s="22" t="s">
        <v>917</v>
      </c>
      <c r="F338" t="s">
        <v>79</v>
      </c>
      <c r="G338" s="47">
        <f>MAX(+input_invoice[[#This Row],[net]]+input_invoice[[#This Row],[tax_iva]]+input_invoice[[#This Row],[tax_irpf]],input_invoice[[#This Row],[net]])</f>
        <v>0</v>
      </c>
      <c r="H338" s="47">
        <f>input_invoice[[#This Row],[net]]*(MAX(input_invoice[[#This Row],[tax_rate_iva]],0)/100)</f>
        <v>0</v>
      </c>
      <c r="I338" s="47">
        <f>-input_invoice[[#This Row],[net]]*input_invoice[[#This Row],[tax_rate_irpf]]/100</f>
        <v>0</v>
      </c>
      <c r="J338" s="47">
        <v>0</v>
      </c>
      <c r="K338" t="str">
        <f t="shared" si="10"/>
        <v>payment-suppliers</v>
      </c>
      <c r="L338">
        <v>0</v>
      </c>
      <c r="N338" t="str">
        <f>VLOOKUP(input_invoice[[#This Row],[concept/supplier]],'sel-invoice'!D:E,2,0)</f>
        <v>Home24</v>
      </c>
      <c r="O338" t="str">
        <f>VLOOKUP(input_invoice[[#This Row],[concept/supplier]],'sel-invoice'!D:F,3,0)</f>
        <v>SL</v>
      </c>
      <c r="P338" t="str">
        <f>IF(input_invoice[[#This Row],[entity]]="SL","EUR",IF(input_invoice[[#This Row],[entity]]="Ltd","GBP",IF(input_invoice[[#This Row],[entity]]="Inc","USD","XXX")))</f>
        <v>EUR</v>
      </c>
      <c r="Q338" t="s">
        <v>908</v>
      </c>
    </row>
    <row r="339" spans="1:18" hidden="1" x14ac:dyDescent="0.3">
      <c r="A339">
        <v>202502</v>
      </c>
      <c r="B339" s="22" t="s">
        <v>917</v>
      </c>
      <c r="F339" t="s">
        <v>70</v>
      </c>
      <c r="G339" s="47">
        <f>MAX(+input_invoice[[#This Row],[net]]+input_invoice[[#This Row],[tax_iva]]+input_invoice[[#This Row],[tax_irpf]],input_invoice[[#This Row],[net]])</f>
        <v>60.94</v>
      </c>
      <c r="H339" s="47">
        <f>input_invoice[[#This Row],[net]]*(MAX(input_invoice[[#This Row],[tax_rate_iva]],0)/100)</f>
        <v>0</v>
      </c>
      <c r="I339" s="47">
        <f>-input_invoice[[#This Row],[net]]*input_invoice[[#This Row],[tax_rate_irpf]]/100</f>
        <v>0</v>
      </c>
      <c r="J339" s="47">
        <v>60.94</v>
      </c>
      <c r="K339" t="str">
        <f t="shared" si="10"/>
        <v>payment-suppliers</v>
      </c>
      <c r="L339">
        <v>0</v>
      </c>
      <c r="N339" t="str">
        <f>VLOOKUP(input_invoice[[#This Row],[concept/supplier]],'sel-invoice'!D:E,2,0)</f>
        <v>Klarna</v>
      </c>
      <c r="O339" t="str">
        <f>VLOOKUP(input_invoice[[#This Row],[concept/supplier]],'sel-invoice'!D:F,3,0)</f>
        <v>SL</v>
      </c>
      <c r="P339" t="str">
        <f>IF(input_invoice[[#This Row],[entity]]="SL","EUR",IF(input_invoice[[#This Row],[entity]]="Ltd","GBP",IF(input_invoice[[#This Row],[entity]]="Inc","USD","XXX")))</f>
        <v>EUR</v>
      </c>
      <c r="Q339" t="s">
        <v>908</v>
      </c>
    </row>
    <row r="340" spans="1:18" hidden="1" x14ac:dyDescent="0.3">
      <c r="A340">
        <v>202502</v>
      </c>
      <c r="B340" s="22" t="s">
        <v>917</v>
      </c>
      <c r="C340" s="48" t="s">
        <v>509</v>
      </c>
      <c r="F340" t="s">
        <v>202</v>
      </c>
      <c r="G340" s="47">
        <f>MAX(+input_invoice[[#This Row],[net]]+input_invoice[[#This Row],[tax_iva]]+input_invoice[[#This Row],[tax_irpf]],input_invoice[[#This Row],[net]])</f>
        <v>62.664000000000001</v>
      </c>
      <c r="H340" s="47">
        <f>input_invoice[[#This Row],[net]]*(MAX(input_invoice[[#This Row],[tax_rate_iva]],0)/100)</f>
        <v>10.444000000000001</v>
      </c>
      <c r="I340" s="47">
        <f>-input_invoice[[#This Row],[net]]*input_invoice[[#This Row],[tax_rate_irpf]]/100</f>
        <v>0</v>
      </c>
      <c r="J340" s="47">
        <v>52.22</v>
      </c>
      <c r="K340" t="str">
        <f t="shared" si="10"/>
        <v>payment-suppliers</v>
      </c>
      <c r="L340">
        <v>20</v>
      </c>
      <c r="N340" t="str">
        <f>VLOOKUP(input_invoice[[#This Row],[concept/supplier]],'sel-invoice'!D:E,2,0)</f>
        <v>Klarna</v>
      </c>
      <c r="O340" t="str">
        <f>VLOOKUP(input_invoice[[#This Row],[concept/supplier]],'sel-invoice'!D:F,3,0)</f>
        <v>Ltd</v>
      </c>
      <c r="P340" t="str">
        <f>IF(input_invoice[[#This Row],[entity]]="SL","EUR",IF(input_invoice[[#This Row],[entity]]="Ltd","GBP",IF(input_invoice[[#This Row],[entity]]="Inc","USD","XXX")))</f>
        <v>GBP</v>
      </c>
      <c r="Q340" t="s">
        <v>908</v>
      </c>
    </row>
    <row r="341" spans="1:18" hidden="1" x14ac:dyDescent="0.3">
      <c r="A341">
        <v>202502</v>
      </c>
      <c r="B341" s="22" t="s">
        <v>917</v>
      </c>
      <c r="F341" t="s">
        <v>78</v>
      </c>
      <c r="G341" s="47">
        <f>MAX(+input_invoice[[#This Row],[net]]+input_invoice[[#This Row],[tax_iva]]+input_invoice[[#This Row],[tax_irpf]],input_invoice[[#This Row],[net]])</f>
        <v>0</v>
      </c>
      <c r="H341" s="47">
        <f>input_invoice[[#This Row],[net]]*(MAX(input_invoice[[#This Row],[tax_rate_iva]],0)/100)</f>
        <v>0</v>
      </c>
      <c r="I341" s="47">
        <f>-input_invoice[[#This Row],[net]]*input_invoice[[#This Row],[tax_rate_irpf]]/100</f>
        <v>0</v>
      </c>
      <c r="J341" s="47">
        <v>0</v>
      </c>
      <c r="K341" t="str">
        <f t="shared" si="10"/>
        <v>payment-suppliers</v>
      </c>
      <c r="L341">
        <v>0</v>
      </c>
      <c r="N341" t="str">
        <f>VLOOKUP(input_invoice[[#This Row],[concept/supplier]],'sel-invoice'!D:E,2,0)</f>
        <v>Leroy Merlin</v>
      </c>
      <c r="O341" t="str">
        <f>VLOOKUP(input_invoice[[#This Row],[concept/supplier]],'sel-invoice'!D:F,3,0)</f>
        <v>SL</v>
      </c>
      <c r="P341" t="str">
        <f>IF(input_invoice[[#This Row],[entity]]="SL","EUR",IF(input_invoice[[#This Row],[entity]]="Ltd","GBP",IF(input_invoice[[#This Row],[entity]]="Inc","USD","XXX")))</f>
        <v>EUR</v>
      </c>
      <c r="Q341" t="s">
        <v>908</v>
      </c>
    </row>
    <row r="342" spans="1:18" hidden="1" x14ac:dyDescent="0.3">
      <c r="A342">
        <v>202502</v>
      </c>
      <c r="B342" s="22" t="s">
        <v>917</v>
      </c>
      <c r="F342" t="s">
        <v>77</v>
      </c>
      <c r="G342" s="47">
        <f>MAX(+input_invoice[[#This Row],[net]]+input_invoice[[#This Row],[tax_iva]]+input_invoice[[#This Row],[tax_irpf]],input_invoice[[#This Row],[net]])</f>
        <v>351.84</v>
      </c>
      <c r="H342" s="47">
        <f>input_invoice[[#This Row],[net]]*(MAX(input_invoice[[#This Row],[tax_rate_iva]],0)/100)</f>
        <v>0</v>
      </c>
      <c r="I342" s="47">
        <f>-input_invoice[[#This Row],[net]]*input_invoice[[#This Row],[tax_rate_irpf]]/100</f>
        <v>0</v>
      </c>
      <c r="J342" s="47">
        <v>351.84</v>
      </c>
      <c r="K342" t="str">
        <f t="shared" si="10"/>
        <v>payment-suppliers</v>
      </c>
      <c r="L342">
        <v>0</v>
      </c>
      <c r="N342" t="str">
        <f>VLOOKUP(input_invoice[[#This Row],[concept/supplier]],'sel-invoice'!D:E,2,0)</f>
        <v>Maisons du Monde</v>
      </c>
      <c r="O342" t="str">
        <f>VLOOKUP(input_invoice[[#This Row],[concept/supplier]],'sel-invoice'!D:F,3,0)</f>
        <v>SL</v>
      </c>
      <c r="P342" t="str">
        <f>IF(input_invoice[[#This Row],[entity]]="SL","EUR",IF(input_invoice[[#This Row],[entity]]="Ltd","GBP",IF(input_invoice[[#This Row],[entity]]="Inc","USD","XXX")))</f>
        <v>EUR</v>
      </c>
      <c r="Q342" t="s">
        <v>908</v>
      </c>
    </row>
    <row r="343" spans="1:18" hidden="1" x14ac:dyDescent="0.3">
      <c r="A343">
        <v>202502</v>
      </c>
      <c r="B343" s="22" t="s">
        <v>917</v>
      </c>
      <c r="F343" t="s">
        <v>66</v>
      </c>
      <c r="G343" s="47">
        <f>MAX(+input_invoice[[#This Row],[net]]+input_invoice[[#This Row],[tax_iva]]+input_invoice[[#This Row],[tax_irpf]],input_invoice[[#This Row],[net]])</f>
        <v>1277.1999999999998</v>
      </c>
      <c r="H343" s="47">
        <f>input_invoice[[#This Row],[net]]*(MAX(input_invoice[[#This Row],[tax_rate_iva]],0)/100)</f>
        <v>0</v>
      </c>
      <c r="I343" s="47">
        <f>-input_invoice[[#This Row],[net]]*input_invoice[[#This Row],[tax_rate_irpf]]/100</f>
        <v>0</v>
      </c>
      <c r="J343" s="47">
        <v>1277.1999999999998</v>
      </c>
      <c r="K343" t="str">
        <f t="shared" ref="K343:K406" si="11">_xlfn.TEXTBEFORE(F343," - ")</f>
        <v>payment-suppliers</v>
      </c>
      <c r="L343">
        <v>0</v>
      </c>
      <c r="N343" t="str">
        <f>VLOOKUP(input_invoice[[#This Row],[concept/supplier]],'sel-invoice'!D:E,2,0)</f>
        <v>Paypal</v>
      </c>
      <c r="O343" t="str">
        <f>VLOOKUP(input_invoice[[#This Row],[concept/supplier]],'sel-invoice'!D:F,3,0)</f>
        <v>SL</v>
      </c>
      <c r="P343" t="str">
        <f>IF(input_invoice[[#This Row],[entity]]="SL","EUR",IF(input_invoice[[#This Row],[entity]]="Ltd","GBP",IF(input_invoice[[#This Row],[entity]]="Inc","USD","XXX")))</f>
        <v>EUR</v>
      </c>
      <c r="Q343" t="s">
        <v>908</v>
      </c>
    </row>
    <row r="344" spans="1:18" hidden="1" x14ac:dyDescent="0.3">
      <c r="A344">
        <v>202502</v>
      </c>
      <c r="B344" s="22" t="s">
        <v>917</v>
      </c>
      <c r="F344" t="s">
        <v>200</v>
      </c>
      <c r="G344" s="47">
        <f>MAX(+input_invoice[[#This Row],[net]]+input_invoice[[#This Row],[tax_iva]]+input_invoice[[#This Row],[tax_irpf]],input_invoice[[#This Row],[net]])</f>
        <v>183.14</v>
      </c>
      <c r="H344" s="47">
        <f>input_invoice[[#This Row],[net]]*(MAX(input_invoice[[#This Row],[tax_rate_iva]],0)/100)</f>
        <v>0</v>
      </c>
      <c r="I344" s="47">
        <f>-input_invoice[[#This Row],[net]]*input_invoice[[#This Row],[tax_rate_irpf]]/100</f>
        <v>0</v>
      </c>
      <c r="J344" s="47">
        <v>183.14</v>
      </c>
      <c r="K344" t="str">
        <f t="shared" si="11"/>
        <v>payment-suppliers</v>
      </c>
      <c r="L344">
        <v>0</v>
      </c>
      <c r="N344" t="str">
        <f>VLOOKUP(input_invoice[[#This Row],[concept/supplier]],'sel-invoice'!D:E,2,0)</f>
        <v>Paypal</v>
      </c>
      <c r="O344" t="str">
        <f>VLOOKUP(input_invoice[[#This Row],[concept/supplier]],'sel-invoice'!D:F,3,0)</f>
        <v>Ltd</v>
      </c>
      <c r="P344" t="str">
        <f>IF(input_invoice[[#This Row],[entity]]="SL","EUR",IF(input_invoice[[#This Row],[entity]]="Ltd","GBP",IF(input_invoice[[#This Row],[entity]]="Inc","USD","XXX")))</f>
        <v>GBP</v>
      </c>
      <c r="Q344" t="s">
        <v>908</v>
      </c>
    </row>
    <row r="345" spans="1:18" hidden="1" x14ac:dyDescent="0.3">
      <c r="A345">
        <v>202502</v>
      </c>
      <c r="B345" s="22" t="s">
        <v>917</v>
      </c>
      <c r="F345" t="s">
        <v>72</v>
      </c>
      <c r="G345" s="47">
        <f>MAX(+input_invoice[[#This Row],[net]]+input_invoice[[#This Row],[tax_iva]]+input_invoice[[#This Row],[tax_irpf]],input_invoice[[#This Row],[net]])</f>
        <v>5.84</v>
      </c>
      <c r="H345" s="47">
        <f>input_invoice[[#This Row],[net]]*(MAX(input_invoice[[#This Row],[tax_rate_iva]],0)/100)</f>
        <v>0</v>
      </c>
      <c r="I345" s="47">
        <f>-input_invoice[[#This Row],[net]]*input_invoice[[#This Row],[tax_rate_irpf]]/100</f>
        <v>0</v>
      </c>
      <c r="J345" s="47">
        <v>5.84</v>
      </c>
      <c r="K345" t="str">
        <f t="shared" si="11"/>
        <v>payment-suppliers</v>
      </c>
      <c r="L345">
        <v>0</v>
      </c>
      <c r="N345" t="str">
        <f>VLOOKUP(input_invoice[[#This Row],[concept/supplier]],'sel-invoice'!D:E,2,0)</f>
        <v>Revolut</v>
      </c>
      <c r="O345" t="str">
        <f>VLOOKUP(input_invoice[[#This Row],[concept/supplier]],'sel-invoice'!D:F,3,0)</f>
        <v>SL</v>
      </c>
      <c r="P345" t="str">
        <f>IF(input_invoice[[#This Row],[entity]]="SL","EUR",IF(input_invoice[[#This Row],[entity]]="Ltd","GBP",IF(input_invoice[[#This Row],[entity]]="Inc","USD","XXX")))</f>
        <v>EUR</v>
      </c>
      <c r="Q345" t="s">
        <v>908</v>
      </c>
    </row>
    <row r="346" spans="1:18" hidden="1" x14ac:dyDescent="0.3">
      <c r="A346">
        <v>202502</v>
      </c>
      <c r="B346" s="22" t="s">
        <v>917</v>
      </c>
      <c r="F346" t="s">
        <v>74</v>
      </c>
      <c r="G346" s="47">
        <f>MAX(+input_invoice[[#This Row],[net]]+input_invoice[[#This Row],[tax_iva]]+input_invoice[[#This Row],[tax_irpf]],input_invoice[[#This Row],[net]])</f>
        <v>0</v>
      </c>
      <c r="H346" s="47">
        <f>input_invoice[[#This Row],[net]]*(MAX(input_invoice[[#This Row],[tax_rate_iva]],0)/100)</f>
        <v>0</v>
      </c>
      <c r="I346" s="47">
        <f>-input_invoice[[#This Row],[net]]*input_invoice[[#This Row],[tax_rate_irpf]]/100</f>
        <v>0</v>
      </c>
      <c r="J346" s="47">
        <v>0</v>
      </c>
      <c r="K346" t="str">
        <f t="shared" si="11"/>
        <v>payment-suppliers</v>
      </c>
      <c r="L346">
        <v>0</v>
      </c>
      <c r="N346" t="str">
        <f>VLOOKUP(input_invoice[[#This Row],[concept/supplier]],'sel-invoice'!D:E,2,0)</f>
        <v>SeQura</v>
      </c>
      <c r="O346" t="str">
        <f>VLOOKUP(input_invoice[[#This Row],[concept/supplier]],'sel-invoice'!D:F,3,0)</f>
        <v>SL</v>
      </c>
      <c r="P346" t="str">
        <f>IF(input_invoice[[#This Row],[entity]]="SL","EUR",IF(input_invoice[[#This Row],[entity]]="Ltd","GBP",IF(input_invoice[[#This Row],[entity]]="Inc","USD","XXX")))</f>
        <v>EUR</v>
      </c>
      <c r="Q346" t="s">
        <v>908</v>
      </c>
    </row>
    <row r="347" spans="1:18" hidden="1" x14ac:dyDescent="0.3">
      <c r="A347">
        <v>202502</v>
      </c>
      <c r="B347" s="22" t="s">
        <v>917</v>
      </c>
      <c r="F347" t="s">
        <v>65</v>
      </c>
      <c r="G347" s="47">
        <f>MAX(+input_invoice[[#This Row],[net]]+input_invoice[[#This Row],[tax_iva]]+input_invoice[[#This Row],[tax_irpf]],input_invoice[[#This Row],[net]])</f>
        <v>2225.0099999999998</v>
      </c>
      <c r="H347" s="47">
        <f>input_invoice[[#This Row],[net]]*(MAX(input_invoice[[#This Row],[tax_rate_iva]],0)/100)</f>
        <v>0</v>
      </c>
      <c r="I347" s="47">
        <f>-input_invoice[[#This Row],[net]]*input_invoice[[#This Row],[tax_rate_irpf]]/100</f>
        <v>0</v>
      </c>
      <c r="J347" s="47">
        <v>2225.0099999999998</v>
      </c>
      <c r="K347" t="str">
        <f t="shared" si="11"/>
        <v>payment-suppliers</v>
      </c>
      <c r="L347">
        <v>0</v>
      </c>
      <c r="N347" t="str">
        <f>VLOOKUP(input_invoice[[#This Row],[concept/supplier]],'sel-invoice'!D:E,2,0)</f>
        <v>Shopify</v>
      </c>
      <c r="O347" t="str">
        <f>VLOOKUP(input_invoice[[#This Row],[concept/supplier]],'sel-invoice'!D:F,3,0)</f>
        <v>SL</v>
      </c>
      <c r="P347" t="str">
        <f>IF(input_invoice[[#This Row],[entity]]="SL","EUR",IF(input_invoice[[#This Row],[entity]]="Ltd","GBP",IF(input_invoice[[#This Row],[entity]]="Inc","USD","XXX")))</f>
        <v>EUR</v>
      </c>
      <c r="Q347" t="s">
        <v>908</v>
      </c>
      <c r="R347" s="267" t="b">
        <v>1</v>
      </c>
    </row>
    <row r="348" spans="1:18" hidden="1" x14ac:dyDescent="0.3">
      <c r="A348">
        <v>202502</v>
      </c>
      <c r="B348" s="22" t="s">
        <v>917</v>
      </c>
      <c r="F348" t="s">
        <v>199</v>
      </c>
      <c r="G348" s="47">
        <f>MAX(+input_invoice[[#This Row],[net]]+input_invoice[[#This Row],[tax_iva]]+input_invoice[[#This Row],[tax_irpf]],input_invoice[[#This Row],[net]])</f>
        <v>726.61</v>
      </c>
      <c r="H348" s="47">
        <f>input_invoice[[#This Row],[net]]*(MAX(input_invoice[[#This Row],[tax_rate_iva]],0)/100)</f>
        <v>0</v>
      </c>
      <c r="I348" s="47">
        <f>-input_invoice[[#This Row],[net]]*input_invoice[[#This Row],[tax_rate_irpf]]/100</f>
        <v>0</v>
      </c>
      <c r="J348" s="47">
        <v>726.61</v>
      </c>
      <c r="K348" t="str">
        <f t="shared" si="11"/>
        <v>payment-suppliers</v>
      </c>
      <c r="L348">
        <v>0</v>
      </c>
      <c r="N348" t="str">
        <f>VLOOKUP(input_invoice[[#This Row],[concept/supplier]],'sel-invoice'!D:E,2,0)</f>
        <v>Shopify</v>
      </c>
      <c r="O348" t="str">
        <f>VLOOKUP(input_invoice[[#This Row],[concept/supplier]],'sel-invoice'!D:F,3,0)</f>
        <v>Ltd</v>
      </c>
      <c r="P348" t="str">
        <f>IF(input_invoice[[#This Row],[entity]]="SL","EUR",IF(input_invoice[[#This Row],[entity]]="Ltd","GBP",IF(input_invoice[[#This Row],[entity]]="Inc","USD","XXX")))</f>
        <v>GBP</v>
      </c>
      <c r="Q348" t="s">
        <v>908</v>
      </c>
    </row>
    <row r="349" spans="1:18" hidden="1" x14ac:dyDescent="0.3">
      <c r="A349">
        <v>202502</v>
      </c>
      <c r="B349" s="22" t="s">
        <v>917</v>
      </c>
      <c r="C349" s="48">
        <v>6022996</v>
      </c>
      <c r="D349" s="43">
        <v>45716</v>
      </c>
      <c r="F349" t="s">
        <v>182</v>
      </c>
      <c r="G349" s="47">
        <f>MAX(+input_invoice[[#This Row],[net]]+input_invoice[[#This Row],[tax_iva]]+input_invoice[[#This Row],[tax_irpf]],input_invoice[[#This Row],[net]])</f>
        <v>7228.5959999999995</v>
      </c>
      <c r="H349" s="47">
        <f>input_invoice[[#This Row],[net]]*(MAX(input_invoice[[#This Row],[tax_rate_iva]],0)/100)</f>
        <v>1204.7660000000001</v>
      </c>
      <c r="I349" s="47">
        <f>-input_invoice[[#This Row],[net]]*input_invoice[[#This Row],[tax_rate_irpf]]/100</f>
        <v>0</v>
      </c>
      <c r="J349" s="47">
        <v>6023.83</v>
      </c>
      <c r="K349" t="str">
        <f t="shared" si="11"/>
        <v>manufacturing</v>
      </c>
      <c r="L349">
        <v>20</v>
      </c>
      <c r="N349" t="str">
        <f>VLOOKUP(input_invoice[[#This Row],[concept/supplier]],'sel-invoice'!D:E,2,0)</f>
        <v>Proco</v>
      </c>
      <c r="O349" t="str">
        <f>VLOOKUP(input_invoice[[#This Row],[concept/supplier]],'sel-invoice'!D:F,3,0)</f>
        <v>Ltd</v>
      </c>
      <c r="P349" t="str">
        <f>IF(input_invoice[[#This Row],[entity]]="SL","EUR",IF(input_invoice[[#This Row],[entity]]="Ltd","GBP",IF(input_invoice[[#This Row],[entity]]="Inc","USD","XXX")))</f>
        <v>GBP</v>
      </c>
    </row>
    <row r="350" spans="1:18" hidden="1" x14ac:dyDescent="0.3">
      <c r="A350">
        <v>202502</v>
      </c>
      <c r="B350" s="22" t="s">
        <v>917</v>
      </c>
      <c r="C350" s="48">
        <v>6022996</v>
      </c>
      <c r="D350" s="43">
        <v>45716</v>
      </c>
      <c r="F350" t="s">
        <v>194</v>
      </c>
      <c r="G350" s="47">
        <f>MAX(+input_invoice[[#This Row],[net]]+input_invoice[[#This Row],[tax_iva]]+input_invoice[[#This Row],[tax_irpf]],input_invoice[[#This Row],[net]])</f>
        <v>1028.1599999999999</v>
      </c>
      <c r="H350" s="47">
        <f>input_invoice[[#This Row],[net]]*(MAX(input_invoice[[#This Row],[tax_rate_iva]],0)/100)</f>
        <v>171.36</v>
      </c>
      <c r="I350" s="47">
        <f>-input_invoice[[#This Row],[net]]*input_invoice[[#This Row],[tax_rate_irpf]]/100</f>
        <v>0</v>
      </c>
      <c r="J350" s="47">
        <v>856.8</v>
      </c>
      <c r="K350" t="str">
        <f t="shared" si="11"/>
        <v>logistics</v>
      </c>
      <c r="L350">
        <v>20</v>
      </c>
      <c r="N350" t="str">
        <f>VLOOKUP(input_invoice[[#This Row],[concept/supplier]],'sel-invoice'!D:E,2,0)</f>
        <v>Proco</v>
      </c>
      <c r="O350" t="str">
        <f>VLOOKUP(input_invoice[[#This Row],[concept/supplier]],'sel-invoice'!D:F,3,0)</f>
        <v>Ltd</v>
      </c>
      <c r="P350" t="str">
        <f>IF(input_invoice[[#This Row],[entity]]="SL","EUR",IF(input_invoice[[#This Row],[entity]]="Ltd","GBP",IF(input_invoice[[#This Row],[entity]]="Inc","USD","XXX")))</f>
        <v>GBP</v>
      </c>
    </row>
    <row r="351" spans="1:18" hidden="1" x14ac:dyDescent="0.3">
      <c r="A351">
        <v>202502</v>
      </c>
      <c r="B351" s="22" t="s">
        <v>917</v>
      </c>
      <c r="C351" s="48">
        <v>6022996</v>
      </c>
      <c r="D351" s="43">
        <v>45716</v>
      </c>
      <c r="F351" t="s">
        <v>196</v>
      </c>
      <c r="G351" s="47">
        <f>MAX(+input_invoice[[#This Row],[net]]+input_invoice[[#This Row],[tax_iva]]+input_invoice[[#This Row],[tax_irpf]],input_invoice[[#This Row],[net]])</f>
        <v>1891.2959999999998</v>
      </c>
      <c r="H351" s="47">
        <f>input_invoice[[#This Row],[net]]*(MAX(input_invoice[[#This Row],[tax_rate_iva]],0)/100)</f>
        <v>315.21600000000001</v>
      </c>
      <c r="I351" s="47">
        <f>-input_invoice[[#This Row],[net]]*input_invoice[[#This Row],[tax_rate_irpf]]/100</f>
        <v>0</v>
      </c>
      <c r="J351" s="47">
        <v>1576.08</v>
      </c>
      <c r="K351" t="str">
        <f t="shared" si="11"/>
        <v>logistics</v>
      </c>
      <c r="L351">
        <v>20</v>
      </c>
      <c r="N351" t="str">
        <f>VLOOKUP(input_invoice[[#This Row],[concept/supplier]],'sel-invoice'!D:E,2,0)</f>
        <v>Proco</v>
      </c>
      <c r="O351" t="str">
        <f>VLOOKUP(input_invoice[[#This Row],[concept/supplier]],'sel-invoice'!D:F,3,0)</f>
        <v>Ltd</v>
      </c>
      <c r="P351" t="str">
        <f>IF(input_invoice[[#This Row],[entity]]="SL","EUR",IF(input_invoice[[#This Row],[entity]]="Ltd","GBP",IF(input_invoice[[#This Row],[entity]]="Inc","USD","XXX")))</f>
        <v>GBP</v>
      </c>
    </row>
    <row r="352" spans="1:18" hidden="1" x14ac:dyDescent="0.3">
      <c r="A352">
        <v>202502</v>
      </c>
      <c r="B352" s="22" t="s">
        <v>917</v>
      </c>
      <c r="C352" s="48">
        <v>6022996</v>
      </c>
      <c r="D352" s="43">
        <v>45716</v>
      </c>
      <c r="F352" t="s">
        <v>184</v>
      </c>
      <c r="G352" s="47">
        <f>MAX(+input_invoice[[#This Row],[net]]+input_invoice[[#This Row],[tax_iva]]+input_invoice[[#This Row],[tax_irpf]],input_invoice[[#This Row],[net]])</f>
        <v>5689.0919999999996</v>
      </c>
      <c r="H352" s="47">
        <f>input_invoice[[#This Row],[net]]*(MAX(input_invoice[[#This Row],[tax_rate_iva]],0)/100)</f>
        <v>948.18200000000002</v>
      </c>
      <c r="I352" s="47">
        <f>-input_invoice[[#This Row],[net]]*input_invoice[[#This Row],[tax_rate_irpf]]/100</f>
        <v>0</v>
      </c>
      <c r="J352" s="47">
        <v>4740.91</v>
      </c>
      <c r="K352" t="str">
        <f t="shared" si="11"/>
        <v>manufacturing</v>
      </c>
      <c r="L352">
        <v>20</v>
      </c>
      <c r="N352" t="str">
        <f>VLOOKUP(input_invoice[[#This Row],[concept/supplier]],'sel-invoice'!D:E,2,0)</f>
        <v>Proco</v>
      </c>
      <c r="O352" t="str">
        <f>VLOOKUP(input_invoice[[#This Row],[concept/supplier]],'sel-invoice'!D:F,3,0)</f>
        <v>Ltd</v>
      </c>
      <c r="P352" t="str">
        <f>IF(input_invoice[[#This Row],[entity]]="SL","EUR",IF(input_invoice[[#This Row],[entity]]="Ltd","GBP",IF(input_invoice[[#This Row],[entity]]="Inc","USD","XXX")))</f>
        <v>GBP</v>
      </c>
      <c r="R352" s="259" t="b">
        <v>0</v>
      </c>
    </row>
    <row r="353" spans="1:18" hidden="1" x14ac:dyDescent="0.3">
      <c r="A353">
        <v>202502</v>
      </c>
      <c r="B353" s="22" t="s">
        <v>917</v>
      </c>
      <c r="C353" s="48">
        <v>6022996</v>
      </c>
      <c r="D353" s="43">
        <v>45716</v>
      </c>
      <c r="F353" t="s">
        <v>186</v>
      </c>
      <c r="G353" s="47">
        <f>MAX(+input_invoice[[#This Row],[net]]+input_invoice[[#This Row],[tax_iva]]+input_invoice[[#This Row],[tax_irpf]],input_invoice[[#This Row],[net]])</f>
        <v>864</v>
      </c>
      <c r="H353" s="47">
        <f>input_invoice[[#This Row],[net]]*(MAX(input_invoice[[#This Row],[tax_rate_iva]],0)/100)</f>
        <v>144</v>
      </c>
      <c r="I353" s="47">
        <f>-input_invoice[[#This Row],[net]]*input_invoice[[#This Row],[tax_rate_irpf]]/100</f>
        <v>0</v>
      </c>
      <c r="J353" s="47">
        <v>720</v>
      </c>
      <c r="K353" t="str">
        <f t="shared" si="11"/>
        <v>manufacturing</v>
      </c>
      <c r="L353">
        <v>20</v>
      </c>
      <c r="N353" t="str">
        <f>VLOOKUP(input_invoice[[#This Row],[concept/supplier]],'sel-invoice'!D:E,2,0)</f>
        <v>Proco</v>
      </c>
      <c r="O353" t="str">
        <f>VLOOKUP(input_invoice[[#This Row],[concept/supplier]],'sel-invoice'!D:F,3,0)</f>
        <v>Ltd</v>
      </c>
      <c r="P353" t="str">
        <f>IF(input_invoice[[#This Row],[entity]]="SL","EUR",IF(input_invoice[[#This Row],[entity]]="Ltd","GBP",IF(input_invoice[[#This Row],[entity]]="Inc","USD","XXX")))</f>
        <v>GBP</v>
      </c>
    </row>
    <row r="354" spans="1:18" hidden="1" x14ac:dyDescent="0.3">
      <c r="A354">
        <v>202502</v>
      </c>
      <c r="B354" s="22" t="s">
        <v>917</v>
      </c>
      <c r="F354" t="s">
        <v>55</v>
      </c>
      <c r="G354" s="47">
        <f>MAX(+input_invoice[[#This Row],[net]]+input_invoice[[#This Row],[tax_iva]]+input_invoice[[#This Row],[tax_irpf]],input_invoice[[#This Row],[net]])</f>
        <v>309.92</v>
      </c>
      <c r="H354" s="47">
        <f>input_invoice[[#This Row],[net]]*(MAX(input_invoice[[#This Row],[tax_rate_iva]],0)/100)</f>
        <v>0</v>
      </c>
      <c r="I354" s="47">
        <f>-input_invoice[[#This Row],[net]]*input_invoice[[#This Row],[tax_rate_irpf]]/100</f>
        <v>0</v>
      </c>
      <c r="J354" s="47">
        <v>309.92</v>
      </c>
      <c r="K354" t="str">
        <f t="shared" si="11"/>
        <v>logistics</v>
      </c>
      <c r="L354">
        <v>0</v>
      </c>
      <c r="N354" t="str">
        <f>VLOOKUP(input_invoice[[#This Row],[concept/supplier]],'sel-invoice'!D:E,2,0)</f>
        <v>UPS DE</v>
      </c>
      <c r="O354" t="str">
        <f>VLOOKUP(input_invoice[[#This Row],[concept/supplier]],'sel-invoice'!D:F,3,0)</f>
        <v>SL</v>
      </c>
      <c r="P354" t="str">
        <f>IF(input_invoice[[#This Row],[entity]]="SL","EUR",IF(input_invoice[[#This Row],[entity]]="Ltd","GBP",IF(input_invoice[[#This Row],[entity]]="Inc","USD","XXX")))</f>
        <v>EUR</v>
      </c>
      <c r="R354" s="259" t="b">
        <v>0</v>
      </c>
    </row>
    <row r="355" spans="1:18" hidden="1" x14ac:dyDescent="0.3">
      <c r="A355">
        <v>202502</v>
      </c>
      <c r="B355" s="22" t="s">
        <v>917</v>
      </c>
      <c r="F355" t="s">
        <v>55</v>
      </c>
      <c r="G355" s="47">
        <f>MAX(+input_invoice[[#This Row],[net]]+input_invoice[[#This Row],[tax_iva]]+input_invoice[[#This Row],[tax_irpf]],input_invoice[[#This Row],[net]])</f>
        <v>-2.79</v>
      </c>
      <c r="H355" s="47">
        <f>input_invoice[[#This Row],[net]]*(MAX(input_invoice[[#This Row],[tax_rate_iva]],0)/100)</f>
        <v>0</v>
      </c>
      <c r="I355" s="47">
        <f>-input_invoice[[#This Row],[net]]*input_invoice[[#This Row],[tax_rate_irpf]]/100</f>
        <v>0</v>
      </c>
      <c r="J355" s="47">
        <v>-2.79</v>
      </c>
      <c r="K355" t="str">
        <f t="shared" si="11"/>
        <v>logistics</v>
      </c>
      <c r="L355">
        <v>0</v>
      </c>
      <c r="N355" t="str">
        <f>VLOOKUP(input_invoice[[#This Row],[concept/supplier]],'sel-invoice'!D:E,2,0)</f>
        <v>UPS DE</v>
      </c>
      <c r="O355" t="str">
        <f>VLOOKUP(input_invoice[[#This Row],[concept/supplier]],'sel-invoice'!D:F,3,0)</f>
        <v>SL</v>
      </c>
      <c r="P355" t="str">
        <f>IF(input_invoice[[#This Row],[entity]]="SL","EUR",IF(input_invoice[[#This Row],[entity]]="Ltd","GBP",IF(input_invoice[[#This Row],[entity]]="Inc","USD","XXX")))</f>
        <v>EUR</v>
      </c>
      <c r="R355" s="259" t="b">
        <v>0</v>
      </c>
    </row>
    <row r="356" spans="1:18" hidden="1" x14ac:dyDescent="0.3">
      <c r="A356">
        <v>202502</v>
      </c>
      <c r="B356" s="22" t="s">
        <v>917</v>
      </c>
      <c r="F356" t="s">
        <v>56</v>
      </c>
      <c r="G356" s="47">
        <f>MAX(+input_invoice[[#This Row],[net]]+input_invoice[[#This Row],[tax_iva]]+input_invoice[[#This Row],[tax_irpf]],input_invoice[[#This Row],[net]])</f>
        <v>-1.1399999999999999</v>
      </c>
      <c r="H356" s="47">
        <f>input_invoice[[#This Row],[net]]*(MAX(input_invoice[[#This Row],[tax_rate_iva]],0)/100)</f>
        <v>0</v>
      </c>
      <c r="I356" s="47">
        <f>-input_invoice[[#This Row],[net]]*input_invoice[[#This Row],[tax_rate_irpf]]/100</f>
        <v>0</v>
      </c>
      <c r="J356" s="47">
        <v>-1.1399999999999999</v>
      </c>
      <c r="K356" t="str">
        <f t="shared" si="11"/>
        <v>logistics</v>
      </c>
      <c r="L356">
        <v>0</v>
      </c>
      <c r="N356" t="str">
        <f>VLOOKUP(input_invoice[[#This Row],[concept/supplier]],'sel-invoice'!D:E,2,0)</f>
        <v>UPS FR</v>
      </c>
      <c r="O356" t="str">
        <f>VLOOKUP(input_invoice[[#This Row],[concept/supplier]],'sel-invoice'!D:F,3,0)</f>
        <v>SL</v>
      </c>
      <c r="P356" t="str">
        <f>IF(input_invoice[[#This Row],[entity]]="SL","EUR",IF(input_invoice[[#This Row],[entity]]="Ltd","GBP",IF(input_invoice[[#This Row],[entity]]="Inc","USD","XXX")))</f>
        <v>EUR</v>
      </c>
      <c r="R356" s="259" t="b">
        <v>0</v>
      </c>
    </row>
    <row r="357" spans="1:18" hidden="1" x14ac:dyDescent="0.3">
      <c r="A357">
        <v>202502</v>
      </c>
      <c r="B357" s="22" t="s">
        <v>917</v>
      </c>
      <c r="F357" t="s">
        <v>56</v>
      </c>
      <c r="G357" s="47">
        <f>MAX(+input_invoice[[#This Row],[net]]+input_invoice[[#This Row],[tax_iva]]+input_invoice[[#This Row],[tax_irpf]],input_invoice[[#This Row],[net]])</f>
        <v>9019.49</v>
      </c>
      <c r="H357" s="47">
        <f>input_invoice[[#This Row],[net]]*(MAX(input_invoice[[#This Row],[tax_rate_iva]],0)/100)</f>
        <v>0</v>
      </c>
      <c r="I357" s="47">
        <f>-input_invoice[[#This Row],[net]]*input_invoice[[#This Row],[tax_rate_irpf]]/100</f>
        <v>0</v>
      </c>
      <c r="J357" s="47">
        <v>9019.49</v>
      </c>
      <c r="K357" t="str">
        <f t="shared" si="11"/>
        <v>logistics</v>
      </c>
      <c r="L357">
        <v>0</v>
      </c>
      <c r="N357" t="str">
        <f>VLOOKUP(input_invoice[[#This Row],[concept/supplier]],'sel-invoice'!D:E,2,0)</f>
        <v>UPS FR</v>
      </c>
      <c r="O357" t="str">
        <f>VLOOKUP(input_invoice[[#This Row],[concept/supplier]],'sel-invoice'!D:F,3,0)</f>
        <v>SL</v>
      </c>
      <c r="P357" t="str">
        <f>IF(input_invoice[[#This Row],[entity]]="SL","EUR",IF(input_invoice[[#This Row],[entity]]="Ltd","GBP",IF(input_invoice[[#This Row],[entity]]="Inc","USD","XXX")))</f>
        <v>EUR</v>
      </c>
      <c r="R357" s="259" t="b">
        <v>0</v>
      </c>
    </row>
    <row r="358" spans="1:18" hidden="1" x14ac:dyDescent="0.3">
      <c r="A358">
        <v>202503</v>
      </c>
      <c r="B358" s="22" t="s">
        <v>917</v>
      </c>
      <c r="F358" t="s">
        <v>37</v>
      </c>
      <c r="G358" s="47">
        <f>MAX(+input_invoice[[#This Row],[net]]+input_invoice[[#This Row],[tax_iva]]+input_invoice[[#This Row],[tax_irpf]],input_invoice[[#This Row],[net]])</f>
        <v>7145.2798999999995</v>
      </c>
      <c r="H358" s="47">
        <f>input_invoice[[#This Row],[net]]*(MAX(input_invoice[[#This Row],[tax_rate_iva]],0)/100)</f>
        <v>1240.0898999999999</v>
      </c>
      <c r="I358" s="47">
        <f>-input_invoice[[#This Row],[net]]*input_invoice[[#This Row],[tax_rate_irpf]]/100</f>
        <v>0</v>
      </c>
      <c r="J358" s="47">
        <v>5905.19</v>
      </c>
      <c r="K358" t="str">
        <f t="shared" si="11"/>
        <v>manufacturing</v>
      </c>
      <c r="L358">
        <v>21</v>
      </c>
      <c r="N358" t="str">
        <f>VLOOKUP(input_invoice[[#This Row],[concept/supplier]],'sel-invoice'!D:E,2,0)</f>
        <v>Apphoto España</v>
      </c>
      <c r="O358" t="str">
        <f>VLOOKUP(input_invoice[[#This Row],[concept/supplier]],'sel-invoice'!D:F,3,0)</f>
        <v>SL</v>
      </c>
      <c r="P358" t="str">
        <f>IF(input_invoice[[#This Row],[entity]]="SL","EUR",IF(input_invoice[[#This Row],[entity]]="Ltd","GBP",IF(input_invoice[[#This Row],[entity]]="Inc","USD","XXX")))</f>
        <v>EUR</v>
      </c>
    </row>
    <row r="359" spans="1:18" hidden="1" x14ac:dyDescent="0.3">
      <c r="A359">
        <v>202503</v>
      </c>
      <c r="B359" s="22" t="s">
        <v>917</v>
      </c>
      <c r="F359" t="s">
        <v>37</v>
      </c>
      <c r="G359" s="47">
        <f>MAX(+input_invoice[[#This Row],[net]]+input_invoice[[#This Row],[tax_iva]]+input_invoice[[#This Row],[tax_irpf]],input_invoice[[#This Row],[net]])</f>
        <v>10241.8272</v>
      </c>
      <c r="H359" s="47">
        <f>input_invoice[[#This Row],[net]]*(MAX(input_invoice[[#This Row],[tax_rate_iva]],0)/100)</f>
        <v>1777.5071999999998</v>
      </c>
      <c r="I359" s="47">
        <f>-input_invoice[[#This Row],[net]]*input_invoice[[#This Row],[tax_rate_irpf]]/100</f>
        <v>0</v>
      </c>
      <c r="J359" s="47">
        <v>8464.32</v>
      </c>
      <c r="K359" t="str">
        <f t="shared" si="11"/>
        <v>manufacturing</v>
      </c>
      <c r="L359">
        <v>21</v>
      </c>
      <c r="N359" t="str">
        <f>VLOOKUP(input_invoice[[#This Row],[concept/supplier]],'sel-invoice'!D:E,2,0)</f>
        <v>Apphoto España</v>
      </c>
      <c r="O359" t="str">
        <f>VLOOKUP(input_invoice[[#This Row],[concept/supplier]],'sel-invoice'!D:F,3,0)</f>
        <v>SL</v>
      </c>
      <c r="P359" t="str">
        <f>IF(input_invoice[[#This Row],[entity]]="SL","EUR",IF(input_invoice[[#This Row],[entity]]="Ltd","GBP",IF(input_invoice[[#This Row],[entity]]="Inc","USD","XXX")))</f>
        <v>EUR</v>
      </c>
    </row>
    <row r="360" spans="1:18" hidden="1" x14ac:dyDescent="0.3">
      <c r="A360">
        <v>202503</v>
      </c>
      <c r="B360" s="22" t="s">
        <v>917</v>
      </c>
      <c r="F360" t="s">
        <v>37</v>
      </c>
      <c r="G360" s="47">
        <f>MAX(+input_invoice[[#This Row],[net]]+input_invoice[[#This Row],[tax_iva]]+input_invoice[[#This Row],[tax_irpf]],input_invoice[[#This Row],[net]])</f>
        <v>1789.9045999999998</v>
      </c>
      <c r="H360" s="47">
        <f>input_invoice[[#This Row],[net]]*(MAX(input_invoice[[#This Row],[tax_rate_iva]],0)/100)</f>
        <v>310.64459999999997</v>
      </c>
      <c r="I360" s="47">
        <f>-input_invoice[[#This Row],[net]]*input_invoice[[#This Row],[tax_rate_irpf]]/100</f>
        <v>0</v>
      </c>
      <c r="J360" s="47">
        <v>1479.26</v>
      </c>
      <c r="K360" t="str">
        <f t="shared" si="11"/>
        <v>manufacturing</v>
      </c>
      <c r="L360">
        <v>21</v>
      </c>
      <c r="N360" t="str">
        <f>VLOOKUP(input_invoice[[#This Row],[concept/supplier]],'sel-invoice'!D:E,2,0)</f>
        <v>Apphoto España</v>
      </c>
      <c r="O360" t="str">
        <f>VLOOKUP(input_invoice[[#This Row],[concept/supplier]],'sel-invoice'!D:F,3,0)</f>
        <v>SL</v>
      </c>
      <c r="P360" t="str">
        <f>IF(input_invoice[[#This Row],[entity]]="SL","EUR",IF(input_invoice[[#This Row],[entity]]="Ltd","GBP",IF(input_invoice[[#This Row],[entity]]="Inc","USD","XXX")))</f>
        <v>EUR</v>
      </c>
    </row>
    <row r="361" spans="1:18" hidden="1" x14ac:dyDescent="0.3">
      <c r="A361">
        <v>202503</v>
      </c>
      <c r="B361" s="22" t="s">
        <v>917</v>
      </c>
      <c r="F361" t="s">
        <v>37</v>
      </c>
      <c r="G361" s="47">
        <f>MAX(+input_invoice[[#This Row],[net]]+input_invoice[[#This Row],[tax_iva]]+input_invoice[[#This Row],[tax_irpf]],input_invoice[[#This Row],[net]])</f>
        <v>11.192499999999999</v>
      </c>
      <c r="H361" s="47">
        <f>input_invoice[[#This Row],[net]]*(MAX(input_invoice[[#This Row],[tax_rate_iva]],0)/100)</f>
        <v>1.9424999999999999</v>
      </c>
      <c r="I361" s="47">
        <f>-input_invoice[[#This Row],[net]]*input_invoice[[#This Row],[tax_rate_irpf]]/100</f>
        <v>0</v>
      </c>
      <c r="J361" s="47">
        <v>9.25</v>
      </c>
      <c r="K361" t="str">
        <f t="shared" si="11"/>
        <v>manufacturing</v>
      </c>
      <c r="L361">
        <v>21</v>
      </c>
      <c r="N361" t="str">
        <f>VLOOKUP(input_invoice[[#This Row],[concept/supplier]],'sel-invoice'!D:E,2,0)</f>
        <v>Apphoto España</v>
      </c>
      <c r="O361" t="str">
        <f>VLOOKUP(input_invoice[[#This Row],[concept/supplier]],'sel-invoice'!D:F,3,0)</f>
        <v>SL</v>
      </c>
      <c r="P361" t="str">
        <f>IF(input_invoice[[#This Row],[entity]]="SL","EUR",IF(input_invoice[[#This Row],[entity]]="Ltd","GBP",IF(input_invoice[[#This Row],[entity]]="Inc","USD","XXX")))</f>
        <v>EUR</v>
      </c>
    </row>
    <row r="362" spans="1:18" hidden="1" x14ac:dyDescent="0.3">
      <c r="A362">
        <v>202503</v>
      </c>
      <c r="B362" s="22" t="s">
        <v>917</v>
      </c>
      <c r="F362" t="s">
        <v>37</v>
      </c>
      <c r="G362" s="47">
        <f>MAX(+input_invoice[[#This Row],[net]]+input_invoice[[#This Row],[tax_iva]]+input_invoice[[#This Row],[tax_irpf]],input_invoice[[#This Row],[net]])</f>
        <v>8461.0460000000003</v>
      </c>
      <c r="H362" s="47">
        <f>input_invoice[[#This Row],[net]]*(MAX(input_invoice[[#This Row],[tax_rate_iva]],0)/100)</f>
        <v>1468.4459999999999</v>
      </c>
      <c r="I362" s="47">
        <f>-input_invoice[[#This Row],[net]]*input_invoice[[#This Row],[tax_rate_irpf]]/100</f>
        <v>0</v>
      </c>
      <c r="J362" s="47">
        <v>6992.6</v>
      </c>
      <c r="K362" t="str">
        <f t="shared" si="11"/>
        <v>manufacturing</v>
      </c>
      <c r="L362">
        <v>21</v>
      </c>
      <c r="N362" t="str">
        <f>VLOOKUP(input_invoice[[#This Row],[concept/supplier]],'sel-invoice'!D:E,2,0)</f>
        <v>Apphoto España</v>
      </c>
      <c r="O362" t="str">
        <f>VLOOKUP(input_invoice[[#This Row],[concept/supplier]],'sel-invoice'!D:F,3,0)</f>
        <v>SL</v>
      </c>
      <c r="P362" t="str">
        <f>IF(input_invoice[[#This Row],[entity]]="SL","EUR",IF(input_invoice[[#This Row],[entity]]="Ltd","GBP",IF(input_invoice[[#This Row],[entity]]="Inc","USD","XXX")))</f>
        <v>EUR</v>
      </c>
    </row>
    <row r="363" spans="1:18" hidden="1" x14ac:dyDescent="0.3">
      <c r="A363">
        <v>202503</v>
      </c>
      <c r="B363" s="22" t="s">
        <v>917</v>
      </c>
      <c r="F363" t="s">
        <v>37</v>
      </c>
      <c r="G363" s="47">
        <f>MAX(+input_invoice[[#This Row],[net]]+input_invoice[[#This Row],[tax_iva]]+input_invoice[[#This Row],[tax_irpf]],input_invoice[[#This Row],[net]])</f>
        <v>9623.2752</v>
      </c>
      <c r="H363" s="47">
        <f>input_invoice[[#This Row],[net]]*(MAX(input_invoice[[#This Row],[tax_rate_iva]],0)/100)</f>
        <v>1670.1551999999999</v>
      </c>
      <c r="I363" s="47">
        <f>-input_invoice[[#This Row],[net]]*input_invoice[[#This Row],[tax_rate_irpf]]/100</f>
        <v>0</v>
      </c>
      <c r="J363" s="47">
        <v>7953.12</v>
      </c>
      <c r="K363" t="str">
        <f t="shared" si="11"/>
        <v>manufacturing</v>
      </c>
      <c r="L363">
        <v>21</v>
      </c>
      <c r="N363" t="str">
        <f>VLOOKUP(input_invoice[[#This Row],[concept/supplier]],'sel-invoice'!D:E,2,0)</f>
        <v>Apphoto España</v>
      </c>
      <c r="O363" t="str">
        <f>VLOOKUP(input_invoice[[#This Row],[concept/supplier]],'sel-invoice'!D:F,3,0)</f>
        <v>SL</v>
      </c>
      <c r="P363" t="str">
        <f>IF(input_invoice[[#This Row],[entity]]="SL","EUR",IF(input_invoice[[#This Row],[entity]]="Ltd","GBP",IF(input_invoice[[#This Row],[entity]]="Inc","USD","XXX")))</f>
        <v>EUR</v>
      </c>
    </row>
    <row r="364" spans="1:18" hidden="1" x14ac:dyDescent="0.3">
      <c r="A364">
        <v>202503</v>
      </c>
      <c r="B364" s="22" t="s">
        <v>917</v>
      </c>
      <c r="F364" t="s">
        <v>143</v>
      </c>
      <c r="G364" s="47">
        <f>MAX(+input_invoice[[#This Row],[net]]+input_invoice[[#This Row],[tax_iva]]+input_invoice[[#This Row],[tax_irpf]],input_invoice[[#This Row],[net]])</f>
        <v>11.991099999999999</v>
      </c>
      <c r="H364" s="47">
        <f>input_invoice[[#This Row],[net]]*(MAX(input_invoice[[#This Row],[tax_rate_iva]],0)/100)</f>
        <v>2.0811000000000002</v>
      </c>
      <c r="I364" s="47">
        <f>-input_invoice[[#This Row],[net]]*input_invoice[[#This Row],[tax_rate_irpf]]/100</f>
        <v>0</v>
      </c>
      <c r="J364" s="47">
        <v>9.91</v>
      </c>
      <c r="K364" t="str">
        <f t="shared" si="11"/>
        <v>it</v>
      </c>
      <c r="L364">
        <v>21</v>
      </c>
      <c r="N364" t="str">
        <f>VLOOKUP(input_invoice[[#This Row],[concept/supplier]],'sel-invoice'!D:E,2,0)</f>
        <v>Canva</v>
      </c>
      <c r="O364" t="str">
        <f>VLOOKUP(input_invoice[[#This Row],[concept/supplier]],'sel-invoice'!D:F,3,0)</f>
        <v>SL</v>
      </c>
      <c r="P364" t="str">
        <f>IF(input_invoice[[#This Row],[entity]]="SL","EUR",IF(input_invoice[[#This Row],[entity]]="Ltd","GBP",IF(input_invoice[[#This Row],[entity]]="Inc","USD","XXX")))</f>
        <v>EUR</v>
      </c>
    </row>
    <row r="365" spans="1:18" hidden="1" x14ac:dyDescent="0.3">
      <c r="A365">
        <v>202503</v>
      </c>
      <c r="B365" s="22" t="s">
        <v>917</v>
      </c>
      <c r="F365" t="s">
        <v>52</v>
      </c>
      <c r="G365" s="47">
        <f>MAX(+input_invoice[[#This Row],[net]]+input_invoice[[#This Row],[tax_iva]]+input_invoice[[#This Row],[tax_irpf]],input_invoice[[#This Row],[net]])</f>
        <v>514.75819999999999</v>
      </c>
      <c r="H365" s="47">
        <f>input_invoice[[#This Row],[net]]*(MAX(input_invoice[[#This Row],[tax_rate_iva]],0)/100)</f>
        <v>89.338200000000001</v>
      </c>
      <c r="I365" s="47">
        <f>-input_invoice[[#This Row],[net]]*input_invoice[[#This Row],[tax_rate_irpf]]/100</f>
        <v>0</v>
      </c>
      <c r="J365" s="47">
        <v>425.42</v>
      </c>
      <c r="K365" t="str">
        <f t="shared" si="11"/>
        <v>logistics</v>
      </c>
      <c r="L365">
        <v>21</v>
      </c>
      <c r="N365" t="str">
        <f>VLOOKUP(input_invoice[[#This Row],[concept/supplier]],'sel-invoice'!D:E,2,0)</f>
        <v>Correos</v>
      </c>
      <c r="O365" t="str">
        <f>VLOOKUP(input_invoice[[#This Row],[concept/supplier]],'sel-invoice'!D:F,3,0)</f>
        <v>SL</v>
      </c>
      <c r="P365" t="str">
        <f>IF(input_invoice[[#This Row],[entity]]="SL","EUR",IF(input_invoice[[#This Row],[entity]]="Ltd","GBP",IF(input_invoice[[#This Row],[entity]]="Inc","USD","XXX")))</f>
        <v>EUR</v>
      </c>
      <c r="R365" s="88"/>
    </row>
    <row r="366" spans="1:18" hidden="1" x14ac:dyDescent="0.3">
      <c r="A366" s="60">
        <v>202503</v>
      </c>
      <c r="B366" s="22" t="s">
        <v>917</v>
      </c>
      <c r="C366" s="61"/>
      <c r="D366" s="62"/>
      <c r="E366" s="62"/>
      <c r="F366" s="60" t="s">
        <v>52</v>
      </c>
      <c r="G366" s="47">
        <f>MAX(+input_invoice[[#This Row],[net]]+input_invoice[[#This Row],[tax_iva]]+input_invoice[[#This Row],[tax_irpf]],input_invoice[[#This Row],[net]])</f>
        <v>4.49</v>
      </c>
      <c r="H366" s="63">
        <f>input_invoice[[#This Row],[net]]*(MAX(input_invoice[[#This Row],[tax_rate_iva]],0)/100)</f>
        <v>0</v>
      </c>
      <c r="I366" s="63">
        <f>-input_invoice[[#This Row],[net]]*input_invoice[[#This Row],[tax_rate_irpf]]/100</f>
        <v>0</v>
      </c>
      <c r="J366" s="60">
        <v>4.49</v>
      </c>
      <c r="K366" s="60" t="str">
        <f t="shared" si="11"/>
        <v>logistics</v>
      </c>
      <c r="L366" s="60">
        <v>0</v>
      </c>
      <c r="M366" s="60"/>
      <c r="N366" s="60" t="str">
        <f>VLOOKUP(input_invoice[[#This Row],[concept/supplier]],'sel-invoice'!D:E,2,0)</f>
        <v>Correos</v>
      </c>
      <c r="O366" s="60" t="str">
        <f>VLOOKUP(input_invoice[[#This Row],[concept/supplier]],'sel-invoice'!D:F,3,0)</f>
        <v>SL</v>
      </c>
      <c r="P366" s="60" t="str">
        <f>IF(input_invoice[[#This Row],[entity]]="SL","EUR",IF(input_invoice[[#This Row],[entity]]="Ltd","GBP",IF(input_invoice[[#This Row],[entity]]="Inc","USD","XXX")))</f>
        <v>EUR</v>
      </c>
      <c r="R366" s="88"/>
    </row>
    <row r="367" spans="1:18" hidden="1" x14ac:dyDescent="0.3">
      <c r="A367">
        <v>202503</v>
      </c>
      <c r="B367" s="22" t="s">
        <v>917</v>
      </c>
      <c r="F367" t="s">
        <v>43</v>
      </c>
      <c r="G367" s="47">
        <f>MAX(+input_invoice[[#This Row],[net]]+input_invoice[[#This Row],[tax_iva]]+input_invoice[[#This Row],[tax_irpf]],input_invoice[[#This Row],[net]])</f>
        <v>6943.6261999999997</v>
      </c>
      <c r="H367" s="47">
        <f>input_invoice[[#This Row],[net]]*(MAX(input_invoice[[#This Row],[tax_rate_iva]],0)/100)</f>
        <v>1108.6461999999999</v>
      </c>
      <c r="I367" s="47">
        <f>-input_invoice[[#This Row],[net]]*input_invoice[[#This Row],[tax_rate_irpf]]/100</f>
        <v>0</v>
      </c>
      <c r="J367" s="47">
        <v>5834.98</v>
      </c>
      <c r="K367" t="str">
        <f t="shared" si="11"/>
        <v>manufacturing</v>
      </c>
      <c r="L367">
        <v>19</v>
      </c>
      <c r="N367" t="str">
        <f>VLOOKUP(input_invoice[[#This Row],[concept/supplier]],'sel-invoice'!D:E,2,0)</f>
        <v>DCT</v>
      </c>
      <c r="O367" t="str">
        <f>VLOOKUP(input_invoice[[#This Row],[concept/supplier]],'sel-invoice'!D:F,3,0)</f>
        <v>SL</v>
      </c>
      <c r="P367" t="str">
        <f>IF(input_invoice[[#This Row],[entity]]="SL","EUR",IF(input_invoice[[#This Row],[entity]]="Ltd","GBP",IF(input_invoice[[#This Row],[entity]]="Inc","USD","XXX")))</f>
        <v>EUR</v>
      </c>
    </row>
    <row r="368" spans="1:18" hidden="1" x14ac:dyDescent="0.3">
      <c r="A368">
        <v>202503</v>
      </c>
      <c r="B368" s="22" t="s">
        <v>917</v>
      </c>
      <c r="F368" t="s">
        <v>43</v>
      </c>
      <c r="G368" s="47">
        <f>MAX(+input_invoice[[#This Row],[net]]+input_invoice[[#This Row],[tax_iva]]+input_invoice[[#This Row],[tax_irpf]],input_invoice[[#This Row],[net]])</f>
        <v>11.9</v>
      </c>
      <c r="H368" s="47">
        <f>input_invoice[[#This Row],[net]]*(MAX(input_invoice[[#This Row],[tax_rate_iva]],0)/100)</f>
        <v>1.9</v>
      </c>
      <c r="I368" s="47">
        <f>-input_invoice[[#This Row],[net]]*input_invoice[[#This Row],[tax_rate_irpf]]/100</f>
        <v>0</v>
      </c>
      <c r="J368" s="47">
        <v>10</v>
      </c>
      <c r="K368" t="str">
        <f t="shared" si="11"/>
        <v>manufacturing</v>
      </c>
      <c r="L368">
        <v>19</v>
      </c>
      <c r="N368" t="str">
        <f>VLOOKUP(input_invoice[[#This Row],[concept/supplier]],'sel-invoice'!D:E,2,0)</f>
        <v>DCT</v>
      </c>
      <c r="O368" t="str">
        <f>VLOOKUP(input_invoice[[#This Row],[concept/supplier]],'sel-invoice'!D:F,3,0)</f>
        <v>SL</v>
      </c>
      <c r="P368" t="str">
        <f>IF(input_invoice[[#This Row],[entity]]="SL","EUR",IF(input_invoice[[#This Row],[entity]]="Ltd","GBP",IF(input_invoice[[#This Row],[entity]]="Inc","USD","XXX")))</f>
        <v>EUR</v>
      </c>
    </row>
    <row r="369" spans="1:16" hidden="1" x14ac:dyDescent="0.3">
      <c r="A369">
        <v>202503</v>
      </c>
      <c r="B369" s="22" t="s">
        <v>917</v>
      </c>
      <c r="F369" t="s">
        <v>47</v>
      </c>
      <c r="G369" s="47">
        <f>MAX(+input_invoice[[#This Row],[net]]+input_invoice[[#This Row],[tax_iva]]+input_invoice[[#This Row],[tax_irpf]],input_invoice[[#This Row],[net]])</f>
        <v>420</v>
      </c>
      <c r="H369" s="47">
        <f>input_invoice[[#This Row],[net]]*(MAX(input_invoice[[#This Row],[tax_rate_iva]],0)/100)</f>
        <v>0</v>
      </c>
      <c r="I369" s="47">
        <f>-input_invoice[[#This Row],[net]]*input_invoice[[#This Row],[tax_rate_irpf]]/100</f>
        <v>0</v>
      </c>
      <c r="J369" s="47">
        <v>420</v>
      </c>
      <c r="K369" t="str">
        <f t="shared" si="11"/>
        <v>logistics</v>
      </c>
      <c r="L369">
        <v>0</v>
      </c>
      <c r="N369" t="str">
        <f>VLOOKUP(input_invoice[[#This Row],[concept/supplier]],'sel-invoice'!D:E,2,0)</f>
        <v>debex</v>
      </c>
      <c r="O369" t="str">
        <f>VLOOKUP(input_invoice[[#This Row],[concept/supplier]],'sel-invoice'!D:F,3,0)</f>
        <v>SL</v>
      </c>
      <c r="P369" t="str">
        <f>IF(input_invoice[[#This Row],[entity]]="SL","EUR",IF(input_invoice[[#This Row],[entity]]="Ltd","GBP",IF(input_invoice[[#This Row],[entity]]="Inc","USD","XXX")))</f>
        <v>EUR</v>
      </c>
    </row>
    <row r="370" spans="1:16" hidden="1" x14ac:dyDescent="0.3">
      <c r="A370">
        <v>202503</v>
      </c>
      <c r="B370" s="22" t="s">
        <v>917</v>
      </c>
      <c r="F370" t="s">
        <v>307</v>
      </c>
      <c r="G370" s="47">
        <f>MAX(+input_invoice[[#This Row],[net]]+input_invoice[[#This Row],[tax_iva]]+input_invoice[[#This Row],[tax_irpf]],input_invoice[[#This Row],[net]])</f>
        <v>24405.85</v>
      </c>
      <c r="H370" s="47">
        <f>input_invoice[[#This Row],[net]]*(MAX(input_invoice[[#This Row],[tax_rate_iva]],0)/100)</f>
        <v>0</v>
      </c>
      <c r="I370" s="47">
        <f>-input_invoice[[#This Row],[net]]*input_invoice[[#This Row],[tax_rate_irpf]]/100</f>
        <v>0</v>
      </c>
      <c r="J370" s="47">
        <v>24405.85</v>
      </c>
      <c r="K370" t="str">
        <f t="shared" si="11"/>
        <v>manufacturing</v>
      </c>
      <c r="L370">
        <v>0</v>
      </c>
      <c r="N370" t="str">
        <f>VLOOKUP(input_invoice[[#This Row],[concept/supplier]],'sel-invoice'!D:E,2,0)</f>
        <v>debex</v>
      </c>
      <c r="O370" t="str">
        <f>VLOOKUP(input_invoice[[#This Row],[concept/supplier]],'sel-invoice'!D:F,3,0)</f>
        <v>SL</v>
      </c>
      <c r="P370" t="str">
        <f>IF(input_invoice[[#This Row],[entity]]="SL","EUR",IF(input_invoice[[#This Row],[entity]]="Ltd","GBP",IF(input_invoice[[#This Row],[entity]]="Inc","USD","XXX")))</f>
        <v>EUR</v>
      </c>
    </row>
    <row r="371" spans="1:16" hidden="1" x14ac:dyDescent="0.3">
      <c r="A371">
        <v>202503</v>
      </c>
      <c r="B371" s="22" t="s">
        <v>917</v>
      </c>
      <c r="F371" t="s">
        <v>304</v>
      </c>
      <c r="G371" s="47">
        <f>MAX(+input_invoice[[#This Row],[net]]+input_invoice[[#This Row],[tax_iva]]+input_invoice[[#This Row],[tax_irpf]],input_invoice[[#This Row],[net]])</f>
        <v>5.0093999999999994</v>
      </c>
      <c r="H371" s="47">
        <f>input_invoice[[#This Row],[net]]*(MAX(input_invoice[[#This Row],[tax_rate_iva]],0)/100)</f>
        <v>0.86939999999999995</v>
      </c>
      <c r="I371" s="47">
        <f>-input_invoice[[#This Row],[net]]*input_invoice[[#This Row],[tax_rate_irpf]]/100</f>
        <v>0</v>
      </c>
      <c r="J371" s="47">
        <v>4.1399999999999997</v>
      </c>
      <c r="K371" t="str">
        <f t="shared" si="11"/>
        <v>it</v>
      </c>
      <c r="L371">
        <v>21</v>
      </c>
      <c r="N371" t="str">
        <f>VLOOKUP(input_invoice[[#This Row],[concept/supplier]],'sel-invoice'!D:E,2,0)</f>
        <v>etsy</v>
      </c>
      <c r="O371" t="str">
        <f>VLOOKUP(input_invoice[[#This Row],[concept/supplier]],'sel-invoice'!D:F,3,0)</f>
        <v>SL</v>
      </c>
      <c r="P371" t="str">
        <f>IF(input_invoice[[#This Row],[entity]]="SL","EUR",IF(input_invoice[[#This Row],[entity]]="Ltd","GBP",IF(input_invoice[[#This Row],[entity]]="Inc","USD","XXX")))</f>
        <v>EUR</v>
      </c>
    </row>
    <row r="372" spans="1:16" hidden="1" x14ac:dyDescent="0.3">
      <c r="A372">
        <v>202503</v>
      </c>
      <c r="B372" s="22" t="s">
        <v>917</v>
      </c>
      <c r="F372" t="s">
        <v>304</v>
      </c>
      <c r="G372" s="47">
        <f>MAX(+input_invoice[[#This Row],[net]]+input_invoice[[#This Row],[tax_iva]]+input_invoice[[#This Row],[tax_irpf]],input_invoice[[#This Row],[net]])</f>
        <v>126.56599999999999</v>
      </c>
      <c r="H372" s="47">
        <f>input_invoice[[#This Row],[net]]*(MAX(input_invoice[[#This Row],[tax_rate_iva]],0)/100)</f>
        <v>21.965999999999998</v>
      </c>
      <c r="I372" s="47">
        <f>-input_invoice[[#This Row],[net]]*input_invoice[[#This Row],[tax_rate_irpf]]/100</f>
        <v>0</v>
      </c>
      <c r="J372" s="47">
        <v>104.6</v>
      </c>
      <c r="K372" t="str">
        <f t="shared" si="11"/>
        <v>it</v>
      </c>
      <c r="L372">
        <v>21</v>
      </c>
      <c r="N372" t="str">
        <f>VLOOKUP(input_invoice[[#This Row],[concept/supplier]],'sel-invoice'!D:E,2,0)</f>
        <v>etsy</v>
      </c>
      <c r="O372" t="str">
        <f>VLOOKUP(input_invoice[[#This Row],[concept/supplier]],'sel-invoice'!D:F,3,0)</f>
        <v>SL</v>
      </c>
      <c r="P372" t="str">
        <f>IF(input_invoice[[#This Row],[entity]]="SL","EUR",IF(input_invoice[[#This Row],[entity]]="Ltd","GBP",IF(input_invoice[[#This Row],[entity]]="Inc","USD","XXX")))</f>
        <v>EUR</v>
      </c>
    </row>
    <row r="373" spans="1:16" hidden="1" x14ac:dyDescent="0.3">
      <c r="A373">
        <v>202503</v>
      </c>
      <c r="B373" s="22" t="s">
        <v>917</v>
      </c>
      <c r="F373" t="s">
        <v>304</v>
      </c>
      <c r="G373" s="47">
        <f>MAX(+input_invoice[[#This Row],[net]]+input_invoice[[#This Row],[tax_iva]]+input_invoice[[#This Row],[tax_irpf]],input_invoice[[#This Row],[net]])</f>
        <v>38.030299999999997</v>
      </c>
      <c r="H373" s="47">
        <f>input_invoice[[#This Row],[net]]*(MAX(input_invoice[[#This Row],[tax_rate_iva]],0)/100)</f>
        <v>6.6002999999999998</v>
      </c>
      <c r="I373" s="47">
        <f>-input_invoice[[#This Row],[net]]*input_invoice[[#This Row],[tax_rate_irpf]]/100</f>
        <v>0</v>
      </c>
      <c r="J373" s="47">
        <v>31.43</v>
      </c>
      <c r="K373" t="str">
        <f t="shared" si="11"/>
        <v>it</v>
      </c>
      <c r="L373">
        <v>21</v>
      </c>
      <c r="N373" t="str">
        <f>VLOOKUP(input_invoice[[#This Row],[concept/supplier]],'sel-invoice'!D:E,2,0)</f>
        <v>etsy</v>
      </c>
      <c r="O373" t="str">
        <f>VLOOKUP(input_invoice[[#This Row],[concept/supplier]],'sel-invoice'!D:F,3,0)</f>
        <v>SL</v>
      </c>
      <c r="P373" t="str">
        <f>IF(input_invoice[[#This Row],[entity]]="SL","EUR",IF(input_invoice[[#This Row],[entity]]="Ltd","GBP",IF(input_invoice[[#This Row],[entity]]="Inc","USD","XXX")))</f>
        <v>EUR</v>
      </c>
    </row>
    <row r="374" spans="1:16" hidden="1" x14ac:dyDescent="0.3">
      <c r="A374">
        <v>202503</v>
      </c>
      <c r="B374" s="22" t="s">
        <v>917</v>
      </c>
      <c r="F374" t="s">
        <v>304</v>
      </c>
      <c r="G374" s="47">
        <f>MAX(+input_invoice[[#This Row],[net]]+input_invoice[[#This Row],[tax_iva]]+input_invoice[[#This Row],[tax_irpf]],input_invoice[[#This Row],[net]])</f>
        <v>11.543399999999998</v>
      </c>
      <c r="H374" s="47">
        <f>input_invoice[[#This Row],[net]]*(MAX(input_invoice[[#This Row],[tax_rate_iva]],0)/100)</f>
        <v>2.0033999999999996</v>
      </c>
      <c r="I374" s="47">
        <f>-input_invoice[[#This Row],[net]]*input_invoice[[#This Row],[tax_rate_irpf]]/100</f>
        <v>0</v>
      </c>
      <c r="J374" s="47">
        <v>9.5399999999999991</v>
      </c>
      <c r="K374" t="str">
        <f t="shared" si="11"/>
        <v>it</v>
      </c>
      <c r="L374">
        <v>21</v>
      </c>
      <c r="N374" t="str">
        <f>VLOOKUP(input_invoice[[#This Row],[concept/supplier]],'sel-invoice'!D:E,2,0)</f>
        <v>etsy</v>
      </c>
      <c r="O374" t="str">
        <f>VLOOKUP(input_invoice[[#This Row],[concept/supplier]],'sel-invoice'!D:F,3,0)</f>
        <v>SL</v>
      </c>
      <c r="P374" t="str">
        <f>IF(input_invoice[[#This Row],[entity]]="SL","EUR",IF(input_invoice[[#This Row],[entity]]="Ltd","GBP",IF(input_invoice[[#This Row],[entity]]="Inc","USD","XXX")))</f>
        <v>EUR</v>
      </c>
    </row>
    <row r="375" spans="1:16" hidden="1" x14ac:dyDescent="0.3">
      <c r="A375">
        <v>202503</v>
      </c>
      <c r="B375" s="22" t="s">
        <v>917</v>
      </c>
      <c r="F375" t="s">
        <v>304</v>
      </c>
      <c r="G375" s="47">
        <f>MAX(+input_invoice[[#This Row],[net]]+input_invoice[[#This Row],[tax_iva]]+input_invoice[[#This Row],[tax_irpf]],input_invoice[[#This Row],[net]])</f>
        <v>2.8435000000000001</v>
      </c>
      <c r="H375" s="47">
        <f>input_invoice[[#This Row],[net]]*(MAX(input_invoice[[#This Row],[tax_rate_iva]],0)/100)</f>
        <v>0.49349999999999999</v>
      </c>
      <c r="I375" s="47">
        <f>-input_invoice[[#This Row],[net]]*input_invoice[[#This Row],[tax_rate_irpf]]/100</f>
        <v>0</v>
      </c>
      <c r="J375" s="47">
        <v>2.35</v>
      </c>
      <c r="K375" t="str">
        <f t="shared" si="11"/>
        <v>it</v>
      </c>
      <c r="L375">
        <v>21</v>
      </c>
      <c r="N375" t="str">
        <f>VLOOKUP(input_invoice[[#This Row],[concept/supplier]],'sel-invoice'!D:E,2,0)</f>
        <v>etsy</v>
      </c>
      <c r="O375" t="str">
        <f>VLOOKUP(input_invoice[[#This Row],[concept/supplier]],'sel-invoice'!D:F,3,0)</f>
        <v>SL</v>
      </c>
      <c r="P375" t="str">
        <f>IF(input_invoice[[#This Row],[entity]]="SL","EUR",IF(input_invoice[[#This Row],[entity]]="Ltd","GBP",IF(input_invoice[[#This Row],[entity]]="Inc","USD","XXX")))</f>
        <v>EUR</v>
      </c>
    </row>
    <row r="376" spans="1:16" hidden="1" x14ac:dyDescent="0.3">
      <c r="A376">
        <v>202503</v>
      </c>
      <c r="B376" s="22" t="s">
        <v>917</v>
      </c>
      <c r="F376" t="s">
        <v>304</v>
      </c>
      <c r="G376" s="47">
        <f>MAX(+input_invoice[[#This Row],[net]]+input_invoice[[#This Row],[tax_iva]]+input_invoice[[#This Row],[tax_irpf]],input_invoice[[#This Row],[net]])</f>
        <v>40.994800000000005</v>
      </c>
      <c r="H376" s="47">
        <f>input_invoice[[#This Row],[net]]*(MAX(input_invoice[[#This Row],[tax_rate_iva]],0)/100)</f>
        <v>7.1148000000000007</v>
      </c>
      <c r="I376" s="47">
        <f>-input_invoice[[#This Row],[net]]*input_invoice[[#This Row],[tax_rate_irpf]]/100</f>
        <v>0</v>
      </c>
      <c r="J376" s="47">
        <v>33.880000000000003</v>
      </c>
      <c r="K376" t="str">
        <f t="shared" si="11"/>
        <v>it</v>
      </c>
      <c r="L376">
        <v>21</v>
      </c>
      <c r="N376" t="str">
        <f>VLOOKUP(input_invoice[[#This Row],[concept/supplier]],'sel-invoice'!D:E,2,0)</f>
        <v>etsy</v>
      </c>
      <c r="O376" t="str">
        <f>VLOOKUP(input_invoice[[#This Row],[concept/supplier]],'sel-invoice'!D:F,3,0)</f>
        <v>SL</v>
      </c>
      <c r="P376" t="str">
        <f>IF(input_invoice[[#This Row],[entity]]="SL","EUR",IF(input_invoice[[#This Row],[entity]]="Ltd","GBP",IF(input_invoice[[#This Row],[entity]]="Inc","USD","XXX")))</f>
        <v>EUR</v>
      </c>
    </row>
    <row r="377" spans="1:16" hidden="1" x14ac:dyDescent="0.3">
      <c r="A377">
        <v>202503</v>
      </c>
      <c r="B377" s="22" t="s">
        <v>917</v>
      </c>
      <c r="F377" t="s">
        <v>304</v>
      </c>
      <c r="G377" s="47">
        <f>MAX(+input_invoice[[#This Row],[net]]+input_invoice[[#This Row],[tax_iva]]+input_invoice[[#This Row],[tax_irpf]],input_invoice[[#This Row],[net]])</f>
        <v>10.5633</v>
      </c>
      <c r="H377" s="47">
        <f>input_invoice[[#This Row],[net]]*(MAX(input_invoice[[#This Row],[tax_rate_iva]],0)/100)</f>
        <v>1.8332999999999999</v>
      </c>
      <c r="I377" s="47">
        <f>-input_invoice[[#This Row],[net]]*input_invoice[[#This Row],[tax_rate_irpf]]/100</f>
        <v>0</v>
      </c>
      <c r="J377" s="47">
        <v>8.73</v>
      </c>
      <c r="K377" t="str">
        <f t="shared" si="11"/>
        <v>it</v>
      </c>
      <c r="L377">
        <v>21</v>
      </c>
      <c r="N377" t="str">
        <f>VLOOKUP(input_invoice[[#This Row],[concept/supplier]],'sel-invoice'!D:E,2,0)</f>
        <v>etsy</v>
      </c>
      <c r="O377" t="str">
        <f>VLOOKUP(input_invoice[[#This Row],[concept/supplier]],'sel-invoice'!D:F,3,0)</f>
        <v>SL</v>
      </c>
      <c r="P377" t="str">
        <f>IF(input_invoice[[#This Row],[entity]]="SL","EUR",IF(input_invoice[[#This Row],[entity]]="Ltd","GBP",IF(input_invoice[[#This Row],[entity]]="Inc","USD","XXX")))</f>
        <v>EUR</v>
      </c>
    </row>
    <row r="378" spans="1:16" hidden="1" x14ac:dyDescent="0.3">
      <c r="A378">
        <v>202503</v>
      </c>
      <c r="B378" s="22" t="s">
        <v>917</v>
      </c>
      <c r="F378" t="s">
        <v>304</v>
      </c>
      <c r="G378" s="47">
        <f>MAX(+input_invoice[[#This Row],[net]]+input_invoice[[#This Row],[tax_iva]]+input_invoice[[#This Row],[tax_irpf]],input_invoice[[#This Row],[net]])</f>
        <v>10.829499999999999</v>
      </c>
      <c r="H378" s="47">
        <f>input_invoice[[#This Row],[net]]*(MAX(input_invoice[[#This Row],[tax_rate_iva]],0)/100)</f>
        <v>1.8794999999999997</v>
      </c>
      <c r="I378" s="47">
        <f>-input_invoice[[#This Row],[net]]*input_invoice[[#This Row],[tax_rate_irpf]]/100</f>
        <v>0</v>
      </c>
      <c r="J378" s="47">
        <v>8.9499999999999993</v>
      </c>
      <c r="K378" t="str">
        <f t="shared" si="11"/>
        <v>it</v>
      </c>
      <c r="L378">
        <v>21</v>
      </c>
      <c r="N378" t="str">
        <f>VLOOKUP(input_invoice[[#This Row],[concept/supplier]],'sel-invoice'!D:E,2,0)</f>
        <v>etsy</v>
      </c>
      <c r="O378" t="str">
        <f>VLOOKUP(input_invoice[[#This Row],[concept/supplier]],'sel-invoice'!D:F,3,0)</f>
        <v>SL</v>
      </c>
      <c r="P378" t="str">
        <f>IF(input_invoice[[#This Row],[entity]]="SL","EUR",IF(input_invoice[[#This Row],[entity]]="Ltd","GBP",IF(input_invoice[[#This Row],[entity]]="Inc","USD","XXX")))</f>
        <v>EUR</v>
      </c>
    </row>
    <row r="379" spans="1:16" hidden="1" x14ac:dyDescent="0.3">
      <c r="A379">
        <v>202503</v>
      </c>
      <c r="B379" s="22" t="s">
        <v>917</v>
      </c>
      <c r="F379" t="s">
        <v>304</v>
      </c>
      <c r="G379" s="47">
        <f>MAX(+input_invoice[[#This Row],[net]]+input_invoice[[#This Row],[tax_iva]]+input_invoice[[#This Row],[tax_irpf]],input_invoice[[#This Row],[net]])</f>
        <v>3.1943999999999999</v>
      </c>
      <c r="H379" s="47">
        <f>input_invoice[[#This Row],[net]]*(MAX(input_invoice[[#This Row],[tax_rate_iva]],0)/100)</f>
        <v>0.5544</v>
      </c>
      <c r="I379" s="47">
        <f>-input_invoice[[#This Row],[net]]*input_invoice[[#This Row],[tax_rate_irpf]]/100</f>
        <v>0</v>
      </c>
      <c r="J379" s="47">
        <v>2.64</v>
      </c>
      <c r="K379" t="str">
        <f t="shared" si="11"/>
        <v>it</v>
      </c>
      <c r="L379">
        <v>21</v>
      </c>
      <c r="N379" t="str">
        <f>VLOOKUP(input_invoice[[#This Row],[concept/supplier]],'sel-invoice'!D:E,2,0)</f>
        <v>etsy</v>
      </c>
      <c r="O379" t="str">
        <f>VLOOKUP(input_invoice[[#This Row],[concept/supplier]],'sel-invoice'!D:F,3,0)</f>
        <v>SL</v>
      </c>
      <c r="P379" t="str">
        <f>IF(input_invoice[[#This Row],[entity]]="SL","EUR",IF(input_invoice[[#This Row],[entity]]="Ltd","GBP",IF(input_invoice[[#This Row],[entity]]="Inc","USD","XXX")))</f>
        <v>EUR</v>
      </c>
    </row>
    <row r="380" spans="1:16" hidden="1" x14ac:dyDescent="0.3">
      <c r="A380">
        <v>202503</v>
      </c>
      <c r="B380" s="22" t="s">
        <v>917</v>
      </c>
      <c r="F380" t="s">
        <v>304</v>
      </c>
      <c r="G380" s="47">
        <f>MAX(+input_invoice[[#This Row],[net]]+input_invoice[[#This Row],[tax_iva]]+input_invoice[[#This Row],[tax_irpf]],input_invoice[[#This Row],[net]])</f>
        <v>6.6791999999999998</v>
      </c>
      <c r="H380" s="47">
        <f>input_invoice[[#This Row],[net]]*(MAX(input_invoice[[#This Row],[tax_rate_iva]],0)/100)</f>
        <v>1.1591999999999998</v>
      </c>
      <c r="I380" s="47">
        <f>-input_invoice[[#This Row],[net]]*input_invoice[[#This Row],[tax_rate_irpf]]/100</f>
        <v>0</v>
      </c>
      <c r="J380" s="47">
        <v>5.52</v>
      </c>
      <c r="K380" t="str">
        <f t="shared" si="11"/>
        <v>it</v>
      </c>
      <c r="L380">
        <v>21</v>
      </c>
      <c r="N380" t="str">
        <f>VLOOKUP(input_invoice[[#This Row],[concept/supplier]],'sel-invoice'!D:E,2,0)</f>
        <v>etsy</v>
      </c>
      <c r="O380" t="str">
        <f>VLOOKUP(input_invoice[[#This Row],[concept/supplier]],'sel-invoice'!D:F,3,0)</f>
        <v>SL</v>
      </c>
      <c r="P380" t="str">
        <f>IF(input_invoice[[#This Row],[entity]]="SL","EUR",IF(input_invoice[[#This Row],[entity]]="Ltd","GBP",IF(input_invoice[[#This Row],[entity]]="Inc","USD","XXX")))</f>
        <v>EUR</v>
      </c>
    </row>
    <row r="381" spans="1:16" hidden="1" x14ac:dyDescent="0.3">
      <c r="A381">
        <v>202503</v>
      </c>
      <c r="B381" s="22" t="s">
        <v>917</v>
      </c>
      <c r="F381" t="s">
        <v>304</v>
      </c>
      <c r="G381" s="47">
        <f>MAX(+input_invoice[[#This Row],[net]]+input_invoice[[#This Row],[tax_iva]]+input_invoice[[#This Row],[tax_irpf]],input_invoice[[#This Row],[net]])</f>
        <v>21.28</v>
      </c>
      <c r="H381" s="47">
        <f>input_invoice[[#This Row],[net]]*(MAX(input_invoice[[#This Row],[tax_rate_iva]],0)/100)</f>
        <v>0</v>
      </c>
      <c r="I381" s="47">
        <f>-input_invoice[[#This Row],[net]]*input_invoice[[#This Row],[tax_rate_irpf]]/100</f>
        <v>0</v>
      </c>
      <c r="J381" s="47">
        <v>21.28</v>
      </c>
      <c r="K381" t="str">
        <f t="shared" si="11"/>
        <v>it</v>
      </c>
      <c r="L381">
        <v>0</v>
      </c>
      <c r="N381" t="str">
        <f>VLOOKUP(input_invoice[[#This Row],[concept/supplier]],'sel-invoice'!D:E,2,0)</f>
        <v>etsy</v>
      </c>
      <c r="O381" t="str">
        <f>VLOOKUP(input_invoice[[#This Row],[concept/supplier]],'sel-invoice'!D:F,3,0)</f>
        <v>SL</v>
      </c>
      <c r="P381" t="str">
        <f>IF(input_invoice[[#This Row],[entity]]="SL","EUR",IF(input_invoice[[#This Row],[entity]]="Ltd","GBP",IF(input_invoice[[#This Row],[entity]]="Inc","USD","XXX")))</f>
        <v>EUR</v>
      </c>
    </row>
    <row r="382" spans="1:16" hidden="1" x14ac:dyDescent="0.3">
      <c r="A382">
        <v>202503</v>
      </c>
      <c r="B382" s="22" t="s">
        <v>917</v>
      </c>
      <c r="F382" t="s">
        <v>304</v>
      </c>
      <c r="G382" s="47">
        <f>MAX(+input_invoice[[#This Row],[net]]+input_invoice[[#This Row],[tax_iva]]+input_invoice[[#This Row],[tax_irpf]],input_invoice[[#This Row],[net]])</f>
        <v>8.1199999999999992</v>
      </c>
      <c r="H382" s="47">
        <f>input_invoice[[#This Row],[net]]*(MAX(input_invoice[[#This Row],[tax_rate_iva]],0)/100)</f>
        <v>0</v>
      </c>
      <c r="I382" s="47">
        <f>-input_invoice[[#This Row],[net]]*input_invoice[[#This Row],[tax_rate_irpf]]/100</f>
        <v>0</v>
      </c>
      <c r="J382" s="47">
        <v>8.1199999999999992</v>
      </c>
      <c r="K382" t="str">
        <f t="shared" si="11"/>
        <v>it</v>
      </c>
      <c r="L382">
        <v>0</v>
      </c>
      <c r="N382" t="str">
        <f>VLOOKUP(input_invoice[[#This Row],[concept/supplier]],'sel-invoice'!D:E,2,0)</f>
        <v>etsy</v>
      </c>
      <c r="O382" t="str">
        <f>VLOOKUP(input_invoice[[#This Row],[concept/supplier]],'sel-invoice'!D:F,3,0)</f>
        <v>SL</v>
      </c>
      <c r="P382" t="str">
        <f>IF(input_invoice[[#This Row],[entity]]="SL","EUR",IF(input_invoice[[#This Row],[entity]]="Ltd","GBP",IF(input_invoice[[#This Row],[entity]]="Inc","USD","XXX")))</f>
        <v>EUR</v>
      </c>
    </row>
    <row r="383" spans="1:16" hidden="1" x14ac:dyDescent="0.3">
      <c r="A383">
        <v>202503</v>
      </c>
      <c r="B383" s="22" t="s">
        <v>917</v>
      </c>
      <c r="F383" t="s">
        <v>49</v>
      </c>
      <c r="G383" s="47">
        <f>MAX(+input_invoice[[#This Row],[net]]+input_invoice[[#This Row],[tax_iva]]+input_invoice[[#This Row],[tax_irpf]],input_invoice[[#This Row],[net]])</f>
        <v>519.52560000000005</v>
      </c>
      <c r="H383" s="47">
        <f>input_invoice[[#This Row],[net]]*(MAX(input_invoice[[#This Row],[tax_rate_iva]],0)/100)</f>
        <v>90.165599999999998</v>
      </c>
      <c r="I383" s="47">
        <f>-input_invoice[[#This Row],[net]]*input_invoice[[#This Row],[tax_rate_irpf]]/100</f>
        <v>0</v>
      </c>
      <c r="J383" s="47">
        <v>429.36</v>
      </c>
      <c r="K383" t="str">
        <f t="shared" si="11"/>
        <v>manufacturing</v>
      </c>
      <c r="L383">
        <v>21</v>
      </c>
      <c r="N383" t="str">
        <f>VLOOKUP(input_invoice[[#This Row],[concept/supplier]],'sel-invoice'!D:E,2,0)</f>
        <v>euroembalaje</v>
      </c>
      <c r="O383" t="str">
        <f>VLOOKUP(input_invoice[[#This Row],[concept/supplier]],'sel-invoice'!D:F,3,0)</f>
        <v>SL</v>
      </c>
      <c r="P383" t="str">
        <f>IF(input_invoice[[#This Row],[entity]]="SL","EUR",IF(input_invoice[[#This Row],[entity]]="Ltd","GBP",IF(input_invoice[[#This Row],[entity]]="Inc","USD","XXX")))</f>
        <v>EUR</v>
      </c>
    </row>
    <row r="384" spans="1:16" hidden="1" x14ac:dyDescent="0.3">
      <c r="A384">
        <v>202503</v>
      </c>
      <c r="B384" s="22" t="s">
        <v>917</v>
      </c>
      <c r="F384" t="s">
        <v>135</v>
      </c>
      <c r="G384" s="47">
        <f>MAX(+input_invoice[[#This Row],[net]]+input_invoice[[#This Row],[tax_iva]]+input_invoice[[#This Row],[tax_irpf]],input_invoice[[#This Row],[net]])</f>
        <v>21.08</v>
      </c>
      <c r="H384" s="47">
        <f>input_invoice[[#This Row],[net]]*(MAX(input_invoice[[#This Row],[tax_rate_iva]],0)/100)</f>
        <v>0</v>
      </c>
      <c r="I384" s="47">
        <f>-input_invoice[[#This Row],[net]]*input_invoice[[#This Row],[tax_rate_irpf]]/100</f>
        <v>0</v>
      </c>
      <c r="J384" s="47">
        <v>21.08</v>
      </c>
      <c r="K384" t="str">
        <f t="shared" si="11"/>
        <v>it</v>
      </c>
      <c r="L384">
        <v>0</v>
      </c>
      <c r="N384" t="str">
        <f>VLOOKUP(input_invoice[[#This Row],[concept/supplier]],'sel-invoice'!D:E,2,0)</f>
        <v>Geotargetly</v>
      </c>
      <c r="O384" t="str">
        <f>VLOOKUP(input_invoice[[#This Row],[concept/supplier]],'sel-invoice'!D:F,3,0)</f>
        <v>SL</v>
      </c>
      <c r="P384" t="str">
        <f>IF(input_invoice[[#This Row],[entity]]="SL","EUR",IF(input_invoice[[#This Row],[entity]]="Ltd","GBP",IF(input_invoice[[#This Row],[entity]]="Inc","USD","XXX")))</f>
        <v>EUR</v>
      </c>
    </row>
    <row r="385" spans="1:18" hidden="1" x14ac:dyDescent="0.3">
      <c r="A385">
        <v>202503</v>
      </c>
      <c r="B385" s="22" t="s">
        <v>917</v>
      </c>
      <c r="F385" t="s">
        <v>51</v>
      </c>
      <c r="G385" s="47">
        <f>MAX(+input_invoice[[#This Row],[net]]+input_invoice[[#This Row],[tax_iva]]+input_invoice[[#This Row],[tax_irpf]],input_invoice[[#This Row],[net]])</f>
        <v>6954.2330000000002</v>
      </c>
      <c r="H385" s="47">
        <f>input_invoice[[#This Row],[net]]*(MAX(input_invoice[[#This Row],[tax_rate_iva]],0)/100)</f>
        <v>1206.933</v>
      </c>
      <c r="I385" s="47">
        <f>-input_invoice[[#This Row],[net]]*input_invoice[[#This Row],[tax_rate_irpf]]/100</f>
        <v>0</v>
      </c>
      <c r="J385" s="47">
        <v>5747.3</v>
      </c>
      <c r="K385" t="str">
        <f t="shared" si="11"/>
        <v>logistics</v>
      </c>
      <c r="L385">
        <v>21</v>
      </c>
      <c r="N385" t="str">
        <f>VLOOKUP(input_invoice[[#This Row],[concept/supplier]],'sel-invoice'!D:E,2,0)</f>
        <v>GLS</v>
      </c>
      <c r="O385" t="str">
        <f>VLOOKUP(input_invoice[[#This Row],[concept/supplier]],'sel-invoice'!D:F,3,0)</f>
        <v>SL</v>
      </c>
      <c r="P385" t="str">
        <f>IF(input_invoice[[#This Row],[entity]]="SL","EUR",IF(input_invoice[[#This Row],[entity]]="Ltd","GBP",IF(input_invoice[[#This Row],[entity]]="Inc","USD","XXX")))</f>
        <v>EUR</v>
      </c>
    </row>
    <row r="386" spans="1:18" hidden="1" x14ac:dyDescent="0.3">
      <c r="A386">
        <v>202503</v>
      </c>
      <c r="B386" s="22" t="s">
        <v>917</v>
      </c>
      <c r="F386" t="s">
        <v>133</v>
      </c>
      <c r="G386" s="47">
        <f>MAX(+input_invoice[[#This Row],[net]]+input_invoice[[#This Row],[tax_iva]]+input_invoice[[#This Row],[tax_irpf]],input_invoice[[#This Row],[net]])</f>
        <v>150.44999999999999</v>
      </c>
      <c r="H386" s="47">
        <f>input_invoice[[#This Row],[net]]*(MAX(input_invoice[[#This Row],[tax_rate_iva]],0)/100)</f>
        <v>0</v>
      </c>
      <c r="I386" s="47">
        <f>-input_invoice[[#This Row],[net]]*input_invoice[[#This Row],[tax_rate_irpf]]/100</f>
        <v>0</v>
      </c>
      <c r="J386" s="47">
        <v>150.44999999999999</v>
      </c>
      <c r="K386" t="str">
        <f t="shared" si="11"/>
        <v>it</v>
      </c>
      <c r="L386">
        <v>0</v>
      </c>
      <c r="N386" t="str">
        <f>VLOOKUP(input_invoice[[#This Row],[concept/supplier]],'sel-invoice'!D:E,2,0)</f>
        <v>Gsuite</v>
      </c>
      <c r="O386" t="str">
        <f>VLOOKUP(input_invoice[[#This Row],[concept/supplier]],'sel-invoice'!D:F,3,0)</f>
        <v>SL</v>
      </c>
      <c r="P386" t="str">
        <f>IF(input_invoice[[#This Row],[entity]]="SL","EUR",IF(input_invoice[[#This Row],[entity]]="Ltd","GBP",IF(input_invoice[[#This Row],[entity]]="Inc","USD","XXX")))</f>
        <v>EUR</v>
      </c>
    </row>
    <row r="387" spans="1:18" hidden="1" x14ac:dyDescent="0.3">
      <c r="A387">
        <v>202503</v>
      </c>
      <c r="B387" s="22" t="s">
        <v>917</v>
      </c>
      <c r="F387" t="s">
        <v>127</v>
      </c>
      <c r="G387" s="47">
        <f>MAX(+input_invoice[[#This Row],[net]]+input_invoice[[#This Row],[tax_iva]]+input_invoice[[#This Row],[tax_irpf]],input_invoice[[#This Row],[net]])</f>
        <v>13.189</v>
      </c>
      <c r="H387" s="47">
        <f>input_invoice[[#This Row],[net]]*(MAX(input_invoice[[#This Row],[tax_rate_iva]],0)/100)</f>
        <v>2.2890000000000001</v>
      </c>
      <c r="I387" s="47">
        <f>-input_invoice[[#This Row],[net]]*input_invoice[[#This Row],[tax_rate_irpf]]/100</f>
        <v>0</v>
      </c>
      <c r="J387" s="47">
        <v>10.9</v>
      </c>
      <c r="K387" t="str">
        <f t="shared" si="11"/>
        <v>it</v>
      </c>
      <c r="L387" s="47">
        <v>21</v>
      </c>
      <c r="M387" s="47"/>
      <c r="N387" t="str">
        <f>VLOOKUP(input_invoice[[#This Row],[concept/supplier]],'sel-invoice'!D:E,2,0)</f>
        <v>Hetzner</v>
      </c>
      <c r="O387" t="str">
        <f>VLOOKUP(input_invoice[[#This Row],[concept/supplier]],'sel-invoice'!D:F,3,0)</f>
        <v>SL</v>
      </c>
      <c r="P387" t="str">
        <f>IF(input_invoice[[#This Row],[entity]]="SL","EUR",IF(input_invoice[[#This Row],[entity]]="Ltd","GBP",IF(input_invoice[[#This Row],[entity]]="Inc","USD","XXX")))</f>
        <v>EUR</v>
      </c>
    </row>
    <row r="388" spans="1:18" hidden="1" x14ac:dyDescent="0.3">
      <c r="A388">
        <v>202503</v>
      </c>
      <c r="B388" s="22" t="s">
        <v>917</v>
      </c>
      <c r="F388" t="s">
        <v>68</v>
      </c>
      <c r="G388" s="47">
        <f>MAX(+input_invoice[[#This Row],[net]]+input_invoice[[#This Row],[tax_iva]]+input_invoice[[#This Row],[tax_irpf]],input_invoice[[#This Row],[net]])</f>
        <v>0</v>
      </c>
      <c r="H388" s="47">
        <f>input_invoice[[#This Row],[net]]*(MAX(input_invoice[[#This Row],[tax_rate_iva]],0)/100)</f>
        <v>0</v>
      </c>
      <c r="I388" s="47">
        <f>-input_invoice[[#This Row],[net]]*input_invoice[[#This Row],[tax_rate_irpf]]/100</f>
        <v>0</v>
      </c>
      <c r="J388" s="47">
        <v>0</v>
      </c>
      <c r="K388" t="str">
        <f t="shared" si="11"/>
        <v>payment-suppliers</v>
      </c>
      <c r="L388">
        <v>0</v>
      </c>
      <c r="N388" t="str">
        <f>VLOOKUP(input_invoice[[#This Row],[concept/supplier]],'sel-invoice'!D:E,2,0)</f>
        <v>Amazon Pay</v>
      </c>
      <c r="O388" t="str">
        <f>VLOOKUP(input_invoice[[#This Row],[concept/supplier]],'sel-invoice'!D:F,3,0)</f>
        <v>SL</v>
      </c>
      <c r="P388" t="str">
        <f>IF(input_invoice[[#This Row],[entity]]="SL","EUR",IF(input_invoice[[#This Row],[entity]]="Ltd","GBP",IF(input_invoice[[#This Row],[entity]]="Inc","USD","XXX")))</f>
        <v>EUR</v>
      </c>
      <c r="Q388" t="s">
        <v>908</v>
      </c>
    </row>
    <row r="389" spans="1:18" hidden="1" x14ac:dyDescent="0.3">
      <c r="A389">
        <v>202503</v>
      </c>
      <c r="B389" s="22" t="s">
        <v>917</v>
      </c>
      <c r="F389" t="s">
        <v>76</v>
      </c>
      <c r="G389" s="47">
        <f>MAX(+input_invoice[[#This Row],[net]]+input_invoice[[#This Row],[tax_iva]]+input_invoice[[#This Row],[tax_irpf]],input_invoice[[#This Row],[net]])</f>
        <v>137.13</v>
      </c>
      <c r="H389" s="47">
        <f>input_invoice[[#This Row],[net]]*(MAX(input_invoice[[#This Row],[tax_rate_iva]],0)/100)</f>
        <v>0</v>
      </c>
      <c r="I389" s="47">
        <f>-input_invoice[[#This Row],[net]]*input_invoice[[#This Row],[tax_rate_irpf]]/100</f>
        <v>0</v>
      </c>
      <c r="J389" s="47">
        <v>137.13</v>
      </c>
      <c r="K389" t="str">
        <f t="shared" si="11"/>
        <v>payment-suppliers</v>
      </c>
      <c r="L389">
        <v>0</v>
      </c>
      <c r="N389" t="str">
        <f>VLOOKUP(input_invoice[[#This Row],[concept/supplier]],'sel-invoice'!D:E,2,0)</f>
        <v>Amazon Seller</v>
      </c>
      <c r="O389" t="str">
        <f>VLOOKUP(input_invoice[[#This Row],[concept/supplier]],'sel-invoice'!D:F,3,0)</f>
        <v>SL</v>
      </c>
      <c r="P389" t="str">
        <f>IF(input_invoice[[#This Row],[entity]]="SL","EUR",IF(input_invoice[[#This Row],[entity]]="Ltd","GBP",IF(input_invoice[[#This Row],[entity]]="Inc","USD","XXX")))</f>
        <v>EUR</v>
      </c>
      <c r="Q389" t="s">
        <v>908</v>
      </c>
    </row>
    <row r="390" spans="1:18" hidden="1" x14ac:dyDescent="0.3">
      <c r="A390">
        <v>202503</v>
      </c>
      <c r="B390" s="22" t="s">
        <v>917</v>
      </c>
      <c r="F390" t="s">
        <v>79</v>
      </c>
      <c r="G390" s="47">
        <f>MAX(+input_invoice[[#This Row],[net]]+input_invoice[[#This Row],[tax_iva]]+input_invoice[[#This Row],[tax_irpf]],input_invoice[[#This Row],[net]])</f>
        <v>0</v>
      </c>
      <c r="H390" s="47">
        <f>input_invoice[[#This Row],[net]]*(MAX(input_invoice[[#This Row],[tax_rate_iva]],0)/100)</f>
        <v>0</v>
      </c>
      <c r="I390" s="47">
        <f>-input_invoice[[#This Row],[net]]*input_invoice[[#This Row],[tax_rate_irpf]]/100</f>
        <v>0</v>
      </c>
      <c r="J390" s="47">
        <v>0</v>
      </c>
      <c r="K390" t="str">
        <f t="shared" si="11"/>
        <v>payment-suppliers</v>
      </c>
      <c r="L390">
        <v>0</v>
      </c>
      <c r="N390" t="str">
        <f>VLOOKUP(input_invoice[[#This Row],[concept/supplier]],'sel-invoice'!D:E,2,0)</f>
        <v>Home24</v>
      </c>
      <c r="O390" t="str">
        <f>VLOOKUP(input_invoice[[#This Row],[concept/supplier]],'sel-invoice'!D:F,3,0)</f>
        <v>SL</v>
      </c>
      <c r="P390" t="str">
        <f>IF(input_invoice[[#This Row],[entity]]="SL","EUR",IF(input_invoice[[#This Row],[entity]]="Ltd","GBP",IF(input_invoice[[#This Row],[entity]]="Inc","USD","XXX")))</f>
        <v>EUR</v>
      </c>
      <c r="Q390" t="s">
        <v>908</v>
      </c>
    </row>
    <row r="391" spans="1:18" hidden="1" x14ac:dyDescent="0.3">
      <c r="A391">
        <v>202503</v>
      </c>
      <c r="B391" s="22" t="s">
        <v>917</v>
      </c>
      <c r="F391" t="s">
        <v>70</v>
      </c>
      <c r="G391" s="47">
        <f>MAX(+input_invoice[[#This Row],[net]]+input_invoice[[#This Row],[tax_iva]]+input_invoice[[#This Row],[tax_irpf]],input_invoice[[#This Row],[net]])</f>
        <v>69.27</v>
      </c>
      <c r="H391" s="47">
        <f>input_invoice[[#This Row],[net]]*(MAX(input_invoice[[#This Row],[tax_rate_iva]],0)/100)</f>
        <v>0</v>
      </c>
      <c r="I391" s="47">
        <f>-input_invoice[[#This Row],[net]]*input_invoice[[#This Row],[tax_rate_irpf]]/100</f>
        <v>0</v>
      </c>
      <c r="J391" s="47">
        <v>69.27</v>
      </c>
      <c r="K391" t="str">
        <f t="shared" si="11"/>
        <v>payment-suppliers</v>
      </c>
      <c r="L391">
        <v>0</v>
      </c>
      <c r="N391" t="str">
        <f>VLOOKUP(input_invoice[[#This Row],[concept/supplier]],'sel-invoice'!D:E,2,0)</f>
        <v>Klarna</v>
      </c>
      <c r="O391" t="str">
        <f>VLOOKUP(input_invoice[[#This Row],[concept/supplier]],'sel-invoice'!D:F,3,0)</f>
        <v>SL</v>
      </c>
      <c r="P391" t="str">
        <f>IF(input_invoice[[#This Row],[entity]]="SL","EUR",IF(input_invoice[[#This Row],[entity]]="Ltd","GBP",IF(input_invoice[[#This Row],[entity]]="Inc","USD","XXX")))</f>
        <v>EUR</v>
      </c>
      <c r="Q391" t="s">
        <v>908</v>
      </c>
    </row>
    <row r="392" spans="1:18" hidden="1" x14ac:dyDescent="0.3">
      <c r="A392">
        <v>202503</v>
      </c>
      <c r="B392" s="22" t="s">
        <v>917</v>
      </c>
      <c r="F392" t="s">
        <v>78</v>
      </c>
      <c r="G392" s="47">
        <f>MAX(+input_invoice[[#This Row],[net]]+input_invoice[[#This Row],[tax_iva]]+input_invoice[[#This Row],[tax_irpf]],input_invoice[[#This Row],[net]])</f>
        <v>0</v>
      </c>
      <c r="H392" s="47">
        <f>input_invoice[[#This Row],[net]]*(MAX(input_invoice[[#This Row],[tax_rate_iva]],0)/100)</f>
        <v>0</v>
      </c>
      <c r="I392" s="47">
        <f>-input_invoice[[#This Row],[net]]*input_invoice[[#This Row],[tax_rate_irpf]]/100</f>
        <v>0</v>
      </c>
      <c r="J392" s="47">
        <v>0</v>
      </c>
      <c r="K392" t="str">
        <f t="shared" si="11"/>
        <v>payment-suppliers</v>
      </c>
      <c r="L392">
        <v>0</v>
      </c>
      <c r="N392" t="str">
        <f>VLOOKUP(input_invoice[[#This Row],[concept/supplier]],'sel-invoice'!D:E,2,0)</f>
        <v>Leroy Merlin</v>
      </c>
      <c r="O392" t="str">
        <f>VLOOKUP(input_invoice[[#This Row],[concept/supplier]],'sel-invoice'!D:F,3,0)</f>
        <v>SL</v>
      </c>
      <c r="P392" t="str">
        <f>IF(input_invoice[[#This Row],[entity]]="SL","EUR",IF(input_invoice[[#This Row],[entity]]="Ltd","GBP",IF(input_invoice[[#This Row],[entity]]="Inc","USD","XXX")))</f>
        <v>EUR</v>
      </c>
      <c r="Q392" t="s">
        <v>908</v>
      </c>
    </row>
    <row r="393" spans="1:18" hidden="1" x14ac:dyDescent="0.3">
      <c r="A393">
        <v>202503</v>
      </c>
      <c r="B393" s="22" t="s">
        <v>917</v>
      </c>
      <c r="F393" t="s">
        <v>77</v>
      </c>
      <c r="G393" s="47">
        <f>MAX(+input_invoice[[#This Row],[net]]+input_invoice[[#This Row],[tax_iva]]+input_invoice[[#This Row],[tax_irpf]],input_invoice[[#This Row],[net]])</f>
        <v>217.39</v>
      </c>
      <c r="H393" s="47">
        <f>input_invoice[[#This Row],[net]]*(MAX(input_invoice[[#This Row],[tax_rate_iva]],0)/100)</f>
        <v>0</v>
      </c>
      <c r="I393" s="47">
        <f>-input_invoice[[#This Row],[net]]*input_invoice[[#This Row],[tax_rate_irpf]]/100</f>
        <v>0</v>
      </c>
      <c r="J393" s="47">
        <v>217.39</v>
      </c>
      <c r="K393" t="str">
        <f t="shared" si="11"/>
        <v>payment-suppliers</v>
      </c>
      <c r="L393">
        <v>0</v>
      </c>
      <c r="N393" t="str">
        <f>VLOOKUP(input_invoice[[#This Row],[concept/supplier]],'sel-invoice'!D:E,2,0)</f>
        <v>Maisons du Monde</v>
      </c>
      <c r="O393" t="str">
        <f>VLOOKUP(input_invoice[[#This Row],[concept/supplier]],'sel-invoice'!D:F,3,0)</f>
        <v>SL</v>
      </c>
      <c r="P393" t="str">
        <f>IF(input_invoice[[#This Row],[entity]]="SL","EUR",IF(input_invoice[[#This Row],[entity]]="Ltd","GBP",IF(input_invoice[[#This Row],[entity]]="Inc","USD","XXX")))</f>
        <v>EUR</v>
      </c>
      <c r="Q393" t="s">
        <v>908</v>
      </c>
    </row>
    <row r="394" spans="1:18" hidden="1" x14ac:dyDescent="0.3">
      <c r="A394">
        <v>202503</v>
      </c>
      <c r="B394" s="22" t="s">
        <v>917</v>
      </c>
      <c r="F394" t="s">
        <v>66</v>
      </c>
      <c r="G394" s="47">
        <f>MAX(+input_invoice[[#This Row],[net]]+input_invoice[[#This Row],[tax_iva]]+input_invoice[[#This Row],[tax_irpf]],input_invoice[[#This Row],[net]])</f>
        <v>1144.57</v>
      </c>
      <c r="H394" s="47">
        <f>input_invoice[[#This Row],[net]]*(MAX(input_invoice[[#This Row],[tax_rate_iva]],0)/100)</f>
        <v>0</v>
      </c>
      <c r="I394" s="47">
        <f>-input_invoice[[#This Row],[net]]*input_invoice[[#This Row],[tax_rate_irpf]]/100</f>
        <v>0</v>
      </c>
      <c r="J394" s="47">
        <v>1144.57</v>
      </c>
      <c r="K394" t="str">
        <f t="shared" si="11"/>
        <v>payment-suppliers</v>
      </c>
      <c r="L394">
        <v>0</v>
      </c>
      <c r="N394" t="str">
        <f>VLOOKUP(input_invoice[[#This Row],[concept/supplier]],'sel-invoice'!D:E,2,0)</f>
        <v>Paypal</v>
      </c>
      <c r="O394" t="str">
        <f>VLOOKUP(input_invoice[[#This Row],[concept/supplier]],'sel-invoice'!D:F,3,0)</f>
        <v>SL</v>
      </c>
      <c r="P394" t="str">
        <f>IF(input_invoice[[#This Row],[entity]]="SL","EUR",IF(input_invoice[[#This Row],[entity]]="Ltd","GBP",IF(input_invoice[[#This Row],[entity]]="Inc","USD","XXX")))</f>
        <v>EUR</v>
      </c>
      <c r="Q394" t="s">
        <v>908</v>
      </c>
    </row>
    <row r="395" spans="1:18" hidden="1" x14ac:dyDescent="0.3">
      <c r="A395">
        <v>202503</v>
      </c>
      <c r="B395" s="22" t="s">
        <v>917</v>
      </c>
      <c r="F395" t="s">
        <v>72</v>
      </c>
      <c r="G395" s="47">
        <f>MAX(+input_invoice[[#This Row],[net]]+input_invoice[[#This Row],[tax_iva]]+input_invoice[[#This Row],[tax_irpf]],input_invoice[[#This Row],[net]])</f>
        <v>0.75</v>
      </c>
      <c r="H395" s="47">
        <f>input_invoice[[#This Row],[net]]*(MAX(input_invoice[[#This Row],[tax_rate_iva]],0)/100)</f>
        <v>0</v>
      </c>
      <c r="I395" s="47">
        <f>-input_invoice[[#This Row],[net]]*input_invoice[[#This Row],[tax_rate_irpf]]/100</f>
        <v>0</v>
      </c>
      <c r="J395" s="47">
        <v>0.75</v>
      </c>
      <c r="K395" t="str">
        <f t="shared" si="11"/>
        <v>payment-suppliers</v>
      </c>
      <c r="L395">
        <v>0</v>
      </c>
      <c r="N395" t="str">
        <f>VLOOKUP(input_invoice[[#This Row],[concept/supplier]],'sel-invoice'!D:E,2,0)</f>
        <v>Revolut</v>
      </c>
      <c r="O395" t="str">
        <f>VLOOKUP(input_invoice[[#This Row],[concept/supplier]],'sel-invoice'!D:F,3,0)</f>
        <v>SL</v>
      </c>
      <c r="P395" t="str">
        <f>IF(input_invoice[[#This Row],[entity]]="SL","EUR",IF(input_invoice[[#This Row],[entity]]="Ltd","GBP",IF(input_invoice[[#This Row],[entity]]="Inc","USD","XXX")))</f>
        <v>EUR</v>
      </c>
      <c r="Q395" t="s">
        <v>908</v>
      </c>
    </row>
    <row r="396" spans="1:18" hidden="1" x14ac:dyDescent="0.3">
      <c r="A396">
        <v>202503</v>
      </c>
      <c r="B396" s="22" t="s">
        <v>917</v>
      </c>
      <c r="F396" t="s">
        <v>74</v>
      </c>
      <c r="G396" s="47">
        <f>MAX(+input_invoice[[#This Row],[net]]+input_invoice[[#This Row],[tax_iva]]+input_invoice[[#This Row],[tax_irpf]],input_invoice[[#This Row],[net]])</f>
        <v>0</v>
      </c>
      <c r="H396" s="47">
        <f>input_invoice[[#This Row],[net]]*(MAX(input_invoice[[#This Row],[tax_rate_iva]],0)/100)</f>
        <v>0</v>
      </c>
      <c r="I396" s="47">
        <f>-input_invoice[[#This Row],[net]]*input_invoice[[#This Row],[tax_rate_irpf]]/100</f>
        <v>0</v>
      </c>
      <c r="J396" s="47">
        <v>0</v>
      </c>
      <c r="K396" t="str">
        <f t="shared" si="11"/>
        <v>payment-suppliers</v>
      </c>
      <c r="L396">
        <v>0</v>
      </c>
      <c r="N396" t="str">
        <f>VLOOKUP(input_invoice[[#This Row],[concept/supplier]],'sel-invoice'!D:E,2,0)</f>
        <v>SeQura</v>
      </c>
      <c r="O396" t="str">
        <f>VLOOKUP(input_invoice[[#This Row],[concept/supplier]],'sel-invoice'!D:F,3,0)</f>
        <v>SL</v>
      </c>
      <c r="P396" t="str">
        <f>IF(input_invoice[[#This Row],[entity]]="SL","EUR",IF(input_invoice[[#This Row],[entity]]="Ltd","GBP",IF(input_invoice[[#This Row],[entity]]="Inc","USD","XXX")))</f>
        <v>EUR</v>
      </c>
      <c r="Q396" t="s">
        <v>908</v>
      </c>
    </row>
    <row r="397" spans="1:18" hidden="1" x14ac:dyDescent="0.3">
      <c r="A397">
        <v>202503</v>
      </c>
      <c r="B397" s="22" t="s">
        <v>917</v>
      </c>
      <c r="F397" t="s">
        <v>65</v>
      </c>
      <c r="G397" s="47">
        <f>MAX(+input_invoice[[#This Row],[net]]+input_invoice[[#This Row],[tax_iva]]+input_invoice[[#This Row],[tax_irpf]],input_invoice[[#This Row],[net]])</f>
        <v>3011.7500000000005</v>
      </c>
      <c r="H397" s="47">
        <f>input_invoice[[#This Row],[net]]*(MAX(input_invoice[[#This Row],[tax_rate_iva]],0)/100)</f>
        <v>0</v>
      </c>
      <c r="I397" s="47">
        <f>-input_invoice[[#This Row],[net]]*input_invoice[[#This Row],[tax_rate_irpf]]/100</f>
        <v>0</v>
      </c>
      <c r="J397" s="47">
        <v>3011.7500000000005</v>
      </c>
      <c r="K397" t="str">
        <f t="shared" si="11"/>
        <v>payment-suppliers</v>
      </c>
      <c r="L397">
        <v>0</v>
      </c>
      <c r="N397" t="str">
        <f>VLOOKUP(input_invoice[[#This Row],[concept/supplier]],'sel-invoice'!D:E,2,0)</f>
        <v>Shopify</v>
      </c>
      <c r="O397" t="str">
        <f>VLOOKUP(input_invoice[[#This Row],[concept/supplier]],'sel-invoice'!D:F,3,0)</f>
        <v>SL</v>
      </c>
      <c r="P397" t="str">
        <f>IF(input_invoice[[#This Row],[entity]]="SL","EUR",IF(input_invoice[[#This Row],[entity]]="Ltd","GBP",IF(input_invoice[[#This Row],[entity]]="Inc","USD","XXX")))</f>
        <v>EUR</v>
      </c>
      <c r="Q397" t="s">
        <v>908</v>
      </c>
      <c r="R397" s="267" t="b">
        <v>1</v>
      </c>
    </row>
    <row r="398" spans="1:18" hidden="1" x14ac:dyDescent="0.3">
      <c r="A398">
        <v>202503</v>
      </c>
      <c r="B398" s="22" t="s">
        <v>917</v>
      </c>
      <c r="F398" t="s">
        <v>139</v>
      </c>
      <c r="G398" s="47">
        <v>1</v>
      </c>
      <c r="H398" s="47">
        <f>input_invoice[[#This Row],[net]]*(MAX(input_invoice[[#This Row],[tax_rate_iva]],0)/100)</f>
        <v>0</v>
      </c>
      <c r="I398" s="47">
        <f>-input_invoice[[#This Row],[net]]*input_invoice[[#This Row],[tax_rate_irpf]]/100</f>
        <v>0</v>
      </c>
      <c r="K398" t="str">
        <f t="shared" si="11"/>
        <v>it</v>
      </c>
      <c r="L398">
        <v>21</v>
      </c>
      <c r="N398" t="str">
        <f>VLOOKUP(input_invoice[[#This Row],[concept/supplier]],'sel-invoice'!D:E,2,0)</f>
        <v>Mas Movil</v>
      </c>
      <c r="O398" t="str">
        <f>VLOOKUP(input_invoice[[#This Row],[concept/supplier]],'sel-invoice'!D:F,3,0)</f>
        <v>SL</v>
      </c>
      <c r="P398" t="str">
        <f>IF(input_invoice[[#This Row],[entity]]="SL","EUR",IF(input_invoice[[#This Row],[entity]]="Ltd","GBP",IF(input_invoice[[#This Row],[entity]]="Inc","USD","XXX")))</f>
        <v>EUR</v>
      </c>
    </row>
    <row r="399" spans="1:18" hidden="1" x14ac:dyDescent="0.3">
      <c r="A399">
        <v>202503</v>
      </c>
      <c r="B399" s="22" t="s">
        <v>917</v>
      </c>
      <c r="F399" t="s">
        <v>45</v>
      </c>
      <c r="G399" s="47">
        <f>MAX(+input_invoice[[#This Row],[net]]+input_invoice[[#This Row],[tax_iva]]+input_invoice[[#This Row],[tax_irpf]],input_invoice[[#This Row],[net]])</f>
        <v>1045.26</v>
      </c>
      <c r="H399" s="47">
        <f>input_invoice[[#This Row],[net]]*(MAX(input_invoice[[#This Row],[tax_rate_iva]],0)/100)</f>
        <v>174.21</v>
      </c>
      <c r="I399" s="47">
        <f>-input_invoice[[#This Row],[net]]*input_invoice[[#This Row],[tax_rate_irpf]]/100</f>
        <v>0</v>
      </c>
      <c r="J399" s="47">
        <v>871.05</v>
      </c>
      <c r="K399" t="str">
        <f t="shared" si="11"/>
        <v>manufacturing</v>
      </c>
      <c r="L399">
        <v>20</v>
      </c>
      <c r="N399" t="str">
        <f>VLOOKUP(input_invoice[[#This Row],[concept/supplier]],'sel-invoice'!D:E,2,0)</f>
        <v>MB Editions</v>
      </c>
      <c r="O399" t="str">
        <f>VLOOKUP(input_invoice[[#This Row],[concept/supplier]],'sel-invoice'!D:F,3,0)</f>
        <v>SL</v>
      </c>
      <c r="P399" t="str">
        <f>IF(input_invoice[[#This Row],[entity]]="SL","EUR",IF(input_invoice[[#This Row],[entity]]="Ltd","GBP",IF(input_invoice[[#This Row],[entity]]="Inc","USD","XXX")))</f>
        <v>EUR</v>
      </c>
    </row>
    <row r="400" spans="1:18" hidden="1" x14ac:dyDescent="0.3">
      <c r="A400">
        <v>202503</v>
      </c>
      <c r="B400" s="22" t="s">
        <v>917</v>
      </c>
      <c r="F400" t="s">
        <v>45</v>
      </c>
      <c r="G400" s="47">
        <f>MAX(+input_invoice[[#This Row],[net]]+input_invoice[[#This Row],[tax_iva]]+input_invoice[[#This Row],[tax_irpf]],input_invoice[[#This Row],[net]])</f>
        <v>575.84400000000005</v>
      </c>
      <c r="H400" s="47">
        <f>input_invoice[[#This Row],[net]]*(MAX(input_invoice[[#This Row],[tax_rate_iva]],0)/100)</f>
        <v>95.974000000000004</v>
      </c>
      <c r="I400" s="47">
        <f>-input_invoice[[#This Row],[net]]*input_invoice[[#This Row],[tax_rate_irpf]]/100</f>
        <v>0</v>
      </c>
      <c r="J400" s="47">
        <v>479.87</v>
      </c>
      <c r="K400" t="str">
        <f t="shared" si="11"/>
        <v>manufacturing</v>
      </c>
      <c r="L400">
        <v>20</v>
      </c>
      <c r="N400" t="str">
        <f>VLOOKUP(input_invoice[[#This Row],[concept/supplier]],'sel-invoice'!D:E,2,0)</f>
        <v>MB Editions</v>
      </c>
      <c r="O400" t="str">
        <f>VLOOKUP(input_invoice[[#This Row],[concept/supplier]],'sel-invoice'!D:F,3,0)</f>
        <v>SL</v>
      </c>
      <c r="P400" t="str">
        <f>IF(input_invoice[[#This Row],[entity]]="SL","EUR",IF(input_invoice[[#This Row],[entity]]="Ltd","GBP",IF(input_invoice[[#This Row],[entity]]="Inc","USD","XXX")))</f>
        <v>EUR</v>
      </c>
    </row>
    <row r="401" spans="1:18" hidden="1" x14ac:dyDescent="0.3">
      <c r="A401">
        <v>202503</v>
      </c>
      <c r="B401" s="22" t="s">
        <v>917</v>
      </c>
      <c r="F401" t="s">
        <v>45</v>
      </c>
      <c r="G401" s="47">
        <f>MAX(+input_invoice[[#This Row],[net]]+input_invoice[[#This Row],[tax_iva]]+input_invoice[[#This Row],[tax_irpf]],input_invoice[[#This Row],[net]])</f>
        <v>831.92399999999998</v>
      </c>
      <c r="H401" s="47">
        <f>input_invoice[[#This Row],[net]]*(MAX(input_invoice[[#This Row],[tax_rate_iva]],0)/100)</f>
        <v>138.654</v>
      </c>
      <c r="I401" s="47">
        <f>-input_invoice[[#This Row],[net]]*input_invoice[[#This Row],[tax_rate_irpf]]/100</f>
        <v>0</v>
      </c>
      <c r="J401" s="47">
        <v>693.27</v>
      </c>
      <c r="K401" t="str">
        <f t="shared" si="11"/>
        <v>manufacturing</v>
      </c>
      <c r="L401">
        <v>20</v>
      </c>
      <c r="N401" t="str">
        <f>VLOOKUP(input_invoice[[#This Row],[concept/supplier]],'sel-invoice'!D:E,2,0)</f>
        <v>MB Editions</v>
      </c>
      <c r="O401" t="str">
        <f>VLOOKUP(input_invoice[[#This Row],[concept/supplier]],'sel-invoice'!D:F,3,0)</f>
        <v>SL</v>
      </c>
      <c r="P401" t="str">
        <f>IF(input_invoice[[#This Row],[entity]]="SL","EUR",IF(input_invoice[[#This Row],[entity]]="Ltd","GBP",IF(input_invoice[[#This Row],[entity]]="Inc","USD","XXX")))</f>
        <v>EUR</v>
      </c>
    </row>
    <row r="402" spans="1:18" hidden="1" x14ac:dyDescent="0.3">
      <c r="A402">
        <v>202503</v>
      </c>
      <c r="B402" s="22" t="s">
        <v>917</v>
      </c>
      <c r="F402" t="s">
        <v>45</v>
      </c>
      <c r="G402" s="47">
        <f>MAX(+input_invoice[[#This Row],[net]]+input_invoice[[#This Row],[tax_iva]]+input_invoice[[#This Row],[tax_irpf]],input_invoice[[#This Row],[net]])</f>
        <v>1706.1479999999999</v>
      </c>
      <c r="H402" s="47">
        <f>input_invoice[[#This Row],[net]]*(MAX(input_invoice[[#This Row],[tax_rate_iva]],0)/100)</f>
        <v>284.358</v>
      </c>
      <c r="I402" s="47">
        <f>-input_invoice[[#This Row],[net]]*input_invoice[[#This Row],[tax_rate_irpf]]/100</f>
        <v>0</v>
      </c>
      <c r="J402" s="47">
        <v>1421.79</v>
      </c>
      <c r="K402" t="str">
        <f t="shared" si="11"/>
        <v>manufacturing</v>
      </c>
      <c r="L402">
        <v>20</v>
      </c>
      <c r="N402" t="str">
        <f>VLOOKUP(input_invoice[[#This Row],[concept/supplier]],'sel-invoice'!D:E,2,0)</f>
        <v>MB Editions</v>
      </c>
      <c r="O402" t="str">
        <f>VLOOKUP(input_invoice[[#This Row],[concept/supplier]],'sel-invoice'!D:F,3,0)</f>
        <v>SL</v>
      </c>
      <c r="P402" t="str">
        <f>IF(input_invoice[[#This Row],[entity]]="SL","EUR",IF(input_invoice[[#This Row],[entity]]="Ltd","GBP",IF(input_invoice[[#This Row],[entity]]="Inc","USD","XXX")))</f>
        <v>EUR</v>
      </c>
    </row>
    <row r="403" spans="1:18" hidden="1" x14ac:dyDescent="0.3">
      <c r="A403">
        <v>202503</v>
      </c>
      <c r="B403" s="22" t="s">
        <v>917</v>
      </c>
      <c r="F403" t="s">
        <v>45</v>
      </c>
      <c r="G403" s="47">
        <f>MAX(+input_invoice[[#This Row],[net]]+input_invoice[[#This Row],[tax_iva]]+input_invoice[[#This Row],[tax_irpf]],input_invoice[[#This Row],[net]])</f>
        <v>1394.5439999999999</v>
      </c>
      <c r="H403" s="47">
        <f>input_invoice[[#This Row],[net]]*(MAX(input_invoice[[#This Row],[tax_rate_iva]],0)/100)</f>
        <v>232.42399999999998</v>
      </c>
      <c r="I403" s="47">
        <f>-input_invoice[[#This Row],[net]]*input_invoice[[#This Row],[tax_rate_irpf]]/100</f>
        <v>0</v>
      </c>
      <c r="J403" s="47">
        <v>1162.1199999999999</v>
      </c>
      <c r="K403" t="str">
        <f t="shared" si="11"/>
        <v>manufacturing</v>
      </c>
      <c r="L403">
        <v>20</v>
      </c>
      <c r="N403" t="str">
        <f>VLOOKUP(input_invoice[[#This Row],[concept/supplier]],'sel-invoice'!D:E,2,0)</f>
        <v>MB Editions</v>
      </c>
      <c r="O403" t="str">
        <f>VLOOKUP(input_invoice[[#This Row],[concept/supplier]],'sel-invoice'!D:F,3,0)</f>
        <v>SL</v>
      </c>
      <c r="P403" t="str">
        <f>IF(input_invoice[[#This Row],[entity]]="SL","EUR",IF(input_invoice[[#This Row],[entity]]="Ltd","GBP",IF(input_invoice[[#This Row],[entity]]="Inc","USD","XXX")))</f>
        <v>EUR</v>
      </c>
    </row>
    <row r="404" spans="1:18" hidden="1" x14ac:dyDescent="0.3">
      <c r="A404">
        <v>202503</v>
      </c>
      <c r="B404" s="22" t="s">
        <v>917</v>
      </c>
      <c r="F404" t="s">
        <v>129</v>
      </c>
      <c r="G404" s="47">
        <f>MAX(+input_invoice[[#This Row],[net]]+input_invoice[[#This Row],[tax_iva]]+input_invoice[[#This Row],[tax_irpf]],input_invoice[[#This Row],[net]])</f>
        <v>23.716000000000001</v>
      </c>
      <c r="H404" s="47">
        <f>input_invoice[[#This Row],[net]]*(MAX(input_invoice[[#This Row],[tax_rate_iva]],0)/100)</f>
        <v>4.1160000000000005</v>
      </c>
      <c r="I404" s="47">
        <f>-input_invoice[[#This Row],[net]]*input_invoice[[#This Row],[tax_rate_irpf]]/100</f>
        <v>0</v>
      </c>
      <c r="J404" s="47">
        <v>19.600000000000001</v>
      </c>
      <c r="K404" t="str">
        <f t="shared" si="11"/>
        <v>it</v>
      </c>
      <c r="L404">
        <v>21</v>
      </c>
      <c r="N404" t="str">
        <f>VLOOKUP(input_invoice[[#This Row],[concept/supplier]],'sel-invoice'!D:E,2,0)</f>
        <v>Microsoft</v>
      </c>
      <c r="O404" t="str">
        <f>VLOOKUP(input_invoice[[#This Row],[concept/supplier]],'sel-invoice'!D:F,3,0)</f>
        <v>SL</v>
      </c>
      <c r="P404" t="str">
        <f>IF(input_invoice[[#This Row],[entity]]="SL","EUR",IF(input_invoice[[#This Row],[entity]]="Ltd","GBP",IF(input_invoice[[#This Row],[entity]]="Inc","USD","XXX")))</f>
        <v>EUR</v>
      </c>
    </row>
    <row r="405" spans="1:18" hidden="1" x14ac:dyDescent="0.3">
      <c r="A405">
        <v>202503</v>
      </c>
      <c r="B405" s="22" t="s">
        <v>917</v>
      </c>
      <c r="F405" t="s">
        <v>129</v>
      </c>
      <c r="G405" s="47">
        <f>MAX(+input_invoice[[#This Row],[net]]+input_invoice[[#This Row],[tax_iva]]+input_invoice[[#This Row],[tax_irpf]],input_invoice[[#This Row],[net]])</f>
        <v>22.748000000000001</v>
      </c>
      <c r="H405" s="47">
        <f>input_invoice[[#This Row],[net]]*(MAX(input_invoice[[#This Row],[tax_rate_iva]],0)/100)</f>
        <v>3.948</v>
      </c>
      <c r="I405" s="47">
        <f>-input_invoice[[#This Row],[net]]*input_invoice[[#This Row],[tax_rate_irpf]]/100</f>
        <v>0</v>
      </c>
      <c r="J405" s="47">
        <v>18.8</v>
      </c>
      <c r="K405" t="str">
        <f t="shared" si="11"/>
        <v>it</v>
      </c>
      <c r="L405">
        <v>21</v>
      </c>
      <c r="N405" t="str">
        <f>VLOOKUP(input_invoice[[#This Row],[concept/supplier]],'sel-invoice'!D:E,2,0)</f>
        <v>Microsoft</v>
      </c>
      <c r="O405" t="str">
        <f>VLOOKUP(input_invoice[[#This Row],[concept/supplier]],'sel-invoice'!D:F,3,0)</f>
        <v>SL</v>
      </c>
      <c r="P405" t="str">
        <f>IF(input_invoice[[#This Row],[entity]]="SL","EUR",IF(input_invoice[[#This Row],[entity]]="Ltd","GBP",IF(input_invoice[[#This Row],[entity]]="Inc","USD","XXX")))</f>
        <v>EUR</v>
      </c>
    </row>
    <row r="406" spans="1:18" hidden="1" x14ac:dyDescent="0.3">
      <c r="A406">
        <v>202503</v>
      </c>
      <c r="B406" s="22" t="s">
        <v>917</v>
      </c>
      <c r="F406" t="s">
        <v>41</v>
      </c>
      <c r="G406" s="47">
        <f>MAX(+input_invoice[[#This Row],[net]]+input_invoice[[#This Row],[tax_iva]]+input_invoice[[#This Row],[tax_irpf]],input_invoice[[#This Row],[net]])</f>
        <v>2882.6072000000004</v>
      </c>
      <c r="H406" s="47">
        <f>input_invoice[[#This Row],[net]]*(MAX(input_invoice[[#This Row],[tax_rate_iva]],0)/100)</f>
        <v>500.28720000000004</v>
      </c>
      <c r="I406" s="47">
        <f>-input_invoice[[#This Row],[net]]*input_invoice[[#This Row],[tax_rate_irpf]]/100</f>
        <v>0</v>
      </c>
      <c r="J406" s="47">
        <v>2382.3200000000002</v>
      </c>
      <c r="K406" t="str">
        <f t="shared" si="11"/>
        <v>manufacturing</v>
      </c>
      <c r="L406">
        <v>21</v>
      </c>
      <c r="N406" t="str">
        <f>VLOOKUP(input_invoice[[#This Row],[concept/supplier]],'sel-invoice'!D:E,2,0)</f>
        <v>Pressing</v>
      </c>
      <c r="O406" t="str">
        <f>VLOOKUP(input_invoice[[#This Row],[concept/supplier]],'sel-invoice'!D:F,3,0)</f>
        <v>SL</v>
      </c>
      <c r="P406" t="str">
        <f>IF(input_invoice[[#This Row],[entity]]="SL","EUR",IF(input_invoice[[#This Row],[entity]]="Ltd","GBP",IF(input_invoice[[#This Row],[entity]]="Inc","USD","XXX")))</f>
        <v>EUR</v>
      </c>
    </row>
    <row r="407" spans="1:18" hidden="1" x14ac:dyDescent="0.3">
      <c r="A407">
        <v>202503</v>
      </c>
      <c r="B407" s="22" t="s">
        <v>917</v>
      </c>
      <c r="C407" s="48">
        <v>6024127</v>
      </c>
      <c r="D407" s="43">
        <v>45747</v>
      </c>
      <c r="F407" t="s">
        <v>182</v>
      </c>
      <c r="G407" s="47">
        <f>MAX(+input_invoice[[#This Row],[net]]+input_invoice[[#This Row],[tax_iva]]+input_invoice[[#This Row],[tax_irpf]],input_invoice[[#This Row],[net]])</f>
        <v>7542.1680000000006</v>
      </c>
      <c r="H407" s="47">
        <f>input_invoice[[#This Row],[net]]*(MAX(input_invoice[[#This Row],[tax_rate_iva]],0)/100)</f>
        <v>1257.0280000000002</v>
      </c>
      <c r="I407" s="47">
        <f>-input_invoice[[#This Row],[net]]*input_invoice[[#This Row],[tax_rate_irpf]]/100</f>
        <v>0</v>
      </c>
      <c r="J407" s="47">
        <v>6285.14</v>
      </c>
      <c r="K407" t="str">
        <f t="shared" ref="K407:K470" si="12">_xlfn.TEXTBEFORE(F407," - ")</f>
        <v>manufacturing</v>
      </c>
      <c r="L407">
        <v>20</v>
      </c>
      <c r="N407" t="str">
        <f>VLOOKUP(input_invoice[[#This Row],[concept/supplier]],'sel-invoice'!D:E,2,0)</f>
        <v>Proco</v>
      </c>
      <c r="O407" t="str">
        <f>VLOOKUP(input_invoice[[#This Row],[concept/supplier]],'sel-invoice'!D:F,3,0)</f>
        <v>Ltd</v>
      </c>
      <c r="P407" t="str">
        <f>IF(input_invoice[[#This Row],[entity]]="SL","EUR",IF(input_invoice[[#This Row],[entity]]="Ltd","GBP",IF(input_invoice[[#This Row],[entity]]="Inc","USD","XXX")))</f>
        <v>GBP</v>
      </c>
    </row>
    <row r="408" spans="1:18" hidden="1" x14ac:dyDescent="0.3">
      <c r="A408">
        <v>202503</v>
      </c>
      <c r="B408" s="22" t="s">
        <v>917</v>
      </c>
      <c r="C408" s="48">
        <v>6024127</v>
      </c>
      <c r="D408" s="43">
        <v>45747</v>
      </c>
      <c r="F408" t="s">
        <v>194</v>
      </c>
      <c r="G408" s="47">
        <f>MAX(+input_invoice[[#This Row],[net]]+input_invoice[[#This Row],[tax_iva]]+input_invoice[[#This Row],[tax_irpf]],input_invoice[[#This Row],[net]])</f>
        <v>959.04000000000008</v>
      </c>
      <c r="H408" s="47">
        <f>input_invoice[[#This Row],[net]]*(MAX(input_invoice[[#This Row],[tax_rate_iva]],0)/100)</f>
        <v>159.84000000000003</v>
      </c>
      <c r="I408" s="47">
        <f>-input_invoice[[#This Row],[net]]*input_invoice[[#This Row],[tax_rate_irpf]]/100</f>
        <v>0</v>
      </c>
      <c r="J408" s="47">
        <v>799.2</v>
      </c>
      <c r="K408" t="str">
        <f t="shared" si="12"/>
        <v>logistics</v>
      </c>
      <c r="L408">
        <v>20</v>
      </c>
      <c r="N408" t="str">
        <f>VLOOKUP(input_invoice[[#This Row],[concept/supplier]],'sel-invoice'!D:E,2,0)</f>
        <v>Proco</v>
      </c>
      <c r="O408" t="str">
        <f>VLOOKUP(input_invoice[[#This Row],[concept/supplier]],'sel-invoice'!D:F,3,0)</f>
        <v>Ltd</v>
      </c>
      <c r="P408" t="str">
        <f>IF(input_invoice[[#This Row],[entity]]="SL","EUR",IF(input_invoice[[#This Row],[entity]]="Ltd","GBP",IF(input_invoice[[#This Row],[entity]]="Inc","USD","XXX")))</f>
        <v>GBP</v>
      </c>
    </row>
    <row r="409" spans="1:18" hidden="1" x14ac:dyDescent="0.3">
      <c r="A409">
        <v>202503</v>
      </c>
      <c r="B409" s="22" t="s">
        <v>917</v>
      </c>
      <c r="C409" s="48">
        <v>6024127</v>
      </c>
      <c r="D409" s="43">
        <v>45747</v>
      </c>
      <c r="F409" t="s">
        <v>196</v>
      </c>
      <c r="G409" s="47">
        <f>MAX(+input_invoice[[#This Row],[net]]+input_invoice[[#This Row],[tax_iva]]+input_invoice[[#This Row],[tax_irpf]],input_invoice[[#This Row],[net]])</f>
        <v>1805.76</v>
      </c>
      <c r="H409" s="47">
        <f>input_invoice[[#This Row],[net]]*(MAX(input_invoice[[#This Row],[tax_rate_iva]],0)/100)</f>
        <v>300.95999999999998</v>
      </c>
      <c r="I409" s="47">
        <f>-input_invoice[[#This Row],[net]]*input_invoice[[#This Row],[tax_rate_irpf]]/100</f>
        <v>0</v>
      </c>
      <c r="J409" s="47">
        <v>1504.8</v>
      </c>
      <c r="K409" t="str">
        <f t="shared" si="12"/>
        <v>logistics</v>
      </c>
      <c r="L409">
        <v>20</v>
      </c>
      <c r="N409" t="str">
        <f>VLOOKUP(input_invoice[[#This Row],[concept/supplier]],'sel-invoice'!D:E,2,0)</f>
        <v>Proco</v>
      </c>
      <c r="O409" t="str">
        <f>VLOOKUP(input_invoice[[#This Row],[concept/supplier]],'sel-invoice'!D:F,3,0)</f>
        <v>Ltd</v>
      </c>
      <c r="P409" t="str">
        <f>IF(input_invoice[[#This Row],[entity]]="SL","EUR",IF(input_invoice[[#This Row],[entity]]="Ltd","GBP",IF(input_invoice[[#This Row],[entity]]="Inc","USD","XXX")))</f>
        <v>GBP</v>
      </c>
    </row>
    <row r="410" spans="1:18" hidden="1" x14ac:dyDescent="0.3">
      <c r="A410">
        <v>202503</v>
      </c>
      <c r="B410" s="22" t="s">
        <v>917</v>
      </c>
      <c r="C410" s="48">
        <v>6024127</v>
      </c>
      <c r="D410" s="43">
        <v>45747</v>
      </c>
      <c r="F410" t="s">
        <v>184</v>
      </c>
      <c r="G410" s="47">
        <f>MAX(+input_invoice[[#This Row],[net]]+input_invoice[[#This Row],[tax_iva]]+input_invoice[[#This Row],[tax_irpf]],input_invoice[[#This Row],[net]])</f>
        <v>8203.848</v>
      </c>
      <c r="H410" s="47">
        <f>input_invoice[[#This Row],[net]]*(MAX(input_invoice[[#This Row],[tax_rate_iva]],0)/100)</f>
        <v>1367.308</v>
      </c>
      <c r="I410" s="47">
        <f>-input_invoice[[#This Row],[net]]*input_invoice[[#This Row],[tax_rate_irpf]]/100</f>
        <v>0</v>
      </c>
      <c r="J410" s="47">
        <v>6836.54</v>
      </c>
      <c r="K410" t="str">
        <f t="shared" si="12"/>
        <v>manufacturing</v>
      </c>
      <c r="L410">
        <v>20</v>
      </c>
      <c r="N410" t="str">
        <f>VLOOKUP(input_invoice[[#This Row],[concept/supplier]],'sel-invoice'!D:E,2,0)</f>
        <v>Proco</v>
      </c>
      <c r="O410" t="str">
        <f>VLOOKUP(input_invoice[[#This Row],[concept/supplier]],'sel-invoice'!D:F,3,0)</f>
        <v>Ltd</v>
      </c>
      <c r="P410" t="str">
        <f>IF(input_invoice[[#This Row],[entity]]="SL","EUR",IF(input_invoice[[#This Row],[entity]]="Ltd","GBP",IF(input_invoice[[#This Row],[entity]]="Inc","USD","XXX")))</f>
        <v>GBP</v>
      </c>
      <c r="R410" s="259" t="b">
        <v>0</v>
      </c>
    </row>
    <row r="411" spans="1:18" hidden="1" x14ac:dyDescent="0.3">
      <c r="A411">
        <v>202503</v>
      </c>
      <c r="B411" s="22" t="s">
        <v>917</v>
      </c>
      <c r="C411" s="48">
        <v>6024127</v>
      </c>
      <c r="D411" s="43">
        <v>45747</v>
      </c>
      <c r="F411" t="s">
        <v>186</v>
      </c>
      <c r="G411" s="47">
        <f>MAX(+input_invoice[[#This Row],[net]]+input_invoice[[#This Row],[tax_iva]]+input_invoice[[#This Row],[tax_irpf]],input_invoice[[#This Row],[net]])</f>
        <v>1809</v>
      </c>
      <c r="H411" s="47">
        <f>input_invoice[[#This Row],[net]]*(MAX(input_invoice[[#This Row],[tax_rate_iva]],0)/100)</f>
        <v>301.5</v>
      </c>
      <c r="I411" s="47">
        <f>-input_invoice[[#This Row],[net]]*input_invoice[[#This Row],[tax_rate_irpf]]/100</f>
        <v>0</v>
      </c>
      <c r="J411" s="47">
        <v>1507.5</v>
      </c>
      <c r="K411" t="str">
        <f t="shared" si="12"/>
        <v>manufacturing</v>
      </c>
      <c r="L411">
        <v>20</v>
      </c>
      <c r="N411" t="str">
        <f>VLOOKUP(input_invoice[[#This Row],[concept/supplier]],'sel-invoice'!D:E,2,0)</f>
        <v>Proco</v>
      </c>
      <c r="O411" t="str">
        <f>VLOOKUP(input_invoice[[#This Row],[concept/supplier]],'sel-invoice'!D:F,3,0)</f>
        <v>Ltd</v>
      </c>
      <c r="P411" t="str">
        <f>IF(input_invoice[[#This Row],[entity]]="SL","EUR",IF(input_invoice[[#This Row],[entity]]="Ltd","GBP",IF(input_invoice[[#This Row],[entity]]="Inc","USD","XXX")))</f>
        <v>GBP</v>
      </c>
    </row>
    <row r="412" spans="1:18" hidden="1" x14ac:dyDescent="0.3">
      <c r="A412">
        <v>202512</v>
      </c>
      <c r="B412" s="22" t="s">
        <v>917</v>
      </c>
      <c r="C412" s="48">
        <v>201873</v>
      </c>
      <c r="D412" s="43">
        <v>46020</v>
      </c>
      <c r="E412" s="43">
        <v>46050</v>
      </c>
      <c r="F412" t="s">
        <v>46</v>
      </c>
      <c r="G412" s="47">
        <f>MAX(+input_invoice[[#This Row],[net]]+input_invoice[[#This Row],[tax_iva]],input_invoice[[#This Row],[net]])</f>
        <v>500.5</v>
      </c>
      <c r="H412" s="47">
        <f>input_invoice[[#This Row],[net]]*(MAX(input_invoice[[#This Row],[tax_rate_iva]],0)/100)</f>
        <v>0</v>
      </c>
      <c r="I412" s="47">
        <f>-input_invoice[[#This Row],[net]]*input_invoice[[#This Row],[tax_rate_irpf]]/100</f>
        <v>0</v>
      </c>
      <c r="J412" s="47">
        <v>500.5</v>
      </c>
      <c r="K412" t="str">
        <f t="shared" si="12"/>
        <v>logistics</v>
      </c>
      <c r="L412">
        <v>0</v>
      </c>
      <c r="N412" t="str">
        <f>VLOOKUP(input_invoice[[#This Row],[concept/supplier]],'sel-invoice'!D:E,2,0)</f>
        <v>artlink</v>
      </c>
      <c r="O412" t="str">
        <f>VLOOKUP(input_invoice[[#This Row],[concept/supplier]],'sel-invoice'!D:F,3,0)</f>
        <v>SL</v>
      </c>
      <c r="P412" t="str">
        <f>IF(input_invoice[[#This Row],[entity]]="SL","EUR",IF(input_invoice[[#This Row],[entity]]="Ltd","GBP",IF(input_invoice[[#This Row],[entity]]="Inc","USD","XXX")))</f>
        <v>EUR</v>
      </c>
      <c r="Q412" s="199" t="s">
        <v>1270</v>
      </c>
      <c r="R412" s="267" t="b">
        <v>1</v>
      </c>
    </row>
    <row r="413" spans="1:18" hidden="1" x14ac:dyDescent="0.3">
      <c r="A413">
        <v>202503</v>
      </c>
      <c r="B413" s="22" t="s">
        <v>917</v>
      </c>
      <c r="F413" t="s">
        <v>131</v>
      </c>
      <c r="G413" s="47">
        <f>MAX(+input_invoice[[#This Row],[net]]+input_invoice[[#This Row],[tax_iva]]+input_invoice[[#This Row],[tax_irpf]],input_invoice[[#This Row],[net]])</f>
        <v>39</v>
      </c>
      <c r="H413" s="47">
        <f>input_invoice[[#This Row],[net]]*(MAX(input_invoice[[#This Row],[tax_rate_iva]],0)/100)</f>
        <v>0</v>
      </c>
      <c r="I413" s="47">
        <f>-input_invoice[[#This Row],[net]]*input_invoice[[#This Row],[tax_rate_irpf]]/100</f>
        <v>0</v>
      </c>
      <c r="J413" s="47">
        <v>39</v>
      </c>
      <c r="K413" t="str">
        <f t="shared" si="12"/>
        <v>it</v>
      </c>
      <c r="L413">
        <v>0</v>
      </c>
      <c r="N413" t="str">
        <f>VLOOKUP(input_invoice[[#This Row],[concept/supplier]],'sel-invoice'!D:E,2,0)</f>
        <v>Product Hero</v>
      </c>
      <c r="O413" t="str">
        <f>VLOOKUP(input_invoice[[#This Row],[concept/supplier]],'sel-invoice'!D:F,3,0)</f>
        <v>SL</v>
      </c>
      <c r="P413" t="str">
        <f>IF(input_invoice[[#This Row],[entity]]="SL","EUR",IF(input_invoice[[#This Row],[entity]]="Ltd","GBP",IF(input_invoice[[#This Row],[entity]]="Inc","USD","XXX")))</f>
        <v>EUR</v>
      </c>
    </row>
    <row r="414" spans="1:18" hidden="1" x14ac:dyDescent="0.3">
      <c r="A414">
        <v>202503</v>
      </c>
      <c r="B414" s="22" t="s">
        <v>917</v>
      </c>
      <c r="F414" t="s">
        <v>137</v>
      </c>
      <c r="G414" s="47">
        <f>MAX(+input_invoice[[#This Row],[net]]+input_invoice[[#This Row],[tax_iva]]+input_invoice[[#This Row],[tax_irpf]],input_invoice[[#This Row],[net]])</f>
        <v>4.57</v>
      </c>
      <c r="H414" s="47">
        <f>input_invoice[[#This Row],[net]]*(MAX(input_invoice[[#This Row],[tax_rate_iva]],0)/100)</f>
        <v>0</v>
      </c>
      <c r="I414" s="47">
        <f>-input_invoice[[#This Row],[net]]*input_invoice[[#This Row],[tax_rate_irpf]]/100</f>
        <v>0</v>
      </c>
      <c r="J414" s="47">
        <v>4.57</v>
      </c>
      <c r="K414" t="str">
        <f t="shared" si="12"/>
        <v>it</v>
      </c>
      <c r="L414">
        <v>0</v>
      </c>
      <c r="N414" t="str">
        <f>VLOOKUP(input_invoice[[#This Row],[concept/supplier]],'sel-invoice'!D:E,2,0)</f>
        <v>Railway</v>
      </c>
      <c r="O414" t="str">
        <f>VLOOKUP(input_invoice[[#This Row],[concept/supplier]],'sel-invoice'!D:F,3,0)</f>
        <v>SL</v>
      </c>
      <c r="P414" t="str">
        <f>IF(input_invoice[[#This Row],[entity]]="SL","EUR",IF(input_invoice[[#This Row],[entity]]="Ltd","GBP",IF(input_invoice[[#This Row],[entity]]="Inc","USD","XXX")))</f>
        <v>EUR</v>
      </c>
    </row>
    <row r="415" spans="1:18" hidden="1" x14ac:dyDescent="0.3">
      <c r="A415">
        <v>202506</v>
      </c>
      <c r="B415" s="22" t="s">
        <v>917</v>
      </c>
      <c r="F415" t="s">
        <v>122</v>
      </c>
      <c r="G415" s="47">
        <f>MAX(+input_invoice[[#This Row],[net]]+input_invoice[[#This Row],[tax_iva]]+input_invoice[[#This Row],[tax_irpf]],input_invoice[[#This Row],[net]])</f>
        <v>409.25</v>
      </c>
      <c r="H415" s="47">
        <f>input_invoice[[#This Row],[net]]*(MAX(input_invoice[[#This Row],[tax_rate_iva]],0)/100)</f>
        <v>0</v>
      </c>
      <c r="I415" s="47">
        <f>-input_invoice[[#This Row],[net]]*input_invoice[[#This Row],[tax_rate_irpf]]/100</f>
        <v>0</v>
      </c>
      <c r="J415" s="47">
        <v>409.25</v>
      </c>
      <c r="K415" t="str">
        <f t="shared" si="12"/>
        <v>it</v>
      </c>
      <c r="L415">
        <v>0</v>
      </c>
      <c r="N415" t="str">
        <f>VLOOKUP(input_invoice[[#This Row],[concept/supplier]],'sel-invoice'!D:E,2,0)</f>
        <v>Shopify</v>
      </c>
      <c r="O415" t="str">
        <f>VLOOKUP(input_invoice[[#This Row],[concept/supplier]],'sel-invoice'!D:F,3,0)</f>
        <v>SL</v>
      </c>
      <c r="P415" t="str">
        <f>IF(input_invoice[[#This Row],[entity]]="SL","EUR",IF(input_invoice[[#This Row],[entity]]="Ltd","GBP",IF(input_invoice[[#This Row],[entity]]="Inc","USD","XXX")))</f>
        <v>EUR</v>
      </c>
      <c r="R415" s="259" t="b">
        <v>1</v>
      </c>
    </row>
    <row r="416" spans="1:18" hidden="1" x14ac:dyDescent="0.3">
      <c r="A416">
        <v>202503</v>
      </c>
      <c r="B416" s="22" t="s">
        <v>917</v>
      </c>
      <c r="F416" t="s">
        <v>54</v>
      </c>
      <c r="G416" s="47">
        <f>MAX(+input_invoice[[#This Row],[net]]+input_invoice[[#This Row],[tax_iva]]+input_invoice[[#This Row],[tax_irpf]],input_invoice[[#This Row],[net]])</f>
        <v>23.026300000000003</v>
      </c>
      <c r="H416" s="47">
        <f>input_invoice[[#This Row],[net]]*(MAX(input_invoice[[#This Row],[tax_rate_iva]],0)/100)</f>
        <v>3.9963000000000002</v>
      </c>
      <c r="I416" s="47">
        <f>-input_invoice[[#This Row],[net]]*input_invoice[[#This Row],[tax_rate_irpf]]/100</f>
        <v>0</v>
      </c>
      <c r="J416" s="47">
        <v>19.03</v>
      </c>
      <c r="K416" t="str">
        <f t="shared" si="12"/>
        <v>logistics</v>
      </c>
      <c r="L416">
        <v>21</v>
      </c>
      <c r="N416" t="str">
        <f>VLOOKUP(input_invoice[[#This Row],[concept/supplier]],'sel-invoice'!D:E,2,0)</f>
        <v>Spring</v>
      </c>
      <c r="O416" t="str">
        <f>VLOOKUP(input_invoice[[#This Row],[concept/supplier]],'sel-invoice'!D:F,3,0)</f>
        <v>SL</v>
      </c>
      <c r="P416" t="str">
        <f>IF(input_invoice[[#This Row],[entity]]="SL","EUR",IF(input_invoice[[#This Row],[entity]]="Ltd","GBP",IF(input_invoice[[#This Row],[entity]]="Inc","USD","XXX")))</f>
        <v>EUR</v>
      </c>
    </row>
    <row r="417" spans="1:18" hidden="1" x14ac:dyDescent="0.3">
      <c r="A417">
        <v>202503</v>
      </c>
      <c r="B417" s="22" t="s">
        <v>917</v>
      </c>
      <c r="F417" t="s">
        <v>54</v>
      </c>
      <c r="G417" s="47">
        <f>MAX(+input_invoice[[#This Row],[net]]+input_invoice[[#This Row],[tax_iva]]+input_invoice[[#This Row],[tax_irpf]],input_invoice[[#This Row],[net]])</f>
        <v>6.2435999999999998</v>
      </c>
      <c r="H417" s="47">
        <f>input_invoice[[#This Row],[net]]*(MAX(input_invoice[[#This Row],[tax_rate_iva]],0)/100)</f>
        <v>1.0835999999999999</v>
      </c>
      <c r="I417" s="47">
        <f>-input_invoice[[#This Row],[net]]*input_invoice[[#This Row],[tax_rate_irpf]]/100</f>
        <v>0</v>
      </c>
      <c r="J417" s="47">
        <v>5.16</v>
      </c>
      <c r="K417" t="str">
        <f t="shared" si="12"/>
        <v>logistics</v>
      </c>
      <c r="L417">
        <v>21</v>
      </c>
      <c r="N417" t="str">
        <f>VLOOKUP(input_invoice[[#This Row],[concept/supplier]],'sel-invoice'!D:E,2,0)</f>
        <v>Spring</v>
      </c>
      <c r="O417" t="str">
        <f>VLOOKUP(input_invoice[[#This Row],[concept/supplier]],'sel-invoice'!D:F,3,0)</f>
        <v>SL</v>
      </c>
      <c r="P417" t="str">
        <f>IF(input_invoice[[#This Row],[entity]]="SL","EUR",IF(input_invoice[[#This Row],[entity]]="Ltd","GBP",IF(input_invoice[[#This Row],[entity]]="Inc","USD","XXX")))</f>
        <v>EUR</v>
      </c>
    </row>
    <row r="418" spans="1:18" hidden="1" x14ac:dyDescent="0.3">
      <c r="A418">
        <v>202503</v>
      </c>
      <c r="B418" s="22" t="s">
        <v>917</v>
      </c>
      <c r="C418" s="48" t="s">
        <v>305</v>
      </c>
      <c r="F418" t="s">
        <v>54</v>
      </c>
      <c r="G418" s="47">
        <f>MAX(+input_invoice[[#This Row],[net]]+input_invoice[[#This Row],[tax_iva]]+input_invoice[[#This Row],[tax_irpf]],input_invoice[[#This Row],[net]])</f>
        <v>7.8045</v>
      </c>
      <c r="H418" s="47">
        <f>input_invoice[[#This Row],[net]]*(MAX(input_invoice[[#This Row],[tax_rate_iva]],0)/100)</f>
        <v>1.3545</v>
      </c>
      <c r="I418" s="47">
        <f>-input_invoice[[#This Row],[net]]*input_invoice[[#This Row],[tax_rate_irpf]]/100</f>
        <v>0</v>
      </c>
      <c r="J418" s="47">
        <v>6.45</v>
      </c>
      <c r="K418" t="str">
        <f t="shared" si="12"/>
        <v>logistics</v>
      </c>
      <c r="L418">
        <v>21</v>
      </c>
      <c r="N418" t="str">
        <f>VLOOKUP(input_invoice[[#This Row],[concept/supplier]],'sel-invoice'!D:E,2,0)</f>
        <v>Spring</v>
      </c>
      <c r="O418" t="str">
        <f>VLOOKUP(input_invoice[[#This Row],[concept/supplier]],'sel-invoice'!D:F,3,0)</f>
        <v>SL</v>
      </c>
      <c r="P418" t="str">
        <f>IF(input_invoice[[#This Row],[entity]]="SL","EUR",IF(input_invoice[[#This Row],[entity]]="Ltd","GBP",IF(input_invoice[[#This Row],[entity]]="Inc","USD","XXX")))</f>
        <v>EUR</v>
      </c>
    </row>
    <row r="419" spans="1:18" hidden="1" x14ac:dyDescent="0.3">
      <c r="A419">
        <v>202503</v>
      </c>
      <c r="B419" s="22" t="s">
        <v>917</v>
      </c>
      <c r="C419" s="48" t="s">
        <v>306</v>
      </c>
      <c r="F419" t="s">
        <v>54</v>
      </c>
      <c r="G419" s="47">
        <f>MAX(+input_invoice[[#This Row],[net]]+input_invoice[[#This Row],[tax_iva]]+input_invoice[[#This Row],[tax_irpf]],input_invoice[[#This Row],[net]])</f>
        <v>7.8045</v>
      </c>
      <c r="H419" s="47">
        <f>input_invoice[[#This Row],[net]]*(MAX(input_invoice[[#This Row],[tax_rate_iva]],0)/100)</f>
        <v>1.3545</v>
      </c>
      <c r="I419" s="47">
        <f>-input_invoice[[#This Row],[net]]*input_invoice[[#This Row],[tax_rate_irpf]]/100</f>
        <v>0</v>
      </c>
      <c r="J419" s="47">
        <v>6.45</v>
      </c>
      <c r="K419" t="str">
        <f t="shared" si="12"/>
        <v>logistics</v>
      </c>
      <c r="L419">
        <v>21</v>
      </c>
      <c r="N419" t="str">
        <f>VLOOKUP(input_invoice[[#This Row],[concept/supplier]],'sel-invoice'!D:E,2,0)</f>
        <v>Spring</v>
      </c>
      <c r="O419" t="str">
        <f>VLOOKUP(input_invoice[[#This Row],[concept/supplier]],'sel-invoice'!D:F,3,0)</f>
        <v>SL</v>
      </c>
      <c r="P419" t="str">
        <f>IF(input_invoice[[#This Row],[entity]]="SL","EUR",IF(input_invoice[[#This Row],[entity]]="Ltd","GBP",IF(input_invoice[[#This Row],[entity]]="Inc","USD","XXX")))</f>
        <v>EUR</v>
      </c>
    </row>
    <row r="420" spans="1:18" hidden="1" x14ac:dyDescent="0.3">
      <c r="A420">
        <v>202503</v>
      </c>
      <c r="B420" s="22" t="s">
        <v>917</v>
      </c>
      <c r="F420" t="s">
        <v>55</v>
      </c>
      <c r="G420" s="47">
        <f>MAX(+input_invoice[[#This Row],[net]]+input_invoice[[#This Row],[tax_iva]]+input_invoice[[#This Row],[tax_irpf]],input_invoice[[#This Row],[net]])</f>
        <v>314.26</v>
      </c>
      <c r="H420" s="47">
        <f>input_invoice[[#This Row],[net]]*(MAX(input_invoice[[#This Row],[tax_rate_iva]],0)/100)</f>
        <v>0</v>
      </c>
      <c r="I420" s="47">
        <f>-input_invoice[[#This Row],[net]]*input_invoice[[#This Row],[tax_rate_irpf]]/100</f>
        <v>0</v>
      </c>
      <c r="J420" s="47">
        <v>314.26</v>
      </c>
      <c r="K420" t="str">
        <f t="shared" si="12"/>
        <v>logistics</v>
      </c>
      <c r="L420">
        <v>0</v>
      </c>
      <c r="N420" t="str">
        <f>VLOOKUP(input_invoice[[#This Row],[concept/supplier]],'sel-invoice'!D:E,2,0)</f>
        <v>UPS DE</v>
      </c>
      <c r="O420" t="str">
        <f>VLOOKUP(input_invoice[[#This Row],[concept/supplier]],'sel-invoice'!D:F,3,0)</f>
        <v>SL</v>
      </c>
      <c r="P420" t="str">
        <f>IF(input_invoice[[#This Row],[entity]]="SL","EUR",IF(input_invoice[[#This Row],[entity]]="Ltd","GBP",IF(input_invoice[[#This Row],[entity]]="Inc","USD","XXX")))</f>
        <v>EUR</v>
      </c>
      <c r="R420" s="259" t="b">
        <v>0</v>
      </c>
    </row>
    <row r="421" spans="1:18" hidden="1" x14ac:dyDescent="0.3">
      <c r="A421">
        <v>202503</v>
      </c>
      <c r="B421" s="22" t="s">
        <v>917</v>
      </c>
      <c r="F421" t="s">
        <v>55</v>
      </c>
      <c r="G421" s="47">
        <f>MAX(+input_invoice[[#This Row],[net]]+input_invoice[[#This Row],[tax_iva]]+input_invoice[[#This Row],[tax_irpf]],input_invoice[[#This Row],[net]])</f>
        <v>314.17</v>
      </c>
      <c r="H421" s="47">
        <f>input_invoice[[#This Row],[net]]*(MAX(input_invoice[[#This Row],[tax_rate_iva]],0)/100)</f>
        <v>0</v>
      </c>
      <c r="I421" s="47">
        <f>-input_invoice[[#This Row],[net]]*input_invoice[[#This Row],[tax_rate_irpf]]/100</f>
        <v>0</v>
      </c>
      <c r="J421" s="47">
        <v>314.17</v>
      </c>
      <c r="K421" t="str">
        <f t="shared" si="12"/>
        <v>logistics</v>
      </c>
      <c r="L421">
        <v>0</v>
      </c>
      <c r="N421" t="str">
        <f>VLOOKUP(input_invoice[[#This Row],[concept/supplier]],'sel-invoice'!D:E,2,0)</f>
        <v>UPS DE</v>
      </c>
      <c r="O421" t="str">
        <f>VLOOKUP(input_invoice[[#This Row],[concept/supplier]],'sel-invoice'!D:F,3,0)</f>
        <v>SL</v>
      </c>
      <c r="P421" t="str">
        <f>IF(input_invoice[[#This Row],[entity]]="SL","EUR",IF(input_invoice[[#This Row],[entity]]="Ltd","GBP",IF(input_invoice[[#This Row],[entity]]="Inc","USD","XXX")))</f>
        <v>EUR</v>
      </c>
      <c r="R421" s="259" t="b">
        <v>0</v>
      </c>
    </row>
    <row r="422" spans="1:18" hidden="1" x14ac:dyDescent="0.3">
      <c r="A422">
        <v>202503</v>
      </c>
      <c r="B422" s="22" t="s">
        <v>917</v>
      </c>
      <c r="F422" t="s">
        <v>55</v>
      </c>
      <c r="G422" s="47">
        <f>MAX(+input_invoice[[#This Row],[net]]+input_invoice[[#This Row],[tax_iva]]+input_invoice[[#This Row],[tax_irpf]],input_invoice[[#This Row],[net]])</f>
        <v>226.11</v>
      </c>
      <c r="H422" s="47">
        <f>input_invoice[[#This Row],[net]]*(MAX(input_invoice[[#This Row],[tax_rate_iva]],0)/100)</f>
        <v>0</v>
      </c>
      <c r="I422" s="47">
        <f>-input_invoice[[#This Row],[net]]*input_invoice[[#This Row],[tax_rate_irpf]]/100</f>
        <v>0</v>
      </c>
      <c r="J422" s="47">
        <v>226.11</v>
      </c>
      <c r="K422" t="str">
        <f t="shared" si="12"/>
        <v>logistics</v>
      </c>
      <c r="L422">
        <v>0</v>
      </c>
      <c r="N422" t="str">
        <f>VLOOKUP(input_invoice[[#This Row],[concept/supplier]],'sel-invoice'!D:E,2,0)</f>
        <v>UPS DE</v>
      </c>
      <c r="O422" t="str">
        <f>VLOOKUP(input_invoice[[#This Row],[concept/supplier]],'sel-invoice'!D:F,3,0)</f>
        <v>SL</v>
      </c>
      <c r="P422" t="str">
        <f>IF(input_invoice[[#This Row],[entity]]="SL","EUR",IF(input_invoice[[#This Row],[entity]]="Ltd","GBP",IF(input_invoice[[#This Row],[entity]]="Inc","USD","XXX")))</f>
        <v>EUR</v>
      </c>
      <c r="R422" s="259" t="b">
        <v>0</v>
      </c>
    </row>
    <row r="423" spans="1:18" hidden="1" x14ac:dyDescent="0.3">
      <c r="A423">
        <v>202503</v>
      </c>
      <c r="B423" s="22" t="s">
        <v>917</v>
      </c>
      <c r="F423" t="s">
        <v>55</v>
      </c>
      <c r="G423" s="47">
        <f>MAX(+input_invoice[[#This Row],[net]]+input_invoice[[#This Row],[tax_iva]]+input_invoice[[#This Row],[tax_irpf]],input_invoice[[#This Row],[net]])</f>
        <v>336.63</v>
      </c>
      <c r="H423" s="47">
        <f>input_invoice[[#This Row],[net]]*(MAX(input_invoice[[#This Row],[tax_rate_iva]],0)/100)</f>
        <v>0</v>
      </c>
      <c r="I423" s="47">
        <f>-input_invoice[[#This Row],[net]]*input_invoice[[#This Row],[tax_rate_irpf]]/100</f>
        <v>0</v>
      </c>
      <c r="J423" s="47">
        <v>336.63</v>
      </c>
      <c r="K423" t="str">
        <f t="shared" si="12"/>
        <v>logistics</v>
      </c>
      <c r="L423">
        <v>0</v>
      </c>
      <c r="N423" t="str">
        <f>VLOOKUP(input_invoice[[#This Row],[concept/supplier]],'sel-invoice'!D:E,2,0)</f>
        <v>UPS DE</v>
      </c>
      <c r="O423" t="str">
        <f>VLOOKUP(input_invoice[[#This Row],[concept/supplier]],'sel-invoice'!D:F,3,0)</f>
        <v>SL</v>
      </c>
      <c r="P423" t="str">
        <f>IF(input_invoice[[#This Row],[entity]]="SL","EUR",IF(input_invoice[[#This Row],[entity]]="Ltd","GBP",IF(input_invoice[[#This Row],[entity]]="Inc","USD","XXX")))</f>
        <v>EUR</v>
      </c>
      <c r="R423" s="259" t="b">
        <v>0</v>
      </c>
    </row>
    <row r="424" spans="1:18" hidden="1" x14ac:dyDescent="0.3">
      <c r="A424">
        <v>202503</v>
      </c>
      <c r="B424" s="22" t="s">
        <v>917</v>
      </c>
      <c r="F424" t="s">
        <v>56</v>
      </c>
      <c r="G424" s="47">
        <f>MAX(+input_invoice[[#This Row],[net]]+input_invoice[[#This Row],[tax_iva]]+input_invoice[[#This Row],[tax_irpf]],input_invoice[[#This Row],[net]])</f>
        <v>2126.65</v>
      </c>
      <c r="H424" s="47">
        <f>input_invoice[[#This Row],[net]]*(MAX(input_invoice[[#This Row],[tax_rate_iva]],0)/100)</f>
        <v>0</v>
      </c>
      <c r="I424" s="47">
        <f>-input_invoice[[#This Row],[net]]*input_invoice[[#This Row],[tax_rate_irpf]]/100</f>
        <v>0</v>
      </c>
      <c r="J424" s="47">
        <v>2126.65</v>
      </c>
      <c r="K424" t="str">
        <f t="shared" si="12"/>
        <v>logistics</v>
      </c>
      <c r="L424">
        <v>0</v>
      </c>
      <c r="N424" t="str">
        <f>VLOOKUP(input_invoice[[#This Row],[concept/supplier]],'sel-invoice'!D:E,2,0)</f>
        <v>UPS FR</v>
      </c>
      <c r="O424" t="str">
        <f>VLOOKUP(input_invoice[[#This Row],[concept/supplier]],'sel-invoice'!D:F,3,0)</f>
        <v>SL</v>
      </c>
      <c r="P424" t="str">
        <f>IF(input_invoice[[#This Row],[entity]]="SL","EUR",IF(input_invoice[[#This Row],[entity]]="Ltd","GBP",IF(input_invoice[[#This Row],[entity]]="Inc","USD","XXX")))</f>
        <v>EUR</v>
      </c>
      <c r="R424" s="259" t="b">
        <v>0</v>
      </c>
    </row>
    <row r="425" spans="1:18" hidden="1" x14ac:dyDescent="0.3">
      <c r="A425">
        <v>202504</v>
      </c>
      <c r="B425" s="22" t="s">
        <v>917</v>
      </c>
      <c r="F425" t="s">
        <v>39</v>
      </c>
      <c r="G425" s="47">
        <f>MAX(+input_invoice[[#This Row],[net]]+input_invoice[[#This Row],[tax_iva]]+input_invoice[[#This Row],[tax_irpf]],input_invoice[[#This Row],[net]])</f>
        <v>85.760500000000008</v>
      </c>
      <c r="H425" s="47">
        <f>input_invoice[[#This Row],[net]]*(MAX(input_invoice[[#This Row],[tax_rate_iva]],0)/100)</f>
        <v>5.6105000000000009</v>
      </c>
      <c r="I425" s="47">
        <f>-input_invoice[[#This Row],[net]]*input_invoice[[#This Row],[tax_rate_irpf]]/100</f>
        <v>0</v>
      </c>
      <c r="J425" s="47">
        <v>80.150000000000006</v>
      </c>
      <c r="K425" t="str">
        <f t="shared" si="12"/>
        <v>manufacturing</v>
      </c>
      <c r="L425">
        <v>7</v>
      </c>
      <c r="N425" t="str">
        <f>VLOOKUP(input_invoice[[#This Row],[concept/supplier]],'sel-invoice'!D:E,2,0)</f>
        <v>Apphoto Canarias</v>
      </c>
      <c r="O425" t="str">
        <f>VLOOKUP(input_invoice[[#This Row],[concept/supplier]],'sel-invoice'!D:F,3,0)</f>
        <v>SL</v>
      </c>
      <c r="P425" t="str">
        <f>IF(input_invoice[[#This Row],[entity]]="SL","EUR",IF(input_invoice[[#This Row],[entity]]="Ltd","GBP",IF(input_invoice[[#This Row],[entity]]="Inc","USD","XXX")))</f>
        <v>EUR</v>
      </c>
    </row>
    <row r="426" spans="1:18" hidden="1" x14ac:dyDescent="0.3">
      <c r="A426">
        <v>202504</v>
      </c>
      <c r="B426" s="22" t="s">
        <v>917</v>
      </c>
      <c r="F426" t="s">
        <v>37</v>
      </c>
      <c r="G426" s="47">
        <f>MAX(+input_invoice[[#This Row],[net]]+input_invoice[[#This Row],[tax_iva]]+input_invoice[[#This Row],[tax_irpf]],input_invoice[[#This Row],[net]])</f>
        <v>8055.3451000000005</v>
      </c>
      <c r="H426" s="47">
        <f>input_invoice[[#This Row],[net]]*(MAX(input_invoice[[#This Row],[tax_rate_iva]],0)/100)</f>
        <v>1398.0351000000001</v>
      </c>
      <c r="I426" s="47">
        <f>-input_invoice[[#This Row],[net]]*input_invoice[[#This Row],[tax_rate_irpf]]/100</f>
        <v>0</v>
      </c>
      <c r="J426" s="47">
        <v>6657.31</v>
      </c>
      <c r="K426" t="str">
        <f t="shared" si="12"/>
        <v>manufacturing</v>
      </c>
      <c r="L426">
        <v>21</v>
      </c>
      <c r="N426" t="str">
        <f>VLOOKUP(input_invoice[[#This Row],[concept/supplier]],'sel-invoice'!D:E,2,0)</f>
        <v>Apphoto España</v>
      </c>
      <c r="O426" t="str">
        <f>VLOOKUP(input_invoice[[#This Row],[concept/supplier]],'sel-invoice'!D:F,3,0)</f>
        <v>SL</v>
      </c>
      <c r="P426" t="str">
        <f>IF(input_invoice[[#This Row],[entity]]="SL","EUR",IF(input_invoice[[#This Row],[entity]]="Ltd","GBP",IF(input_invoice[[#This Row],[entity]]="Inc","USD","XXX")))</f>
        <v>EUR</v>
      </c>
    </row>
    <row r="427" spans="1:18" hidden="1" x14ac:dyDescent="0.3">
      <c r="A427">
        <v>202504</v>
      </c>
      <c r="B427" s="22" t="s">
        <v>917</v>
      </c>
      <c r="F427" t="s">
        <v>37</v>
      </c>
      <c r="G427" s="47">
        <f>MAX(+input_invoice[[#This Row],[net]]+input_invoice[[#This Row],[tax_iva]]+input_invoice[[#This Row],[tax_irpf]],input_invoice[[#This Row],[net]])</f>
        <v>6089.6517000000003</v>
      </c>
      <c r="H427" s="47">
        <f>input_invoice[[#This Row],[net]]*(MAX(input_invoice[[#This Row],[tax_rate_iva]],0)/100)</f>
        <v>1056.8817000000001</v>
      </c>
      <c r="I427" s="47">
        <f>-input_invoice[[#This Row],[net]]*input_invoice[[#This Row],[tax_rate_irpf]]/100</f>
        <v>0</v>
      </c>
      <c r="J427" s="47">
        <v>5032.7700000000004</v>
      </c>
      <c r="K427" t="str">
        <f t="shared" si="12"/>
        <v>manufacturing</v>
      </c>
      <c r="L427">
        <v>21</v>
      </c>
      <c r="N427" t="str">
        <f>VLOOKUP(input_invoice[[#This Row],[concept/supplier]],'sel-invoice'!D:E,2,0)</f>
        <v>Apphoto España</v>
      </c>
      <c r="O427" t="str">
        <f>VLOOKUP(input_invoice[[#This Row],[concept/supplier]],'sel-invoice'!D:F,3,0)</f>
        <v>SL</v>
      </c>
      <c r="P427" t="str">
        <f>IF(input_invoice[[#This Row],[entity]]="SL","EUR",IF(input_invoice[[#This Row],[entity]]="Ltd","GBP",IF(input_invoice[[#This Row],[entity]]="Inc","USD","XXX")))</f>
        <v>EUR</v>
      </c>
    </row>
    <row r="428" spans="1:18" hidden="1" x14ac:dyDescent="0.3">
      <c r="A428">
        <v>202504</v>
      </c>
      <c r="B428" s="22" t="s">
        <v>917</v>
      </c>
      <c r="F428" t="s">
        <v>37</v>
      </c>
      <c r="G428" s="47">
        <f>MAX(+input_invoice[[#This Row],[net]]+input_invoice[[#This Row],[tax_iva]]+input_invoice[[#This Row],[tax_irpf]],input_invoice[[#This Row],[net]])</f>
        <v>6055.7232999999997</v>
      </c>
      <c r="H428" s="47">
        <f>input_invoice[[#This Row],[net]]*(MAX(input_invoice[[#This Row],[tax_rate_iva]],0)/100)</f>
        <v>1050.9932999999999</v>
      </c>
      <c r="I428" s="47">
        <f>-input_invoice[[#This Row],[net]]*input_invoice[[#This Row],[tax_rate_irpf]]/100</f>
        <v>0</v>
      </c>
      <c r="J428" s="47">
        <v>5004.7299999999996</v>
      </c>
      <c r="K428" t="str">
        <f t="shared" si="12"/>
        <v>manufacturing</v>
      </c>
      <c r="L428">
        <v>21</v>
      </c>
      <c r="N428" t="str">
        <f>VLOOKUP(input_invoice[[#This Row],[concept/supplier]],'sel-invoice'!D:E,2,0)</f>
        <v>Apphoto España</v>
      </c>
      <c r="O428" t="str">
        <f>VLOOKUP(input_invoice[[#This Row],[concept/supplier]],'sel-invoice'!D:F,3,0)</f>
        <v>SL</v>
      </c>
      <c r="P428" t="str">
        <f>IF(input_invoice[[#This Row],[entity]]="SL","EUR",IF(input_invoice[[#This Row],[entity]]="Ltd","GBP",IF(input_invoice[[#This Row],[entity]]="Inc","USD","XXX")))</f>
        <v>EUR</v>
      </c>
    </row>
    <row r="429" spans="1:18" hidden="1" x14ac:dyDescent="0.3">
      <c r="A429">
        <v>202504</v>
      </c>
      <c r="B429" s="22" t="s">
        <v>917</v>
      </c>
      <c r="F429" t="s">
        <v>37</v>
      </c>
      <c r="G429" s="47">
        <v>7628.88</v>
      </c>
      <c r="H429" s="47">
        <f>input_invoice[[#This Row],[net]]*(MAX(input_invoice[[#This Row],[tax_rate_iva]],0)/100)</f>
        <v>1324.0205999999998</v>
      </c>
      <c r="I429" s="47">
        <f>-input_invoice[[#This Row],[net]]*input_invoice[[#This Row],[tax_rate_irpf]]/100</f>
        <v>0</v>
      </c>
      <c r="J429" s="47">
        <v>6304.86</v>
      </c>
      <c r="K429" t="str">
        <f t="shared" si="12"/>
        <v>manufacturing</v>
      </c>
      <c r="L429">
        <v>21</v>
      </c>
      <c r="N429" t="str">
        <f>VLOOKUP(input_invoice[[#This Row],[concept/supplier]],'sel-invoice'!D:E,2,0)</f>
        <v>Apphoto España</v>
      </c>
      <c r="O429" t="str">
        <f>VLOOKUP(input_invoice[[#This Row],[concept/supplier]],'sel-invoice'!D:F,3,0)</f>
        <v>SL</v>
      </c>
      <c r="P429" t="str">
        <f>IF(input_invoice[[#This Row],[entity]]="SL","EUR",IF(input_invoice[[#This Row],[entity]]="Ltd","GBP",IF(input_invoice[[#This Row],[entity]]="Inc","USD","XXX")))</f>
        <v>EUR</v>
      </c>
    </row>
    <row r="430" spans="1:18" hidden="1" x14ac:dyDescent="0.3">
      <c r="A430">
        <v>202504</v>
      </c>
      <c r="B430" s="22" t="s">
        <v>917</v>
      </c>
      <c r="F430" t="s">
        <v>37</v>
      </c>
      <c r="G430" s="47">
        <f>MAX(+input_invoice[[#This Row],[net]]+input_invoice[[#This Row],[tax_iva]]+input_invoice[[#This Row],[tax_irpf]],input_invoice[[#This Row],[net]])</f>
        <v>38.5627</v>
      </c>
      <c r="H430" s="47">
        <f>input_invoice[[#This Row],[net]]*(MAX(input_invoice[[#This Row],[tax_rate_iva]],0)/100)</f>
        <v>6.6927000000000003</v>
      </c>
      <c r="I430" s="47">
        <f>-input_invoice[[#This Row],[net]]*input_invoice[[#This Row],[tax_rate_irpf]]/100</f>
        <v>0</v>
      </c>
      <c r="J430" s="47">
        <v>31.87</v>
      </c>
      <c r="K430" t="str">
        <f t="shared" si="12"/>
        <v>manufacturing</v>
      </c>
      <c r="L430">
        <v>21</v>
      </c>
      <c r="N430" t="str">
        <f>VLOOKUP(input_invoice[[#This Row],[concept/supplier]],'sel-invoice'!D:E,2,0)</f>
        <v>Apphoto España</v>
      </c>
      <c r="O430" t="str">
        <f>VLOOKUP(input_invoice[[#This Row],[concept/supplier]],'sel-invoice'!D:F,3,0)</f>
        <v>SL</v>
      </c>
      <c r="P430" t="str">
        <f>IF(input_invoice[[#This Row],[entity]]="SL","EUR",IF(input_invoice[[#This Row],[entity]]="Ltd","GBP",IF(input_invoice[[#This Row],[entity]]="Inc","USD","XXX")))</f>
        <v>EUR</v>
      </c>
    </row>
    <row r="431" spans="1:18" hidden="1" x14ac:dyDescent="0.3">
      <c r="A431">
        <v>202504</v>
      </c>
      <c r="B431" s="22" t="s">
        <v>917</v>
      </c>
      <c r="F431" t="s">
        <v>37</v>
      </c>
      <c r="G431" s="47">
        <f>MAX(+input_invoice[[#This Row],[net]]+input_invoice[[#This Row],[tax_iva]]+input_invoice[[#This Row],[tax_irpf]],input_invoice[[#This Row],[net]])</f>
        <v>4368.9470000000001</v>
      </c>
      <c r="H431" s="47">
        <f>input_invoice[[#This Row],[net]]*(MAX(input_invoice[[#This Row],[tax_rate_iva]],0)/100)</f>
        <v>758.24699999999996</v>
      </c>
      <c r="I431" s="47">
        <f>-input_invoice[[#This Row],[net]]*input_invoice[[#This Row],[tax_rate_irpf]]/100</f>
        <v>0</v>
      </c>
      <c r="J431" s="47">
        <v>3610.7</v>
      </c>
      <c r="K431" t="str">
        <f t="shared" si="12"/>
        <v>manufacturing</v>
      </c>
      <c r="L431">
        <v>21</v>
      </c>
      <c r="N431" t="str">
        <f>VLOOKUP(input_invoice[[#This Row],[concept/supplier]],'sel-invoice'!D:E,2,0)</f>
        <v>Apphoto España</v>
      </c>
      <c r="O431" t="str">
        <f>VLOOKUP(input_invoice[[#This Row],[concept/supplier]],'sel-invoice'!D:F,3,0)</f>
        <v>SL</v>
      </c>
      <c r="P431" t="str">
        <f>IF(input_invoice[[#This Row],[entity]]="SL","EUR",IF(input_invoice[[#This Row],[entity]]="Ltd","GBP",IF(input_invoice[[#This Row],[entity]]="Inc","USD","XXX")))</f>
        <v>EUR</v>
      </c>
    </row>
    <row r="432" spans="1:18" hidden="1" x14ac:dyDescent="0.3">
      <c r="A432">
        <v>202504</v>
      </c>
      <c r="B432" s="22" t="s">
        <v>917</v>
      </c>
      <c r="F432" t="s">
        <v>143</v>
      </c>
      <c r="G432" s="47">
        <f>MAX(+input_invoice[[#This Row],[net]]+input_invoice[[#This Row],[tax_iva]]+input_invoice[[#This Row],[tax_irpf]],input_invoice[[#This Row],[net]])</f>
        <v>9.91</v>
      </c>
      <c r="H432" s="47">
        <f>input_invoice[[#This Row],[net]]*(MAX(input_invoice[[#This Row],[tax_rate_iva]],0)/100)</f>
        <v>0</v>
      </c>
      <c r="I432" s="47">
        <f>-input_invoice[[#This Row],[net]]*input_invoice[[#This Row],[tax_rate_irpf]]/100</f>
        <v>0</v>
      </c>
      <c r="J432" s="47">
        <v>9.91</v>
      </c>
      <c r="K432" t="str">
        <f t="shared" si="12"/>
        <v>it</v>
      </c>
      <c r="L432">
        <v>0</v>
      </c>
      <c r="N432" t="str">
        <f>VLOOKUP(input_invoice[[#This Row],[concept/supplier]],'sel-invoice'!D:E,2,0)</f>
        <v>Canva</v>
      </c>
      <c r="O432" t="str">
        <f>VLOOKUP(input_invoice[[#This Row],[concept/supplier]],'sel-invoice'!D:F,3,0)</f>
        <v>SL</v>
      </c>
      <c r="P432" t="str">
        <f>IF(input_invoice[[#This Row],[entity]]="SL","EUR",IF(input_invoice[[#This Row],[entity]]="Ltd","GBP",IF(input_invoice[[#This Row],[entity]]="Inc","USD","XXX")))</f>
        <v>EUR</v>
      </c>
    </row>
    <row r="433" spans="1:18" hidden="1" x14ac:dyDescent="0.3">
      <c r="A433">
        <v>202512</v>
      </c>
      <c r="B433" s="22" t="s">
        <v>917</v>
      </c>
      <c r="C433" s="48">
        <v>1194</v>
      </c>
      <c r="D433" s="43">
        <v>45992</v>
      </c>
      <c r="E433" s="43">
        <v>45992</v>
      </c>
      <c r="F433" t="s">
        <v>517</v>
      </c>
      <c r="G433" s="47">
        <f>MAX(+input_invoice[[#This Row],[net]]+input_invoice[[#This Row],[tax_iva]],input_invoice[[#This Row],[net]])</f>
        <v>1150</v>
      </c>
      <c r="H433" s="47">
        <f>input_invoice[[#This Row],[net]]*(MAX(input_invoice[[#This Row],[tax_rate_iva]],0)/100)</f>
        <v>0</v>
      </c>
      <c r="I433" s="47">
        <f>-input_invoice[[#This Row],[net]]*input_invoice[[#This Row],[tax_rate_irpf]]/100</f>
        <v>0</v>
      </c>
      <c r="J433" s="47">
        <v>1150</v>
      </c>
      <c r="K433" t="str">
        <f t="shared" si="12"/>
        <v>administrative</v>
      </c>
      <c r="L433" s="47">
        <v>0</v>
      </c>
      <c r="N433" t="str">
        <f>VLOOKUP(input_invoice[[#This Row],[concept/supplier]],'sel-invoice'!D:E,2,0)</f>
        <v>Continuum</v>
      </c>
      <c r="O433" t="str">
        <f>VLOOKUP(input_invoice[[#This Row],[concept/supplier]],'sel-invoice'!D:F,3,0)</f>
        <v>Inc</v>
      </c>
      <c r="P433" t="str">
        <f>IF(input_invoice[[#This Row],[entity]]="SL","EUR",IF(input_invoice[[#This Row],[entity]]="Ltd","GBP",IF(input_invoice[[#This Row],[entity]]="Inc","USD","XXX")))</f>
        <v>USD</v>
      </c>
      <c r="Q433" s="199" t="s">
        <v>1117</v>
      </c>
      <c r="R433" s="267" t="b">
        <v>1</v>
      </c>
    </row>
    <row r="434" spans="1:18" hidden="1" x14ac:dyDescent="0.3">
      <c r="A434">
        <v>202504</v>
      </c>
      <c r="B434" s="22" t="s">
        <v>917</v>
      </c>
      <c r="F434" t="s">
        <v>52</v>
      </c>
      <c r="G434" s="47">
        <f>MAX(+input_invoice[[#This Row],[net]]+input_invoice[[#This Row],[tax_iva]]+input_invoice[[#This Row],[tax_irpf]],input_invoice[[#This Row],[net]])</f>
        <v>548.15419999999995</v>
      </c>
      <c r="H434" s="47">
        <f>input_invoice[[#This Row],[net]]*(MAX(input_invoice[[#This Row],[tax_rate_iva]],0)/100)</f>
        <v>95.134199999999993</v>
      </c>
      <c r="I434" s="47">
        <f>-input_invoice[[#This Row],[net]]*input_invoice[[#This Row],[tax_rate_irpf]]/100</f>
        <v>0</v>
      </c>
      <c r="J434" s="47">
        <v>453.02</v>
      </c>
      <c r="K434" t="str">
        <f t="shared" si="12"/>
        <v>logistics</v>
      </c>
      <c r="L434">
        <v>21</v>
      </c>
      <c r="N434" t="str">
        <f>VLOOKUP(input_invoice[[#This Row],[concept/supplier]],'sel-invoice'!D:E,2,0)</f>
        <v>Correos</v>
      </c>
      <c r="O434" t="str">
        <f>VLOOKUP(input_invoice[[#This Row],[concept/supplier]],'sel-invoice'!D:F,3,0)</f>
        <v>SL</v>
      </c>
      <c r="P434" t="str">
        <f>IF(input_invoice[[#This Row],[entity]]="SL","EUR",IF(input_invoice[[#This Row],[entity]]="Ltd","GBP",IF(input_invoice[[#This Row],[entity]]="Inc","USD","XXX")))</f>
        <v>EUR</v>
      </c>
    </row>
    <row r="435" spans="1:18" hidden="1" x14ac:dyDescent="0.3">
      <c r="A435">
        <v>202504</v>
      </c>
      <c r="B435" s="22" t="s">
        <v>917</v>
      </c>
      <c r="C435" s="48">
        <v>4004324665</v>
      </c>
      <c r="F435" t="s">
        <v>52</v>
      </c>
      <c r="G435" s="47">
        <f>MAX(+input_invoice[[#This Row],[net]]+input_invoice[[#This Row],[tax_iva]]+input_invoice[[#This Row],[tax_irpf]],input_invoice[[#This Row],[net]])</f>
        <v>8.3246000000000002</v>
      </c>
      <c r="H435" s="47">
        <f>input_invoice[[#This Row],[net]]*(MAX(input_invoice[[#This Row],[tax_rate_iva]],0)/100)</f>
        <v>0.54460000000000008</v>
      </c>
      <c r="I435" s="47">
        <f>-input_invoice[[#This Row],[net]]*input_invoice[[#This Row],[tax_rate_irpf]]/100</f>
        <v>0</v>
      </c>
      <c r="J435" s="47">
        <v>7.78</v>
      </c>
      <c r="K435" t="str">
        <f t="shared" si="12"/>
        <v>logistics</v>
      </c>
      <c r="L435">
        <v>7</v>
      </c>
      <c r="N435" t="str">
        <f>VLOOKUP(input_invoice[[#This Row],[concept/supplier]],'sel-invoice'!D:E,2,0)</f>
        <v>Correos</v>
      </c>
      <c r="O435" t="str">
        <f>VLOOKUP(input_invoice[[#This Row],[concept/supplier]],'sel-invoice'!D:F,3,0)</f>
        <v>SL</v>
      </c>
      <c r="P435" t="str">
        <f>IF(input_invoice[[#This Row],[entity]]="SL","EUR",IF(input_invoice[[#This Row],[entity]]="Ltd","GBP",IF(input_invoice[[#This Row],[entity]]="Inc","USD","XXX")))</f>
        <v>EUR</v>
      </c>
    </row>
    <row r="436" spans="1:18" hidden="1" x14ac:dyDescent="0.3">
      <c r="A436">
        <v>202504</v>
      </c>
      <c r="B436" s="22" t="s">
        <v>917</v>
      </c>
      <c r="C436" s="48">
        <v>4004324665</v>
      </c>
      <c r="F436" t="s">
        <v>52</v>
      </c>
      <c r="G436" s="47">
        <f>MAX(+input_invoice[[#This Row],[net]]+input_invoice[[#This Row],[tax_iva]]+input_invoice[[#This Row],[tax_irpf]],input_invoice[[#This Row],[net]])</f>
        <v>14.11</v>
      </c>
      <c r="H436" s="47">
        <f>input_invoice[[#This Row],[net]]*(MAX(input_invoice[[#This Row],[tax_rate_iva]],0)/100)</f>
        <v>0</v>
      </c>
      <c r="I436" s="47">
        <f>-input_invoice[[#This Row],[net]]*input_invoice[[#This Row],[tax_rate_irpf]]/100</f>
        <v>0</v>
      </c>
      <c r="J436" s="47">
        <v>14.11</v>
      </c>
      <c r="K436" t="str">
        <f t="shared" si="12"/>
        <v>logistics</v>
      </c>
      <c r="L436">
        <v>0</v>
      </c>
      <c r="N436" t="str">
        <f>VLOOKUP(input_invoice[[#This Row],[concept/supplier]],'sel-invoice'!D:E,2,0)</f>
        <v>Correos</v>
      </c>
      <c r="O436" t="str">
        <f>VLOOKUP(input_invoice[[#This Row],[concept/supplier]],'sel-invoice'!D:F,3,0)</f>
        <v>SL</v>
      </c>
      <c r="P436" t="str">
        <f>IF(input_invoice[[#This Row],[entity]]="SL","EUR",IF(input_invoice[[#This Row],[entity]]="Ltd","GBP",IF(input_invoice[[#This Row],[entity]]="Inc","USD","XXX")))</f>
        <v>EUR</v>
      </c>
    </row>
    <row r="437" spans="1:18" hidden="1" x14ac:dyDescent="0.3">
      <c r="A437">
        <v>202504</v>
      </c>
      <c r="B437" s="22" t="s">
        <v>917</v>
      </c>
      <c r="F437" t="s">
        <v>43</v>
      </c>
      <c r="G437" s="47">
        <f>MAX(+input_invoice[[#This Row],[net]]+input_invoice[[#This Row],[tax_iva]]+input_invoice[[#This Row],[tax_irpf]],input_invoice[[#This Row],[net]])</f>
        <v>4308.5259000000005</v>
      </c>
      <c r="H437" s="47">
        <f>input_invoice[[#This Row],[net]]*(MAX(input_invoice[[#This Row],[tax_rate_iva]],0)/100)</f>
        <v>687.91590000000008</v>
      </c>
      <c r="I437" s="47">
        <f>-input_invoice[[#This Row],[net]]*input_invoice[[#This Row],[tax_rate_irpf]]/100</f>
        <v>0</v>
      </c>
      <c r="J437" s="47">
        <v>3620.61</v>
      </c>
      <c r="K437" t="str">
        <f t="shared" si="12"/>
        <v>manufacturing</v>
      </c>
      <c r="L437">
        <v>19</v>
      </c>
      <c r="N437" t="str">
        <f>VLOOKUP(input_invoice[[#This Row],[concept/supplier]],'sel-invoice'!D:E,2,0)</f>
        <v>DCT</v>
      </c>
      <c r="O437" t="str">
        <f>VLOOKUP(input_invoice[[#This Row],[concept/supplier]],'sel-invoice'!D:F,3,0)</f>
        <v>SL</v>
      </c>
      <c r="P437" t="str">
        <f>IF(input_invoice[[#This Row],[entity]]="SL","EUR",IF(input_invoice[[#This Row],[entity]]="Ltd","GBP",IF(input_invoice[[#This Row],[entity]]="Inc","USD","XXX")))</f>
        <v>EUR</v>
      </c>
    </row>
    <row r="438" spans="1:18" hidden="1" x14ac:dyDescent="0.3">
      <c r="A438">
        <v>202504</v>
      </c>
      <c r="B438" s="22" t="s">
        <v>917</v>
      </c>
      <c r="F438" t="s">
        <v>43</v>
      </c>
      <c r="G438" s="47">
        <f>MAX(+input_invoice[[#This Row],[net]]+input_invoice[[#This Row],[tax_iva]]+input_invoice[[#This Row],[tax_irpf]],input_invoice[[#This Row],[net]])</f>
        <v>4342.2267000000002</v>
      </c>
      <c r="H438" s="47">
        <f>input_invoice[[#This Row],[net]]*(MAX(input_invoice[[#This Row],[tax_rate_iva]],0)/100)</f>
        <v>693.29669999999999</v>
      </c>
      <c r="I438" s="47">
        <f>-input_invoice[[#This Row],[net]]*input_invoice[[#This Row],[tax_rate_irpf]]/100</f>
        <v>0</v>
      </c>
      <c r="J438" s="47">
        <v>3648.93</v>
      </c>
      <c r="K438" t="str">
        <f t="shared" si="12"/>
        <v>manufacturing</v>
      </c>
      <c r="L438">
        <v>19</v>
      </c>
      <c r="N438" t="str">
        <f>VLOOKUP(input_invoice[[#This Row],[concept/supplier]],'sel-invoice'!D:E,2,0)</f>
        <v>DCT</v>
      </c>
      <c r="O438" t="str">
        <f>VLOOKUP(input_invoice[[#This Row],[concept/supplier]],'sel-invoice'!D:F,3,0)</f>
        <v>SL</v>
      </c>
      <c r="P438" t="str">
        <f>IF(input_invoice[[#This Row],[entity]]="SL","EUR",IF(input_invoice[[#This Row],[entity]]="Ltd","GBP",IF(input_invoice[[#This Row],[entity]]="Inc","USD","XXX")))</f>
        <v>EUR</v>
      </c>
    </row>
    <row r="439" spans="1:18" hidden="1" x14ac:dyDescent="0.3">
      <c r="A439">
        <v>202504</v>
      </c>
      <c r="B439" s="22" t="s">
        <v>917</v>
      </c>
      <c r="F439" t="s">
        <v>43</v>
      </c>
      <c r="G439" s="47">
        <f>MAX(+input_invoice[[#This Row],[net]]+input_invoice[[#This Row],[tax_iva]]+input_invoice[[#This Row],[tax_irpf]],input_invoice[[#This Row],[net]])</f>
        <v>35.700000000000003</v>
      </c>
      <c r="H439" s="47">
        <f>input_invoice[[#This Row],[net]]*(MAX(input_invoice[[#This Row],[tax_rate_iva]],0)/100)</f>
        <v>5.7</v>
      </c>
      <c r="I439" s="47">
        <f>-input_invoice[[#This Row],[net]]*input_invoice[[#This Row],[tax_rate_irpf]]/100</f>
        <v>0</v>
      </c>
      <c r="J439" s="47">
        <v>30</v>
      </c>
      <c r="K439" t="str">
        <f t="shared" si="12"/>
        <v>manufacturing</v>
      </c>
      <c r="L439">
        <v>19</v>
      </c>
      <c r="N439" t="str">
        <f>VLOOKUP(input_invoice[[#This Row],[concept/supplier]],'sel-invoice'!D:E,2,0)</f>
        <v>DCT</v>
      </c>
      <c r="O439" t="str">
        <f>VLOOKUP(input_invoice[[#This Row],[concept/supplier]],'sel-invoice'!D:F,3,0)</f>
        <v>SL</v>
      </c>
      <c r="P439" t="str">
        <f>IF(input_invoice[[#This Row],[entity]]="SL","EUR",IF(input_invoice[[#This Row],[entity]]="Ltd","GBP",IF(input_invoice[[#This Row],[entity]]="Inc","USD","XXX")))</f>
        <v>EUR</v>
      </c>
    </row>
    <row r="440" spans="1:18" hidden="1" x14ac:dyDescent="0.3">
      <c r="A440">
        <v>202504</v>
      </c>
      <c r="B440" s="22" t="s">
        <v>917</v>
      </c>
      <c r="F440" t="s">
        <v>135</v>
      </c>
      <c r="G440" s="47">
        <f>MAX(+input_invoice[[#This Row],[net]]+input_invoice[[#This Row],[tax_iva]]+input_invoice[[#This Row],[tax_irpf]],input_invoice[[#This Row],[net]])</f>
        <v>21.28</v>
      </c>
      <c r="H440" s="47">
        <f>input_invoice[[#This Row],[net]]*(MAX(input_invoice[[#This Row],[tax_rate_iva]],0)/100)</f>
        <v>0</v>
      </c>
      <c r="I440" s="47">
        <f>-input_invoice[[#This Row],[net]]*input_invoice[[#This Row],[tax_rate_irpf]]/100</f>
        <v>0</v>
      </c>
      <c r="J440" s="47">
        <v>21.28</v>
      </c>
      <c r="K440" t="str">
        <f t="shared" si="12"/>
        <v>it</v>
      </c>
      <c r="L440">
        <v>0</v>
      </c>
      <c r="N440" t="str">
        <f>VLOOKUP(input_invoice[[#This Row],[concept/supplier]],'sel-invoice'!D:E,2,0)</f>
        <v>Geotargetly</v>
      </c>
      <c r="O440" t="str">
        <f>VLOOKUP(input_invoice[[#This Row],[concept/supplier]],'sel-invoice'!D:F,3,0)</f>
        <v>SL</v>
      </c>
      <c r="P440" t="str">
        <f>IF(input_invoice[[#This Row],[entity]]="SL","EUR",IF(input_invoice[[#This Row],[entity]]="Ltd","GBP",IF(input_invoice[[#This Row],[entity]]="Inc","USD","XXX")))</f>
        <v>EUR</v>
      </c>
    </row>
    <row r="441" spans="1:18" hidden="1" x14ac:dyDescent="0.3">
      <c r="A441">
        <v>202504</v>
      </c>
      <c r="B441" s="22" t="s">
        <v>917</v>
      </c>
      <c r="F441" t="s">
        <v>51</v>
      </c>
      <c r="G441" s="47">
        <f>MAX(+input_invoice[[#This Row],[net]]+input_invoice[[#This Row],[tax_iva]]+input_invoice[[#This Row],[tax_irpf]],input_invoice[[#This Row],[net]])</f>
        <v>5395.3778999999995</v>
      </c>
      <c r="H441" s="47">
        <f>input_invoice[[#This Row],[net]]*(MAX(input_invoice[[#This Row],[tax_rate_iva]],0)/100)</f>
        <v>936.38789999999995</v>
      </c>
      <c r="I441" s="47">
        <f>-input_invoice[[#This Row],[net]]*input_invoice[[#This Row],[tax_rate_irpf]]/100</f>
        <v>0</v>
      </c>
      <c r="J441" s="47">
        <v>4458.99</v>
      </c>
      <c r="K441" t="str">
        <f t="shared" si="12"/>
        <v>logistics</v>
      </c>
      <c r="L441">
        <v>21</v>
      </c>
      <c r="N441" t="str">
        <f>VLOOKUP(input_invoice[[#This Row],[concept/supplier]],'sel-invoice'!D:E,2,0)</f>
        <v>GLS</v>
      </c>
      <c r="O441" t="str">
        <f>VLOOKUP(input_invoice[[#This Row],[concept/supplier]],'sel-invoice'!D:F,3,0)</f>
        <v>SL</v>
      </c>
      <c r="P441" t="str">
        <f>IF(input_invoice[[#This Row],[entity]]="SL","EUR",IF(input_invoice[[#This Row],[entity]]="Ltd","GBP",IF(input_invoice[[#This Row],[entity]]="Inc","USD","XXX")))</f>
        <v>EUR</v>
      </c>
    </row>
    <row r="442" spans="1:18" hidden="1" x14ac:dyDescent="0.3">
      <c r="A442">
        <v>202504</v>
      </c>
      <c r="B442" s="22" t="s">
        <v>917</v>
      </c>
      <c r="F442" t="s">
        <v>133</v>
      </c>
      <c r="G442" s="47">
        <f>MAX(+input_invoice[[#This Row],[net]]+input_invoice[[#This Row],[tax_iva]]+input_invoice[[#This Row],[tax_irpf]],input_invoice[[#This Row],[net]])</f>
        <v>173.8</v>
      </c>
      <c r="H442" s="47">
        <f>input_invoice[[#This Row],[net]]*(MAX(input_invoice[[#This Row],[tax_rate_iva]],0)/100)</f>
        <v>0</v>
      </c>
      <c r="I442" s="47">
        <f>-input_invoice[[#This Row],[net]]*input_invoice[[#This Row],[tax_rate_irpf]]/100</f>
        <v>0</v>
      </c>
      <c r="J442" s="47">
        <v>173.8</v>
      </c>
      <c r="K442" t="str">
        <f t="shared" si="12"/>
        <v>it</v>
      </c>
      <c r="L442">
        <v>0</v>
      </c>
      <c r="N442" t="str">
        <f>VLOOKUP(input_invoice[[#This Row],[concept/supplier]],'sel-invoice'!D:E,2,0)</f>
        <v>Gsuite</v>
      </c>
      <c r="O442" t="str">
        <f>VLOOKUP(input_invoice[[#This Row],[concept/supplier]],'sel-invoice'!D:F,3,0)</f>
        <v>SL</v>
      </c>
      <c r="P442" t="str">
        <f>IF(input_invoice[[#This Row],[entity]]="SL","EUR",IF(input_invoice[[#This Row],[entity]]="Ltd","GBP",IF(input_invoice[[#This Row],[entity]]="Inc","USD","XXX")))</f>
        <v>EUR</v>
      </c>
    </row>
    <row r="443" spans="1:18" hidden="1" x14ac:dyDescent="0.3">
      <c r="A443">
        <v>202504</v>
      </c>
      <c r="B443" s="22" t="s">
        <v>917</v>
      </c>
      <c r="F443" t="s">
        <v>127</v>
      </c>
      <c r="G443" s="47">
        <f>MAX(+input_invoice[[#This Row],[net]]+input_invoice[[#This Row],[tax_iva]]+input_invoice[[#This Row],[tax_irpf]],input_invoice[[#This Row],[net]])</f>
        <v>13.189</v>
      </c>
      <c r="H443" s="47">
        <f>input_invoice[[#This Row],[net]]*(MAX(input_invoice[[#This Row],[tax_rate_iva]],0)/100)</f>
        <v>2.2890000000000001</v>
      </c>
      <c r="I443" s="47">
        <f>-input_invoice[[#This Row],[net]]*input_invoice[[#This Row],[tax_rate_irpf]]/100</f>
        <v>0</v>
      </c>
      <c r="J443" s="47">
        <v>10.9</v>
      </c>
      <c r="K443" t="str">
        <f t="shared" si="12"/>
        <v>it</v>
      </c>
      <c r="L443">
        <v>21</v>
      </c>
      <c r="N443" t="str">
        <f>VLOOKUP(input_invoice[[#This Row],[concept/supplier]],'sel-invoice'!D:E,2,0)</f>
        <v>Hetzner</v>
      </c>
      <c r="O443" t="str">
        <f>VLOOKUP(input_invoice[[#This Row],[concept/supplier]],'sel-invoice'!D:F,3,0)</f>
        <v>SL</v>
      </c>
      <c r="P443" t="str">
        <f>IF(input_invoice[[#This Row],[entity]]="SL","EUR",IF(input_invoice[[#This Row],[entity]]="Ltd","GBP",IF(input_invoice[[#This Row],[entity]]="Inc","USD","XXX")))</f>
        <v>EUR</v>
      </c>
    </row>
    <row r="444" spans="1:18" hidden="1" x14ac:dyDescent="0.3">
      <c r="A444">
        <v>202504</v>
      </c>
      <c r="B444" s="22" t="s">
        <v>917</v>
      </c>
      <c r="F444" t="s">
        <v>68</v>
      </c>
      <c r="G444" s="47">
        <f>MAX(+input_invoice[[#This Row],[net]]+input_invoice[[#This Row],[tax_iva]]+input_invoice[[#This Row],[tax_irpf]],input_invoice[[#This Row],[net]])</f>
        <v>0</v>
      </c>
      <c r="H444" s="47">
        <f>input_invoice[[#This Row],[net]]*(MAX(input_invoice[[#This Row],[tax_rate_iva]],0)/100)</f>
        <v>0</v>
      </c>
      <c r="I444" s="47">
        <f>-input_invoice[[#This Row],[net]]*input_invoice[[#This Row],[tax_rate_irpf]]/100</f>
        <v>0</v>
      </c>
      <c r="J444" s="47">
        <v>0</v>
      </c>
      <c r="K444" t="str">
        <f t="shared" si="12"/>
        <v>payment-suppliers</v>
      </c>
      <c r="L444">
        <v>0</v>
      </c>
      <c r="N444" t="str">
        <f>VLOOKUP(input_invoice[[#This Row],[concept/supplier]],'sel-invoice'!D:E,2,0)</f>
        <v>Amazon Pay</v>
      </c>
      <c r="O444" t="str">
        <f>VLOOKUP(input_invoice[[#This Row],[concept/supplier]],'sel-invoice'!D:F,3,0)</f>
        <v>SL</v>
      </c>
      <c r="P444" t="str">
        <f>IF(input_invoice[[#This Row],[entity]]="SL","EUR",IF(input_invoice[[#This Row],[entity]]="Ltd","GBP",IF(input_invoice[[#This Row],[entity]]="Inc","USD","XXX")))</f>
        <v>EUR</v>
      </c>
      <c r="Q444" t="s">
        <v>908</v>
      </c>
    </row>
    <row r="445" spans="1:18" hidden="1" x14ac:dyDescent="0.3">
      <c r="A445">
        <v>202504</v>
      </c>
      <c r="B445" s="22" t="s">
        <v>917</v>
      </c>
      <c r="F445" t="s">
        <v>76</v>
      </c>
      <c r="G445" s="47">
        <f>MAX(+input_invoice[[#This Row],[net]]+input_invoice[[#This Row],[tax_iva]]+input_invoice[[#This Row],[tax_irpf]],input_invoice[[#This Row],[net]])</f>
        <v>0</v>
      </c>
      <c r="H445" s="47">
        <f>input_invoice[[#This Row],[net]]*(MAX(input_invoice[[#This Row],[tax_rate_iva]],0)/100)</f>
        <v>0</v>
      </c>
      <c r="I445" s="47">
        <f>-input_invoice[[#This Row],[net]]*input_invoice[[#This Row],[tax_rate_irpf]]/100</f>
        <v>0</v>
      </c>
      <c r="J445" s="47">
        <v>0</v>
      </c>
      <c r="K445" t="str">
        <f t="shared" si="12"/>
        <v>payment-suppliers</v>
      </c>
      <c r="L445">
        <v>0</v>
      </c>
      <c r="N445" t="str">
        <f>VLOOKUP(input_invoice[[#This Row],[concept/supplier]],'sel-invoice'!D:E,2,0)</f>
        <v>Amazon Seller</v>
      </c>
      <c r="O445" t="str">
        <f>VLOOKUP(input_invoice[[#This Row],[concept/supplier]],'sel-invoice'!D:F,3,0)</f>
        <v>SL</v>
      </c>
      <c r="P445" t="str">
        <f>IF(input_invoice[[#This Row],[entity]]="SL","EUR",IF(input_invoice[[#This Row],[entity]]="Ltd","GBP",IF(input_invoice[[#This Row],[entity]]="Inc","USD","XXX")))</f>
        <v>EUR</v>
      </c>
      <c r="Q445" t="s">
        <v>908</v>
      </c>
    </row>
    <row r="446" spans="1:18" hidden="1" x14ac:dyDescent="0.3">
      <c r="A446">
        <v>202504</v>
      </c>
      <c r="B446" s="22" t="s">
        <v>917</v>
      </c>
      <c r="F446" t="s">
        <v>79</v>
      </c>
      <c r="G446" s="47">
        <f>MAX(+input_invoice[[#This Row],[net]]+input_invoice[[#This Row],[tax_iva]]+input_invoice[[#This Row],[tax_irpf]],input_invoice[[#This Row],[net]])</f>
        <v>0</v>
      </c>
      <c r="H446" s="47">
        <f>input_invoice[[#This Row],[net]]*(MAX(input_invoice[[#This Row],[tax_rate_iva]],0)/100)</f>
        <v>0</v>
      </c>
      <c r="I446" s="47">
        <f>-input_invoice[[#This Row],[net]]*input_invoice[[#This Row],[tax_rate_irpf]]/100</f>
        <v>0</v>
      </c>
      <c r="J446" s="47">
        <v>0</v>
      </c>
      <c r="K446" t="str">
        <f t="shared" si="12"/>
        <v>payment-suppliers</v>
      </c>
      <c r="L446">
        <v>0</v>
      </c>
      <c r="N446" t="str">
        <f>VLOOKUP(input_invoice[[#This Row],[concept/supplier]],'sel-invoice'!D:E,2,0)</f>
        <v>Home24</v>
      </c>
      <c r="O446" t="str">
        <f>VLOOKUP(input_invoice[[#This Row],[concept/supplier]],'sel-invoice'!D:F,3,0)</f>
        <v>SL</v>
      </c>
      <c r="P446" t="str">
        <f>IF(input_invoice[[#This Row],[entity]]="SL","EUR",IF(input_invoice[[#This Row],[entity]]="Ltd","GBP",IF(input_invoice[[#This Row],[entity]]="Inc","USD","XXX")))</f>
        <v>EUR</v>
      </c>
      <c r="Q446" t="s">
        <v>908</v>
      </c>
    </row>
    <row r="447" spans="1:18" hidden="1" x14ac:dyDescent="0.3">
      <c r="A447">
        <v>202504</v>
      </c>
      <c r="B447" s="22" t="s">
        <v>917</v>
      </c>
      <c r="F447" t="s">
        <v>70</v>
      </c>
      <c r="G447" s="47">
        <f>MAX(+input_invoice[[#This Row],[net]]+input_invoice[[#This Row],[tax_iva]]+input_invoice[[#This Row],[tax_irpf]],input_invoice[[#This Row],[net]])</f>
        <v>105.98</v>
      </c>
      <c r="H447" s="47">
        <f>input_invoice[[#This Row],[net]]*(MAX(input_invoice[[#This Row],[tax_rate_iva]],0)/100)</f>
        <v>0</v>
      </c>
      <c r="I447" s="47">
        <f>-input_invoice[[#This Row],[net]]*input_invoice[[#This Row],[tax_rate_irpf]]/100</f>
        <v>0</v>
      </c>
      <c r="J447" s="47">
        <v>105.98</v>
      </c>
      <c r="K447" t="str">
        <f t="shared" si="12"/>
        <v>payment-suppliers</v>
      </c>
      <c r="L447">
        <v>0</v>
      </c>
      <c r="N447" t="str">
        <f>VLOOKUP(input_invoice[[#This Row],[concept/supplier]],'sel-invoice'!D:E,2,0)</f>
        <v>Klarna</v>
      </c>
      <c r="O447" t="str">
        <f>VLOOKUP(input_invoice[[#This Row],[concept/supplier]],'sel-invoice'!D:F,3,0)</f>
        <v>SL</v>
      </c>
      <c r="P447" t="str">
        <f>IF(input_invoice[[#This Row],[entity]]="SL","EUR",IF(input_invoice[[#This Row],[entity]]="Ltd","GBP",IF(input_invoice[[#This Row],[entity]]="Inc","USD","XXX")))</f>
        <v>EUR</v>
      </c>
      <c r="Q447" t="s">
        <v>908</v>
      </c>
    </row>
    <row r="448" spans="1:18" hidden="1" x14ac:dyDescent="0.3">
      <c r="A448">
        <v>202504</v>
      </c>
      <c r="B448" s="22" t="s">
        <v>917</v>
      </c>
      <c r="F448" t="s">
        <v>78</v>
      </c>
      <c r="G448" s="47">
        <f>MAX(+input_invoice[[#This Row],[net]]+input_invoice[[#This Row],[tax_iva]]+input_invoice[[#This Row],[tax_irpf]],input_invoice[[#This Row],[net]])</f>
        <v>0</v>
      </c>
      <c r="H448" s="47">
        <f>input_invoice[[#This Row],[net]]*(MAX(input_invoice[[#This Row],[tax_rate_iva]],0)/100)</f>
        <v>0</v>
      </c>
      <c r="I448" s="47">
        <f>-input_invoice[[#This Row],[net]]*input_invoice[[#This Row],[tax_rate_irpf]]/100</f>
        <v>0</v>
      </c>
      <c r="J448" s="47">
        <v>0</v>
      </c>
      <c r="K448" t="str">
        <f t="shared" si="12"/>
        <v>payment-suppliers</v>
      </c>
      <c r="L448">
        <v>0</v>
      </c>
      <c r="N448" t="str">
        <f>VLOOKUP(input_invoice[[#This Row],[concept/supplier]],'sel-invoice'!D:E,2,0)</f>
        <v>Leroy Merlin</v>
      </c>
      <c r="O448" t="str">
        <f>VLOOKUP(input_invoice[[#This Row],[concept/supplier]],'sel-invoice'!D:F,3,0)</f>
        <v>SL</v>
      </c>
      <c r="P448" t="str">
        <f>IF(input_invoice[[#This Row],[entity]]="SL","EUR",IF(input_invoice[[#This Row],[entity]]="Ltd","GBP",IF(input_invoice[[#This Row],[entity]]="Inc","USD","XXX")))</f>
        <v>EUR</v>
      </c>
      <c r="Q448" t="s">
        <v>908</v>
      </c>
    </row>
    <row r="449" spans="1:18" hidden="1" x14ac:dyDescent="0.3">
      <c r="A449">
        <v>202504</v>
      </c>
      <c r="B449" s="22" t="s">
        <v>917</v>
      </c>
      <c r="F449" t="s">
        <v>77</v>
      </c>
      <c r="G449" s="47">
        <f>MAX(+input_invoice[[#This Row],[net]]+input_invoice[[#This Row],[tax_iva]]+input_invoice[[#This Row],[tax_irpf]],input_invoice[[#This Row],[net]])</f>
        <v>194.94</v>
      </c>
      <c r="H449" s="47">
        <f>input_invoice[[#This Row],[net]]*(MAX(input_invoice[[#This Row],[tax_rate_iva]],0)/100)</f>
        <v>0</v>
      </c>
      <c r="I449" s="47">
        <f>-input_invoice[[#This Row],[net]]*input_invoice[[#This Row],[tax_rate_irpf]]/100</f>
        <v>0</v>
      </c>
      <c r="J449" s="47">
        <v>194.94</v>
      </c>
      <c r="K449" t="str">
        <f t="shared" si="12"/>
        <v>payment-suppliers</v>
      </c>
      <c r="L449">
        <v>0</v>
      </c>
      <c r="N449" t="str">
        <f>VLOOKUP(input_invoice[[#This Row],[concept/supplier]],'sel-invoice'!D:E,2,0)</f>
        <v>Maisons du Monde</v>
      </c>
      <c r="O449" t="str">
        <f>VLOOKUP(input_invoice[[#This Row],[concept/supplier]],'sel-invoice'!D:F,3,0)</f>
        <v>SL</v>
      </c>
      <c r="P449" t="str">
        <f>IF(input_invoice[[#This Row],[entity]]="SL","EUR",IF(input_invoice[[#This Row],[entity]]="Ltd","GBP",IF(input_invoice[[#This Row],[entity]]="Inc","USD","XXX")))</f>
        <v>EUR</v>
      </c>
      <c r="Q449" t="s">
        <v>908</v>
      </c>
    </row>
    <row r="450" spans="1:18" hidden="1" x14ac:dyDescent="0.3">
      <c r="A450">
        <v>202504</v>
      </c>
      <c r="B450" s="22" t="s">
        <v>917</v>
      </c>
      <c r="F450" t="s">
        <v>66</v>
      </c>
      <c r="G450" s="47">
        <f>MAX(+input_invoice[[#This Row],[net]]+input_invoice[[#This Row],[tax_iva]]+input_invoice[[#This Row],[tax_irpf]],input_invoice[[#This Row],[net]])</f>
        <v>1128.1300000000001</v>
      </c>
      <c r="H450" s="47">
        <f>input_invoice[[#This Row],[net]]*(MAX(input_invoice[[#This Row],[tax_rate_iva]],0)/100)</f>
        <v>0</v>
      </c>
      <c r="I450" s="47">
        <f>-input_invoice[[#This Row],[net]]*input_invoice[[#This Row],[tax_rate_irpf]]/100</f>
        <v>0</v>
      </c>
      <c r="J450" s="47">
        <v>1128.1300000000001</v>
      </c>
      <c r="K450" t="str">
        <f t="shared" si="12"/>
        <v>payment-suppliers</v>
      </c>
      <c r="L450">
        <v>0</v>
      </c>
      <c r="N450" t="str">
        <f>VLOOKUP(input_invoice[[#This Row],[concept/supplier]],'sel-invoice'!D:E,2,0)</f>
        <v>Paypal</v>
      </c>
      <c r="O450" t="str">
        <f>VLOOKUP(input_invoice[[#This Row],[concept/supplier]],'sel-invoice'!D:F,3,0)</f>
        <v>SL</v>
      </c>
      <c r="P450" t="str">
        <f>IF(input_invoice[[#This Row],[entity]]="SL","EUR",IF(input_invoice[[#This Row],[entity]]="Ltd","GBP",IF(input_invoice[[#This Row],[entity]]="Inc","USD","XXX")))</f>
        <v>EUR</v>
      </c>
      <c r="Q450" t="s">
        <v>908</v>
      </c>
    </row>
    <row r="451" spans="1:18" hidden="1" x14ac:dyDescent="0.3">
      <c r="A451">
        <v>202504</v>
      </c>
      <c r="B451" s="22" t="s">
        <v>917</v>
      </c>
      <c r="F451" t="s">
        <v>72</v>
      </c>
      <c r="G451" s="47">
        <f>MAX(+input_invoice[[#This Row],[net]]+input_invoice[[#This Row],[tax_iva]]+input_invoice[[#This Row],[tax_irpf]],input_invoice[[#This Row],[net]])</f>
        <v>0</v>
      </c>
      <c r="H451" s="47">
        <f>input_invoice[[#This Row],[net]]*(MAX(input_invoice[[#This Row],[tax_rate_iva]],0)/100)</f>
        <v>0</v>
      </c>
      <c r="I451" s="47">
        <f>-input_invoice[[#This Row],[net]]*input_invoice[[#This Row],[tax_rate_irpf]]/100</f>
        <v>0</v>
      </c>
      <c r="J451" s="47">
        <v>0</v>
      </c>
      <c r="K451" t="str">
        <f t="shared" si="12"/>
        <v>payment-suppliers</v>
      </c>
      <c r="L451">
        <v>0</v>
      </c>
      <c r="N451" t="str">
        <f>VLOOKUP(input_invoice[[#This Row],[concept/supplier]],'sel-invoice'!D:E,2,0)</f>
        <v>Revolut</v>
      </c>
      <c r="O451" t="str">
        <f>VLOOKUP(input_invoice[[#This Row],[concept/supplier]],'sel-invoice'!D:F,3,0)</f>
        <v>SL</v>
      </c>
      <c r="P451" t="str">
        <f>IF(input_invoice[[#This Row],[entity]]="SL","EUR",IF(input_invoice[[#This Row],[entity]]="Ltd","GBP",IF(input_invoice[[#This Row],[entity]]="Inc","USD","XXX")))</f>
        <v>EUR</v>
      </c>
      <c r="Q451" t="s">
        <v>908</v>
      </c>
    </row>
    <row r="452" spans="1:18" hidden="1" x14ac:dyDescent="0.3">
      <c r="A452">
        <v>202504</v>
      </c>
      <c r="B452" s="22" t="s">
        <v>917</v>
      </c>
      <c r="F452" t="s">
        <v>74</v>
      </c>
      <c r="G452" s="47">
        <f>MAX(+input_invoice[[#This Row],[net]]+input_invoice[[#This Row],[tax_iva]]+input_invoice[[#This Row],[tax_irpf]],input_invoice[[#This Row],[net]])</f>
        <v>0</v>
      </c>
      <c r="H452" s="47">
        <f>input_invoice[[#This Row],[net]]*(MAX(input_invoice[[#This Row],[tax_rate_iva]],0)/100)</f>
        <v>0</v>
      </c>
      <c r="I452" s="47">
        <f>-input_invoice[[#This Row],[net]]*input_invoice[[#This Row],[tax_rate_irpf]]/100</f>
        <v>0</v>
      </c>
      <c r="J452" s="47">
        <v>0</v>
      </c>
      <c r="K452" t="str">
        <f t="shared" si="12"/>
        <v>payment-suppliers</v>
      </c>
      <c r="L452">
        <v>0</v>
      </c>
      <c r="N452" t="str">
        <f>VLOOKUP(input_invoice[[#This Row],[concept/supplier]],'sel-invoice'!D:E,2,0)</f>
        <v>SeQura</v>
      </c>
      <c r="O452" t="str">
        <f>VLOOKUP(input_invoice[[#This Row],[concept/supplier]],'sel-invoice'!D:F,3,0)</f>
        <v>SL</v>
      </c>
      <c r="P452" t="str">
        <f>IF(input_invoice[[#This Row],[entity]]="SL","EUR",IF(input_invoice[[#This Row],[entity]]="Ltd","GBP",IF(input_invoice[[#This Row],[entity]]="Inc","USD","XXX")))</f>
        <v>EUR</v>
      </c>
      <c r="Q452" t="s">
        <v>908</v>
      </c>
    </row>
    <row r="453" spans="1:18" hidden="1" x14ac:dyDescent="0.3">
      <c r="A453">
        <v>202504</v>
      </c>
      <c r="B453" s="22" t="s">
        <v>917</v>
      </c>
      <c r="F453" t="s">
        <v>65</v>
      </c>
      <c r="G453" s="47">
        <f>MAX(+input_invoice[[#This Row],[net]]+input_invoice[[#This Row],[tax_iva]]+input_invoice[[#This Row],[tax_irpf]],input_invoice[[#This Row],[net]])</f>
        <v>2405.44</v>
      </c>
      <c r="H453" s="47">
        <f>input_invoice[[#This Row],[net]]*(MAX(input_invoice[[#This Row],[tax_rate_iva]],0)/100)</f>
        <v>0</v>
      </c>
      <c r="I453" s="47">
        <f>-input_invoice[[#This Row],[net]]*input_invoice[[#This Row],[tax_rate_irpf]]/100</f>
        <v>0</v>
      </c>
      <c r="J453" s="47">
        <v>2405.44</v>
      </c>
      <c r="K453" t="str">
        <f t="shared" si="12"/>
        <v>payment-suppliers</v>
      </c>
      <c r="L453">
        <v>0</v>
      </c>
      <c r="N453" t="str">
        <f>VLOOKUP(input_invoice[[#This Row],[concept/supplier]],'sel-invoice'!D:E,2,0)</f>
        <v>Shopify</v>
      </c>
      <c r="O453" t="str">
        <f>VLOOKUP(input_invoice[[#This Row],[concept/supplier]],'sel-invoice'!D:F,3,0)</f>
        <v>SL</v>
      </c>
      <c r="P453" t="str">
        <f>IF(input_invoice[[#This Row],[entity]]="SL","EUR",IF(input_invoice[[#This Row],[entity]]="Ltd","GBP",IF(input_invoice[[#This Row],[entity]]="Inc","USD","XXX")))</f>
        <v>EUR</v>
      </c>
      <c r="Q453" t="s">
        <v>908</v>
      </c>
      <c r="R453" s="267" t="b">
        <v>1</v>
      </c>
    </row>
    <row r="454" spans="1:18" hidden="1" x14ac:dyDescent="0.3">
      <c r="A454">
        <v>202504</v>
      </c>
      <c r="B454" s="22" t="s">
        <v>917</v>
      </c>
      <c r="F454" t="s">
        <v>139</v>
      </c>
      <c r="G454" s="47">
        <f>MAX(+input_invoice[[#This Row],[net]]+input_invoice[[#This Row],[tax_iva]]+input_invoice[[#This Row],[tax_irpf]],input_invoice[[#This Row],[net]])</f>
        <v>6.05</v>
      </c>
      <c r="H454" s="47">
        <f>input_invoice[[#This Row],[net]]*(MAX(input_invoice[[#This Row],[tax_rate_iva]],0)/100)</f>
        <v>1.05</v>
      </c>
      <c r="I454" s="47">
        <f>-input_invoice[[#This Row],[net]]*input_invoice[[#This Row],[tax_rate_irpf]]/100</f>
        <v>0</v>
      </c>
      <c r="J454" s="47">
        <v>5</v>
      </c>
      <c r="K454" t="str">
        <f t="shared" si="12"/>
        <v>it</v>
      </c>
      <c r="L454">
        <v>21</v>
      </c>
      <c r="N454" t="str">
        <f>VLOOKUP(input_invoice[[#This Row],[concept/supplier]],'sel-invoice'!D:E,2,0)</f>
        <v>Mas Movil</v>
      </c>
      <c r="O454" t="str">
        <f>VLOOKUP(input_invoice[[#This Row],[concept/supplier]],'sel-invoice'!D:F,3,0)</f>
        <v>SL</v>
      </c>
      <c r="P454" t="str">
        <f>IF(input_invoice[[#This Row],[entity]]="SL","EUR",IF(input_invoice[[#This Row],[entity]]="Ltd","GBP",IF(input_invoice[[#This Row],[entity]]="Inc","USD","XXX")))</f>
        <v>EUR</v>
      </c>
    </row>
    <row r="455" spans="1:18" hidden="1" x14ac:dyDescent="0.3">
      <c r="A455">
        <v>202504</v>
      </c>
      <c r="B455" s="22" t="s">
        <v>917</v>
      </c>
      <c r="F455" t="s">
        <v>45</v>
      </c>
      <c r="G455" s="47">
        <f>MAX(+input_invoice[[#This Row],[net]]+input_invoice[[#This Row],[tax_iva]]+input_invoice[[#This Row],[tax_irpf]],input_invoice[[#This Row],[net]])</f>
        <v>746.53200000000004</v>
      </c>
      <c r="H455" s="47">
        <f>input_invoice[[#This Row],[net]]*(MAX(input_invoice[[#This Row],[tax_rate_iva]],0)/100)</f>
        <v>124.42200000000001</v>
      </c>
      <c r="I455" s="47">
        <f>-input_invoice[[#This Row],[net]]*input_invoice[[#This Row],[tax_rate_irpf]]/100</f>
        <v>0</v>
      </c>
      <c r="J455" s="47">
        <v>622.11</v>
      </c>
      <c r="K455" t="str">
        <f t="shared" si="12"/>
        <v>manufacturing</v>
      </c>
      <c r="L455">
        <v>20</v>
      </c>
      <c r="N455" t="str">
        <f>VLOOKUP(input_invoice[[#This Row],[concept/supplier]],'sel-invoice'!D:E,2,0)</f>
        <v>MB Editions</v>
      </c>
      <c r="O455" t="str">
        <f>VLOOKUP(input_invoice[[#This Row],[concept/supplier]],'sel-invoice'!D:F,3,0)</f>
        <v>SL</v>
      </c>
      <c r="P455" t="str">
        <f>IF(input_invoice[[#This Row],[entity]]="SL","EUR",IF(input_invoice[[#This Row],[entity]]="Ltd","GBP",IF(input_invoice[[#This Row],[entity]]="Inc","USD","XXX")))</f>
        <v>EUR</v>
      </c>
    </row>
    <row r="456" spans="1:18" hidden="1" x14ac:dyDescent="0.3">
      <c r="A456">
        <v>202504</v>
      </c>
      <c r="B456" s="22" t="s">
        <v>917</v>
      </c>
      <c r="F456" t="s">
        <v>45</v>
      </c>
      <c r="G456" s="47">
        <f>MAX(+input_invoice[[#This Row],[net]]+input_invoice[[#This Row],[tax_iva]]+input_invoice[[#This Row],[tax_irpf]],input_invoice[[#This Row],[net]])</f>
        <v>482.44800000000004</v>
      </c>
      <c r="H456" s="47">
        <f>input_invoice[[#This Row],[net]]*(MAX(input_invoice[[#This Row],[tax_rate_iva]],0)/100)</f>
        <v>80.408000000000015</v>
      </c>
      <c r="I456" s="47">
        <f>-input_invoice[[#This Row],[net]]*input_invoice[[#This Row],[tax_rate_irpf]]/100</f>
        <v>0</v>
      </c>
      <c r="J456" s="47">
        <v>402.04</v>
      </c>
      <c r="K456" t="str">
        <f t="shared" si="12"/>
        <v>manufacturing</v>
      </c>
      <c r="L456">
        <v>20</v>
      </c>
      <c r="N456" t="str">
        <f>VLOOKUP(input_invoice[[#This Row],[concept/supplier]],'sel-invoice'!D:E,2,0)</f>
        <v>MB Editions</v>
      </c>
      <c r="O456" t="str">
        <f>VLOOKUP(input_invoice[[#This Row],[concept/supplier]],'sel-invoice'!D:F,3,0)</f>
        <v>SL</v>
      </c>
      <c r="P456" t="s">
        <v>11</v>
      </c>
    </row>
    <row r="457" spans="1:18" hidden="1" x14ac:dyDescent="0.3">
      <c r="A457">
        <v>202504</v>
      </c>
      <c r="B457" s="22" t="s">
        <v>917</v>
      </c>
      <c r="F457" t="s">
        <v>45</v>
      </c>
      <c r="G457" s="47">
        <f>MAX(+input_invoice[[#This Row],[net]]+input_invoice[[#This Row],[tax_iva]]+input_invoice[[#This Row],[tax_irpf]],input_invoice[[#This Row],[net]])</f>
        <v>991.476</v>
      </c>
      <c r="H457" s="47">
        <f>input_invoice[[#This Row],[net]]*(MAX(input_invoice[[#This Row],[tax_rate_iva]],0)/100)</f>
        <v>165.24600000000001</v>
      </c>
      <c r="I457" s="47">
        <f>-input_invoice[[#This Row],[net]]*input_invoice[[#This Row],[tax_rate_irpf]]/100</f>
        <v>0</v>
      </c>
      <c r="J457" s="47">
        <v>826.23</v>
      </c>
      <c r="K457" t="str">
        <f t="shared" si="12"/>
        <v>manufacturing</v>
      </c>
      <c r="L457">
        <v>20</v>
      </c>
      <c r="N457" t="str">
        <f>VLOOKUP(input_invoice[[#This Row],[concept/supplier]],'sel-invoice'!D:E,2,0)</f>
        <v>MB Editions</v>
      </c>
      <c r="O457" t="str">
        <f>VLOOKUP(input_invoice[[#This Row],[concept/supplier]],'sel-invoice'!D:F,3,0)</f>
        <v>SL</v>
      </c>
      <c r="P457" t="str">
        <f>IF(input_invoice[[#This Row],[entity]]="SL","EUR",IF(input_invoice[[#This Row],[entity]]="Ltd","GBP",IF(input_invoice[[#This Row],[entity]]="Inc","USD","XXX")))</f>
        <v>EUR</v>
      </c>
    </row>
    <row r="458" spans="1:18" hidden="1" x14ac:dyDescent="0.3">
      <c r="A458">
        <v>202504</v>
      </c>
      <c r="B458" s="22" t="s">
        <v>917</v>
      </c>
      <c r="F458" t="s">
        <v>129</v>
      </c>
      <c r="G458" s="47">
        <f>MAX(+input_invoice[[#This Row],[net]]+input_invoice[[#This Row],[tax_iva]]+input_invoice[[#This Row],[tax_irpf]],input_invoice[[#This Row],[net]])</f>
        <v>10.635899999999999</v>
      </c>
      <c r="H458" s="47">
        <f>input_invoice[[#This Row],[net]]*(MAX(input_invoice[[#This Row],[tax_rate_iva]],0)/100)</f>
        <v>1.8458999999999997</v>
      </c>
      <c r="I458" s="47">
        <f>-input_invoice[[#This Row],[net]]*input_invoice[[#This Row],[tax_rate_irpf]]/100</f>
        <v>0</v>
      </c>
      <c r="J458" s="47">
        <v>8.7899999999999991</v>
      </c>
      <c r="K458" t="str">
        <f t="shared" si="12"/>
        <v>it</v>
      </c>
      <c r="L458">
        <v>21</v>
      </c>
      <c r="N458" t="str">
        <f>VLOOKUP(input_invoice[[#This Row],[concept/supplier]],'sel-invoice'!D:E,2,0)</f>
        <v>Microsoft</v>
      </c>
      <c r="O458" t="str">
        <f>VLOOKUP(input_invoice[[#This Row],[concept/supplier]],'sel-invoice'!D:F,3,0)</f>
        <v>SL</v>
      </c>
      <c r="P458" t="str">
        <f>IF(input_invoice[[#This Row],[entity]]="SL","EUR",IF(input_invoice[[#This Row],[entity]]="Ltd","GBP",IF(input_invoice[[#This Row],[entity]]="Inc","USD","XXX")))</f>
        <v>EUR</v>
      </c>
    </row>
    <row r="459" spans="1:18" hidden="1" x14ac:dyDescent="0.3">
      <c r="A459">
        <v>202504</v>
      </c>
      <c r="B459" s="22" t="s">
        <v>917</v>
      </c>
      <c r="F459" t="s">
        <v>129</v>
      </c>
      <c r="G459" s="47">
        <f>MAX(+input_invoice[[#This Row],[net]]+input_invoice[[#This Row],[tax_iva]]+input_invoice[[#This Row],[tax_irpf]],input_invoice[[#This Row],[net]])</f>
        <v>23.716000000000001</v>
      </c>
      <c r="H459" s="47">
        <f>input_invoice[[#This Row],[net]]*(MAX(input_invoice[[#This Row],[tax_rate_iva]],0)/100)</f>
        <v>4.1160000000000005</v>
      </c>
      <c r="I459" s="47">
        <f>-input_invoice[[#This Row],[net]]*input_invoice[[#This Row],[tax_rate_irpf]]/100</f>
        <v>0</v>
      </c>
      <c r="J459" s="47">
        <v>19.600000000000001</v>
      </c>
      <c r="K459" t="str">
        <f t="shared" si="12"/>
        <v>it</v>
      </c>
      <c r="L459">
        <v>21</v>
      </c>
      <c r="N459" t="str">
        <f>VLOOKUP(input_invoice[[#This Row],[concept/supplier]],'sel-invoice'!D:E,2,0)</f>
        <v>Microsoft</v>
      </c>
      <c r="O459" t="str">
        <f>VLOOKUP(input_invoice[[#This Row],[concept/supplier]],'sel-invoice'!D:F,3,0)</f>
        <v>SL</v>
      </c>
      <c r="P459" t="str">
        <f>IF(input_invoice[[#This Row],[entity]]="SL","EUR",IF(input_invoice[[#This Row],[entity]]="Ltd","GBP",IF(input_invoice[[#This Row],[entity]]="Inc","USD","XXX")))</f>
        <v>EUR</v>
      </c>
    </row>
    <row r="460" spans="1:18" hidden="1" x14ac:dyDescent="0.3">
      <c r="A460">
        <v>202504</v>
      </c>
      <c r="B460" s="22" t="s">
        <v>917</v>
      </c>
      <c r="F460" t="s">
        <v>129</v>
      </c>
      <c r="G460" s="47">
        <f>MAX(+input_invoice[[#This Row],[net]]+input_invoice[[#This Row],[tax_iva]]+input_invoice[[#This Row],[tax_irpf]],input_invoice[[#This Row],[net]])</f>
        <v>34.122</v>
      </c>
      <c r="H460" s="47">
        <f>input_invoice[[#This Row],[net]]*(MAX(input_invoice[[#This Row],[tax_rate_iva]],0)/100)</f>
        <v>5.9219999999999997</v>
      </c>
      <c r="I460" s="47">
        <f>-input_invoice[[#This Row],[net]]*input_invoice[[#This Row],[tax_rate_irpf]]/100</f>
        <v>0</v>
      </c>
      <c r="J460" s="47">
        <v>28.2</v>
      </c>
      <c r="K460" t="str">
        <f t="shared" si="12"/>
        <v>it</v>
      </c>
      <c r="L460">
        <v>21</v>
      </c>
      <c r="N460" t="str">
        <f>VLOOKUP(input_invoice[[#This Row],[concept/supplier]],'sel-invoice'!D:E,2,0)</f>
        <v>Microsoft</v>
      </c>
      <c r="O460" t="str">
        <f>VLOOKUP(input_invoice[[#This Row],[concept/supplier]],'sel-invoice'!D:F,3,0)</f>
        <v>SL</v>
      </c>
      <c r="P460" t="str">
        <f>IF(input_invoice[[#This Row],[entity]]="SL","EUR",IF(input_invoice[[#This Row],[entity]]="Ltd","GBP",IF(input_invoice[[#This Row],[entity]]="Inc","USD","XXX")))</f>
        <v>EUR</v>
      </c>
    </row>
    <row r="461" spans="1:18" hidden="1" x14ac:dyDescent="0.3">
      <c r="A461">
        <v>202504</v>
      </c>
      <c r="B461" s="22" t="s">
        <v>917</v>
      </c>
      <c r="F461" t="s">
        <v>41</v>
      </c>
      <c r="G461" s="47">
        <f>MAX(+input_invoice[[#This Row],[net]]+input_invoice[[#This Row],[tax_iva]]+input_invoice[[#This Row],[tax_irpf]],input_invoice[[#This Row],[net]])</f>
        <v>1616.4148</v>
      </c>
      <c r="H461" s="47">
        <f>input_invoice[[#This Row],[net]]*(MAX(input_invoice[[#This Row],[tax_rate_iva]],0)/100)</f>
        <v>280.53480000000002</v>
      </c>
      <c r="I461" s="47">
        <f>-input_invoice[[#This Row],[net]]*input_invoice[[#This Row],[tax_rate_irpf]]/100</f>
        <v>0</v>
      </c>
      <c r="J461" s="47">
        <v>1335.88</v>
      </c>
      <c r="K461" t="str">
        <f t="shared" si="12"/>
        <v>manufacturing</v>
      </c>
      <c r="L461">
        <v>21</v>
      </c>
      <c r="N461" t="str">
        <f>VLOOKUP(input_invoice[[#This Row],[concept/supplier]],'sel-invoice'!D:E,2,0)</f>
        <v>Pressing</v>
      </c>
      <c r="O461" t="str">
        <f>VLOOKUP(input_invoice[[#This Row],[concept/supplier]],'sel-invoice'!D:F,3,0)</f>
        <v>SL</v>
      </c>
      <c r="P461" t="str">
        <f>IF(input_invoice[[#This Row],[entity]]="SL","EUR",IF(input_invoice[[#This Row],[entity]]="Ltd","GBP",IF(input_invoice[[#This Row],[entity]]="Inc","USD","XXX")))</f>
        <v>EUR</v>
      </c>
    </row>
    <row r="462" spans="1:18" hidden="1" x14ac:dyDescent="0.3">
      <c r="A462">
        <v>202504</v>
      </c>
      <c r="B462" s="22" t="s">
        <v>917</v>
      </c>
      <c r="C462" s="48">
        <v>6025146</v>
      </c>
      <c r="D462" s="43">
        <v>45777</v>
      </c>
      <c r="F462" t="s">
        <v>182</v>
      </c>
      <c r="G462" s="47">
        <f>MAX(+input_invoice[[#This Row],[net]]+input_invoice[[#This Row],[tax_iva]]+input_invoice[[#This Row],[tax_irpf]],input_invoice[[#This Row],[net]])</f>
        <v>5526.1080000000002</v>
      </c>
      <c r="H462" s="47">
        <f>input_invoice[[#This Row],[net]]*(MAX(input_invoice[[#This Row],[tax_rate_iva]],0)/100)</f>
        <v>921.01800000000003</v>
      </c>
      <c r="I462" s="47">
        <f>-input_invoice[[#This Row],[net]]*input_invoice[[#This Row],[tax_rate_irpf]]/100</f>
        <v>0</v>
      </c>
      <c r="J462" s="47">
        <v>4605.09</v>
      </c>
      <c r="K462" t="str">
        <f t="shared" si="12"/>
        <v>manufacturing</v>
      </c>
      <c r="L462">
        <v>20</v>
      </c>
      <c r="N462" t="str">
        <f>VLOOKUP(input_invoice[[#This Row],[concept/supplier]],'sel-invoice'!D:E,2,0)</f>
        <v>Proco</v>
      </c>
      <c r="O462" t="str">
        <f>VLOOKUP(input_invoice[[#This Row],[concept/supplier]],'sel-invoice'!D:F,3,0)</f>
        <v>Ltd</v>
      </c>
      <c r="P462" t="str">
        <f>IF(input_invoice[[#This Row],[entity]]="SL","EUR",IF(input_invoice[[#This Row],[entity]]="Ltd","GBP",IF(input_invoice[[#This Row],[entity]]="Inc","USD","XXX")))</f>
        <v>GBP</v>
      </c>
    </row>
    <row r="463" spans="1:18" hidden="1" x14ac:dyDescent="0.3">
      <c r="A463">
        <v>202504</v>
      </c>
      <c r="B463" s="22" t="s">
        <v>917</v>
      </c>
      <c r="C463" s="48">
        <v>6025146</v>
      </c>
      <c r="D463" s="43">
        <v>45777</v>
      </c>
      <c r="F463" t="s">
        <v>194</v>
      </c>
      <c r="G463" s="47">
        <f>MAX(+input_invoice[[#This Row],[net]]+input_invoice[[#This Row],[tax_iva]]+input_invoice[[#This Row],[tax_irpf]],input_invoice[[#This Row],[net]])</f>
        <v>907.2</v>
      </c>
      <c r="H463" s="47">
        <f>input_invoice[[#This Row],[net]]*(MAX(input_invoice[[#This Row],[tax_rate_iva]],0)/100)</f>
        <v>151.20000000000002</v>
      </c>
      <c r="I463" s="47">
        <f>-input_invoice[[#This Row],[net]]*input_invoice[[#This Row],[tax_rate_irpf]]/100</f>
        <v>0</v>
      </c>
      <c r="J463" s="47">
        <v>756</v>
      </c>
      <c r="K463" t="str">
        <f t="shared" si="12"/>
        <v>logistics</v>
      </c>
      <c r="L463">
        <v>20</v>
      </c>
      <c r="N463" t="str">
        <f>VLOOKUP(input_invoice[[#This Row],[concept/supplier]],'sel-invoice'!D:E,2,0)</f>
        <v>Proco</v>
      </c>
      <c r="O463" t="str">
        <f>VLOOKUP(input_invoice[[#This Row],[concept/supplier]],'sel-invoice'!D:F,3,0)</f>
        <v>Ltd</v>
      </c>
      <c r="P463" t="str">
        <f>IF(input_invoice[[#This Row],[entity]]="SL","EUR",IF(input_invoice[[#This Row],[entity]]="Ltd","GBP",IF(input_invoice[[#This Row],[entity]]="Inc","USD","XXX")))</f>
        <v>GBP</v>
      </c>
    </row>
    <row r="464" spans="1:18" hidden="1" x14ac:dyDescent="0.3">
      <c r="A464">
        <v>202504</v>
      </c>
      <c r="B464" s="22" t="s">
        <v>917</v>
      </c>
      <c r="C464" s="48">
        <v>6025146</v>
      </c>
      <c r="D464" s="43">
        <v>45777</v>
      </c>
      <c r="F464" t="s">
        <v>196</v>
      </c>
      <c r="G464" s="47">
        <f>MAX(+input_invoice[[#This Row],[net]]+input_invoice[[#This Row],[tax_iva]]+input_invoice[[#This Row],[tax_irpf]],input_invoice[[#This Row],[net]])</f>
        <v>1702.8719999999998</v>
      </c>
      <c r="H464" s="47">
        <f>input_invoice[[#This Row],[net]]*(MAX(input_invoice[[#This Row],[tax_rate_iva]],0)/100)</f>
        <v>283.81200000000001</v>
      </c>
      <c r="I464" s="47">
        <f>-input_invoice[[#This Row],[net]]*input_invoice[[#This Row],[tax_rate_irpf]]/100</f>
        <v>0</v>
      </c>
      <c r="J464" s="47">
        <v>1419.06</v>
      </c>
      <c r="K464" t="str">
        <f t="shared" si="12"/>
        <v>logistics</v>
      </c>
      <c r="L464">
        <v>20</v>
      </c>
      <c r="N464" t="str">
        <f>VLOOKUP(input_invoice[[#This Row],[concept/supplier]],'sel-invoice'!D:E,2,0)</f>
        <v>Proco</v>
      </c>
      <c r="O464" t="str">
        <f>VLOOKUP(input_invoice[[#This Row],[concept/supplier]],'sel-invoice'!D:F,3,0)</f>
        <v>Ltd</v>
      </c>
      <c r="P464" t="str">
        <f>IF(input_invoice[[#This Row],[entity]]="SL","EUR",IF(input_invoice[[#This Row],[entity]]="Ltd","GBP",IF(input_invoice[[#This Row],[entity]]="Inc","USD","XXX")))</f>
        <v>GBP</v>
      </c>
    </row>
    <row r="465" spans="1:18" hidden="1" x14ac:dyDescent="0.3">
      <c r="A465">
        <v>202504</v>
      </c>
      <c r="B465" s="22" t="s">
        <v>917</v>
      </c>
      <c r="C465" s="48">
        <v>6025146</v>
      </c>
      <c r="D465" s="43">
        <v>45777</v>
      </c>
      <c r="F465" t="s">
        <v>184</v>
      </c>
      <c r="G465" s="47">
        <f>MAX(+input_invoice[[#This Row],[net]]+input_invoice[[#This Row],[tax_iva]]+input_invoice[[#This Row],[tax_irpf]],input_invoice[[#This Row],[net]])</f>
        <v>4563.3119999999999</v>
      </c>
      <c r="H465" s="47">
        <f>input_invoice[[#This Row],[net]]*(MAX(input_invoice[[#This Row],[tax_rate_iva]],0)/100)</f>
        <v>760.55200000000013</v>
      </c>
      <c r="I465" s="47">
        <f>-input_invoice[[#This Row],[net]]*input_invoice[[#This Row],[tax_rate_irpf]]/100</f>
        <v>0</v>
      </c>
      <c r="J465" s="47">
        <v>3802.76</v>
      </c>
      <c r="K465" t="str">
        <f t="shared" si="12"/>
        <v>manufacturing</v>
      </c>
      <c r="L465">
        <v>20</v>
      </c>
      <c r="N465" t="str">
        <f>VLOOKUP(input_invoice[[#This Row],[concept/supplier]],'sel-invoice'!D:E,2,0)</f>
        <v>Proco</v>
      </c>
      <c r="O465" t="str">
        <f>VLOOKUP(input_invoice[[#This Row],[concept/supplier]],'sel-invoice'!D:F,3,0)</f>
        <v>Ltd</v>
      </c>
      <c r="P465" t="str">
        <f>IF(input_invoice[[#This Row],[entity]]="SL","EUR",IF(input_invoice[[#This Row],[entity]]="Ltd","GBP",IF(input_invoice[[#This Row],[entity]]="Inc","USD","XXX")))</f>
        <v>GBP</v>
      </c>
      <c r="R465" s="259" t="b">
        <v>0</v>
      </c>
    </row>
    <row r="466" spans="1:18" hidden="1" x14ac:dyDescent="0.3">
      <c r="A466">
        <v>202504</v>
      </c>
      <c r="B466" s="22" t="s">
        <v>917</v>
      </c>
      <c r="C466" s="48">
        <v>6025146</v>
      </c>
      <c r="D466" s="43">
        <v>45777</v>
      </c>
      <c r="F466" t="s">
        <v>186</v>
      </c>
      <c r="G466" s="47">
        <f>MAX(+input_invoice[[#This Row],[net]]+input_invoice[[#This Row],[tax_iva]]+input_invoice[[#This Row],[tax_irpf]],input_invoice[[#This Row],[net]])</f>
        <v>1755</v>
      </c>
      <c r="H466" s="47">
        <f>input_invoice[[#This Row],[net]]*(MAX(input_invoice[[#This Row],[tax_rate_iva]],0)/100)</f>
        <v>292.5</v>
      </c>
      <c r="I466" s="47">
        <f>-input_invoice[[#This Row],[net]]*input_invoice[[#This Row],[tax_rate_irpf]]/100</f>
        <v>0</v>
      </c>
      <c r="J466" s="47">
        <v>1462.5</v>
      </c>
      <c r="K466" t="str">
        <f t="shared" si="12"/>
        <v>manufacturing</v>
      </c>
      <c r="L466">
        <v>20</v>
      </c>
      <c r="N466" t="str">
        <f>VLOOKUP(input_invoice[[#This Row],[concept/supplier]],'sel-invoice'!D:E,2,0)</f>
        <v>Proco</v>
      </c>
      <c r="O466" t="str">
        <f>VLOOKUP(input_invoice[[#This Row],[concept/supplier]],'sel-invoice'!D:F,3,0)</f>
        <v>Ltd</v>
      </c>
      <c r="P466" t="str">
        <f>IF(input_invoice[[#This Row],[entity]]="SL","EUR",IF(input_invoice[[#This Row],[entity]]="Ltd","GBP",IF(input_invoice[[#This Row],[entity]]="Inc","USD","XXX")))</f>
        <v>GBP</v>
      </c>
    </row>
    <row r="467" spans="1:18" hidden="1" x14ac:dyDescent="0.3">
      <c r="A467">
        <v>202504</v>
      </c>
      <c r="B467" s="22" t="s">
        <v>917</v>
      </c>
      <c r="F467" t="s">
        <v>131</v>
      </c>
      <c r="G467" s="47">
        <f>MAX(+input_invoice[[#This Row],[net]]+input_invoice[[#This Row],[tax_iva]]+input_invoice[[#This Row],[tax_irpf]],input_invoice[[#This Row],[net]])</f>
        <v>39</v>
      </c>
      <c r="H467" s="47">
        <f>input_invoice[[#This Row],[net]]*(MAX(input_invoice[[#This Row],[tax_rate_iva]],0)/100)</f>
        <v>0</v>
      </c>
      <c r="I467" s="47">
        <f>-input_invoice[[#This Row],[net]]*input_invoice[[#This Row],[tax_rate_irpf]]/100</f>
        <v>0</v>
      </c>
      <c r="J467" s="47">
        <v>39</v>
      </c>
      <c r="K467" t="str">
        <f t="shared" si="12"/>
        <v>it</v>
      </c>
      <c r="L467">
        <v>0</v>
      </c>
      <c r="N467" t="str">
        <f>VLOOKUP(input_invoice[[#This Row],[concept/supplier]],'sel-invoice'!D:E,2,0)</f>
        <v>Product Hero</v>
      </c>
      <c r="O467" t="str">
        <f>VLOOKUP(input_invoice[[#This Row],[concept/supplier]],'sel-invoice'!D:F,3,0)</f>
        <v>SL</v>
      </c>
      <c r="P467" t="str">
        <f>IF(input_invoice[[#This Row],[entity]]="SL","EUR",IF(input_invoice[[#This Row],[entity]]="Ltd","GBP",IF(input_invoice[[#This Row],[entity]]="Inc","USD","XXX")))</f>
        <v>EUR</v>
      </c>
    </row>
    <row r="468" spans="1:18" hidden="1" x14ac:dyDescent="0.3">
      <c r="A468">
        <v>202504</v>
      </c>
      <c r="B468" s="22" t="s">
        <v>917</v>
      </c>
      <c r="C468" s="48" t="s">
        <v>314</v>
      </c>
      <c r="F468" t="s">
        <v>54</v>
      </c>
      <c r="G468" s="47">
        <f>MAX(+input_invoice[[#This Row],[net]]+input_invoice[[#This Row],[tax_iva]]+input_invoice[[#This Row],[tax_irpf]],input_invoice[[#This Row],[net]])</f>
        <v>8.5909999999999993</v>
      </c>
      <c r="H468" s="47">
        <f>input_invoice[[#This Row],[net]]*(MAX(input_invoice[[#This Row],[tax_rate_iva]],0)/100)</f>
        <v>1.4909999999999999</v>
      </c>
      <c r="I468" s="47">
        <f>-input_invoice[[#This Row],[net]]*input_invoice[[#This Row],[tax_rate_irpf]]/100</f>
        <v>0</v>
      </c>
      <c r="J468" s="47">
        <v>7.1</v>
      </c>
      <c r="K468" t="str">
        <f t="shared" si="12"/>
        <v>logistics</v>
      </c>
      <c r="L468">
        <v>21</v>
      </c>
      <c r="N468" t="str">
        <f>VLOOKUP(input_invoice[[#This Row],[concept/supplier]],'sel-invoice'!D:E,2,0)</f>
        <v>Spring</v>
      </c>
      <c r="O468" t="str">
        <f>VLOOKUP(input_invoice[[#This Row],[concept/supplier]],'sel-invoice'!D:F,3,0)</f>
        <v>SL</v>
      </c>
      <c r="P468" t="str">
        <f>IF(input_invoice[[#This Row],[entity]]="SL","EUR",IF(input_invoice[[#This Row],[entity]]="Ltd","GBP",IF(input_invoice[[#This Row],[entity]]="Inc","USD","XXX")))</f>
        <v>EUR</v>
      </c>
    </row>
    <row r="469" spans="1:18" hidden="1" x14ac:dyDescent="0.3">
      <c r="A469">
        <v>202504</v>
      </c>
      <c r="B469" s="22" t="s">
        <v>917</v>
      </c>
      <c r="C469" s="48" t="s">
        <v>315</v>
      </c>
      <c r="F469" t="s">
        <v>54</v>
      </c>
      <c r="G469" s="47">
        <f>MAX(+input_invoice[[#This Row],[net]]+input_invoice[[#This Row],[tax_iva]]+input_invoice[[#This Row],[tax_irpf]],input_invoice[[#This Row],[net]])</f>
        <v>8.5909999999999993</v>
      </c>
      <c r="H469" s="47">
        <f>input_invoice[[#This Row],[net]]*(MAX(input_invoice[[#This Row],[tax_rate_iva]],0)/100)</f>
        <v>1.4909999999999999</v>
      </c>
      <c r="I469" s="47">
        <f>-input_invoice[[#This Row],[net]]*input_invoice[[#This Row],[tax_rate_irpf]]/100</f>
        <v>0</v>
      </c>
      <c r="J469" s="47">
        <v>7.1</v>
      </c>
      <c r="K469" t="str">
        <f t="shared" si="12"/>
        <v>logistics</v>
      </c>
      <c r="L469">
        <v>21</v>
      </c>
      <c r="N469" t="str">
        <f>VLOOKUP(input_invoice[[#This Row],[concept/supplier]],'sel-invoice'!D:E,2,0)</f>
        <v>Spring</v>
      </c>
      <c r="O469" t="str">
        <f>VLOOKUP(input_invoice[[#This Row],[concept/supplier]],'sel-invoice'!D:F,3,0)</f>
        <v>SL</v>
      </c>
      <c r="P469" t="str">
        <f>IF(input_invoice[[#This Row],[entity]]="SL","EUR",IF(input_invoice[[#This Row],[entity]]="Ltd","GBP",IF(input_invoice[[#This Row],[entity]]="Inc","USD","XXX")))</f>
        <v>EUR</v>
      </c>
    </row>
    <row r="470" spans="1:18" hidden="1" x14ac:dyDescent="0.3">
      <c r="A470">
        <v>202504</v>
      </c>
      <c r="B470" s="22" t="s">
        <v>917</v>
      </c>
      <c r="F470" t="s">
        <v>55</v>
      </c>
      <c r="G470" s="47">
        <f>MAX(+input_invoice[[#This Row],[net]]+input_invoice[[#This Row],[tax_iva]]+input_invoice[[#This Row],[tax_irpf]],input_invoice[[#This Row],[net]])</f>
        <v>344.81</v>
      </c>
      <c r="H470" s="47">
        <f>input_invoice[[#This Row],[net]]*(MAX(input_invoice[[#This Row],[tax_rate_iva]],0)/100)</f>
        <v>0</v>
      </c>
      <c r="I470" s="47">
        <f>-input_invoice[[#This Row],[net]]*input_invoice[[#This Row],[tax_rate_irpf]]/100</f>
        <v>0</v>
      </c>
      <c r="J470" s="47">
        <v>344.81</v>
      </c>
      <c r="K470" t="str">
        <f t="shared" si="12"/>
        <v>logistics</v>
      </c>
      <c r="L470">
        <v>0</v>
      </c>
      <c r="N470" t="str">
        <f>VLOOKUP(input_invoice[[#This Row],[concept/supplier]],'sel-invoice'!D:E,2,0)</f>
        <v>UPS DE</v>
      </c>
      <c r="O470" t="str">
        <f>VLOOKUP(input_invoice[[#This Row],[concept/supplier]],'sel-invoice'!D:F,3,0)</f>
        <v>SL</v>
      </c>
      <c r="P470" t="str">
        <f>IF(input_invoice[[#This Row],[entity]]="SL","EUR",IF(input_invoice[[#This Row],[entity]]="Ltd","GBP",IF(input_invoice[[#This Row],[entity]]="Inc","USD","XXX")))</f>
        <v>EUR</v>
      </c>
      <c r="R470" s="259" t="b">
        <v>0</v>
      </c>
    </row>
    <row r="471" spans="1:18" hidden="1" x14ac:dyDescent="0.3">
      <c r="A471">
        <v>202504</v>
      </c>
      <c r="B471" s="22" t="s">
        <v>917</v>
      </c>
      <c r="F471" t="s">
        <v>55</v>
      </c>
      <c r="G471" s="47">
        <f>MAX(+input_invoice[[#This Row],[net]]+input_invoice[[#This Row],[tax_iva]]+input_invoice[[#This Row],[tax_irpf]],input_invoice[[#This Row],[net]])</f>
        <v>1371.09</v>
      </c>
      <c r="H471" s="47">
        <f>input_invoice[[#This Row],[net]]*(MAX(input_invoice[[#This Row],[tax_rate_iva]],0)/100)</f>
        <v>0</v>
      </c>
      <c r="I471" s="47">
        <f>-input_invoice[[#This Row],[net]]*input_invoice[[#This Row],[tax_rate_irpf]]/100</f>
        <v>0</v>
      </c>
      <c r="J471" s="47">
        <v>1371.09</v>
      </c>
      <c r="K471" t="str">
        <f t="shared" ref="K471:K534" si="13">_xlfn.TEXTBEFORE(F471," - ")</f>
        <v>logistics</v>
      </c>
      <c r="L471">
        <v>0</v>
      </c>
      <c r="N471" t="str">
        <f>VLOOKUP(input_invoice[[#This Row],[concept/supplier]],'sel-invoice'!D:E,2,0)</f>
        <v>UPS DE</v>
      </c>
      <c r="O471" t="str">
        <f>VLOOKUP(input_invoice[[#This Row],[concept/supplier]],'sel-invoice'!D:F,3,0)</f>
        <v>SL</v>
      </c>
      <c r="P471" t="str">
        <f>IF(input_invoice[[#This Row],[entity]]="SL","EUR",IF(input_invoice[[#This Row],[entity]]="Ltd","GBP",IF(input_invoice[[#This Row],[entity]]="Inc","USD","XXX")))</f>
        <v>EUR</v>
      </c>
      <c r="R471" s="259" t="b">
        <v>0</v>
      </c>
    </row>
    <row r="472" spans="1:18" hidden="1" x14ac:dyDescent="0.3">
      <c r="A472" s="88">
        <v>202504</v>
      </c>
      <c r="B472" s="22" t="s">
        <v>917</v>
      </c>
      <c r="C472" s="89"/>
      <c r="D472" s="90"/>
      <c r="E472" s="90"/>
      <c r="F472" s="88" t="s">
        <v>55</v>
      </c>
      <c r="G472" s="47">
        <f>MAX(+input_invoice[[#This Row],[net]]+input_invoice[[#This Row],[tax_iva]]+input_invoice[[#This Row],[tax_irpf]],input_invoice[[#This Row],[net]])</f>
        <v>1402.51</v>
      </c>
      <c r="H472" s="91">
        <f>input_invoice[[#This Row],[net]]*(MAX(input_invoice[[#This Row],[tax_rate_iva]],0)/100)</f>
        <v>0</v>
      </c>
      <c r="I472" s="91">
        <f>-input_invoice[[#This Row],[net]]*input_invoice[[#This Row],[tax_rate_irpf]]/100</f>
        <v>0</v>
      </c>
      <c r="J472" s="91">
        <v>1402.51</v>
      </c>
      <c r="K472" s="88" t="str">
        <f t="shared" si="13"/>
        <v>logistics</v>
      </c>
      <c r="L472" s="88">
        <v>0</v>
      </c>
      <c r="M472" s="88"/>
      <c r="N472" s="88" t="str">
        <f>VLOOKUP(input_invoice[[#This Row],[concept/supplier]],'sel-invoice'!D:E,2,0)</f>
        <v>UPS DE</v>
      </c>
      <c r="O472" s="88" t="str">
        <f>VLOOKUP(input_invoice[[#This Row],[concept/supplier]],'sel-invoice'!D:F,3,0)</f>
        <v>SL</v>
      </c>
      <c r="P472" s="88" t="str">
        <f>IF(input_invoice[[#This Row],[entity]]="SL","EUR",IF(input_invoice[[#This Row],[entity]]="Ltd","GBP",IF(input_invoice[[#This Row],[entity]]="Inc","USD","XXX")))</f>
        <v>EUR</v>
      </c>
      <c r="Q472" s="88"/>
      <c r="R472" s="259" t="b">
        <v>0</v>
      </c>
    </row>
    <row r="473" spans="1:18" hidden="1" x14ac:dyDescent="0.3">
      <c r="A473" s="88">
        <v>202504</v>
      </c>
      <c r="B473" s="22" t="s">
        <v>917</v>
      </c>
      <c r="C473" s="89"/>
      <c r="D473" s="90"/>
      <c r="E473" s="90"/>
      <c r="F473" s="88" t="s">
        <v>55</v>
      </c>
      <c r="G473" s="47">
        <f>MAX(+input_invoice[[#This Row],[net]]+input_invoice[[#This Row],[tax_iva]]+input_invoice[[#This Row],[tax_irpf]],input_invoice[[#This Row],[net]])</f>
        <v>348.69</v>
      </c>
      <c r="H473" s="91">
        <f>input_invoice[[#This Row],[net]]*(MAX(input_invoice[[#This Row],[tax_rate_iva]],0)/100)</f>
        <v>0</v>
      </c>
      <c r="I473" s="91">
        <f>-input_invoice[[#This Row],[net]]*input_invoice[[#This Row],[tax_rate_irpf]]/100</f>
        <v>0</v>
      </c>
      <c r="J473" s="91">
        <v>348.69</v>
      </c>
      <c r="K473" s="88" t="str">
        <f t="shared" si="13"/>
        <v>logistics</v>
      </c>
      <c r="L473" s="88">
        <v>0</v>
      </c>
      <c r="M473" s="88"/>
      <c r="N473" s="88" t="str">
        <f>VLOOKUP(input_invoice[[#This Row],[concept/supplier]],'sel-invoice'!D:E,2,0)</f>
        <v>UPS DE</v>
      </c>
      <c r="O473" s="88" t="str">
        <f>VLOOKUP(input_invoice[[#This Row],[concept/supplier]],'sel-invoice'!D:F,3,0)</f>
        <v>SL</v>
      </c>
      <c r="P473" s="88" t="str">
        <f>IF(input_invoice[[#This Row],[entity]]="SL","EUR",IF(input_invoice[[#This Row],[entity]]="Ltd","GBP",IF(input_invoice[[#This Row],[entity]]="Inc","USD","XXX")))</f>
        <v>EUR</v>
      </c>
      <c r="Q473" s="88"/>
      <c r="R473" s="259" t="b">
        <v>0</v>
      </c>
    </row>
    <row r="474" spans="1:18" hidden="1" x14ac:dyDescent="0.3">
      <c r="A474">
        <v>202504</v>
      </c>
      <c r="B474" s="22" t="s">
        <v>917</v>
      </c>
      <c r="F474" t="s">
        <v>55</v>
      </c>
      <c r="G474" s="47">
        <f>MAX(+input_invoice[[#This Row],[net]]+input_invoice[[#This Row],[tax_iva]]+input_invoice[[#This Row],[tax_irpf]],input_invoice[[#This Row],[net]])</f>
        <v>360.57</v>
      </c>
      <c r="H474" s="47">
        <f>input_invoice[[#This Row],[net]]*(MAX(input_invoice[[#This Row],[tax_rate_iva]],0)/100)</f>
        <v>0</v>
      </c>
      <c r="I474" s="47">
        <f>-input_invoice[[#This Row],[net]]*input_invoice[[#This Row],[tax_rate_irpf]]/100</f>
        <v>0</v>
      </c>
      <c r="J474" s="47">
        <v>360.57</v>
      </c>
      <c r="K474" t="str">
        <f t="shared" si="13"/>
        <v>logistics</v>
      </c>
      <c r="L474">
        <v>0</v>
      </c>
      <c r="N474" t="str">
        <f>VLOOKUP(input_invoice[[#This Row],[concept/supplier]],'sel-invoice'!D:E,2,0)</f>
        <v>UPS DE</v>
      </c>
      <c r="O474" t="str">
        <f>VLOOKUP(input_invoice[[#This Row],[concept/supplier]],'sel-invoice'!D:F,3,0)</f>
        <v>SL</v>
      </c>
      <c r="P474" t="str">
        <f>IF(input_invoice[[#This Row],[entity]]="SL","EUR",IF(input_invoice[[#This Row],[entity]]="Ltd","GBP",IF(input_invoice[[#This Row],[entity]]="Inc","USD","XXX")))</f>
        <v>EUR</v>
      </c>
      <c r="R474" s="259" t="b">
        <v>0</v>
      </c>
    </row>
    <row r="475" spans="1:18" hidden="1" x14ac:dyDescent="0.3">
      <c r="A475">
        <v>202504</v>
      </c>
      <c r="B475" s="22" t="s">
        <v>917</v>
      </c>
      <c r="F475" t="s">
        <v>56</v>
      </c>
      <c r="G475" s="47">
        <f>MAX(+input_invoice[[#This Row],[net]]+input_invoice[[#This Row],[tax_iva]]+input_invoice[[#This Row],[tax_irpf]],input_invoice[[#This Row],[net]])</f>
        <v>1294.97</v>
      </c>
      <c r="H475" s="47">
        <f>input_invoice[[#This Row],[net]]*(MAX(input_invoice[[#This Row],[tax_rate_iva]],0)/100)</f>
        <v>0</v>
      </c>
      <c r="I475" s="47">
        <f>-input_invoice[[#This Row],[net]]*input_invoice[[#This Row],[tax_rate_irpf]]/100</f>
        <v>0</v>
      </c>
      <c r="J475" s="47">
        <v>1294.97</v>
      </c>
      <c r="K475" t="str">
        <f t="shared" si="13"/>
        <v>logistics</v>
      </c>
      <c r="L475">
        <v>0</v>
      </c>
      <c r="N475" t="str">
        <f>VLOOKUP(input_invoice[[#This Row],[concept/supplier]],'sel-invoice'!D:E,2,0)</f>
        <v>UPS FR</v>
      </c>
      <c r="O475" t="str">
        <f>VLOOKUP(input_invoice[[#This Row],[concept/supplier]],'sel-invoice'!D:F,3,0)</f>
        <v>SL</v>
      </c>
      <c r="P475" t="str">
        <f>IF(input_invoice[[#This Row],[entity]]="SL","EUR",IF(input_invoice[[#This Row],[entity]]="Ltd","GBP",IF(input_invoice[[#This Row],[entity]]="Inc","USD","XXX")))</f>
        <v>EUR</v>
      </c>
      <c r="R475" s="259" t="b">
        <v>0</v>
      </c>
    </row>
    <row r="476" spans="1:18" hidden="1" x14ac:dyDescent="0.3">
      <c r="A476">
        <v>202505</v>
      </c>
      <c r="B476" s="22" t="s">
        <v>917</v>
      </c>
      <c r="F476" t="s">
        <v>39</v>
      </c>
      <c r="G476" s="47">
        <f>MAX(+input_invoice[[#This Row],[net]]+input_invoice[[#This Row],[tax_iva]]+input_invoice[[#This Row],[tax_irpf]],input_invoice[[#This Row],[net]])</f>
        <v>108.41239999999999</v>
      </c>
      <c r="H476" s="47">
        <f>input_invoice[[#This Row],[net]]*(MAX(input_invoice[[#This Row],[tax_rate_iva]],0)/100)</f>
        <v>7.0924000000000005</v>
      </c>
      <c r="I476" s="47">
        <f>-input_invoice[[#This Row],[net]]*input_invoice[[#This Row],[tax_rate_irpf]]/100</f>
        <v>0</v>
      </c>
      <c r="J476" s="47">
        <v>101.32</v>
      </c>
      <c r="K476" t="str">
        <f t="shared" si="13"/>
        <v>manufacturing</v>
      </c>
      <c r="L476">
        <v>7</v>
      </c>
      <c r="N476" t="str">
        <f>VLOOKUP(input_invoice[[#This Row],[concept/supplier]],'sel-invoice'!D:E,2,0)</f>
        <v>Apphoto Canarias</v>
      </c>
      <c r="O476" t="str">
        <f>VLOOKUP(input_invoice[[#This Row],[concept/supplier]],'sel-invoice'!D:F,3,0)</f>
        <v>SL</v>
      </c>
      <c r="P476" t="str">
        <f>IF(input_invoice[[#This Row],[entity]]="SL","EUR",IF(input_invoice[[#This Row],[entity]]="Ltd","GBP",IF(input_invoice[[#This Row],[entity]]="Inc","USD","XXX")))</f>
        <v>EUR</v>
      </c>
    </row>
    <row r="477" spans="1:18" hidden="1" x14ac:dyDescent="0.3">
      <c r="A477">
        <v>202505</v>
      </c>
      <c r="B477" s="22" t="s">
        <v>917</v>
      </c>
      <c r="F477" t="s">
        <v>37</v>
      </c>
      <c r="G477" s="47">
        <f>MAX(+input_invoice[[#This Row],[net]]+input_invoice[[#This Row],[tax_iva]]+input_invoice[[#This Row],[tax_irpf]],input_invoice[[#This Row],[net]])</f>
        <v>9796.5593000000008</v>
      </c>
      <c r="H477" s="47">
        <f>input_invoice[[#This Row],[net]]*(MAX(input_invoice[[#This Row],[tax_rate_iva]],0)/100)</f>
        <v>1700.2293</v>
      </c>
      <c r="I477" s="47">
        <f>-input_invoice[[#This Row],[net]]*input_invoice[[#This Row],[tax_rate_irpf]]/100</f>
        <v>0</v>
      </c>
      <c r="J477" s="47">
        <v>8096.33</v>
      </c>
      <c r="K477" t="str">
        <f t="shared" si="13"/>
        <v>manufacturing</v>
      </c>
      <c r="L477">
        <v>21</v>
      </c>
      <c r="N477" t="str">
        <f>VLOOKUP(input_invoice[[#This Row],[concept/supplier]],'sel-invoice'!D:E,2,0)</f>
        <v>Apphoto España</v>
      </c>
      <c r="O477" t="str">
        <f>VLOOKUP(input_invoice[[#This Row],[concept/supplier]],'sel-invoice'!D:F,3,0)</f>
        <v>SL</v>
      </c>
      <c r="P477" t="str">
        <f>IF(input_invoice[[#This Row],[entity]]="SL","EUR",IF(input_invoice[[#This Row],[entity]]="Ltd","GBP",IF(input_invoice[[#This Row],[entity]]="Inc","USD","XXX")))</f>
        <v>EUR</v>
      </c>
    </row>
    <row r="478" spans="1:18" hidden="1" x14ac:dyDescent="0.3">
      <c r="A478">
        <v>202505</v>
      </c>
      <c r="B478" s="22" t="s">
        <v>917</v>
      </c>
      <c r="F478" t="s">
        <v>37</v>
      </c>
      <c r="G478" s="47">
        <f>MAX(+input_invoice[[#This Row],[net]]+input_invoice[[#This Row],[tax_iva]]+input_invoice[[#This Row],[tax_irpf]],input_invoice[[#This Row],[net]])</f>
        <v>11625.7889</v>
      </c>
      <c r="H478" s="47">
        <f>input_invoice[[#This Row],[net]]*(MAX(input_invoice[[#This Row],[tax_rate_iva]],0)/100)</f>
        <v>2017.6988999999999</v>
      </c>
      <c r="I478" s="47">
        <f>-input_invoice[[#This Row],[net]]*input_invoice[[#This Row],[tax_rate_irpf]]/100</f>
        <v>0</v>
      </c>
      <c r="J478" s="47">
        <v>9608.09</v>
      </c>
      <c r="K478" t="str">
        <f t="shared" si="13"/>
        <v>manufacturing</v>
      </c>
      <c r="L478">
        <v>21</v>
      </c>
      <c r="N478" t="str">
        <f>VLOOKUP(input_invoice[[#This Row],[concept/supplier]],'sel-invoice'!D:E,2,0)</f>
        <v>Apphoto España</v>
      </c>
      <c r="O478" t="str">
        <f>VLOOKUP(input_invoice[[#This Row],[concept/supplier]],'sel-invoice'!D:F,3,0)</f>
        <v>SL</v>
      </c>
      <c r="P478" t="str">
        <f>IF(input_invoice[[#This Row],[entity]]="SL","EUR",IF(input_invoice[[#This Row],[entity]]="Ltd","GBP",IF(input_invoice[[#This Row],[entity]]="Inc","USD","XXX")))</f>
        <v>EUR</v>
      </c>
    </row>
    <row r="479" spans="1:18" hidden="1" x14ac:dyDescent="0.3">
      <c r="A479">
        <v>202505</v>
      </c>
      <c r="B479" s="22" t="s">
        <v>917</v>
      </c>
      <c r="F479" t="s">
        <v>37</v>
      </c>
      <c r="G479" s="47">
        <f>MAX(+input_invoice[[#This Row],[net]]+input_invoice[[#This Row],[tax_iva]]+input_invoice[[#This Row],[tax_irpf]],input_invoice[[#This Row],[net]])</f>
        <v>8781.4539999999997</v>
      </c>
      <c r="H479" s="47">
        <f>input_invoice[[#This Row],[net]]*(MAX(input_invoice[[#This Row],[tax_rate_iva]],0)/100)</f>
        <v>1524.0539999999999</v>
      </c>
      <c r="I479" s="47">
        <f>-input_invoice[[#This Row],[net]]*input_invoice[[#This Row],[tax_rate_irpf]]/100</f>
        <v>0</v>
      </c>
      <c r="J479" s="47">
        <v>7257.4</v>
      </c>
      <c r="K479" t="str">
        <f t="shared" si="13"/>
        <v>manufacturing</v>
      </c>
      <c r="L479">
        <v>21</v>
      </c>
      <c r="N479" t="str">
        <f>VLOOKUP(input_invoice[[#This Row],[concept/supplier]],'sel-invoice'!D:E,2,0)</f>
        <v>Apphoto España</v>
      </c>
      <c r="O479" t="str">
        <f>VLOOKUP(input_invoice[[#This Row],[concept/supplier]],'sel-invoice'!D:F,3,0)</f>
        <v>SL</v>
      </c>
      <c r="P479" t="str">
        <f>IF(input_invoice[[#This Row],[entity]]="SL","EUR",IF(input_invoice[[#This Row],[entity]]="Ltd","GBP",IF(input_invoice[[#This Row],[entity]]="Inc","USD","XXX")))</f>
        <v>EUR</v>
      </c>
    </row>
    <row r="480" spans="1:18" hidden="1" x14ac:dyDescent="0.3">
      <c r="A480">
        <v>202505</v>
      </c>
      <c r="B480" s="22" t="s">
        <v>917</v>
      </c>
      <c r="F480" t="s">
        <v>37</v>
      </c>
      <c r="G480" s="47">
        <f>MAX(+input_invoice[[#This Row],[net]]+input_invoice[[#This Row],[tax_iva]]+input_invoice[[#This Row],[tax_irpf]],input_invoice[[#This Row],[net]])</f>
        <v>2490.6034999999997</v>
      </c>
      <c r="H480" s="47">
        <f>input_invoice[[#This Row],[net]]*(MAX(input_invoice[[#This Row],[tax_rate_iva]],0)/100)</f>
        <v>432.25349999999997</v>
      </c>
      <c r="I480" s="47">
        <f>-input_invoice[[#This Row],[net]]*input_invoice[[#This Row],[tax_rate_irpf]]/100</f>
        <v>0</v>
      </c>
      <c r="J480" s="47">
        <v>2058.35</v>
      </c>
      <c r="K480" t="str">
        <f t="shared" si="13"/>
        <v>manufacturing</v>
      </c>
      <c r="L480">
        <v>21</v>
      </c>
      <c r="N480" t="str">
        <f>VLOOKUP(input_invoice[[#This Row],[concept/supplier]],'sel-invoice'!D:E,2,0)</f>
        <v>Apphoto España</v>
      </c>
      <c r="O480" t="str">
        <f>VLOOKUP(input_invoice[[#This Row],[concept/supplier]],'sel-invoice'!D:F,3,0)</f>
        <v>SL</v>
      </c>
      <c r="P480" t="str">
        <f>IF(input_invoice[[#This Row],[entity]]="SL","EUR",IF(input_invoice[[#This Row],[entity]]="Ltd","GBP",IF(input_invoice[[#This Row],[entity]]="Inc","USD","XXX")))</f>
        <v>EUR</v>
      </c>
    </row>
    <row r="481" spans="1:17" hidden="1" x14ac:dyDescent="0.3">
      <c r="A481">
        <v>202505</v>
      </c>
      <c r="B481" s="22" t="s">
        <v>917</v>
      </c>
      <c r="F481" t="s">
        <v>37</v>
      </c>
      <c r="G481" s="47">
        <f>MAX(+input_invoice[[#This Row],[net]]+input_invoice[[#This Row],[tax_iva]]+input_invoice[[#This Row],[tax_irpf]],input_invoice[[#This Row],[net]])</f>
        <v>10102.592500000001</v>
      </c>
      <c r="H481" s="47">
        <f>input_invoice[[#This Row],[net]]*(MAX(input_invoice[[#This Row],[tax_rate_iva]],0)/100)</f>
        <v>1753.3425</v>
      </c>
      <c r="I481" s="47">
        <f>-input_invoice[[#This Row],[net]]*input_invoice[[#This Row],[tax_rate_irpf]]/100</f>
        <v>0</v>
      </c>
      <c r="J481" s="47">
        <v>8349.25</v>
      </c>
      <c r="K481" t="str">
        <f t="shared" si="13"/>
        <v>manufacturing</v>
      </c>
      <c r="L481">
        <v>21</v>
      </c>
      <c r="N481" t="str">
        <f>VLOOKUP(input_invoice[[#This Row],[concept/supplier]],'sel-invoice'!D:E,2,0)</f>
        <v>Apphoto España</v>
      </c>
      <c r="O481" t="str">
        <f>VLOOKUP(input_invoice[[#This Row],[concept/supplier]],'sel-invoice'!D:F,3,0)</f>
        <v>SL</v>
      </c>
      <c r="P481" t="str">
        <f>IF(input_invoice[[#This Row],[entity]]="SL","EUR",IF(input_invoice[[#This Row],[entity]]="Ltd","GBP",IF(input_invoice[[#This Row],[entity]]="Inc","USD","XXX")))</f>
        <v>EUR</v>
      </c>
    </row>
    <row r="482" spans="1:17" hidden="1" x14ac:dyDescent="0.3">
      <c r="A482">
        <v>202505</v>
      </c>
      <c r="B482" s="22" t="s">
        <v>917</v>
      </c>
      <c r="F482" t="s">
        <v>53</v>
      </c>
      <c r="G482" s="47">
        <f>MAX(+input_invoice[[#This Row],[net]]+input_invoice[[#This Row],[tax_iva]]+input_invoice[[#This Row],[tax_irpf]],input_invoice[[#This Row],[net]])</f>
        <v>3874.4926</v>
      </c>
      <c r="H482" s="47">
        <f>input_invoice[[#This Row],[net]]*(MAX(input_invoice[[#This Row],[tax_rate_iva]],0)/100)</f>
        <v>672.43259999999998</v>
      </c>
      <c r="I482" s="47">
        <f>-input_invoice[[#This Row],[net]]*input_invoice[[#This Row],[tax_rate_irpf]]/100</f>
        <v>0</v>
      </c>
      <c r="J482" s="47">
        <v>3202.06</v>
      </c>
      <c r="K482" t="str">
        <f t="shared" si="13"/>
        <v>logistics</v>
      </c>
      <c r="L482">
        <v>21</v>
      </c>
      <c r="N482" t="str">
        <f>VLOOKUP(input_invoice[[#This Row],[concept/supplier]],'sel-invoice'!D:E,2,0)</f>
        <v>Asendia</v>
      </c>
      <c r="O482" t="str">
        <f>VLOOKUP(input_invoice[[#This Row],[concept/supplier]],'sel-invoice'!D:F,3,0)</f>
        <v>SL</v>
      </c>
      <c r="P482" t="str">
        <f>IF(input_invoice[[#This Row],[entity]]="SL","EUR",IF(input_invoice[[#This Row],[entity]]="Ltd","GBP",IF(input_invoice[[#This Row],[entity]]="Inc","USD","XXX")))</f>
        <v>EUR</v>
      </c>
    </row>
    <row r="483" spans="1:17" hidden="1" x14ac:dyDescent="0.3">
      <c r="A483">
        <v>202505</v>
      </c>
      <c r="B483" s="22" t="s">
        <v>917</v>
      </c>
      <c r="F483" t="s">
        <v>52</v>
      </c>
      <c r="G483" s="47">
        <f>MAX(+input_invoice[[#This Row],[net]]+input_invoice[[#This Row],[tax_iva]]+input_invoice[[#This Row],[tax_irpf]],input_invoice[[#This Row],[net]])</f>
        <v>683.33540000000005</v>
      </c>
      <c r="H483" s="47">
        <f>input_invoice[[#This Row],[net]]*(MAX(input_invoice[[#This Row],[tax_rate_iva]],0)/100)</f>
        <v>118.5954</v>
      </c>
      <c r="I483" s="47">
        <f>-input_invoice[[#This Row],[net]]*input_invoice[[#This Row],[tax_rate_irpf]]/100</f>
        <v>0</v>
      </c>
      <c r="J483" s="47">
        <v>564.74</v>
      </c>
      <c r="K483" t="str">
        <f t="shared" si="13"/>
        <v>logistics</v>
      </c>
      <c r="L483">
        <v>21</v>
      </c>
      <c r="N483" t="str">
        <f>VLOOKUP(input_invoice[[#This Row],[concept/supplier]],'sel-invoice'!D:E,2,0)</f>
        <v>Correos</v>
      </c>
      <c r="O483" t="str">
        <f>VLOOKUP(input_invoice[[#This Row],[concept/supplier]],'sel-invoice'!D:F,3,0)</f>
        <v>SL</v>
      </c>
      <c r="P483" t="str">
        <f>IF(input_invoice[[#This Row],[entity]]="SL","EUR",IF(input_invoice[[#This Row],[entity]]="Ltd","GBP",IF(input_invoice[[#This Row],[entity]]="Inc","USD","XXX")))</f>
        <v>EUR</v>
      </c>
    </row>
    <row r="484" spans="1:17" hidden="1" x14ac:dyDescent="0.3">
      <c r="A484">
        <v>202505</v>
      </c>
      <c r="B484" s="22" t="s">
        <v>917</v>
      </c>
      <c r="C484" s="48">
        <v>4004333923</v>
      </c>
      <c r="F484" t="s">
        <v>52</v>
      </c>
      <c r="G484" s="47">
        <f>MAX(+input_invoice[[#This Row],[net]]+input_invoice[[#This Row],[tax_iva]]+input_invoice[[#This Row],[tax_irpf]],input_invoice[[#This Row],[net]])</f>
        <v>17.920000000000002</v>
      </c>
      <c r="H484" s="47">
        <f>input_invoice[[#This Row],[net]]*(MAX(input_invoice[[#This Row],[tax_rate_iva]],0)/100)</f>
        <v>0</v>
      </c>
      <c r="I484" s="47">
        <f>-input_invoice[[#This Row],[net]]*input_invoice[[#This Row],[tax_rate_irpf]]/100</f>
        <v>0</v>
      </c>
      <c r="J484" s="47">
        <v>17.920000000000002</v>
      </c>
      <c r="K484" t="str">
        <f t="shared" si="13"/>
        <v>logistics</v>
      </c>
      <c r="L484">
        <v>0</v>
      </c>
      <c r="N484" t="str">
        <f>VLOOKUP(input_invoice[[#This Row],[concept/supplier]],'sel-invoice'!D:E,2,0)</f>
        <v>Correos</v>
      </c>
      <c r="O484" t="str">
        <f>VLOOKUP(input_invoice[[#This Row],[concept/supplier]],'sel-invoice'!D:F,3,0)</f>
        <v>SL</v>
      </c>
      <c r="P484" t="str">
        <f>IF(input_invoice[[#This Row],[entity]]="SL","EUR",IF(input_invoice[[#This Row],[entity]]="Ltd","GBP",IF(input_invoice[[#This Row],[entity]]="Inc","USD","XXX")))</f>
        <v>EUR</v>
      </c>
    </row>
    <row r="485" spans="1:17" hidden="1" x14ac:dyDescent="0.3">
      <c r="A485">
        <v>202505</v>
      </c>
      <c r="B485" s="22" t="s">
        <v>917</v>
      </c>
      <c r="C485" s="48">
        <v>4004333923</v>
      </c>
      <c r="F485" t="s">
        <v>52</v>
      </c>
      <c r="G485" s="47">
        <f>MAX(+input_invoice[[#This Row],[net]]+input_invoice[[#This Row],[tax_iva]]+input_invoice[[#This Row],[tax_irpf]],input_invoice[[#This Row],[net]])</f>
        <v>8.3032000000000004</v>
      </c>
      <c r="H485" s="47">
        <f>input_invoice[[#This Row],[net]]*(MAX(input_invoice[[#This Row],[tax_rate_iva]],0)/100)</f>
        <v>0.54320000000000002</v>
      </c>
      <c r="I485" s="47">
        <f>-input_invoice[[#This Row],[net]]*input_invoice[[#This Row],[tax_rate_irpf]]/100</f>
        <v>0</v>
      </c>
      <c r="J485" s="47">
        <v>7.76</v>
      </c>
      <c r="K485" t="str">
        <f t="shared" si="13"/>
        <v>logistics</v>
      </c>
      <c r="L485">
        <v>7</v>
      </c>
      <c r="N485" t="str">
        <f>VLOOKUP(input_invoice[[#This Row],[concept/supplier]],'sel-invoice'!D:E,2,0)</f>
        <v>Correos</v>
      </c>
      <c r="O485" t="str">
        <f>VLOOKUP(input_invoice[[#This Row],[concept/supplier]],'sel-invoice'!D:F,3,0)</f>
        <v>SL</v>
      </c>
      <c r="P485" t="str">
        <f>IF(input_invoice[[#This Row],[entity]]="SL","EUR",IF(input_invoice[[#This Row],[entity]]="Ltd","GBP",IF(input_invoice[[#This Row],[entity]]="Inc","USD","XXX")))</f>
        <v>EUR</v>
      </c>
    </row>
    <row r="486" spans="1:17" hidden="1" x14ac:dyDescent="0.3">
      <c r="A486">
        <v>202505</v>
      </c>
      <c r="B486" s="22" t="s">
        <v>917</v>
      </c>
      <c r="F486" t="s">
        <v>43</v>
      </c>
      <c r="G486" s="47">
        <f>MAX(+input_invoice[[#This Row],[net]]+input_invoice[[#This Row],[tax_iva]]+input_invoice[[#This Row],[tax_irpf]],input_invoice[[#This Row],[net]])</f>
        <v>3347.4580999999998</v>
      </c>
      <c r="H486" s="47">
        <f>input_invoice[[#This Row],[net]]*(MAX(input_invoice[[#This Row],[tax_rate_iva]],0)/100)</f>
        <v>534.46809999999994</v>
      </c>
      <c r="I486" s="47">
        <f>-input_invoice[[#This Row],[net]]*input_invoice[[#This Row],[tax_rate_irpf]]/100</f>
        <v>0</v>
      </c>
      <c r="J486" s="47">
        <v>2812.99</v>
      </c>
      <c r="K486" t="str">
        <f t="shared" si="13"/>
        <v>manufacturing</v>
      </c>
      <c r="L486">
        <v>19</v>
      </c>
      <c r="N486" t="str">
        <f>VLOOKUP(input_invoice[[#This Row],[concept/supplier]],'sel-invoice'!D:E,2,0)</f>
        <v>DCT</v>
      </c>
      <c r="O486" t="str">
        <f>VLOOKUP(input_invoice[[#This Row],[concept/supplier]],'sel-invoice'!D:F,3,0)</f>
        <v>SL</v>
      </c>
      <c r="P486" t="str">
        <f>IF(input_invoice[[#This Row],[entity]]="SL","EUR",IF(input_invoice[[#This Row],[entity]]="Ltd","GBP",IF(input_invoice[[#This Row],[entity]]="Inc","USD","XXX")))</f>
        <v>EUR</v>
      </c>
    </row>
    <row r="487" spans="1:17" hidden="1" x14ac:dyDescent="0.3">
      <c r="A487">
        <v>202505</v>
      </c>
      <c r="B487" s="22" t="s">
        <v>917</v>
      </c>
      <c r="F487" t="s">
        <v>43</v>
      </c>
      <c r="G487" s="47">
        <f>MAX(+input_invoice[[#This Row],[net]]+input_invoice[[#This Row],[tax_iva]]+input_invoice[[#This Row],[tax_irpf]],input_invoice[[#This Row],[net]])</f>
        <v>4138.1774000000005</v>
      </c>
      <c r="H487" s="47">
        <f>input_invoice[[#This Row],[net]]*(MAX(input_invoice[[#This Row],[tax_rate_iva]],0)/100)</f>
        <v>660.7174</v>
      </c>
      <c r="I487" s="47">
        <f>-input_invoice[[#This Row],[net]]*input_invoice[[#This Row],[tax_rate_irpf]]/100</f>
        <v>0</v>
      </c>
      <c r="J487" s="47">
        <v>3477.46</v>
      </c>
      <c r="K487" t="str">
        <f t="shared" si="13"/>
        <v>manufacturing</v>
      </c>
      <c r="L487">
        <v>19</v>
      </c>
      <c r="N487" t="str">
        <f>VLOOKUP(input_invoice[[#This Row],[concept/supplier]],'sel-invoice'!D:E,2,0)</f>
        <v>DCT</v>
      </c>
      <c r="O487" t="str">
        <f>VLOOKUP(input_invoice[[#This Row],[concept/supplier]],'sel-invoice'!D:F,3,0)</f>
        <v>SL</v>
      </c>
      <c r="P487" t="str">
        <f>IF(input_invoice[[#This Row],[entity]]="SL","EUR",IF(input_invoice[[#This Row],[entity]]="Ltd","GBP",IF(input_invoice[[#This Row],[entity]]="Inc","USD","XXX")))</f>
        <v>EUR</v>
      </c>
    </row>
    <row r="488" spans="1:17" hidden="1" x14ac:dyDescent="0.3">
      <c r="A488">
        <v>202505</v>
      </c>
      <c r="B488" s="22" t="s">
        <v>917</v>
      </c>
      <c r="F488" t="s">
        <v>51</v>
      </c>
      <c r="G488" s="47">
        <f>MAX(+input_invoice[[#This Row],[net]]+input_invoice[[#This Row],[tax_iva]]+input_invoice[[#This Row],[tax_irpf]],input_invoice[[#This Row],[net]])</f>
        <v>7233.07</v>
      </c>
      <c r="H488" s="47">
        <f>input_invoice[[#This Row],[net]]*(MAX(input_invoice[[#This Row],[tax_rate_iva]],0)/100)</f>
        <v>0</v>
      </c>
      <c r="I488" s="47">
        <f>-input_invoice[[#This Row],[net]]*input_invoice[[#This Row],[tax_rate_irpf]]/100</f>
        <v>0</v>
      </c>
      <c r="J488" s="47">
        <v>7233.07</v>
      </c>
      <c r="K488" t="str">
        <f t="shared" si="13"/>
        <v>logistics</v>
      </c>
      <c r="L488">
        <v>0</v>
      </c>
      <c r="N488" t="str">
        <f>VLOOKUP(input_invoice[[#This Row],[concept/supplier]],'sel-invoice'!D:E,2,0)</f>
        <v>GLS</v>
      </c>
      <c r="O488" t="str">
        <f>VLOOKUP(input_invoice[[#This Row],[concept/supplier]],'sel-invoice'!D:F,3,0)</f>
        <v>SL</v>
      </c>
      <c r="P488" t="str">
        <f>IF(input_invoice[[#This Row],[entity]]="SL","EUR",IF(input_invoice[[#This Row],[entity]]="Ltd","GBP",IF(input_invoice[[#This Row],[entity]]="Inc","USD","XXX")))</f>
        <v>EUR</v>
      </c>
    </row>
    <row r="489" spans="1:17" hidden="1" x14ac:dyDescent="0.3">
      <c r="A489">
        <v>202505</v>
      </c>
      <c r="B489" s="22" t="s">
        <v>917</v>
      </c>
      <c r="F489" t="s">
        <v>45</v>
      </c>
      <c r="G489" s="47">
        <f>MAX(+input_invoice[[#This Row],[net]]+input_invoice[[#This Row],[tax_iva]]+input_invoice[[#This Row],[tax_irpf]],input_invoice[[#This Row],[net]])</f>
        <v>837.21599999999989</v>
      </c>
      <c r="H489" s="47">
        <f>input_invoice[[#This Row],[net]]*(MAX(input_invoice[[#This Row],[tax_rate_iva]],0)/100)</f>
        <v>139.536</v>
      </c>
      <c r="I489" s="47">
        <f>-input_invoice[[#This Row],[net]]*input_invoice[[#This Row],[tax_rate_irpf]]/100</f>
        <v>0</v>
      </c>
      <c r="J489" s="47">
        <v>697.68</v>
      </c>
      <c r="K489" t="str">
        <f t="shared" si="13"/>
        <v>manufacturing</v>
      </c>
      <c r="L489">
        <v>20</v>
      </c>
      <c r="N489" t="str">
        <f>VLOOKUP(input_invoice[[#This Row],[concept/supplier]],'sel-invoice'!D:E,2,0)</f>
        <v>MB Editions</v>
      </c>
      <c r="O489" t="str">
        <f>VLOOKUP(input_invoice[[#This Row],[concept/supplier]],'sel-invoice'!D:F,3,0)</f>
        <v>SL</v>
      </c>
      <c r="P489" t="str">
        <f>IF(input_invoice[[#This Row],[entity]]="SL","EUR",IF(input_invoice[[#This Row],[entity]]="Ltd","GBP",IF(input_invoice[[#This Row],[entity]]="Inc","USD","XXX")))</f>
        <v>EUR</v>
      </c>
    </row>
    <row r="490" spans="1:17" hidden="1" x14ac:dyDescent="0.3">
      <c r="A490">
        <v>202505</v>
      </c>
      <c r="B490" s="22" t="s">
        <v>917</v>
      </c>
      <c r="F490" t="s">
        <v>45</v>
      </c>
      <c r="G490" s="47">
        <f>MAX(+input_invoice[[#This Row],[net]]+input_invoice[[#This Row],[tax_iva]]+input_invoice[[#This Row],[tax_irpf]],input_invoice[[#This Row],[net]])</f>
        <v>1083.288</v>
      </c>
      <c r="H490" s="47">
        <f>input_invoice[[#This Row],[net]]*(MAX(input_invoice[[#This Row],[tax_rate_iva]],0)/100)</f>
        <v>180.548</v>
      </c>
      <c r="I490" s="47">
        <f>-input_invoice[[#This Row],[net]]*input_invoice[[#This Row],[tax_rate_irpf]]/100</f>
        <v>0</v>
      </c>
      <c r="J490" s="47">
        <v>902.74</v>
      </c>
      <c r="K490" t="str">
        <f t="shared" si="13"/>
        <v>manufacturing</v>
      </c>
      <c r="L490">
        <v>20</v>
      </c>
      <c r="N490" t="str">
        <f>VLOOKUP(input_invoice[[#This Row],[concept/supplier]],'sel-invoice'!D:E,2,0)</f>
        <v>MB Editions</v>
      </c>
      <c r="O490" t="str">
        <f>VLOOKUP(input_invoice[[#This Row],[concept/supplier]],'sel-invoice'!D:F,3,0)</f>
        <v>SL</v>
      </c>
      <c r="P490" t="str">
        <f>IF(input_invoice[[#This Row],[entity]]="SL","EUR",IF(input_invoice[[#This Row],[entity]]="Ltd","GBP",IF(input_invoice[[#This Row],[entity]]="Inc","USD","XXX")))</f>
        <v>EUR</v>
      </c>
    </row>
    <row r="491" spans="1:17" hidden="1" x14ac:dyDescent="0.3">
      <c r="A491">
        <v>202505</v>
      </c>
      <c r="B491" s="22" t="s">
        <v>917</v>
      </c>
      <c r="F491" t="s">
        <v>45</v>
      </c>
      <c r="G491" s="47">
        <f>MAX(+input_invoice[[#This Row],[net]]+input_invoice[[#This Row],[tax_iva]]+input_invoice[[#This Row],[tax_irpf]],input_invoice[[#This Row],[net]])</f>
        <v>106.38000000000001</v>
      </c>
      <c r="H491" s="47">
        <f>input_invoice[[#This Row],[net]]*(MAX(input_invoice[[#This Row],[tax_rate_iva]],0)/100)</f>
        <v>17.73</v>
      </c>
      <c r="I491" s="47">
        <f>-input_invoice[[#This Row],[net]]*input_invoice[[#This Row],[tax_rate_irpf]]/100</f>
        <v>0</v>
      </c>
      <c r="J491" s="47">
        <v>88.65</v>
      </c>
      <c r="K491" t="str">
        <f t="shared" si="13"/>
        <v>manufacturing</v>
      </c>
      <c r="L491">
        <v>20</v>
      </c>
      <c r="N491" t="str">
        <f>VLOOKUP(input_invoice[[#This Row],[concept/supplier]],'sel-invoice'!D:E,2,0)</f>
        <v>MB Editions</v>
      </c>
      <c r="O491" t="str">
        <f>VLOOKUP(input_invoice[[#This Row],[concept/supplier]],'sel-invoice'!D:F,3,0)</f>
        <v>SL</v>
      </c>
      <c r="P491" t="str">
        <f>IF(input_invoice[[#This Row],[entity]]="SL","EUR",IF(input_invoice[[#This Row],[entity]]="Ltd","GBP",IF(input_invoice[[#This Row],[entity]]="Inc","USD","XXX")))</f>
        <v>EUR</v>
      </c>
    </row>
    <row r="492" spans="1:17" hidden="1" x14ac:dyDescent="0.3">
      <c r="A492">
        <v>202505</v>
      </c>
      <c r="B492" s="22" t="s">
        <v>917</v>
      </c>
      <c r="F492" t="s">
        <v>68</v>
      </c>
      <c r="G492" s="47">
        <f>MAX(+input_invoice[[#This Row],[net]]+input_invoice[[#This Row],[tax_iva]]+input_invoice[[#This Row],[tax_irpf]],input_invoice[[#This Row],[net]])</f>
        <v>0</v>
      </c>
      <c r="H492" s="47">
        <f>input_invoice[[#This Row],[net]]*(MAX(input_invoice[[#This Row],[tax_rate_iva]],0)/100)</f>
        <v>0</v>
      </c>
      <c r="I492" s="47">
        <f>-input_invoice[[#This Row],[net]]*input_invoice[[#This Row],[tax_rate_irpf]]/100</f>
        <v>0</v>
      </c>
      <c r="J492" s="47">
        <v>0</v>
      </c>
      <c r="K492" t="str">
        <f t="shared" si="13"/>
        <v>payment-suppliers</v>
      </c>
      <c r="L492">
        <v>0</v>
      </c>
      <c r="N492" t="str">
        <f>VLOOKUP(input_invoice[[#This Row],[concept/supplier]],'sel-invoice'!D:E,2,0)</f>
        <v>Amazon Pay</v>
      </c>
      <c r="O492" t="str">
        <f>VLOOKUP(input_invoice[[#This Row],[concept/supplier]],'sel-invoice'!D:F,3,0)</f>
        <v>SL</v>
      </c>
      <c r="P492" t="str">
        <f>IF(input_invoice[[#This Row],[entity]]="SL","EUR",IF(input_invoice[[#This Row],[entity]]="Ltd","GBP",IF(input_invoice[[#This Row],[entity]]="Inc","USD","XXX")))</f>
        <v>EUR</v>
      </c>
      <c r="Q492" t="s">
        <v>908</v>
      </c>
    </row>
    <row r="493" spans="1:17" hidden="1" x14ac:dyDescent="0.3">
      <c r="A493">
        <v>202505</v>
      </c>
      <c r="B493" s="22" t="s">
        <v>917</v>
      </c>
      <c r="F493" t="s">
        <v>76</v>
      </c>
      <c r="G493" s="47">
        <f>MAX(+input_invoice[[#This Row],[net]]+input_invoice[[#This Row],[tax_iva]]+input_invoice[[#This Row],[tax_irpf]],input_invoice[[#This Row],[net]])</f>
        <v>0</v>
      </c>
      <c r="H493" s="47">
        <f>input_invoice[[#This Row],[net]]*(MAX(input_invoice[[#This Row],[tax_rate_iva]],0)/100)</f>
        <v>0</v>
      </c>
      <c r="I493" s="47">
        <f>-input_invoice[[#This Row],[net]]*input_invoice[[#This Row],[tax_rate_irpf]]/100</f>
        <v>0</v>
      </c>
      <c r="J493" s="47">
        <v>0</v>
      </c>
      <c r="K493" t="str">
        <f t="shared" si="13"/>
        <v>payment-suppliers</v>
      </c>
      <c r="L493">
        <v>0</v>
      </c>
      <c r="N493" t="str">
        <f>VLOOKUP(input_invoice[[#This Row],[concept/supplier]],'sel-invoice'!D:E,2,0)</f>
        <v>Amazon Seller</v>
      </c>
      <c r="O493" t="str">
        <f>VLOOKUP(input_invoice[[#This Row],[concept/supplier]],'sel-invoice'!D:F,3,0)</f>
        <v>SL</v>
      </c>
      <c r="P493" t="str">
        <f>IF(input_invoice[[#This Row],[entity]]="SL","EUR",IF(input_invoice[[#This Row],[entity]]="Ltd","GBP",IF(input_invoice[[#This Row],[entity]]="Inc","USD","XXX")))</f>
        <v>EUR</v>
      </c>
      <c r="Q493" t="s">
        <v>908</v>
      </c>
    </row>
    <row r="494" spans="1:17" hidden="1" x14ac:dyDescent="0.3">
      <c r="A494">
        <v>202505</v>
      </c>
      <c r="B494" s="22" t="s">
        <v>917</v>
      </c>
      <c r="F494" t="s">
        <v>79</v>
      </c>
      <c r="G494" s="47">
        <f>MAX(+input_invoice[[#This Row],[net]]+input_invoice[[#This Row],[tax_iva]]+input_invoice[[#This Row],[tax_irpf]],input_invoice[[#This Row],[net]])</f>
        <v>82.24</v>
      </c>
      <c r="H494" s="47">
        <f>input_invoice[[#This Row],[net]]*(MAX(input_invoice[[#This Row],[tax_rate_iva]],0)/100)</f>
        <v>0</v>
      </c>
      <c r="I494" s="47">
        <f>-input_invoice[[#This Row],[net]]*input_invoice[[#This Row],[tax_rate_irpf]]/100</f>
        <v>0</v>
      </c>
      <c r="J494" s="47">
        <v>82.24</v>
      </c>
      <c r="K494" t="str">
        <f t="shared" si="13"/>
        <v>payment-suppliers</v>
      </c>
      <c r="L494">
        <v>0</v>
      </c>
      <c r="N494" t="str">
        <f>VLOOKUP(input_invoice[[#This Row],[concept/supplier]],'sel-invoice'!D:E,2,0)</f>
        <v>Home24</v>
      </c>
      <c r="O494" t="str">
        <f>VLOOKUP(input_invoice[[#This Row],[concept/supplier]],'sel-invoice'!D:F,3,0)</f>
        <v>SL</v>
      </c>
      <c r="P494" t="str">
        <f>IF(input_invoice[[#This Row],[entity]]="SL","EUR",IF(input_invoice[[#This Row],[entity]]="Ltd","GBP",IF(input_invoice[[#This Row],[entity]]="Inc","USD","XXX")))</f>
        <v>EUR</v>
      </c>
      <c r="Q494" t="s">
        <v>908</v>
      </c>
    </row>
    <row r="495" spans="1:17" hidden="1" x14ac:dyDescent="0.3">
      <c r="A495">
        <v>202505</v>
      </c>
      <c r="B495" s="22" t="s">
        <v>917</v>
      </c>
      <c r="F495" t="s">
        <v>70</v>
      </c>
      <c r="G495" s="47">
        <f>MAX(+input_invoice[[#This Row],[net]]+input_invoice[[#This Row],[tax_iva]]+input_invoice[[#This Row],[tax_irpf]],input_invoice[[#This Row],[net]])</f>
        <v>37.200000000000003</v>
      </c>
      <c r="H495" s="47">
        <f>input_invoice[[#This Row],[net]]*(MAX(input_invoice[[#This Row],[tax_rate_iva]],0)/100)</f>
        <v>0</v>
      </c>
      <c r="I495" s="47">
        <f>-input_invoice[[#This Row],[net]]*input_invoice[[#This Row],[tax_rate_irpf]]/100</f>
        <v>0</v>
      </c>
      <c r="J495" s="47">
        <v>37.200000000000003</v>
      </c>
      <c r="K495" t="str">
        <f t="shared" si="13"/>
        <v>payment-suppliers</v>
      </c>
      <c r="L495">
        <v>0</v>
      </c>
      <c r="N495" t="str">
        <f>VLOOKUP(input_invoice[[#This Row],[concept/supplier]],'sel-invoice'!D:E,2,0)</f>
        <v>Klarna</v>
      </c>
      <c r="O495" t="str">
        <f>VLOOKUP(input_invoice[[#This Row],[concept/supplier]],'sel-invoice'!D:F,3,0)</f>
        <v>SL</v>
      </c>
      <c r="P495" t="str">
        <f>IF(input_invoice[[#This Row],[entity]]="SL","EUR",IF(input_invoice[[#This Row],[entity]]="Ltd","GBP",IF(input_invoice[[#This Row],[entity]]="Inc","USD","XXX")))</f>
        <v>EUR</v>
      </c>
      <c r="Q495" t="s">
        <v>908</v>
      </c>
    </row>
    <row r="496" spans="1:17" hidden="1" x14ac:dyDescent="0.3">
      <c r="A496">
        <v>202505</v>
      </c>
      <c r="B496" s="22" t="s">
        <v>917</v>
      </c>
      <c r="F496" t="s">
        <v>78</v>
      </c>
      <c r="G496" s="47">
        <f>MAX(+input_invoice[[#This Row],[net]]+input_invoice[[#This Row],[tax_iva]]+input_invoice[[#This Row],[tax_irpf]],input_invoice[[#This Row],[net]])</f>
        <v>0</v>
      </c>
      <c r="H496" s="47">
        <f>input_invoice[[#This Row],[net]]*(MAX(input_invoice[[#This Row],[tax_rate_iva]],0)/100)</f>
        <v>0</v>
      </c>
      <c r="I496" s="47">
        <f>-input_invoice[[#This Row],[net]]*input_invoice[[#This Row],[tax_rate_irpf]]/100</f>
        <v>0</v>
      </c>
      <c r="J496" s="47">
        <v>0</v>
      </c>
      <c r="K496" t="str">
        <f t="shared" si="13"/>
        <v>payment-suppliers</v>
      </c>
      <c r="L496">
        <v>0</v>
      </c>
      <c r="N496" t="str">
        <f>VLOOKUP(input_invoice[[#This Row],[concept/supplier]],'sel-invoice'!D:E,2,0)</f>
        <v>Leroy Merlin</v>
      </c>
      <c r="O496" t="str">
        <f>VLOOKUP(input_invoice[[#This Row],[concept/supplier]],'sel-invoice'!D:F,3,0)</f>
        <v>SL</v>
      </c>
      <c r="P496" t="str">
        <f>IF(input_invoice[[#This Row],[entity]]="SL","EUR",IF(input_invoice[[#This Row],[entity]]="Ltd","GBP",IF(input_invoice[[#This Row],[entity]]="Inc","USD","XXX")))</f>
        <v>EUR</v>
      </c>
      <c r="Q496" t="s">
        <v>908</v>
      </c>
    </row>
    <row r="497" spans="1:18" hidden="1" x14ac:dyDescent="0.3">
      <c r="A497">
        <v>202505</v>
      </c>
      <c r="B497" s="22" t="s">
        <v>917</v>
      </c>
      <c r="F497" t="s">
        <v>77</v>
      </c>
      <c r="G497" s="47">
        <f>MAX(+input_invoice[[#This Row],[net]]+input_invoice[[#This Row],[tax_iva]]+input_invoice[[#This Row],[tax_irpf]],input_invoice[[#This Row],[net]])</f>
        <v>135.51</v>
      </c>
      <c r="H497" s="47">
        <f>input_invoice[[#This Row],[net]]*(MAX(input_invoice[[#This Row],[tax_rate_iva]],0)/100)</f>
        <v>0</v>
      </c>
      <c r="I497" s="47">
        <f>-input_invoice[[#This Row],[net]]*input_invoice[[#This Row],[tax_rate_irpf]]/100</f>
        <v>0</v>
      </c>
      <c r="J497" s="47">
        <v>135.51</v>
      </c>
      <c r="K497" t="str">
        <f t="shared" si="13"/>
        <v>payment-suppliers</v>
      </c>
      <c r="L497">
        <v>0</v>
      </c>
      <c r="N497" t="str">
        <f>VLOOKUP(input_invoice[[#This Row],[concept/supplier]],'sel-invoice'!D:E,2,0)</f>
        <v>Maisons du Monde</v>
      </c>
      <c r="O497" t="str">
        <f>VLOOKUP(input_invoice[[#This Row],[concept/supplier]],'sel-invoice'!D:F,3,0)</f>
        <v>SL</v>
      </c>
      <c r="P497" t="str">
        <f>IF(input_invoice[[#This Row],[entity]]="SL","EUR",IF(input_invoice[[#This Row],[entity]]="Ltd","GBP",IF(input_invoice[[#This Row],[entity]]="Inc","USD","XXX")))</f>
        <v>EUR</v>
      </c>
      <c r="Q497" t="s">
        <v>908</v>
      </c>
    </row>
    <row r="498" spans="1:18" hidden="1" x14ac:dyDescent="0.3">
      <c r="A498">
        <v>202505</v>
      </c>
      <c r="B498" s="22" t="s">
        <v>917</v>
      </c>
      <c r="F498" t="s">
        <v>66</v>
      </c>
      <c r="G498" s="47">
        <f>MAX(+input_invoice[[#This Row],[net]]+input_invoice[[#This Row],[tax_iva]]+input_invoice[[#This Row],[tax_irpf]],input_invoice[[#This Row],[net]])</f>
        <v>1119.8699999999999</v>
      </c>
      <c r="H498" s="47">
        <f>input_invoice[[#This Row],[net]]*(MAX(input_invoice[[#This Row],[tax_rate_iva]],0)/100)</f>
        <v>0</v>
      </c>
      <c r="I498" s="47">
        <f>-input_invoice[[#This Row],[net]]*input_invoice[[#This Row],[tax_rate_irpf]]/100</f>
        <v>0</v>
      </c>
      <c r="J498" s="47">
        <v>1119.8699999999999</v>
      </c>
      <c r="K498" t="str">
        <f t="shared" si="13"/>
        <v>payment-suppliers</v>
      </c>
      <c r="L498">
        <v>0</v>
      </c>
      <c r="N498" t="str">
        <f>VLOOKUP(input_invoice[[#This Row],[concept/supplier]],'sel-invoice'!D:E,2,0)</f>
        <v>Paypal</v>
      </c>
      <c r="O498" t="str">
        <f>VLOOKUP(input_invoice[[#This Row],[concept/supplier]],'sel-invoice'!D:F,3,0)</f>
        <v>SL</v>
      </c>
      <c r="P498" t="str">
        <f>IF(input_invoice[[#This Row],[entity]]="SL","EUR",IF(input_invoice[[#This Row],[entity]]="Ltd","GBP",IF(input_invoice[[#This Row],[entity]]="Inc","USD","XXX")))</f>
        <v>EUR</v>
      </c>
      <c r="Q498" t="s">
        <v>908</v>
      </c>
    </row>
    <row r="499" spans="1:18" hidden="1" x14ac:dyDescent="0.3">
      <c r="A499">
        <v>202505</v>
      </c>
      <c r="B499" s="22" t="s">
        <v>917</v>
      </c>
      <c r="F499" t="s">
        <v>72</v>
      </c>
      <c r="G499" s="47">
        <f>MAX(+input_invoice[[#This Row],[net]]+input_invoice[[#This Row],[tax_iva]]+input_invoice[[#This Row],[tax_irpf]],input_invoice[[#This Row],[net]])</f>
        <v>0</v>
      </c>
      <c r="H499" s="47">
        <f>input_invoice[[#This Row],[net]]*(MAX(input_invoice[[#This Row],[tax_rate_iva]],0)/100)</f>
        <v>0</v>
      </c>
      <c r="I499" s="47">
        <f>-input_invoice[[#This Row],[net]]*input_invoice[[#This Row],[tax_rate_irpf]]/100</f>
        <v>0</v>
      </c>
      <c r="J499" s="47">
        <v>0</v>
      </c>
      <c r="K499" t="str">
        <f t="shared" si="13"/>
        <v>payment-suppliers</v>
      </c>
      <c r="L499">
        <v>0</v>
      </c>
      <c r="N499" t="str">
        <f>VLOOKUP(input_invoice[[#This Row],[concept/supplier]],'sel-invoice'!D:E,2,0)</f>
        <v>Revolut</v>
      </c>
      <c r="O499" t="str">
        <f>VLOOKUP(input_invoice[[#This Row],[concept/supplier]],'sel-invoice'!D:F,3,0)</f>
        <v>SL</v>
      </c>
      <c r="P499" t="str">
        <f>IF(input_invoice[[#This Row],[entity]]="SL","EUR",IF(input_invoice[[#This Row],[entity]]="Ltd","GBP",IF(input_invoice[[#This Row],[entity]]="Inc","USD","XXX")))</f>
        <v>EUR</v>
      </c>
      <c r="Q499" t="s">
        <v>908</v>
      </c>
    </row>
    <row r="500" spans="1:18" hidden="1" x14ac:dyDescent="0.3">
      <c r="A500">
        <v>202505</v>
      </c>
      <c r="B500" s="22" t="s">
        <v>917</v>
      </c>
      <c r="F500" t="s">
        <v>41</v>
      </c>
      <c r="G500" s="47">
        <f>MAX(+input_invoice[[#This Row],[net]]+input_invoice[[#This Row],[tax_iva]]+input_invoice[[#This Row],[tax_irpf]],input_invoice[[#This Row],[net]])</f>
        <v>6707.03</v>
      </c>
      <c r="H500" s="47">
        <f>input_invoice[[#This Row],[net]]*(MAX(input_invoice[[#This Row],[tax_rate_iva]],0)/100)</f>
        <v>1164.03</v>
      </c>
      <c r="I500" s="47">
        <f>-input_invoice[[#This Row],[net]]*input_invoice[[#This Row],[tax_rate_irpf]]/100</f>
        <v>0</v>
      </c>
      <c r="J500" s="47">
        <v>5543</v>
      </c>
      <c r="K500" t="str">
        <f t="shared" si="13"/>
        <v>manufacturing</v>
      </c>
      <c r="L500">
        <v>21</v>
      </c>
      <c r="N500" t="str">
        <f>VLOOKUP(input_invoice[[#This Row],[concept/supplier]],'sel-invoice'!D:E,2,0)</f>
        <v>Pressing</v>
      </c>
      <c r="O500" t="str">
        <f>VLOOKUP(input_invoice[[#This Row],[concept/supplier]],'sel-invoice'!D:F,3,0)</f>
        <v>SL</v>
      </c>
      <c r="P500" t="str">
        <f>IF(input_invoice[[#This Row],[entity]]="SL","EUR",IF(input_invoice[[#This Row],[entity]]="Ltd","GBP",IF(input_invoice[[#This Row],[entity]]="Inc","USD","XXX")))</f>
        <v>EUR</v>
      </c>
    </row>
    <row r="501" spans="1:18" hidden="1" x14ac:dyDescent="0.3">
      <c r="A501">
        <v>202505</v>
      </c>
      <c r="B501" s="22" t="s">
        <v>917</v>
      </c>
      <c r="C501" s="48">
        <v>6025973</v>
      </c>
      <c r="D501" s="43">
        <v>45808</v>
      </c>
      <c r="F501" t="s">
        <v>182</v>
      </c>
      <c r="G501" s="47">
        <f>MAX(+input_invoice[[#This Row],[net]]+input_invoice[[#This Row],[tax_iva]]+input_invoice[[#This Row],[tax_irpf]],input_invoice[[#This Row],[net]])</f>
        <v>5548.1640000000007</v>
      </c>
      <c r="H501" s="47">
        <f>input_invoice[[#This Row],[net]]*(MAX(input_invoice[[#This Row],[tax_rate_iva]],0)/100)</f>
        <v>924.69400000000007</v>
      </c>
      <c r="I501" s="47">
        <f>-input_invoice[[#This Row],[net]]*input_invoice[[#This Row],[tax_rate_irpf]]/100</f>
        <v>0</v>
      </c>
      <c r="J501" s="47">
        <v>4623.47</v>
      </c>
      <c r="K501" t="str">
        <f t="shared" si="13"/>
        <v>manufacturing</v>
      </c>
      <c r="L501">
        <v>20</v>
      </c>
      <c r="N501" t="str">
        <f>VLOOKUP(input_invoice[[#This Row],[concept/supplier]],'sel-invoice'!D:E,2,0)</f>
        <v>Proco</v>
      </c>
      <c r="O501" t="str">
        <f>VLOOKUP(input_invoice[[#This Row],[concept/supplier]],'sel-invoice'!D:F,3,0)</f>
        <v>Ltd</v>
      </c>
      <c r="P501" t="str">
        <f>IF(input_invoice[[#This Row],[entity]]="SL","EUR",IF(input_invoice[[#This Row],[entity]]="Ltd","GBP",IF(input_invoice[[#This Row],[entity]]="Inc","USD","XXX")))</f>
        <v>GBP</v>
      </c>
    </row>
    <row r="502" spans="1:18" hidden="1" x14ac:dyDescent="0.3">
      <c r="A502">
        <v>202505</v>
      </c>
      <c r="B502" s="22" t="s">
        <v>917</v>
      </c>
      <c r="C502" s="48">
        <v>6025973</v>
      </c>
      <c r="D502" s="43">
        <v>45808</v>
      </c>
      <c r="F502" t="s">
        <v>194</v>
      </c>
      <c r="G502" s="47">
        <f>MAX(+input_invoice[[#This Row],[net]]+input_invoice[[#This Row],[tax_iva]]+input_invoice[[#This Row],[tax_irpf]],input_invoice[[#This Row],[net]])</f>
        <v>691.2</v>
      </c>
      <c r="H502" s="47">
        <f>input_invoice[[#This Row],[net]]*(MAX(input_invoice[[#This Row],[tax_rate_iva]],0)/100)</f>
        <v>115.2</v>
      </c>
      <c r="I502" s="47">
        <f>-input_invoice[[#This Row],[net]]*input_invoice[[#This Row],[tax_rate_irpf]]/100</f>
        <v>0</v>
      </c>
      <c r="J502" s="47">
        <v>576</v>
      </c>
      <c r="K502" t="str">
        <f t="shared" si="13"/>
        <v>logistics</v>
      </c>
      <c r="L502">
        <v>20</v>
      </c>
      <c r="N502" t="str">
        <f>VLOOKUP(input_invoice[[#This Row],[concept/supplier]],'sel-invoice'!D:E,2,0)</f>
        <v>Proco</v>
      </c>
      <c r="O502" t="str">
        <f>VLOOKUP(input_invoice[[#This Row],[concept/supplier]],'sel-invoice'!D:F,3,0)</f>
        <v>Ltd</v>
      </c>
      <c r="P502" t="str">
        <f>IF(input_invoice[[#This Row],[entity]]="SL","EUR",IF(input_invoice[[#This Row],[entity]]="Ltd","GBP",IF(input_invoice[[#This Row],[entity]]="Inc","USD","XXX")))</f>
        <v>GBP</v>
      </c>
    </row>
    <row r="503" spans="1:18" hidden="1" x14ac:dyDescent="0.3">
      <c r="A503">
        <v>202505</v>
      </c>
      <c r="B503" s="22" t="s">
        <v>917</v>
      </c>
      <c r="C503" s="48">
        <v>6025973</v>
      </c>
      <c r="D503" s="43">
        <v>45808</v>
      </c>
      <c r="F503" t="s">
        <v>196</v>
      </c>
      <c r="G503" s="47">
        <f>MAX(+input_invoice[[#This Row],[net]]+input_invoice[[#This Row],[tax_iva]]+input_invoice[[#This Row],[tax_irpf]],input_invoice[[#This Row],[net]])</f>
        <v>1254.24</v>
      </c>
      <c r="H503" s="47">
        <f>input_invoice[[#This Row],[net]]*(MAX(input_invoice[[#This Row],[tax_rate_iva]],0)/100)</f>
        <v>209.04000000000002</v>
      </c>
      <c r="I503" s="47">
        <f>-input_invoice[[#This Row],[net]]*input_invoice[[#This Row],[tax_rate_irpf]]/100</f>
        <v>0</v>
      </c>
      <c r="J503" s="47">
        <v>1045.2</v>
      </c>
      <c r="K503" t="str">
        <f t="shared" si="13"/>
        <v>logistics</v>
      </c>
      <c r="L503">
        <v>20</v>
      </c>
      <c r="N503" t="str">
        <f>VLOOKUP(input_invoice[[#This Row],[concept/supplier]],'sel-invoice'!D:E,2,0)</f>
        <v>Proco</v>
      </c>
      <c r="O503" t="str">
        <f>VLOOKUP(input_invoice[[#This Row],[concept/supplier]],'sel-invoice'!D:F,3,0)</f>
        <v>Ltd</v>
      </c>
      <c r="P503" t="str">
        <f>IF(input_invoice[[#This Row],[entity]]="SL","EUR",IF(input_invoice[[#This Row],[entity]]="Ltd","GBP",IF(input_invoice[[#This Row],[entity]]="Inc","USD","XXX")))</f>
        <v>GBP</v>
      </c>
    </row>
    <row r="504" spans="1:18" hidden="1" x14ac:dyDescent="0.3">
      <c r="A504">
        <v>202505</v>
      </c>
      <c r="B504" s="22" t="s">
        <v>917</v>
      </c>
      <c r="C504" s="48">
        <v>6025973</v>
      </c>
      <c r="D504" s="43">
        <v>45808</v>
      </c>
      <c r="F504" t="s">
        <v>184</v>
      </c>
      <c r="G504" s="47">
        <f>MAX(+input_invoice[[#This Row],[net]]+input_invoice[[#This Row],[tax_iva]]+input_invoice[[#This Row],[tax_irpf]],input_invoice[[#This Row],[net]])</f>
        <v>5892.2879999999996</v>
      </c>
      <c r="H504" s="47">
        <f>input_invoice[[#This Row],[net]]*(MAX(input_invoice[[#This Row],[tax_rate_iva]],0)/100)</f>
        <v>982.048</v>
      </c>
      <c r="I504" s="47">
        <f>-input_invoice[[#This Row],[net]]*input_invoice[[#This Row],[tax_rate_irpf]]/100</f>
        <v>0</v>
      </c>
      <c r="J504" s="47">
        <v>4910.24</v>
      </c>
      <c r="K504" t="str">
        <f t="shared" si="13"/>
        <v>manufacturing</v>
      </c>
      <c r="L504">
        <v>20</v>
      </c>
      <c r="N504" t="str">
        <f>VLOOKUP(input_invoice[[#This Row],[concept/supplier]],'sel-invoice'!D:E,2,0)</f>
        <v>Proco</v>
      </c>
      <c r="O504" t="str">
        <f>VLOOKUP(input_invoice[[#This Row],[concept/supplier]],'sel-invoice'!D:F,3,0)</f>
        <v>Ltd</v>
      </c>
      <c r="P504" t="str">
        <f>IF(input_invoice[[#This Row],[entity]]="SL","EUR",IF(input_invoice[[#This Row],[entity]]="Ltd","GBP",IF(input_invoice[[#This Row],[entity]]="Inc","USD","XXX")))</f>
        <v>GBP</v>
      </c>
      <c r="R504" s="259" t="b">
        <v>0</v>
      </c>
    </row>
    <row r="505" spans="1:18" hidden="1" x14ac:dyDescent="0.3">
      <c r="A505">
        <v>202505</v>
      </c>
      <c r="B505" s="22" t="s">
        <v>917</v>
      </c>
      <c r="C505" s="48">
        <v>6025973</v>
      </c>
      <c r="D505" s="43">
        <v>45808</v>
      </c>
      <c r="F505" t="s">
        <v>186</v>
      </c>
      <c r="G505" s="47">
        <f>MAX(+input_invoice[[#This Row],[net]]+input_invoice[[#This Row],[tax_iva]]+input_invoice[[#This Row],[tax_irpf]],input_invoice[[#This Row],[net]])</f>
        <v>1755</v>
      </c>
      <c r="H505" s="47">
        <f>input_invoice[[#This Row],[net]]*(MAX(input_invoice[[#This Row],[tax_rate_iva]],0)/100)</f>
        <v>292.5</v>
      </c>
      <c r="I505" s="47">
        <f>-input_invoice[[#This Row],[net]]*input_invoice[[#This Row],[tax_rate_irpf]]/100</f>
        <v>0</v>
      </c>
      <c r="J505" s="47">
        <v>1462.5</v>
      </c>
      <c r="K505" t="str">
        <f t="shared" si="13"/>
        <v>manufacturing</v>
      </c>
      <c r="L505">
        <v>20</v>
      </c>
      <c r="N505" t="str">
        <f>VLOOKUP(input_invoice[[#This Row],[concept/supplier]],'sel-invoice'!D:E,2,0)</f>
        <v>Proco</v>
      </c>
      <c r="O505" t="str">
        <f>VLOOKUP(input_invoice[[#This Row],[concept/supplier]],'sel-invoice'!D:F,3,0)</f>
        <v>Ltd</v>
      </c>
      <c r="P505" t="str">
        <f>IF(input_invoice[[#This Row],[entity]]="SL","EUR",IF(input_invoice[[#This Row],[entity]]="Ltd","GBP",IF(input_invoice[[#This Row],[entity]]="Inc","USD","XXX")))</f>
        <v>GBP</v>
      </c>
    </row>
    <row r="506" spans="1:18" hidden="1" x14ac:dyDescent="0.3">
      <c r="A506">
        <v>202505</v>
      </c>
      <c r="B506" s="22" t="s">
        <v>917</v>
      </c>
      <c r="F506" t="s">
        <v>74</v>
      </c>
      <c r="G506" s="47">
        <f>MAX(+input_invoice[[#This Row],[net]]+input_invoice[[#This Row],[tax_iva]]+input_invoice[[#This Row],[tax_irpf]],input_invoice[[#This Row],[net]])</f>
        <v>0</v>
      </c>
      <c r="H506" s="47">
        <f>input_invoice[[#This Row],[net]]*(MAX(input_invoice[[#This Row],[tax_rate_iva]],0)/100)</f>
        <v>0</v>
      </c>
      <c r="I506" s="47">
        <f>-input_invoice[[#This Row],[net]]*input_invoice[[#This Row],[tax_rate_irpf]]/100</f>
        <v>0</v>
      </c>
      <c r="J506" s="47">
        <v>0</v>
      </c>
      <c r="K506" t="str">
        <f t="shared" si="13"/>
        <v>payment-suppliers</v>
      </c>
      <c r="L506">
        <v>0</v>
      </c>
      <c r="N506" t="str">
        <f>VLOOKUP(input_invoice[[#This Row],[concept/supplier]],'sel-invoice'!D:E,2,0)</f>
        <v>SeQura</v>
      </c>
      <c r="O506" t="str">
        <f>VLOOKUP(input_invoice[[#This Row],[concept/supplier]],'sel-invoice'!D:F,3,0)</f>
        <v>SL</v>
      </c>
      <c r="P506" t="str">
        <f>IF(input_invoice[[#This Row],[entity]]="SL","EUR",IF(input_invoice[[#This Row],[entity]]="Ltd","GBP",IF(input_invoice[[#This Row],[entity]]="Inc","USD","XXX")))</f>
        <v>EUR</v>
      </c>
      <c r="Q506" t="s">
        <v>908</v>
      </c>
    </row>
    <row r="507" spans="1:18" hidden="1" x14ac:dyDescent="0.3">
      <c r="A507">
        <v>202505</v>
      </c>
      <c r="B507" s="22" t="s">
        <v>917</v>
      </c>
      <c r="F507" t="s">
        <v>65</v>
      </c>
      <c r="G507" s="47">
        <f>MAX(+input_invoice[[#This Row],[net]]+input_invoice[[#This Row],[tax_iva]]+input_invoice[[#This Row],[tax_irpf]],input_invoice[[#This Row],[net]])</f>
        <v>2117.6799999999998</v>
      </c>
      <c r="H507" s="47">
        <f>input_invoice[[#This Row],[net]]*(MAX(input_invoice[[#This Row],[tax_rate_iva]],0)/100)</f>
        <v>0</v>
      </c>
      <c r="I507" s="47">
        <f>-input_invoice[[#This Row],[net]]*input_invoice[[#This Row],[tax_rate_irpf]]/100</f>
        <v>0</v>
      </c>
      <c r="J507" s="47">
        <v>2117.6799999999998</v>
      </c>
      <c r="K507" t="str">
        <f t="shared" si="13"/>
        <v>payment-suppliers</v>
      </c>
      <c r="L507">
        <v>0</v>
      </c>
      <c r="N507" t="str">
        <f>VLOOKUP(input_invoice[[#This Row],[concept/supplier]],'sel-invoice'!D:E,2,0)</f>
        <v>Shopify</v>
      </c>
      <c r="O507" t="str">
        <f>VLOOKUP(input_invoice[[#This Row],[concept/supplier]],'sel-invoice'!D:F,3,0)</f>
        <v>SL</v>
      </c>
      <c r="P507" t="str">
        <f>IF(input_invoice[[#This Row],[entity]]="SL","EUR",IF(input_invoice[[#This Row],[entity]]="Ltd","GBP",IF(input_invoice[[#This Row],[entity]]="Inc","USD","XXX")))</f>
        <v>EUR</v>
      </c>
      <c r="Q507" t="s">
        <v>908</v>
      </c>
      <c r="R507" s="267" t="b">
        <v>1</v>
      </c>
    </row>
    <row r="508" spans="1:18" hidden="1" x14ac:dyDescent="0.3">
      <c r="A508">
        <v>202505</v>
      </c>
      <c r="B508" s="22" t="s">
        <v>917</v>
      </c>
      <c r="F508" t="s">
        <v>54</v>
      </c>
      <c r="G508" s="47">
        <f>MAX(+input_invoice[[#This Row],[net]]+input_invoice[[#This Row],[tax_iva]]+input_invoice[[#This Row],[tax_irpf]],input_invoice[[#This Row],[net]])</f>
        <v>23.425599999999999</v>
      </c>
      <c r="H508" s="47">
        <f>input_invoice[[#This Row],[net]]*(MAX(input_invoice[[#This Row],[tax_rate_iva]],0)/100)</f>
        <v>4.0655999999999999</v>
      </c>
      <c r="I508" s="47">
        <f>-input_invoice[[#This Row],[net]]*input_invoice[[#This Row],[tax_rate_irpf]]/100</f>
        <v>0</v>
      </c>
      <c r="J508" s="47">
        <v>19.36</v>
      </c>
      <c r="K508" t="str">
        <f t="shared" si="13"/>
        <v>logistics</v>
      </c>
      <c r="L508">
        <v>21</v>
      </c>
      <c r="N508" t="str">
        <f>VLOOKUP(input_invoice[[#This Row],[concept/supplier]],'sel-invoice'!D:E,2,0)</f>
        <v>Spring</v>
      </c>
      <c r="O508" t="str">
        <f>VLOOKUP(input_invoice[[#This Row],[concept/supplier]],'sel-invoice'!D:F,3,0)</f>
        <v>SL</v>
      </c>
      <c r="P508" t="str">
        <f>IF(input_invoice[[#This Row],[entity]]="SL","EUR",IF(input_invoice[[#This Row],[entity]]="Ltd","GBP",IF(input_invoice[[#This Row],[entity]]="Inc","USD","XXX")))</f>
        <v>EUR</v>
      </c>
    </row>
    <row r="509" spans="1:18" hidden="1" x14ac:dyDescent="0.3">
      <c r="A509" s="88">
        <v>202505</v>
      </c>
      <c r="B509" s="22" t="s">
        <v>917</v>
      </c>
      <c r="C509" s="89"/>
      <c r="D509" s="90"/>
      <c r="E509" s="90"/>
      <c r="F509" s="88" t="s">
        <v>55</v>
      </c>
      <c r="G509" s="91">
        <v>300.2</v>
      </c>
      <c r="H509" s="91">
        <f>input_invoice[[#This Row],[net]]*(MAX(input_invoice[[#This Row],[tax_rate_iva]],0)/100)</f>
        <v>0</v>
      </c>
      <c r="I509" s="91">
        <f>-input_invoice[[#This Row],[net]]*input_invoice[[#This Row],[tax_rate_irpf]]/100</f>
        <v>0</v>
      </c>
      <c r="J509" s="91">
        <v>300.2</v>
      </c>
      <c r="K509" s="88" t="str">
        <f t="shared" si="13"/>
        <v>logistics</v>
      </c>
      <c r="L509" s="88">
        <f>+input_invoice[[#This Row],[gross]]-input_invoice[[#This Row],[net]]</f>
        <v>0</v>
      </c>
      <c r="M509" s="88"/>
      <c r="N509" s="88" t="str">
        <f>VLOOKUP(input_invoice[[#This Row],[concept/supplier]],'sel-invoice'!D:E,2,0)</f>
        <v>UPS DE</v>
      </c>
      <c r="O509" s="88" t="str">
        <f>VLOOKUP(input_invoice[[#This Row],[concept/supplier]],'sel-invoice'!D:F,3,0)</f>
        <v>SL</v>
      </c>
      <c r="P509" s="88" t="str">
        <f>IF(input_invoice[[#This Row],[entity]]="SL","EUR",IF(input_invoice[[#This Row],[entity]]="Ltd","GBP",IF(input_invoice[[#This Row],[entity]]="Inc","USD","XXX")))</f>
        <v>EUR</v>
      </c>
      <c r="Q509" s="88"/>
      <c r="R509" s="259" t="b">
        <v>0</v>
      </c>
    </row>
    <row r="510" spans="1:18" hidden="1" x14ac:dyDescent="0.3">
      <c r="A510" s="88">
        <v>202505</v>
      </c>
      <c r="B510" s="22" t="s">
        <v>917</v>
      </c>
      <c r="C510" s="89"/>
      <c r="D510" s="90"/>
      <c r="E510" s="90"/>
      <c r="F510" s="88" t="s">
        <v>55</v>
      </c>
      <c r="G510" s="91">
        <v>1449.7</v>
      </c>
      <c r="H510" s="91">
        <f>input_invoice[[#This Row],[net]]*(MAX(input_invoice[[#This Row],[tax_rate_iva]],0)/100)</f>
        <v>0</v>
      </c>
      <c r="I510" s="91">
        <f>-input_invoice[[#This Row],[net]]*input_invoice[[#This Row],[tax_rate_irpf]]/100</f>
        <v>0</v>
      </c>
      <c r="J510" s="91">
        <v>1449.7</v>
      </c>
      <c r="K510" s="88" t="str">
        <f t="shared" si="13"/>
        <v>logistics</v>
      </c>
      <c r="L510" s="88">
        <f>+input_invoice[[#This Row],[gross]]-input_invoice[[#This Row],[net]]</f>
        <v>0</v>
      </c>
      <c r="M510" s="88"/>
      <c r="N510" s="88" t="str">
        <f>VLOOKUP(input_invoice[[#This Row],[concept/supplier]],'sel-invoice'!D:E,2,0)</f>
        <v>UPS DE</v>
      </c>
      <c r="O510" s="88" t="str">
        <f>VLOOKUP(input_invoice[[#This Row],[concept/supplier]],'sel-invoice'!D:F,3,0)</f>
        <v>SL</v>
      </c>
      <c r="P510" s="88" t="str">
        <f>IF(input_invoice[[#This Row],[entity]]="SL","EUR",IF(input_invoice[[#This Row],[entity]]="Ltd","GBP",IF(input_invoice[[#This Row],[entity]]="Inc","USD","XXX")))</f>
        <v>EUR</v>
      </c>
      <c r="Q510" s="88"/>
      <c r="R510" s="259" t="b">
        <v>0</v>
      </c>
    </row>
    <row r="511" spans="1:18" hidden="1" x14ac:dyDescent="0.3">
      <c r="A511" s="88">
        <v>202505</v>
      </c>
      <c r="B511" s="22" t="s">
        <v>917</v>
      </c>
      <c r="C511" s="89"/>
      <c r="D511" s="90"/>
      <c r="E511" s="90"/>
      <c r="F511" s="88" t="s">
        <v>55</v>
      </c>
      <c r="G511" s="91">
        <v>343.16</v>
      </c>
      <c r="H511" s="91">
        <f>input_invoice[[#This Row],[net]]*(MAX(input_invoice[[#This Row],[tax_rate_iva]],0)/100)</f>
        <v>0</v>
      </c>
      <c r="I511" s="91">
        <f>-input_invoice[[#This Row],[net]]*input_invoice[[#This Row],[tax_rate_irpf]]/100</f>
        <v>0</v>
      </c>
      <c r="J511" s="91">
        <v>343.16</v>
      </c>
      <c r="K511" s="88" t="str">
        <f t="shared" si="13"/>
        <v>logistics</v>
      </c>
      <c r="L511" s="88">
        <f>+input_invoice[[#This Row],[gross]]-input_invoice[[#This Row],[net]]</f>
        <v>0</v>
      </c>
      <c r="M511" s="88"/>
      <c r="N511" s="88" t="str">
        <f>VLOOKUP(input_invoice[[#This Row],[concept/supplier]],'sel-invoice'!D:E,2,0)</f>
        <v>UPS DE</v>
      </c>
      <c r="O511" s="88" t="str">
        <f>VLOOKUP(input_invoice[[#This Row],[concept/supplier]],'sel-invoice'!D:F,3,0)</f>
        <v>SL</v>
      </c>
      <c r="P511" s="88" t="str">
        <f>IF(input_invoice[[#This Row],[entity]]="SL","EUR",IF(input_invoice[[#This Row],[entity]]="Ltd","GBP",IF(input_invoice[[#This Row],[entity]]="Inc","USD","XXX")))</f>
        <v>EUR</v>
      </c>
      <c r="Q511" s="88"/>
      <c r="R511" s="259" t="b">
        <v>0</v>
      </c>
    </row>
    <row r="512" spans="1:18" hidden="1" x14ac:dyDescent="0.3">
      <c r="A512" s="88">
        <v>202505</v>
      </c>
      <c r="B512" s="22" t="s">
        <v>917</v>
      </c>
      <c r="C512" s="89"/>
      <c r="D512" s="90"/>
      <c r="E512" s="90"/>
      <c r="F512" s="88" t="s">
        <v>55</v>
      </c>
      <c r="G512" s="91">
        <v>472.94</v>
      </c>
      <c r="H512" s="91">
        <f>input_invoice[[#This Row],[net]]*(MAX(input_invoice[[#This Row],[tax_rate_iva]],0)/100)</f>
        <v>0</v>
      </c>
      <c r="I512" s="91">
        <f>-input_invoice[[#This Row],[net]]*input_invoice[[#This Row],[tax_rate_irpf]]/100</f>
        <v>0</v>
      </c>
      <c r="J512" s="91">
        <v>472.94</v>
      </c>
      <c r="K512" s="88" t="str">
        <f t="shared" si="13"/>
        <v>logistics</v>
      </c>
      <c r="L512" s="88">
        <f>+input_invoice[[#This Row],[gross]]-input_invoice[[#This Row],[net]]</f>
        <v>0</v>
      </c>
      <c r="M512" s="88"/>
      <c r="N512" s="88" t="str">
        <f>VLOOKUP(input_invoice[[#This Row],[concept/supplier]],'sel-invoice'!D:E,2,0)</f>
        <v>UPS DE</v>
      </c>
      <c r="O512" s="88" t="str">
        <f>VLOOKUP(input_invoice[[#This Row],[concept/supplier]],'sel-invoice'!D:F,3,0)</f>
        <v>SL</v>
      </c>
      <c r="P512" s="88" t="str">
        <f>IF(input_invoice[[#This Row],[entity]]="SL","EUR",IF(input_invoice[[#This Row],[entity]]="Ltd","GBP",IF(input_invoice[[#This Row],[entity]]="Inc","USD","XXX")))</f>
        <v>EUR</v>
      </c>
      <c r="Q512" s="88"/>
      <c r="R512" s="259" t="b">
        <v>0</v>
      </c>
    </row>
    <row r="513" spans="1:18" hidden="1" x14ac:dyDescent="0.3">
      <c r="A513">
        <v>202505</v>
      </c>
      <c r="B513" s="22" t="s">
        <v>917</v>
      </c>
      <c r="F513" t="s">
        <v>56</v>
      </c>
      <c r="G513" s="47">
        <f>MAX(+input_invoice[[#This Row],[net]]+input_invoice[[#This Row],[tax_iva]]+input_invoice[[#This Row],[tax_irpf]],input_invoice[[#This Row],[net]])</f>
        <v>981.12</v>
      </c>
      <c r="H513" s="47">
        <f>input_invoice[[#This Row],[net]]*(MAX(input_invoice[[#This Row],[tax_rate_iva]],0)/100)</f>
        <v>0</v>
      </c>
      <c r="I513" s="47">
        <f>-input_invoice[[#This Row],[net]]*input_invoice[[#This Row],[tax_rate_irpf]]/100</f>
        <v>0</v>
      </c>
      <c r="J513" s="47">
        <v>981.12</v>
      </c>
      <c r="K513" t="str">
        <f t="shared" si="13"/>
        <v>logistics</v>
      </c>
      <c r="L513">
        <v>0</v>
      </c>
      <c r="N513" t="str">
        <f>VLOOKUP(input_invoice[[#This Row],[concept/supplier]],'sel-invoice'!D:E,2,0)</f>
        <v>UPS FR</v>
      </c>
      <c r="O513" t="str">
        <f>VLOOKUP(input_invoice[[#This Row],[concept/supplier]],'sel-invoice'!D:F,3,0)</f>
        <v>SL</v>
      </c>
      <c r="P513" t="str">
        <f>IF(input_invoice[[#This Row],[entity]]="SL","EUR",IF(input_invoice[[#This Row],[entity]]="Ltd","GBP",IF(input_invoice[[#This Row],[entity]]="Inc","USD","XXX")))</f>
        <v>EUR</v>
      </c>
      <c r="R513" s="259" t="b">
        <v>0</v>
      </c>
    </row>
    <row r="514" spans="1:18" hidden="1" x14ac:dyDescent="0.3">
      <c r="A514">
        <v>202506</v>
      </c>
      <c r="B514" s="22" t="s">
        <v>917</v>
      </c>
      <c r="F514" t="s">
        <v>39</v>
      </c>
      <c r="G514" s="47">
        <f>MAX(+input_invoice[[#This Row],[net]]+input_invoice[[#This Row],[tax_iva]]+input_invoice[[#This Row],[tax_irpf]],input_invoice[[#This Row],[net]])</f>
        <v>93.336100000000002</v>
      </c>
      <c r="H514" s="47">
        <f>input_invoice[[#This Row],[net]]*(MAX(input_invoice[[#This Row],[tax_rate_iva]],0)/100)</f>
        <v>6.1061000000000005</v>
      </c>
      <c r="I514" s="47">
        <f>-input_invoice[[#This Row],[net]]*input_invoice[[#This Row],[tax_rate_irpf]]/100</f>
        <v>0</v>
      </c>
      <c r="J514" s="47">
        <v>87.23</v>
      </c>
      <c r="K514" t="str">
        <f t="shared" si="13"/>
        <v>manufacturing</v>
      </c>
      <c r="L514">
        <v>7</v>
      </c>
      <c r="N514" t="str">
        <f>VLOOKUP(input_invoice[[#This Row],[concept/supplier]],'sel-invoice'!D:E,2,0)</f>
        <v>Apphoto Canarias</v>
      </c>
      <c r="O514" t="str">
        <f>VLOOKUP(input_invoice[[#This Row],[concept/supplier]],'sel-invoice'!D:F,3,0)</f>
        <v>SL</v>
      </c>
      <c r="P514" t="str">
        <f>IF(input_invoice[[#This Row],[entity]]="SL","EUR",IF(input_invoice[[#This Row],[entity]]="Ltd","GBP",IF(input_invoice[[#This Row],[entity]]="Inc","USD","XXX")))</f>
        <v>EUR</v>
      </c>
    </row>
    <row r="515" spans="1:18" hidden="1" x14ac:dyDescent="0.3">
      <c r="A515">
        <v>202506</v>
      </c>
      <c r="B515" s="22" t="s">
        <v>917</v>
      </c>
      <c r="F515" t="s">
        <v>37</v>
      </c>
      <c r="G515" s="47">
        <f>MAX(+input_invoice[[#This Row],[net]]+input_invoice[[#This Row],[tax_iva]]+input_invoice[[#This Row],[tax_irpf]],input_invoice[[#This Row],[net]])</f>
        <v>8295.6753000000008</v>
      </c>
      <c r="H515" s="47">
        <f>input_invoice[[#This Row],[net]]*(MAX(input_invoice[[#This Row],[tax_rate_iva]],0)/100)</f>
        <v>1439.7453</v>
      </c>
      <c r="I515" s="47">
        <f>-input_invoice[[#This Row],[net]]*input_invoice[[#This Row],[tax_rate_irpf]]/100</f>
        <v>0</v>
      </c>
      <c r="J515" s="47">
        <v>6855.93</v>
      </c>
      <c r="K515" t="str">
        <f t="shared" si="13"/>
        <v>manufacturing</v>
      </c>
      <c r="L515">
        <v>21</v>
      </c>
      <c r="N515" t="str">
        <f>VLOOKUP(input_invoice[[#This Row],[concept/supplier]],'sel-invoice'!D:E,2,0)</f>
        <v>Apphoto España</v>
      </c>
      <c r="O515" t="str">
        <f>VLOOKUP(input_invoice[[#This Row],[concept/supplier]],'sel-invoice'!D:F,3,0)</f>
        <v>SL</v>
      </c>
      <c r="P515" t="str">
        <f>IF(input_invoice[[#This Row],[entity]]="SL","EUR",IF(input_invoice[[#This Row],[entity]]="Ltd","GBP",IF(input_invoice[[#This Row],[entity]]="Inc","USD","XXX")))</f>
        <v>EUR</v>
      </c>
    </row>
    <row r="516" spans="1:18" hidden="1" x14ac:dyDescent="0.3">
      <c r="A516">
        <v>202506</v>
      </c>
      <c r="B516" s="22" t="s">
        <v>917</v>
      </c>
      <c r="F516" t="s">
        <v>37</v>
      </c>
      <c r="G516" s="47">
        <f>MAX(+input_invoice[[#This Row],[net]]+input_invoice[[#This Row],[tax_iva]]+input_invoice[[#This Row],[tax_irpf]],input_invoice[[#This Row],[net]])</f>
        <v>7550.5088999999998</v>
      </c>
      <c r="H516" s="47">
        <f>input_invoice[[#This Row],[net]]*(MAX(input_invoice[[#This Row],[tax_rate_iva]],0)/100)</f>
        <v>1310.4188999999999</v>
      </c>
      <c r="I516" s="47">
        <f>-input_invoice[[#This Row],[net]]*input_invoice[[#This Row],[tax_rate_irpf]]/100</f>
        <v>0</v>
      </c>
      <c r="J516" s="47">
        <v>6240.09</v>
      </c>
      <c r="K516" t="str">
        <f t="shared" si="13"/>
        <v>manufacturing</v>
      </c>
      <c r="L516">
        <v>21</v>
      </c>
      <c r="N516" t="str">
        <f>VLOOKUP(input_invoice[[#This Row],[concept/supplier]],'sel-invoice'!D:E,2,0)</f>
        <v>Apphoto España</v>
      </c>
      <c r="O516" t="str">
        <f>VLOOKUP(input_invoice[[#This Row],[concept/supplier]],'sel-invoice'!D:F,3,0)</f>
        <v>SL</v>
      </c>
      <c r="P516" t="str">
        <f>IF(input_invoice[[#This Row],[entity]]="SL","EUR",IF(input_invoice[[#This Row],[entity]]="Ltd","GBP",IF(input_invoice[[#This Row],[entity]]="Inc","USD","XXX")))</f>
        <v>EUR</v>
      </c>
    </row>
    <row r="517" spans="1:18" hidden="1" x14ac:dyDescent="0.3">
      <c r="A517">
        <v>202506</v>
      </c>
      <c r="B517" s="22" t="s">
        <v>917</v>
      </c>
      <c r="F517" t="s">
        <v>37</v>
      </c>
      <c r="G517" s="47">
        <f>MAX(+input_invoice[[#This Row],[net]]+input_invoice[[#This Row],[tax_iva]]+input_invoice[[#This Row],[tax_irpf]],input_invoice[[#This Row],[net]])</f>
        <v>8046.3910999999998</v>
      </c>
      <c r="H517" s="47">
        <f>input_invoice[[#This Row],[net]]*(MAX(input_invoice[[#This Row],[tax_rate_iva]],0)/100)</f>
        <v>1396.4811</v>
      </c>
      <c r="I517" s="47">
        <f>-input_invoice[[#This Row],[net]]*input_invoice[[#This Row],[tax_rate_irpf]]/100</f>
        <v>0</v>
      </c>
      <c r="J517" s="47">
        <v>6649.91</v>
      </c>
      <c r="K517" t="str">
        <f t="shared" si="13"/>
        <v>manufacturing</v>
      </c>
      <c r="L517">
        <v>21</v>
      </c>
      <c r="N517" t="str">
        <f>VLOOKUP(input_invoice[[#This Row],[concept/supplier]],'sel-invoice'!D:E,2,0)</f>
        <v>Apphoto España</v>
      </c>
      <c r="O517" t="str">
        <f>VLOOKUP(input_invoice[[#This Row],[concept/supplier]],'sel-invoice'!D:F,3,0)</f>
        <v>SL</v>
      </c>
      <c r="P517" t="str">
        <f>IF(input_invoice[[#This Row],[entity]]="SL","EUR",IF(input_invoice[[#This Row],[entity]]="Ltd","GBP",IF(input_invoice[[#This Row],[entity]]="Inc","USD","XXX")))</f>
        <v>EUR</v>
      </c>
    </row>
    <row r="518" spans="1:18" hidden="1" x14ac:dyDescent="0.3">
      <c r="A518">
        <v>202506</v>
      </c>
      <c r="B518" s="22" t="s">
        <v>917</v>
      </c>
      <c r="F518" t="s">
        <v>37</v>
      </c>
      <c r="G518" s="47">
        <f>MAX(+input_invoice[[#This Row],[net]]+input_invoice[[#This Row],[tax_iva]]+input_invoice[[#This Row],[tax_irpf]],input_invoice[[#This Row],[net]])</f>
        <v>8592.2705000000005</v>
      </c>
      <c r="H518" s="47">
        <f>input_invoice[[#This Row],[net]]*(MAX(input_invoice[[#This Row],[tax_rate_iva]],0)/100)</f>
        <v>1491.2204999999999</v>
      </c>
      <c r="I518" s="47">
        <f>-input_invoice[[#This Row],[net]]*input_invoice[[#This Row],[tax_rate_irpf]]/100</f>
        <v>0</v>
      </c>
      <c r="J518" s="47">
        <v>7101.05</v>
      </c>
      <c r="K518" t="str">
        <f t="shared" si="13"/>
        <v>manufacturing</v>
      </c>
      <c r="L518">
        <v>21</v>
      </c>
      <c r="N518" t="str">
        <f>VLOOKUP(input_invoice[[#This Row],[concept/supplier]],'sel-invoice'!D:E,2,0)</f>
        <v>Apphoto España</v>
      </c>
      <c r="O518" t="str">
        <f>VLOOKUP(input_invoice[[#This Row],[concept/supplier]],'sel-invoice'!D:F,3,0)</f>
        <v>SL</v>
      </c>
      <c r="P518" t="str">
        <f>IF(input_invoice[[#This Row],[entity]]="SL","EUR",IF(input_invoice[[#This Row],[entity]]="Ltd","GBP",IF(input_invoice[[#This Row],[entity]]="Inc","USD","XXX")))</f>
        <v>EUR</v>
      </c>
    </row>
    <row r="519" spans="1:18" hidden="1" x14ac:dyDescent="0.3">
      <c r="A519">
        <v>202506</v>
      </c>
      <c r="B519" s="22" t="s">
        <v>917</v>
      </c>
      <c r="F519" t="s">
        <v>53</v>
      </c>
      <c r="G519" s="47">
        <f>MAX(+input_invoice[[#This Row],[net]]+input_invoice[[#This Row],[tax_iva]]+input_invoice[[#This Row],[tax_irpf]],input_invoice[[#This Row],[net]])</f>
        <v>1093.2954999999999</v>
      </c>
      <c r="H519" s="47">
        <f>input_invoice[[#This Row],[net]]*(MAX(input_invoice[[#This Row],[tax_rate_iva]],0)/100)</f>
        <v>189.74549999999999</v>
      </c>
      <c r="I519" s="47">
        <f>-input_invoice[[#This Row],[net]]*input_invoice[[#This Row],[tax_rate_irpf]]/100</f>
        <v>0</v>
      </c>
      <c r="J519" s="47">
        <v>903.55</v>
      </c>
      <c r="K519" t="str">
        <f t="shared" si="13"/>
        <v>logistics</v>
      </c>
      <c r="L519">
        <v>21</v>
      </c>
      <c r="N519" t="str">
        <f>VLOOKUP(input_invoice[[#This Row],[concept/supplier]],'sel-invoice'!D:E,2,0)</f>
        <v>Asendia</v>
      </c>
      <c r="O519" t="str">
        <f>VLOOKUP(input_invoice[[#This Row],[concept/supplier]],'sel-invoice'!D:F,3,0)</f>
        <v>SL</v>
      </c>
      <c r="P519" t="str">
        <f>IF(input_invoice[[#This Row],[entity]]="SL","EUR",IF(input_invoice[[#This Row],[entity]]="Ltd","GBP",IF(input_invoice[[#This Row],[entity]]="Inc","USD","XXX")))</f>
        <v>EUR</v>
      </c>
    </row>
    <row r="520" spans="1:18" hidden="1" x14ac:dyDescent="0.3">
      <c r="A520">
        <v>202506</v>
      </c>
      <c r="B520" s="22" t="s">
        <v>917</v>
      </c>
      <c r="F520" t="s">
        <v>143</v>
      </c>
      <c r="G520" s="47">
        <f>MAX(+input_invoice[[#This Row],[net]]+input_invoice[[#This Row],[tax_iva]]+input_invoice[[#This Row],[tax_irpf]],input_invoice[[#This Row],[net]])</f>
        <v>11.991099999999999</v>
      </c>
      <c r="H520" s="47">
        <f>input_invoice[[#This Row],[net]]*(MAX(input_invoice[[#This Row],[tax_rate_iva]],0)/100)</f>
        <v>2.0811000000000002</v>
      </c>
      <c r="I520" s="47">
        <f>-input_invoice[[#This Row],[net]]*input_invoice[[#This Row],[tax_rate_irpf]]/100</f>
        <v>0</v>
      </c>
      <c r="J520" s="47">
        <v>9.91</v>
      </c>
      <c r="K520" t="str">
        <f t="shared" si="13"/>
        <v>it</v>
      </c>
      <c r="L520">
        <v>21</v>
      </c>
      <c r="N520" t="str">
        <f>VLOOKUP(input_invoice[[#This Row],[concept/supplier]],'sel-invoice'!D:E,2,0)</f>
        <v>Canva</v>
      </c>
      <c r="O520" t="str">
        <f>VLOOKUP(input_invoice[[#This Row],[concept/supplier]],'sel-invoice'!D:F,3,0)</f>
        <v>SL</v>
      </c>
      <c r="P520" t="str">
        <f>IF(input_invoice[[#This Row],[entity]]="SL","EUR",IF(input_invoice[[#This Row],[entity]]="Ltd","GBP",IF(input_invoice[[#This Row],[entity]]="Inc","USD","XXX")))</f>
        <v>EUR</v>
      </c>
    </row>
    <row r="521" spans="1:18" hidden="1" x14ac:dyDescent="0.3">
      <c r="A521">
        <v>202506</v>
      </c>
      <c r="B521" s="22" t="s">
        <v>917</v>
      </c>
      <c r="F521" t="s">
        <v>52</v>
      </c>
      <c r="G521" s="47">
        <f>MAX(+input_invoice[[#This Row],[net]]+input_invoice[[#This Row],[tax_iva]]+input_invoice[[#This Row],[tax_irpf]],input_invoice[[#This Row],[net]])</f>
        <v>378.5727</v>
      </c>
      <c r="H521" s="47">
        <f>input_invoice[[#This Row],[net]]*(MAX(input_invoice[[#This Row],[tax_rate_iva]],0)/100)</f>
        <v>65.702699999999993</v>
      </c>
      <c r="I521" s="47">
        <f>-input_invoice[[#This Row],[net]]*input_invoice[[#This Row],[tax_rate_irpf]]/100</f>
        <v>0</v>
      </c>
      <c r="J521" s="47">
        <v>312.87</v>
      </c>
      <c r="K521" t="str">
        <f t="shared" si="13"/>
        <v>logistics</v>
      </c>
      <c r="L521">
        <v>21</v>
      </c>
      <c r="N521" t="str">
        <f>VLOOKUP(input_invoice[[#This Row],[concept/supplier]],'sel-invoice'!D:E,2,0)</f>
        <v>Correos</v>
      </c>
      <c r="O521" t="str">
        <f>VLOOKUP(input_invoice[[#This Row],[concept/supplier]],'sel-invoice'!D:F,3,0)</f>
        <v>SL</v>
      </c>
      <c r="P521" t="str">
        <f>IF(input_invoice[[#This Row],[entity]]="SL","EUR",IF(input_invoice[[#This Row],[entity]]="Ltd","GBP",IF(input_invoice[[#This Row],[entity]]="Inc","USD","XXX")))</f>
        <v>EUR</v>
      </c>
    </row>
    <row r="522" spans="1:18" hidden="1" x14ac:dyDescent="0.3">
      <c r="A522">
        <v>202506</v>
      </c>
      <c r="B522" s="22" t="s">
        <v>917</v>
      </c>
      <c r="C522" s="48">
        <v>4004378839</v>
      </c>
      <c r="F522" t="s">
        <v>52</v>
      </c>
      <c r="G522" s="47">
        <f>MAX(+input_invoice[[#This Row],[net]]+input_invoice[[#This Row],[tax_iva]]+input_invoice[[#This Row],[tax_irpf]],input_invoice[[#This Row],[net]])</f>
        <v>17.88</v>
      </c>
      <c r="H522" s="47">
        <f>input_invoice[[#This Row],[net]]*(MAX(input_invoice[[#This Row],[tax_rate_iva]],0)/100)</f>
        <v>0</v>
      </c>
      <c r="I522" s="47">
        <f>-input_invoice[[#This Row],[net]]*input_invoice[[#This Row],[tax_rate_irpf]]/100</f>
        <v>0</v>
      </c>
      <c r="J522" s="47">
        <v>17.88</v>
      </c>
      <c r="K522" t="str">
        <f t="shared" si="13"/>
        <v>logistics</v>
      </c>
      <c r="L522">
        <v>0</v>
      </c>
      <c r="N522" t="str">
        <f>VLOOKUP(input_invoice[[#This Row],[concept/supplier]],'sel-invoice'!D:E,2,0)</f>
        <v>Correos</v>
      </c>
      <c r="O522" t="str">
        <f>VLOOKUP(input_invoice[[#This Row],[concept/supplier]],'sel-invoice'!D:F,3,0)</f>
        <v>SL</v>
      </c>
      <c r="P522" t="str">
        <f>IF(input_invoice[[#This Row],[entity]]="SL","EUR",IF(input_invoice[[#This Row],[entity]]="Ltd","GBP",IF(input_invoice[[#This Row],[entity]]="Inc","USD","XXX")))</f>
        <v>EUR</v>
      </c>
      <c r="R522" s="88"/>
    </row>
    <row r="523" spans="1:18" hidden="1" x14ac:dyDescent="0.3">
      <c r="A523">
        <v>202506</v>
      </c>
      <c r="B523" s="22" t="s">
        <v>917</v>
      </c>
      <c r="C523" s="48">
        <v>4004378839</v>
      </c>
      <c r="F523" t="s">
        <v>52</v>
      </c>
      <c r="G523" s="47">
        <f>MAX(+input_invoice[[#This Row],[net]]+input_invoice[[#This Row],[tax_iva]]+input_invoice[[#This Row],[tax_irpf]],input_invoice[[#This Row],[net]])</f>
        <v>4.1409000000000002</v>
      </c>
      <c r="H523" s="47">
        <f>input_invoice[[#This Row],[net]]*(MAX(input_invoice[[#This Row],[tax_rate_iva]],0)/100)</f>
        <v>0.27090000000000003</v>
      </c>
      <c r="I523" s="47">
        <f>-input_invoice[[#This Row],[net]]*input_invoice[[#This Row],[tax_rate_irpf]]/100</f>
        <v>0</v>
      </c>
      <c r="J523" s="47">
        <v>3.87</v>
      </c>
      <c r="K523" t="str">
        <f t="shared" si="13"/>
        <v>logistics</v>
      </c>
      <c r="L523">
        <v>7</v>
      </c>
      <c r="N523" t="str">
        <f>VLOOKUP(input_invoice[[#This Row],[concept/supplier]],'sel-invoice'!D:E,2,0)</f>
        <v>Correos</v>
      </c>
      <c r="O523" t="str">
        <f>VLOOKUP(input_invoice[[#This Row],[concept/supplier]],'sel-invoice'!D:F,3,0)</f>
        <v>SL</v>
      </c>
      <c r="P523" t="str">
        <f>IF(input_invoice[[#This Row],[entity]]="SL","EUR",IF(input_invoice[[#This Row],[entity]]="Ltd","GBP",IF(input_invoice[[#This Row],[entity]]="Inc","USD","XXX")))</f>
        <v>EUR</v>
      </c>
      <c r="R523" s="88"/>
    </row>
    <row r="524" spans="1:18" hidden="1" x14ac:dyDescent="0.3">
      <c r="A524">
        <v>202506</v>
      </c>
      <c r="B524" s="22" t="s">
        <v>917</v>
      </c>
      <c r="F524" t="s">
        <v>43</v>
      </c>
      <c r="G524" s="47">
        <f>MAX(+input_invoice[[#This Row],[net]]+input_invoice[[#This Row],[tax_iva]]+input_invoice[[#This Row],[tax_irpf]],input_invoice[[#This Row],[net]])</f>
        <v>3223.7933000000003</v>
      </c>
      <c r="H524" s="47">
        <f>input_invoice[[#This Row],[net]]*(MAX(input_invoice[[#This Row],[tax_rate_iva]],0)/100)</f>
        <v>514.72329999999999</v>
      </c>
      <c r="I524" s="47">
        <f>-input_invoice[[#This Row],[net]]*input_invoice[[#This Row],[tax_rate_irpf]]/100</f>
        <v>0</v>
      </c>
      <c r="J524" s="47">
        <v>2709.07</v>
      </c>
      <c r="K524" t="str">
        <f t="shared" si="13"/>
        <v>manufacturing</v>
      </c>
      <c r="L524">
        <v>19</v>
      </c>
      <c r="N524" t="str">
        <f>VLOOKUP(input_invoice[[#This Row],[concept/supplier]],'sel-invoice'!D:E,2,0)</f>
        <v>DCT</v>
      </c>
      <c r="O524" t="str">
        <f>VLOOKUP(input_invoice[[#This Row],[concept/supplier]],'sel-invoice'!D:F,3,0)</f>
        <v>SL</v>
      </c>
      <c r="P524" t="str">
        <f>IF(input_invoice[[#This Row],[entity]]="SL","EUR",IF(input_invoice[[#This Row],[entity]]="Ltd","GBP",IF(input_invoice[[#This Row],[entity]]="Inc","USD","XXX")))</f>
        <v>EUR</v>
      </c>
      <c r="R524" s="60"/>
    </row>
    <row r="525" spans="1:18" hidden="1" x14ac:dyDescent="0.3">
      <c r="A525">
        <v>202506</v>
      </c>
      <c r="B525" s="22" t="s">
        <v>917</v>
      </c>
      <c r="F525" t="s">
        <v>43</v>
      </c>
      <c r="G525" s="47">
        <f>MAX(+input_invoice[[#This Row],[net]]+input_invoice[[#This Row],[tax_iva]]+input_invoice[[#This Row],[tax_irpf]],input_invoice[[#This Row],[net]])</f>
        <v>3941.1728999999996</v>
      </c>
      <c r="H525" s="47">
        <f>input_invoice[[#This Row],[net]]*(MAX(input_invoice[[#This Row],[tax_rate_iva]],0)/100)</f>
        <v>629.26289999999995</v>
      </c>
      <c r="I525" s="47">
        <f>-input_invoice[[#This Row],[net]]*input_invoice[[#This Row],[tax_rate_irpf]]/100</f>
        <v>0</v>
      </c>
      <c r="J525" s="47">
        <v>3311.91</v>
      </c>
      <c r="K525" t="str">
        <f t="shared" si="13"/>
        <v>manufacturing</v>
      </c>
      <c r="L525">
        <v>19</v>
      </c>
      <c r="N525" t="str">
        <f>VLOOKUP(input_invoice[[#This Row],[concept/supplier]],'sel-invoice'!D:E,2,0)</f>
        <v>DCT</v>
      </c>
      <c r="O525" t="str">
        <f>VLOOKUP(input_invoice[[#This Row],[concept/supplier]],'sel-invoice'!D:F,3,0)</f>
        <v>SL</v>
      </c>
      <c r="P525" t="str">
        <f>IF(input_invoice[[#This Row],[entity]]="SL","EUR",IF(input_invoice[[#This Row],[entity]]="Ltd","GBP",IF(input_invoice[[#This Row],[entity]]="Inc","USD","XXX")))</f>
        <v>EUR</v>
      </c>
      <c r="R525" s="60"/>
    </row>
    <row r="526" spans="1:18" ht="15" hidden="1" customHeight="1" x14ac:dyDescent="0.3">
      <c r="A526">
        <v>202506</v>
      </c>
      <c r="B526" s="22" t="s">
        <v>917</v>
      </c>
      <c r="F526" t="s">
        <v>43</v>
      </c>
      <c r="G526" s="47">
        <f>MAX(+input_invoice[[#This Row],[net]]+input_invoice[[#This Row],[tax_iva]]+input_invoice[[#This Row],[tax_irpf]],input_invoice[[#This Row],[net]])</f>
        <v>47.6</v>
      </c>
      <c r="H526" s="47">
        <f>input_invoice[[#This Row],[net]]*(MAX(input_invoice[[#This Row],[tax_rate_iva]],0)/100)</f>
        <v>7.6</v>
      </c>
      <c r="I526" s="47">
        <f>-input_invoice[[#This Row],[net]]*input_invoice[[#This Row],[tax_rate_irpf]]/100</f>
        <v>0</v>
      </c>
      <c r="J526" s="47">
        <v>40</v>
      </c>
      <c r="K526" t="str">
        <f t="shared" si="13"/>
        <v>manufacturing</v>
      </c>
      <c r="L526">
        <v>19</v>
      </c>
      <c r="N526" t="str">
        <f>VLOOKUP(input_invoice[[#This Row],[concept/supplier]],'sel-invoice'!D:E,2,0)</f>
        <v>DCT</v>
      </c>
      <c r="O526" t="str">
        <f>VLOOKUP(input_invoice[[#This Row],[concept/supplier]],'sel-invoice'!D:F,3,0)</f>
        <v>SL</v>
      </c>
      <c r="P526" t="str">
        <f>IF(input_invoice[[#This Row],[entity]]="SL","EUR",IF(input_invoice[[#This Row],[entity]]="Ltd","GBP",IF(input_invoice[[#This Row],[entity]]="Inc","USD","XXX")))</f>
        <v>EUR</v>
      </c>
      <c r="Q526" s="183"/>
      <c r="R526" s="60"/>
    </row>
    <row r="527" spans="1:18" hidden="1" x14ac:dyDescent="0.3">
      <c r="A527">
        <v>202506</v>
      </c>
      <c r="B527" s="22" t="s">
        <v>917</v>
      </c>
      <c r="F527" t="s">
        <v>135</v>
      </c>
      <c r="G527" s="47">
        <f>MAX(+input_invoice[[#This Row],[net]]+input_invoice[[#This Row],[tax_iva]]+input_invoice[[#This Row],[tax_irpf]],input_invoice[[#This Row],[net]])</f>
        <v>23.84</v>
      </c>
      <c r="H527" s="47">
        <f>input_invoice[[#This Row],[net]]*(MAX(input_invoice[[#This Row],[tax_rate_iva]],0)/100)</f>
        <v>0</v>
      </c>
      <c r="I527" s="47">
        <f>-input_invoice[[#This Row],[net]]*input_invoice[[#This Row],[tax_rate_irpf]]/100</f>
        <v>0</v>
      </c>
      <c r="J527" s="47">
        <v>23.84</v>
      </c>
      <c r="K527" t="str">
        <f t="shared" si="13"/>
        <v>it</v>
      </c>
      <c r="L527">
        <v>0</v>
      </c>
      <c r="N527" t="str">
        <f>VLOOKUP(input_invoice[[#This Row],[concept/supplier]],'sel-invoice'!D:E,2,0)</f>
        <v>Geotargetly</v>
      </c>
      <c r="O527" t="str">
        <f>VLOOKUP(input_invoice[[#This Row],[concept/supplier]],'sel-invoice'!D:F,3,0)</f>
        <v>SL</v>
      </c>
      <c r="P527" t="str">
        <f>IF(input_invoice[[#This Row],[entity]]="SL","EUR",IF(input_invoice[[#This Row],[entity]]="Ltd","GBP",IF(input_invoice[[#This Row],[entity]]="Inc","USD","XXX")))</f>
        <v>EUR</v>
      </c>
      <c r="Q527" s="183"/>
    </row>
    <row r="528" spans="1:18" hidden="1" x14ac:dyDescent="0.3">
      <c r="A528">
        <v>202506</v>
      </c>
      <c r="B528" s="22" t="s">
        <v>917</v>
      </c>
      <c r="F528" t="s">
        <v>51</v>
      </c>
      <c r="G528" s="47">
        <f>MAX(+input_invoice[[#This Row],[net]]+input_invoice[[#This Row],[tax_iva]]+input_invoice[[#This Row],[tax_irpf]],input_invoice[[#This Row],[net]])</f>
        <v>7360.7567000000008</v>
      </c>
      <c r="H528" s="47">
        <f>input_invoice[[#This Row],[net]]*(MAX(input_invoice[[#This Row],[tax_rate_iva]],0)/100)</f>
        <v>1277.4867000000002</v>
      </c>
      <c r="I528" s="47">
        <f>-input_invoice[[#This Row],[net]]*input_invoice[[#This Row],[tax_rate_irpf]]/100</f>
        <v>0</v>
      </c>
      <c r="J528" s="47">
        <v>6083.27</v>
      </c>
      <c r="K528" t="str">
        <f t="shared" si="13"/>
        <v>logistics</v>
      </c>
      <c r="L528">
        <v>21</v>
      </c>
      <c r="N528" t="str">
        <f>VLOOKUP(input_invoice[[#This Row],[concept/supplier]],'sel-invoice'!D:E,2,0)</f>
        <v>GLS</v>
      </c>
      <c r="O528" t="str">
        <f>VLOOKUP(input_invoice[[#This Row],[concept/supplier]],'sel-invoice'!D:F,3,0)</f>
        <v>SL</v>
      </c>
      <c r="P528" t="str">
        <f>IF(input_invoice[[#This Row],[entity]]="SL","EUR",IF(input_invoice[[#This Row],[entity]]="Ltd","GBP",IF(input_invoice[[#This Row],[entity]]="Inc","USD","XXX")))</f>
        <v>EUR</v>
      </c>
      <c r="Q528" s="183"/>
    </row>
    <row r="529" spans="1:18" hidden="1" x14ac:dyDescent="0.3">
      <c r="A529">
        <v>202506</v>
      </c>
      <c r="B529" s="22" t="s">
        <v>917</v>
      </c>
      <c r="F529" t="s">
        <v>133</v>
      </c>
      <c r="G529" s="47">
        <f>MAX(+input_invoice[[#This Row],[net]]+input_invoice[[#This Row],[tax_iva]]+input_invoice[[#This Row],[tax_irpf]],input_invoice[[#This Row],[net]])</f>
        <v>194.4</v>
      </c>
      <c r="H529" s="47">
        <f>input_invoice[[#This Row],[net]]*(MAX(input_invoice[[#This Row],[tax_rate_iva]],0)/100)</f>
        <v>0</v>
      </c>
      <c r="I529" s="47">
        <f>-input_invoice[[#This Row],[net]]*input_invoice[[#This Row],[tax_rate_irpf]]/100</f>
        <v>0</v>
      </c>
      <c r="J529" s="47">
        <v>194.4</v>
      </c>
      <c r="K529" t="str">
        <f t="shared" si="13"/>
        <v>it</v>
      </c>
      <c r="L529">
        <v>0</v>
      </c>
      <c r="N529" t="str">
        <f>VLOOKUP(input_invoice[[#This Row],[concept/supplier]],'sel-invoice'!D:E,2,0)</f>
        <v>Gsuite</v>
      </c>
      <c r="O529" t="str">
        <f>VLOOKUP(input_invoice[[#This Row],[concept/supplier]],'sel-invoice'!D:F,3,0)</f>
        <v>SL</v>
      </c>
      <c r="P529" t="str">
        <f>IF(input_invoice[[#This Row],[entity]]="SL","EUR",IF(input_invoice[[#This Row],[entity]]="Ltd","GBP",IF(input_invoice[[#This Row],[entity]]="Inc","USD","XXX")))</f>
        <v>EUR</v>
      </c>
      <c r="Q529" s="183"/>
    </row>
    <row r="530" spans="1:18" hidden="1" x14ac:dyDescent="0.3">
      <c r="A530" s="60">
        <v>202506</v>
      </c>
      <c r="B530" s="22" t="s">
        <v>917</v>
      </c>
      <c r="C530" s="61"/>
      <c r="D530" s="62"/>
      <c r="E530" s="62"/>
      <c r="F530" s="60" t="s">
        <v>127</v>
      </c>
      <c r="G530" s="47">
        <f>MAX(+input_invoice[[#This Row],[net]]+input_invoice[[#This Row],[tax_iva]]+input_invoice[[#This Row],[tax_irpf]],input_invoice[[#This Row],[net]])</f>
        <v>10.9</v>
      </c>
      <c r="H530" s="63">
        <f>input_invoice[[#This Row],[net]]*(MAX(input_invoice[[#This Row],[tax_rate_iva]],0)/100)</f>
        <v>0</v>
      </c>
      <c r="I530" s="63">
        <f>-input_invoice[[#This Row],[net]]*input_invoice[[#This Row],[tax_rate_irpf]]/100</f>
        <v>0</v>
      </c>
      <c r="J530" s="63">
        <v>10.9</v>
      </c>
      <c r="K530" s="60" t="str">
        <f t="shared" si="13"/>
        <v>it</v>
      </c>
      <c r="L530" s="60">
        <v>0</v>
      </c>
      <c r="M530" s="60"/>
      <c r="N530" s="60" t="str">
        <f>VLOOKUP(input_invoice[[#This Row],[concept/supplier]],'sel-invoice'!D:E,2,0)</f>
        <v>Hetzner</v>
      </c>
      <c r="O530" s="60" t="str">
        <f>VLOOKUP(input_invoice[[#This Row],[concept/supplier]],'sel-invoice'!D:F,3,0)</f>
        <v>SL</v>
      </c>
      <c r="P530" s="60" t="str">
        <f>IF(input_invoice[[#This Row],[entity]]="SL","EUR",IF(input_invoice[[#This Row],[entity]]="Ltd","GBP",IF(input_invoice[[#This Row],[entity]]="Inc","USD","XXX")))</f>
        <v>EUR</v>
      </c>
      <c r="Q530" s="183"/>
    </row>
    <row r="531" spans="1:18" hidden="1" x14ac:dyDescent="0.3">
      <c r="A531">
        <v>202506</v>
      </c>
      <c r="B531" s="22" t="s">
        <v>917</v>
      </c>
      <c r="F531" t="s">
        <v>139</v>
      </c>
      <c r="G531" s="47">
        <f>MAX(+input_invoice[[#This Row],[net]]+input_invoice[[#This Row],[tax_iva]]+input_invoice[[#This Row],[tax_irpf]],input_invoice[[#This Row],[net]])</f>
        <v>6.3161999999999994</v>
      </c>
      <c r="H531" s="47">
        <f>input_invoice[[#This Row],[net]]*(MAX(input_invoice[[#This Row],[tax_rate_iva]],0)/100)</f>
        <v>1.0961999999999998</v>
      </c>
      <c r="I531" s="47">
        <f>-input_invoice[[#This Row],[net]]*input_invoice[[#This Row],[tax_rate_irpf]]/100</f>
        <v>0</v>
      </c>
      <c r="J531" s="47">
        <v>5.22</v>
      </c>
      <c r="K531" t="str">
        <f t="shared" si="13"/>
        <v>it</v>
      </c>
      <c r="L531">
        <v>21</v>
      </c>
      <c r="N531" t="str">
        <f>VLOOKUP(input_invoice[[#This Row],[concept/supplier]],'sel-invoice'!D:E,2,0)</f>
        <v>Mas Movil</v>
      </c>
      <c r="O531" t="str">
        <f>VLOOKUP(input_invoice[[#This Row],[concept/supplier]],'sel-invoice'!D:F,3,0)</f>
        <v>SL</v>
      </c>
      <c r="P531" t="str">
        <f>IF(input_invoice[[#This Row],[entity]]="SL","EUR",IF(input_invoice[[#This Row],[entity]]="Ltd","GBP",IF(input_invoice[[#This Row],[entity]]="Inc","USD","XXX")))</f>
        <v>EUR</v>
      </c>
      <c r="Q531" s="183"/>
    </row>
    <row r="532" spans="1:18" hidden="1" x14ac:dyDescent="0.3">
      <c r="A532">
        <v>202506</v>
      </c>
      <c r="B532" s="22" t="s">
        <v>917</v>
      </c>
      <c r="F532" t="s">
        <v>45</v>
      </c>
      <c r="G532" s="47">
        <f>MAX(+input_invoice[[#This Row],[net]]+input_invoice[[#This Row],[tax_iva]]+input_invoice[[#This Row],[tax_irpf]],input_invoice[[#This Row],[net]])</f>
        <v>4267.4639999999999</v>
      </c>
      <c r="H532" s="47">
        <f>input_invoice[[#This Row],[net]]*(MAX(input_invoice[[#This Row],[tax_rate_iva]],0)/100)</f>
        <v>711.24400000000003</v>
      </c>
      <c r="I532" s="47">
        <f>-input_invoice[[#This Row],[net]]*input_invoice[[#This Row],[tax_rate_irpf]]/100</f>
        <v>0</v>
      </c>
      <c r="J532" s="47">
        <v>3556.22</v>
      </c>
      <c r="K532" t="str">
        <f t="shared" si="13"/>
        <v>manufacturing</v>
      </c>
      <c r="L532" s="47">
        <v>20</v>
      </c>
      <c r="M532" s="47"/>
      <c r="N532" t="str">
        <f>VLOOKUP(input_invoice[[#This Row],[concept/supplier]],'sel-invoice'!D:E,2,0)</f>
        <v>MB Editions</v>
      </c>
      <c r="O532" t="str">
        <f>VLOOKUP(input_invoice[[#This Row],[concept/supplier]],'sel-invoice'!D:F,3,0)</f>
        <v>SL</v>
      </c>
      <c r="P532" t="str">
        <f>IF(input_invoice[[#This Row],[entity]]="SL","EUR",IF(input_invoice[[#This Row],[entity]]="Ltd","GBP",IF(input_invoice[[#This Row],[entity]]="Inc","USD","XXX")))</f>
        <v>EUR</v>
      </c>
      <c r="Q532" s="183"/>
    </row>
    <row r="533" spans="1:18" hidden="1" x14ac:dyDescent="0.3">
      <c r="A533">
        <v>202506</v>
      </c>
      <c r="B533" s="22" t="s">
        <v>917</v>
      </c>
      <c r="F533" t="s">
        <v>129</v>
      </c>
      <c r="G533" s="47">
        <f>MAX(+input_invoice[[#This Row],[net]]+input_invoice[[#This Row],[tax_iva]]+input_invoice[[#This Row],[tax_irpf]],input_invoice[[#This Row],[net]])</f>
        <v>23.716000000000001</v>
      </c>
      <c r="H533" s="47">
        <f>input_invoice[[#This Row],[net]]*(MAX(input_invoice[[#This Row],[tax_rate_iva]],0)/100)</f>
        <v>4.1160000000000005</v>
      </c>
      <c r="I533" s="47">
        <f>-input_invoice[[#This Row],[net]]*input_invoice[[#This Row],[tax_rate_irpf]]/100</f>
        <v>0</v>
      </c>
      <c r="J533" s="47">
        <v>19.600000000000001</v>
      </c>
      <c r="K533" t="str">
        <f t="shared" si="13"/>
        <v>it</v>
      </c>
      <c r="L533">
        <v>21</v>
      </c>
      <c r="N533" t="str">
        <f>VLOOKUP(input_invoice[[#This Row],[concept/supplier]],'sel-invoice'!D:E,2,0)</f>
        <v>Microsoft</v>
      </c>
      <c r="O533" t="str">
        <f>VLOOKUP(input_invoice[[#This Row],[concept/supplier]],'sel-invoice'!D:F,3,0)</f>
        <v>SL</v>
      </c>
      <c r="P533" t="str">
        <f>IF(input_invoice[[#This Row],[entity]]="SL","EUR",IF(input_invoice[[#This Row],[entity]]="Ltd","GBP",IF(input_invoice[[#This Row],[entity]]="Inc","USD","XXX")))</f>
        <v>EUR</v>
      </c>
    </row>
    <row r="534" spans="1:18" hidden="1" x14ac:dyDescent="0.3">
      <c r="A534">
        <v>202506</v>
      </c>
      <c r="B534" s="22" t="s">
        <v>917</v>
      </c>
      <c r="F534" t="s">
        <v>129</v>
      </c>
      <c r="G534" s="47">
        <f>MAX(+input_invoice[[#This Row],[net]]+input_invoice[[#This Row],[tax_iva]]+input_invoice[[#This Row],[tax_irpf]],input_invoice[[#This Row],[net]])</f>
        <v>34.122</v>
      </c>
      <c r="H534" s="47">
        <f>input_invoice[[#This Row],[net]]*(MAX(input_invoice[[#This Row],[tax_rate_iva]],0)/100)</f>
        <v>5.9219999999999997</v>
      </c>
      <c r="I534" s="47">
        <f>-input_invoice[[#This Row],[net]]*input_invoice[[#This Row],[tax_rate_irpf]]/100</f>
        <v>0</v>
      </c>
      <c r="J534" s="47">
        <v>28.2</v>
      </c>
      <c r="K534" t="str">
        <f t="shared" si="13"/>
        <v>it</v>
      </c>
      <c r="L534">
        <v>21</v>
      </c>
      <c r="N534" t="str">
        <f>VLOOKUP(input_invoice[[#This Row],[concept/supplier]],'sel-invoice'!D:E,2,0)</f>
        <v>Microsoft</v>
      </c>
      <c r="O534" t="str">
        <f>VLOOKUP(input_invoice[[#This Row],[concept/supplier]],'sel-invoice'!D:F,3,0)</f>
        <v>SL</v>
      </c>
      <c r="P534" t="str">
        <f>IF(input_invoice[[#This Row],[entity]]="SL","EUR",IF(input_invoice[[#This Row],[entity]]="Ltd","GBP",IF(input_invoice[[#This Row],[entity]]="Inc","USD","XXX")))</f>
        <v>EUR</v>
      </c>
    </row>
    <row r="535" spans="1:18" hidden="1" x14ac:dyDescent="0.3">
      <c r="A535">
        <v>202506</v>
      </c>
      <c r="B535" s="22" t="s">
        <v>917</v>
      </c>
      <c r="F535" t="s">
        <v>41</v>
      </c>
      <c r="G535" s="47">
        <f>MAX(+input_invoice[[#This Row],[net]]+input_invoice[[#This Row],[tax_iva]]+input_invoice[[#This Row],[tax_irpf]],input_invoice[[#This Row],[net]])</f>
        <v>2552.8701000000001</v>
      </c>
      <c r="H535" s="47">
        <f>input_invoice[[#This Row],[net]]*(MAX(input_invoice[[#This Row],[tax_rate_iva]],0)/100)</f>
        <v>443.06009999999998</v>
      </c>
      <c r="I535" s="47">
        <f>-input_invoice[[#This Row],[net]]*input_invoice[[#This Row],[tax_rate_irpf]]/100</f>
        <v>0</v>
      </c>
      <c r="J535" s="47">
        <v>2109.81</v>
      </c>
      <c r="K535" t="str">
        <f t="shared" ref="K535:K598" si="14">_xlfn.TEXTBEFORE(F535," - ")</f>
        <v>manufacturing</v>
      </c>
      <c r="L535">
        <v>21</v>
      </c>
      <c r="N535" t="str">
        <f>VLOOKUP(input_invoice[[#This Row],[concept/supplier]],'sel-invoice'!D:E,2,0)</f>
        <v>Pressing</v>
      </c>
      <c r="O535" t="str">
        <f>VLOOKUP(input_invoice[[#This Row],[concept/supplier]],'sel-invoice'!D:F,3,0)</f>
        <v>SL</v>
      </c>
      <c r="P535" t="str">
        <f>IF(input_invoice[[#This Row],[entity]]="SL","EUR",IF(input_invoice[[#This Row],[entity]]="Ltd","GBP",IF(input_invoice[[#This Row],[entity]]="Inc","USD","XXX")))</f>
        <v>EUR</v>
      </c>
    </row>
    <row r="536" spans="1:18" hidden="1" x14ac:dyDescent="0.3">
      <c r="A536">
        <v>202506</v>
      </c>
      <c r="B536" s="22" t="s">
        <v>917</v>
      </c>
      <c r="C536" s="48">
        <v>6026805</v>
      </c>
      <c r="D536" s="43">
        <v>45838</v>
      </c>
      <c r="F536" t="s">
        <v>182</v>
      </c>
      <c r="G536" s="47">
        <f>MAX(+input_invoice[[#This Row],[net]]+input_invoice[[#This Row],[tax_iva]]+input_invoice[[#This Row],[tax_irpf]],input_invoice[[#This Row],[net]])</f>
        <v>6583.5479999999998</v>
      </c>
      <c r="H536" s="47">
        <f>input_invoice[[#This Row],[net]]*(MAX(input_invoice[[#This Row],[tax_rate_iva]],0)/100)</f>
        <v>1097.258</v>
      </c>
      <c r="I536" s="47">
        <f>-input_invoice[[#This Row],[net]]*input_invoice[[#This Row],[tax_rate_irpf]]/100</f>
        <v>0</v>
      </c>
      <c r="J536" s="47">
        <v>5486.29</v>
      </c>
      <c r="K536" t="str">
        <f t="shared" si="14"/>
        <v>manufacturing</v>
      </c>
      <c r="L536">
        <v>20</v>
      </c>
      <c r="N536" t="str">
        <f>VLOOKUP(input_invoice[[#This Row],[concept/supplier]],'sel-invoice'!D:E,2,0)</f>
        <v>Proco</v>
      </c>
      <c r="O536" t="str">
        <f>VLOOKUP(input_invoice[[#This Row],[concept/supplier]],'sel-invoice'!D:F,3,0)</f>
        <v>Ltd</v>
      </c>
      <c r="P536" t="str">
        <f>IF(input_invoice[[#This Row],[entity]]="SL","EUR",IF(input_invoice[[#This Row],[entity]]="Ltd","GBP",IF(input_invoice[[#This Row],[entity]]="Inc","USD","XXX")))</f>
        <v>GBP</v>
      </c>
    </row>
    <row r="537" spans="1:18" hidden="1" x14ac:dyDescent="0.3">
      <c r="A537">
        <v>202506</v>
      </c>
      <c r="B537" s="22" t="s">
        <v>917</v>
      </c>
      <c r="C537" s="48">
        <v>6026805</v>
      </c>
      <c r="D537" s="43">
        <v>45838</v>
      </c>
      <c r="F537" t="s">
        <v>194</v>
      </c>
      <c r="G537" s="47">
        <f>MAX(+input_invoice[[#This Row],[net]]+input_invoice[[#This Row],[tax_iva]]+input_invoice[[#This Row],[tax_irpf]],input_invoice[[#This Row],[net]])</f>
        <v>812.16</v>
      </c>
      <c r="H537" s="47">
        <f>input_invoice[[#This Row],[net]]*(MAX(input_invoice[[#This Row],[tax_rate_iva]],0)/100)</f>
        <v>135.35999999999999</v>
      </c>
      <c r="I537" s="47">
        <f>-input_invoice[[#This Row],[net]]*input_invoice[[#This Row],[tax_rate_irpf]]/100</f>
        <v>0</v>
      </c>
      <c r="J537" s="47">
        <v>676.8</v>
      </c>
      <c r="K537" t="str">
        <f t="shared" si="14"/>
        <v>logistics</v>
      </c>
      <c r="L537">
        <v>20</v>
      </c>
      <c r="N537" t="str">
        <f>VLOOKUP(input_invoice[[#This Row],[concept/supplier]],'sel-invoice'!D:E,2,0)</f>
        <v>Proco</v>
      </c>
      <c r="O537" t="str">
        <f>VLOOKUP(input_invoice[[#This Row],[concept/supplier]],'sel-invoice'!D:F,3,0)</f>
        <v>Ltd</v>
      </c>
      <c r="P537" t="str">
        <f>IF(input_invoice[[#This Row],[entity]]="SL","EUR",IF(input_invoice[[#This Row],[entity]]="Ltd","GBP",IF(input_invoice[[#This Row],[entity]]="Inc","USD","XXX")))</f>
        <v>GBP</v>
      </c>
    </row>
    <row r="538" spans="1:18" hidden="1" x14ac:dyDescent="0.3">
      <c r="A538">
        <v>202506</v>
      </c>
      <c r="B538" s="22" t="s">
        <v>917</v>
      </c>
      <c r="C538" s="48">
        <v>6026805</v>
      </c>
      <c r="D538" s="43">
        <v>45838</v>
      </c>
      <c r="F538" t="s">
        <v>196</v>
      </c>
      <c r="G538" s="47">
        <f>MAX(+input_invoice[[#This Row],[net]]+input_invoice[[#This Row],[tax_iva]]+input_invoice[[#This Row],[tax_irpf]],input_invoice[[#This Row],[net]])</f>
        <v>1644.9839999999999</v>
      </c>
      <c r="H538" s="47">
        <f>input_invoice[[#This Row],[net]]*(MAX(input_invoice[[#This Row],[tax_rate_iva]],0)/100)</f>
        <v>274.16399999999999</v>
      </c>
      <c r="I538" s="47">
        <f>-input_invoice[[#This Row],[net]]*input_invoice[[#This Row],[tax_rate_irpf]]/100</f>
        <v>0</v>
      </c>
      <c r="J538" s="47">
        <v>1370.82</v>
      </c>
      <c r="K538" t="str">
        <f t="shared" si="14"/>
        <v>logistics</v>
      </c>
      <c r="L538">
        <v>20</v>
      </c>
      <c r="N538" t="str">
        <f>VLOOKUP(input_invoice[[#This Row],[concept/supplier]],'sel-invoice'!D:E,2,0)</f>
        <v>Proco</v>
      </c>
      <c r="O538" t="str">
        <f>VLOOKUP(input_invoice[[#This Row],[concept/supplier]],'sel-invoice'!D:F,3,0)</f>
        <v>Ltd</v>
      </c>
      <c r="P538" t="str">
        <f>IF(input_invoice[[#This Row],[entity]]="SL","EUR",IF(input_invoice[[#This Row],[entity]]="Ltd","GBP",IF(input_invoice[[#This Row],[entity]]="Inc","USD","XXX")))</f>
        <v>GBP</v>
      </c>
    </row>
    <row r="539" spans="1:18" hidden="1" x14ac:dyDescent="0.3">
      <c r="A539">
        <v>202506</v>
      </c>
      <c r="B539" s="22" t="s">
        <v>917</v>
      </c>
      <c r="C539" s="48">
        <v>6026805</v>
      </c>
      <c r="D539" s="43">
        <v>45838</v>
      </c>
      <c r="F539" t="s">
        <v>184</v>
      </c>
      <c r="G539" s="47">
        <f>MAX(+input_invoice[[#This Row],[net]]+input_invoice[[#This Row],[tax_iva]]+input_invoice[[#This Row],[tax_irpf]],input_invoice[[#This Row],[net]])</f>
        <v>6174.96</v>
      </c>
      <c r="H539" s="47">
        <f>input_invoice[[#This Row],[net]]*(MAX(input_invoice[[#This Row],[tax_rate_iva]],0)/100)</f>
        <v>1029.1600000000001</v>
      </c>
      <c r="I539" s="47">
        <f>-input_invoice[[#This Row],[net]]*input_invoice[[#This Row],[tax_rate_irpf]]/100</f>
        <v>0</v>
      </c>
      <c r="J539" s="47">
        <v>5145.8</v>
      </c>
      <c r="K539" t="str">
        <f t="shared" si="14"/>
        <v>manufacturing</v>
      </c>
      <c r="L539">
        <v>20</v>
      </c>
      <c r="N539" t="str">
        <f>VLOOKUP(input_invoice[[#This Row],[concept/supplier]],'sel-invoice'!D:E,2,0)</f>
        <v>Proco</v>
      </c>
      <c r="O539" t="str">
        <f>VLOOKUP(input_invoice[[#This Row],[concept/supplier]],'sel-invoice'!D:F,3,0)</f>
        <v>Ltd</v>
      </c>
      <c r="P539" t="str">
        <f>IF(input_invoice[[#This Row],[entity]]="SL","EUR",IF(input_invoice[[#This Row],[entity]]="Ltd","GBP",IF(input_invoice[[#This Row],[entity]]="Inc","USD","XXX")))</f>
        <v>GBP</v>
      </c>
      <c r="R539" s="259" t="b">
        <v>0</v>
      </c>
    </row>
    <row r="540" spans="1:18" hidden="1" x14ac:dyDescent="0.3">
      <c r="A540">
        <v>202506</v>
      </c>
      <c r="B540" s="22" t="s">
        <v>917</v>
      </c>
      <c r="C540" s="48">
        <v>6026805</v>
      </c>
      <c r="D540" s="43">
        <v>45838</v>
      </c>
      <c r="F540" t="s">
        <v>186</v>
      </c>
      <c r="G540" s="47">
        <f>MAX(+input_invoice[[#This Row],[net]]+input_invoice[[#This Row],[tax_iva]]+input_invoice[[#This Row],[tax_irpf]],input_invoice[[#This Row],[net]])</f>
        <v>1620</v>
      </c>
      <c r="H540" s="47">
        <f>input_invoice[[#This Row],[net]]*(MAX(input_invoice[[#This Row],[tax_rate_iva]],0)/100)</f>
        <v>270</v>
      </c>
      <c r="I540" s="47">
        <f>-input_invoice[[#This Row],[net]]*input_invoice[[#This Row],[tax_rate_irpf]]/100</f>
        <v>0</v>
      </c>
      <c r="J540" s="47">
        <v>1350</v>
      </c>
      <c r="K540" t="str">
        <f t="shared" si="14"/>
        <v>manufacturing</v>
      </c>
      <c r="L540">
        <v>20</v>
      </c>
      <c r="N540" t="str">
        <f>VLOOKUP(input_invoice[[#This Row],[concept/supplier]],'sel-invoice'!D:E,2,0)</f>
        <v>Proco</v>
      </c>
      <c r="O540" t="str">
        <f>VLOOKUP(input_invoice[[#This Row],[concept/supplier]],'sel-invoice'!D:F,3,0)</f>
        <v>Ltd</v>
      </c>
      <c r="P540" t="str">
        <f>IF(input_invoice[[#This Row],[entity]]="SL","EUR",IF(input_invoice[[#This Row],[entity]]="Ltd","GBP",IF(input_invoice[[#This Row],[entity]]="Inc","USD","XXX")))</f>
        <v>GBP</v>
      </c>
    </row>
    <row r="541" spans="1:18" hidden="1" x14ac:dyDescent="0.3">
      <c r="A541">
        <v>202506</v>
      </c>
      <c r="B541" s="22" t="s">
        <v>917</v>
      </c>
      <c r="F541" t="s">
        <v>137</v>
      </c>
      <c r="G541" s="47">
        <f>MAX(+input_invoice[[#This Row],[net]]+input_invoice[[#This Row],[tax_iva]]+input_invoice[[#This Row],[tax_irpf]],input_invoice[[#This Row],[net]])</f>
        <v>12.57</v>
      </c>
      <c r="H541" s="47">
        <f>input_invoice[[#This Row],[net]]*(MAX(input_invoice[[#This Row],[tax_rate_iva]],0)/100)</f>
        <v>0</v>
      </c>
      <c r="I541" s="47">
        <f>-input_invoice[[#This Row],[net]]*input_invoice[[#This Row],[tax_rate_irpf]]/100</f>
        <v>0</v>
      </c>
      <c r="J541" s="47">
        <v>12.57</v>
      </c>
      <c r="K541" t="str">
        <f t="shared" si="14"/>
        <v>it</v>
      </c>
      <c r="L541">
        <v>0</v>
      </c>
      <c r="N541" t="str">
        <f>VLOOKUP(input_invoice[[#This Row],[concept/supplier]],'sel-invoice'!D:E,2,0)</f>
        <v>Railway</v>
      </c>
      <c r="O541" t="str">
        <f>VLOOKUP(input_invoice[[#This Row],[concept/supplier]],'sel-invoice'!D:F,3,0)</f>
        <v>SL</v>
      </c>
      <c r="P541" t="str">
        <f>IF(input_invoice[[#This Row],[entity]]="SL","EUR",IF(input_invoice[[#This Row],[entity]]="Ltd","GBP",IF(input_invoice[[#This Row],[entity]]="Inc","USD","XXX")))</f>
        <v>EUR</v>
      </c>
    </row>
    <row r="542" spans="1:18" hidden="1" x14ac:dyDescent="0.3">
      <c r="A542">
        <v>202506</v>
      </c>
      <c r="B542" s="22" t="s">
        <v>917</v>
      </c>
      <c r="F542" t="s">
        <v>137</v>
      </c>
      <c r="G542" s="47">
        <f>MAX(+input_invoice[[#This Row],[net]]+input_invoice[[#This Row],[tax_iva]]+input_invoice[[#This Row],[tax_irpf]],input_invoice[[#This Row],[net]])</f>
        <v>4.57</v>
      </c>
      <c r="H542" s="47">
        <f>input_invoice[[#This Row],[net]]*(MAX(input_invoice[[#This Row],[tax_rate_iva]],0)/100)</f>
        <v>0</v>
      </c>
      <c r="I542" s="47">
        <f>-input_invoice[[#This Row],[net]]*input_invoice[[#This Row],[tax_rate_irpf]]/100</f>
        <v>0</v>
      </c>
      <c r="J542" s="47">
        <v>4.57</v>
      </c>
      <c r="K542" t="str">
        <f t="shared" si="14"/>
        <v>it</v>
      </c>
      <c r="L542">
        <v>0</v>
      </c>
      <c r="N542" t="str">
        <f>VLOOKUP(input_invoice[[#This Row],[concept/supplier]],'sel-invoice'!D:E,2,0)</f>
        <v>Railway</v>
      </c>
      <c r="O542" t="str">
        <f>VLOOKUP(input_invoice[[#This Row],[concept/supplier]],'sel-invoice'!D:F,3,0)</f>
        <v>SL</v>
      </c>
      <c r="P542" t="str">
        <f>IF(input_invoice[[#This Row],[entity]]="SL","EUR",IF(input_invoice[[#This Row],[entity]]="Ltd","GBP",IF(input_invoice[[#This Row],[entity]]="Inc","USD","XXX")))</f>
        <v>EUR</v>
      </c>
    </row>
    <row r="543" spans="1:18" hidden="1" x14ac:dyDescent="0.3">
      <c r="A543">
        <v>202506</v>
      </c>
      <c r="B543" s="22" t="s">
        <v>917</v>
      </c>
      <c r="F543" t="s">
        <v>68</v>
      </c>
      <c r="G543" s="47">
        <f>MAX(+input_invoice[[#This Row],[net]]+input_invoice[[#This Row],[tax_iva]]+input_invoice[[#This Row],[tax_irpf]],input_invoice[[#This Row],[net]])</f>
        <v>0</v>
      </c>
      <c r="H543" s="47">
        <f>input_invoice[[#This Row],[net]]*(MAX(input_invoice[[#This Row],[tax_rate_iva]],0)/100)</f>
        <v>0</v>
      </c>
      <c r="I543" s="47">
        <f>-input_invoice[[#This Row],[net]]*input_invoice[[#This Row],[tax_rate_irpf]]/100</f>
        <v>0</v>
      </c>
      <c r="J543" s="47">
        <v>0</v>
      </c>
      <c r="K543" t="str">
        <f t="shared" si="14"/>
        <v>payment-suppliers</v>
      </c>
      <c r="L543">
        <v>0</v>
      </c>
      <c r="N543" t="str">
        <f>VLOOKUP(input_invoice[[#This Row],[concept/supplier]],'sel-invoice'!D:E,2,0)</f>
        <v>Amazon Pay</v>
      </c>
      <c r="O543" t="str">
        <f>VLOOKUP(input_invoice[[#This Row],[concept/supplier]],'sel-invoice'!D:F,3,0)</f>
        <v>SL</v>
      </c>
      <c r="P543" t="str">
        <f>IF(input_invoice[[#This Row],[entity]]="SL","EUR",IF(input_invoice[[#This Row],[entity]]="Ltd","GBP",IF(input_invoice[[#This Row],[entity]]="Inc","USD","XXX")))</f>
        <v>EUR</v>
      </c>
      <c r="Q543" t="s">
        <v>908</v>
      </c>
    </row>
    <row r="544" spans="1:18" hidden="1" x14ac:dyDescent="0.3">
      <c r="A544">
        <v>202506</v>
      </c>
      <c r="B544" s="22" t="s">
        <v>917</v>
      </c>
      <c r="F544" t="s">
        <v>76</v>
      </c>
      <c r="G544" s="47">
        <f>MAX(+input_invoice[[#This Row],[net]]+input_invoice[[#This Row],[tax_iva]]+input_invoice[[#This Row],[tax_irpf]],input_invoice[[#This Row],[net]])</f>
        <v>0</v>
      </c>
      <c r="H544" s="47">
        <f>input_invoice[[#This Row],[net]]*(MAX(input_invoice[[#This Row],[tax_rate_iva]],0)/100)</f>
        <v>0</v>
      </c>
      <c r="I544" s="47">
        <f>-input_invoice[[#This Row],[net]]*input_invoice[[#This Row],[tax_rate_irpf]]/100</f>
        <v>0</v>
      </c>
      <c r="J544" s="47">
        <v>0</v>
      </c>
      <c r="K544" t="str">
        <f t="shared" si="14"/>
        <v>payment-suppliers</v>
      </c>
      <c r="L544">
        <v>0</v>
      </c>
      <c r="N544" t="str">
        <f>VLOOKUP(input_invoice[[#This Row],[concept/supplier]],'sel-invoice'!D:E,2,0)</f>
        <v>Amazon Seller</v>
      </c>
      <c r="O544" t="str">
        <f>VLOOKUP(input_invoice[[#This Row],[concept/supplier]],'sel-invoice'!D:F,3,0)</f>
        <v>SL</v>
      </c>
      <c r="P544" t="str">
        <f>IF(input_invoice[[#This Row],[entity]]="SL","EUR",IF(input_invoice[[#This Row],[entity]]="Ltd","GBP",IF(input_invoice[[#This Row],[entity]]="Inc","USD","XXX")))</f>
        <v>EUR</v>
      </c>
      <c r="Q544" t="s">
        <v>908</v>
      </c>
    </row>
    <row r="545" spans="1:18" hidden="1" x14ac:dyDescent="0.3">
      <c r="A545">
        <v>202506</v>
      </c>
      <c r="B545" s="22" t="s">
        <v>917</v>
      </c>
      <c r="F545" t="s">
        <v>79</v>
      </c>
      <c r="G545" s="47">
        <f>MAX(+input_invoice[[#This Row],[net]]+input_invoice[[#This Row],[tax_iva]]+input_invoice[[#This Row],[tax_irpf]],input_invoice[[#This Row],[net]])</f>
        <v>0</v>
      </c>
      <c r="H545" s="47">
        <f>input_invoice[[#This Row],[net]]*(MAX(input_invoice[[#This Row],[tax_rate_iva]],0)/100)</f>
        <v>0</v>
      </c>
      <c r="I545" s="47">
        <f>-input_invoice[[#This Row],[net]]*input_invoice[[#This Row],[tax_rate_irpf]]/100</f>
        <v>0</v>
      </c>
      <c r="J545" s="47">
        <v>0</v>
      </c>
      <c r="K545" t="str">
        <f t="shared" si="14"/>
        <v>payment-suppliers</v>
      </c>
      <c r="L545">
        <v>0</v>
      </c>
      <c r="N545" t="str">
        <f>VLOOKUP(input_invoice[[#This Row],[concept/supplier]],'sel-invoice'!D:E,2,0)</f>
        <v>Home24</v>
      </c>
      <c r="O545" t="str">
        <f>VLOOKUP(input_invoice[[#This Row],[concept/supplier]],'sel-invoice'!D:F,3,0)</f>
        <v>SL</v>
      </c>
      <c r="P545" t="str">
        <f>IF(input_invoice[[#This Row],[entity]]="SL","EUR",IF(input_invoice[[#This Row],[entity]]="Ltd","GBP",IF(input_invoice[[#This Row],[entity]]="Inc","USD","XXX")))</f>
        <v>EUR</v>
      </c>
      <c r="Q545" t="s">
        <v>908</v>
      </c>
    </row>
    <row r="546" spans="1:18" hidden="1" x14ac:dyDescent="0.3">
      <c r="A546">
        <v>202506</v>
      </c>
      <c r="B546" s="22" t="s">
        <v>917</v>
      </c>
      <c r="F546" t="s">
        <v>70</v>
      </c>
      <c r="G546" s="47">
        <f>MAX(+input_invoice[[#This Row],[net]]+input_invoice[[#This Row],[tax_iva]]+input_invoice[[#This Row],[tax_irpf]],input_invoice[[#This Row],[net]])</f>
        <v>43.04</v>
      </c>
      <c r="H546" s="47">
        <f>input_invoice[[#This Row],[net]]*(MAX(input_invoice[[#This Row],[tax_rate_iva]],0)/100)</f>
        <v>0</v>
      </c>
      <c r="I546" s="47">
        <f>-input_invoice[[#This Row],[net]]*input_invoice[[#This Row],[tax_rate_irpf]]/100</f>
        <v>0</v>
      </c>
      <c r="J546" s="47">
        <v>43.04</v>
      </c>
      <c r="K546" t="str">
        <f t="shared" si="14"/>
        <v>payment-suppliers</v>
      </c>
      <c r="L546">
        <v>0</v>
      </c>
      <c r="N546" t="str">
        <f>VLOOKUP(input_invoice[[#This Row],[concept/supplier]],'sel-invoice'!D:E,2,0)</f>
        <v>Klarna</v>
      </c>
      <c r="O546" t="str">
        <f>VLOOKUP(input_invoice[[#This Row],[concept/supplier]],'sel-invoice'!D:F,3,0)</f>
        <v>SL</v>
      </c>
      <c r="P546" t="str">
        <f>IF(input_invoice[[#This Row],[entity]]="SL","EUR",IF(input_invoice[[#This Row],[entity]]="Ltd","GBP",IF(input_invoice[[#This Row],[entity]]="Inc","USD","XXX")))</f>
        <v>EUR</v>
      </c>
      <c r="Q546" t="s">
        <v>908</v>
      </c>
    </row>
    <row r="547" spans="1:18" hidden="1" x14ac:dyDescent="0.3">
      <c r="A547">
        <v>202506</v>
      </c>
      <c r="B547" s="22" t="s">
        <v>917</v>
      </c>
      <c r="F547" t="s">
        <v>78</v>
      </c>
      <c r="G547" s="47">
        <f>MAX(+input_invoice[[#This Row],[net]]+input_invoice[[#This Row],[tax_iva]]+input_invoice[[#This Row],[tax_irpf]],input_invoice[[#This Row],[net]])</f>
        <v>0</v>
      </c>
      <c r="H547" s="47">
        <f>input_invoice[[#This Row],[net]]*(MAX(input_invoice[[#This Row],[tax_rate_iva]],0)/100)</f>
        <v>0</v>
      </c>
      <c r="I547" s="47">
        <f>-input_invoice[[#This Row],[net]]*input_invoice[[#This Row],[tax_rate_irpf]]/100</f>
        <v>0</v>
      </c>
      <c r="J547" s="47">
        <v>0</v>
      </c>
      <c r="K547" t="str">
        <f t="shared" si="14"/>
        <v>payment-suppliers</v>
      </c>
      <c r="L547">
        <v>0</v>
      </c>
      <c r="N547" t="str">
        <f>VLOOKUP(input_invoice[[#This Row],[concept/supplier]],'sel-invoice'!D:E,2,0)</f>
        <v>Leroy Merlin</v>
      </c>
      <c r="O547" t="str">
        <f>VLOOKUP(input_invoice[[#This Row],[concept/supplier]],'sel-invoice'!D:F,3,0)</f>
        <v>SL</v>
      </c>
      <c r="P547" t="str">
        <f>IF(input_invoice[[#This Row],[entity]]="SL","EUR",IF(input_invoice[[#This Row],[entity]]="Ltd","GBP",IF(input_invoice[[#This Row],[entity]]="Inc","USD","XXX")))</f>
        <v>EUR</v>
      </c>
      <c r="Q547" t="s">
        <v>908</v>
      </c>
    </row>
    <row r="548" spans="1:18" hidden="1" x14ac:dyDescent="0.3">
      <c r="A548">
        <v>202506</v>
      </c>
      <c r="B548" s="22" t="s">
        <v>917</v>
      </c>
      <c r="F548" t="s">
        <v>77</v>
      </c>
      <c r="G548" s="47">
        <f>MAX(+input_invoice[[#This Row],[net]]+input_invoice[[#This Row],[tax_iva]]+input_invoice[[#This Row],[tax_irpf]],input_invoice[[#This Row],[net]])</f>
        <v>0</v>
      </c>
      <c r="H548" s="47">
        <f>input_invoice[[#This Row],[net]]*(MAX(input_invoice[[#This Row],[tax_rate_iva]],0)/100)</f>
        <v>0</v>
      </c>
      <c r="I548" s="47">
        <f>-input_invoice[[#This Row],[net]]*input_invoice[[#This Row],[tax_rate_irpf]]/100</f>
        <v>0</v>
      </c>
      <c r="J548" s="47">
        <v>0</v>
      </c>
      <c r="K548" t="str">
        <f t="shared" si="14"/>
        <v>payment-suppliers</v>
      </c>
      <c r="L548">
        <v>0</v>
      </c>
      <c r="N548" t="str">
        <f>VLOOKUP(input_invoice[[#This Row],[concept/supplier]],'sel-invoice'!D:E,2,0)</f>
        <v>Maisons du Monde</v>
      </c>
      <c r="O548" t="str">
        <f>VLOOKUP(input_invoice[[#This Row],[concept/supplier]],'sel-invoice'!D:F,3,0)</f>
        <v>SL</v>
      </c>
      <c r="P548" t="str">
        <f>IF(input_invoice[[#This Row],[entity]]="SL","EUR",IF(input_invoice[[#This Row],[entity]]="Ltd","GBP",IF(input_invoice[[#This Row],[entity]]="Inc","USD","XXX")))</f>
        <v>EUR</v>
      </c>
      <c r="Q548" t="s">
        <v>908</v>
      </c>
    </row>
    <row r="549" spans="1:18" hidden="1" x14ac:dyDescent="0.3">
      <c r="A549">
        <v>202506</v>
      </c>
      <c r="B549" s="22" t="s">
        <v>917</v>
      </c>
      <c r="F549" t="s">
        <v>66</v>
      </c>
      <c r="G549" s="47">
        <f>MAX(+input_invoice[[#This Row],[net]]+input_invoice[[#This Row],[tax_iva]]+input_invoice[[#This Row],[tax_irpf]],input_invoice[[#This Row],[net]])</f>
        <v>1105.57</v>
      </c>
      <c r="H549" s="47">
        <f>input_invoice[[#This Row],[net]]*(MAX(input_invoice[[#This Row],[tax_rate_iva]],0)/100)</f>
        <v>0</v>
      </c>
      <c r="I549" s="47">
        <f>-input_invoice[[#This Row],[net]]*input_invoice[[#This Row],[tax_rate_irpf]]/100</f>
        <v>0</v>
      </c>
      <c r="J549" s="47">
        <v>1105.57</v>
      </c>
      <c r="K549" t="str">
        <f t="shared" si="14"/>
        <v>payment-suppliers</v>
      </c>
      <c r="L549">
        <v>0</v>
      </c>
      <c r="N549" t="str">
        <f>VLOOKUP(input_invoice[[#This Row],[concept/supplier]],'sel-invoice'!D:E,2,0)</f>
        <v>Paypal</v>
      </c>
      <c r="O549" t="str">
        <f>VLOOKUP(input_invoice[[#This Row],[concept/supplier]],'sel-invoice'!D:F,3,0)</f>
        <v>SL</v>
      </c>
      <c r="P549" t="str">
        <f>IF(input_invoice[[#This Row],[entity]]="SL","EUR",IF(input_invoice[[#This Row],[entity]]="Ltd","GBP",IF(input_invoice[[#This Row],[entity]]="Inc","USD","XXX")))</f>
        <v>EUR</v>
      </c>
      <c r="Q549" t="s">
        <v>908</v>
      </c>
    </row>
    <row r="550" spans="1:18" hidden="1" x14ac:dyDescent="0.3">
      <c r="A550">
        <v>202506</v>
      </c>
      <c r="B550" s="22" t="s">
        <v>917</v>
      </c>
      <c r="F550" t="s">
        <v>72</v>
      </c>
      <c r="G550" s="47">
        <f>MAX(+input_invoice[[#This Row],[net]]+input_invoice[[#This Row],[tax_iva]]+input_invoice[[#This Row],[tax_irpf]],input_invoice[[#This Row],[net]])</f>
        <v>0</v>
      </c>
      <c r="H550" s="47">
        <f>input_invoice[[#This Row],[net]]*(MAX(input_invoice[[#This Row],[tax_rate_iva]],0)/100)</f>
        <v>0</v>
      </c>
      <c r="I550" s="47">
        <f>-input_invoice[[#This Row],[net]]*input_invoice[[#This Row],[tax_rate_irpf]]/100</f>
        <v>0</v>
      </c>
      <c r="J550" s="47">
        <v>0</v>
      </c>
      <c r="K550" t="str">
        <f t="shared" si="14"/>
        <v>payment-suppliers</v>
      </c>
      <c r="L550">
        <v>0</v>
      </c>
      <c r="N550" t="str">
        <f>VLOOKUP(input_invoice[[#This Row],[concept/supplier]],'sel-invoice'!D:E,2,0)</f>
        <v>Revolut</v>
      </c>
      <c r="O550" t="str">
        <f>VLOOKUP(input_invoice[[#This Row],[concept/supplier]],'sel-invoice'!D:F,3,0)</f>
        <v>SL</v>
      </c>
      <c r="P550" t="str">
        <f>IF(input_invoice[[#This Row],[entity]]="SL","EUR",IF(input_invoice[[#This Row],[entity]]="Ltd","GBP",IF(input_invoice[[#This Row],[entity]]="Inc","USD","XXX")))</f>
        <v>EUR</v>
      </c>
      <c r="Q550" t="s">
        <v>908</v>
      </c>
    </row>
    <row r="551" spans="1:18" hidden="1" x14ac:dyDescent="0.3">
      <c r="A551">
        <v>202506</v>
      </c>
      <c r="B551" s="22" t="s">
        <v>917</v>
      </c>
      <c r="F551" t="s">
        <v>74</v>
      </c>
      <c r="G551" s="47">
        <f>MAX(+input_invoice[[#This Row],[net]]+input_invoice[[#This Row],[tax_iva]]+input_invoice[[#This Row],[tax_irpf]],input_invoice[[#This Row],[net]])</f>
        <v>0</v>
      </c>
      <c r="H551" s="47">
        <f>input_invoice[[#This Row],[net]]*(MAX(input_invoice[[#This Row],[tax_rate_iva]],0)/100)</f>
        <v>0</v>
      </c>
      <c r="I551" s="47">
        <f>-input_invoice[[#This Row],[net]]*input_invoice[[#This Row],[tax_rate_irpf]]/100</f>
        <v>0</v>
      </c>
      <c r="J551" s="47">
        <v>0</v>
      </c>
      <c r="K551" t="str">
        <f t="shared" si="14"/>
        <v>payment-suppliers</v>
      </c>
      <c r="L551">
        <v>0</v>
      </c>
      <c r="N551" t="str">
        <f>VLOOKUP(input_invoice[[#This Row],[concept/supplier]],'sel-invoice'!D:E,2,0)</f>
        <v>SeQura</v>
      </c>
      <c r="O551" t="str">
        <f>VLOOKUP(input_invoice[[#This Row],[concept/supplier]],'sel-invoice'!D:F,3,0)</f>
        <v>SL</v>
      </c>
      <c r="P551" t="str">
        <f>IF(input_invoice[[#This Row],[entity]]="SL","EUR",IF(input_invoice[[#This Row],[entity]]="Ltd","GBP",IF(input_invoice[[#This Row],[entity]]="Inc","USD","XXX")))</f>
        <v>EUR</v>
      </c>
      <c r="Q551" t="s">
        <v>908</v>
      </c>
    </row>
    <row r="552" spans="1:18" hidden="1" x14ac:dyDescent="0.3">
      <c r="A552">
        <v>202506</v>
      </c>
      <c r="B552" s="22" t="s">
        <v>917</v>
      </c>
      <c r="F552" t="s">
        <v>65</v>
      </c>
      <c r="G552" s="47">
        <f>MAX(+input_invoice[[#This Row],[net]]+input_invoice[[#This Row],[tax_iva]]+input_invoice[[#This Row],[tax_irpf]],input_invoice[[#This Row],[net]])</f>
        <v>2073.13</v>
      </c>
      <c r="H552" s="47">
        <f>input_invoice[[#This Row],[net]]*(MAX(input_invoice[[#This Row],[tax_rate_iva]],0)/100)</f>
        <v>0</v>
      </c>
      <c r="I552" s="47">
        <f>-input_invoice[[#This Row],[net]]*input_invoice[[#This Row],[tax_rate_irpf]]/100</f>
        <v>0</v>
      </c>
      <c r="J552" s="47">
        <v>2073.13</v>
      </c>
      <c r="K552" t="str">
        <f t="shared" si="14"/>
        <v>payment-suppliers</v>
      </c>
      <c r="L552">
        <v>0</v>
      </c>
      <c r="N552" t="str">
        <f>VLOOKUP(input_invoice[[#This Row],[concept/supplier]],'sel-invoice'!D:E,2,0)</f>
        <v>Shopify</v>
      </c>
      <c r="O552" t="str">
        <f>VLOOKUP(input_invoice[[#This Row],[concept/supplier]],'sel-invoice'!D:F,3,0)</f>
        <v>SL</v>
      </c>
      <c r="P552" t="str">
        <f>IF(input_invoice[[#This Row],[entity]]="SL","EUR",IF(input_invoice[[#This Row],[entity]]="Ltd","GBP",IF(input_invoice[[#This Row],[entity]]="Inc","USD","XXX")))</f>
        <v>EUR</v>
      </c>
      <c r="Q552" t="s">
        <v>908</v>
      </c>
      <c r="R552" s="267" t="b">
        <v>1</v>
      </c>
    </row>
    <row r="553" spans="1:18" hidden="1" x14ac:dyDescent="0.3">
      <c r="A553">
        <v>202506</v>
      </c>
      <c r="B553" s="22" t="s">
        <v>917</v>
      </c>
      <c r="F553" t="s">
        <v>122</v>
      </c>
      <c r="G553" s="47">
        <f>MAX(+input_invoice[[#This Row],[net]]+input_invoice[[#This Row],[tax_iva]]+input_invoice[[#This Row],[tax_irpf]],input_invoice[[#This Row],[net]])</f>
        <v>56.05</v>
      </c>
      <c r="H553" s="47">
        <f>input_invoice[[#This Row],[net]]*(MAX(input_invoice[[#This Row],[tax_rate_iva]],0)/100)</f>
        <v>0</v>
      </c>
      <c r="I553" s="47">
        <f>-input_invoice[[#This Row],[net]]*input_invoice[[#This Row],[tax_rate_irpf]]/100</f>
        <v>0</v>
      </c>
      <c r="J553" s="47">
        <v>56.05</v>
      </c>
      <c r="K553" t="str">
        <f t="shared" si="14"/>
        <v>it</v>
      </c>
      <c r="L553">
        <v>0</v>
      </c>
      <c r="N553" t="str">
        <f>VLOOKUP(input_invoice[[#This Row],[concept/supplier]],'sel-invoice'!D:E,2,0)</f>
        <v>Shopify</v>
      </c>
      <c r="O553" t="str">
        <f>VLOOKUP(input_invoice[[#This Row],[concept/supplier]],'sel-invoice'!D:F,3,0)</f>
        <v>SL</v>
      </c>
      <c r="P553" t="str">
        <f>IF(input_invoice[[#This Row],[entity]]="SL","EUR",IF(input_invoice[[#This Row],[entity]]="Ltd","GBP",IF(input_invoice[[#This Row],[entity]]="Inc","USD","XXX")))</f>
        <v>EUR</v>
      </c>
      <c r="R553" s="259" t="b">
        <v>1</v>
      </c>
    </row>
    <row r="554" spans="1:18" hidden="1" x14ac:dyDescent="0.3">
      <c r="A554">
        <v>202507</v>
      </c>
      <c r="B554" s="22" t="s">
        <v>917</v>
      </c>
      <c r="F554" t="s">
        <v>122</v>
      </c>
      <c r="G554" s="47">
        <f>MAX(+input_invoice[[#This Row],[net]]+input_invoice[[#This Row],[tax_iva]]+input_invoice[[#This Row],[tax_irpf]],input_invoice[[#This Row],[net]])</f>
        <v>2421.3000000000002</v>
      </c>
      <c r="H554" s="47">
        <f>input_invoice[[#This Row],[net]]*(MAX(input_invoice[[#This Row],[tax_rate_iva]],0)/100)</f>
        <v>0</v>
      </c>
      <c r="I554" s="47">
        <f>-input_invoice[[#This Row],[net]]*input_invoice[[#This Row],[tax_rate_irpf]]/100</f>
        <v>0</v>
      </c>
      <c r="J554" s="47">
        <v>2421.3000000000002</v>
      </c>
      <c r="K554" t="str">
        <f t="shared" si="14"/>
        <v>it</v>
      </c>
      <c r="L554">
        <v>0</v>
      </c>
      <c r="N554" t="str">
        <f>VLOOKUP(input_invoice[[#This Row],[concept/supplier]],'sel-invoice'!D:E,2,0)</f>
        <v>Shopify</v>
      </c>
      <c r="O554" t="str">
        <f>VLOOKUP(input_invoice[[#This Row],[concept/supplier]],'sel-invoice'!D:F,3,0)</f>
        <v>SL</v>
      </c>
      <c r="P554" t="str">
        <f>IF(input_invoice[[#This Row],[entity]]="SL","EUR",IF(input_invoice[[#This Row],[entity]]="Ltd","GBP",IF(input_invoice[[#This Row],[entity]]="Inc","USD","XXX")))</f>
        <v>EUR</v>
      </c>
      <c r="R554" s="259" t="b">
        <v>1</v>
      </c>
    </row>
    <row r="555" spans="1:18" hidden="1" x14ac:dyDescent="0.3">
      <c r="A555">
        <v>202506</v>
      </c>
      <c r="B555" s="22" t="s">
        <v>917</v>
      </c>
      <c r="F555" s="24" t="s">
        <v>55</v>
      </c>
      <c r="G555" s="47">
        <f>MAX(+input_invoice[[#This Row],[net]]+input_invoice[[#This Row],[tax_iva]]+input_invoice[[#This Row],[tax_irpf]],input_invoice[[#This Row],[net]])</f>
        <v>472.94</v>
      </c>
      <c r="H555" s="47">
        <f>input_invoice[[#This Row],[net]]*(MAX(input_invoice[[#This Row],[tax_rate_iva]],0)/100)</f>
        <v>0</v>
      </c>
      <c r="I555" s="47">
        <f>-input_invoice[[#This Row],[net]]*input_invoice[[#This Row],[tax_rate_irpf]]/100</f>
        <v>0</v>
      </c>
      <c r="J555" s="47">
        <v>472.94</v>
      </c>
      <c r="K555" t="str">
        <f t="shared" si="14"/>
        <v>logistics</v>
      </c>
      <c r="L555">
        <v>0</v>
      </c>
      <c r="N555" t="str">
        <f>VLOOKUP(input_invoice[[#This Row],[concept/supplier]],'sel-invoice'!D:E,2,0)</f>
        <v>UPS DE</v>
      </c>
      <c r="O555" t="str">
        <f>VLOOKUP(input_invoice[[#This Row],[concept/supplier]],'sel-invoice'!D:F,3,0)</f>
        <v>SL</v>
      </c>
      <c r="P555" t="str">
        <f>IF(input_invoice[[#This Row],[entity]]="SL","EUR",IF(input_invoice[[#This Row],[entity]]="Ltd","GBP",IF(input_invoice[[#This Row],[entity]]="Inc","USD","XXX")))</f>
        <v>EUR</v>
      </c>
      <c r="R555" s="259" t="b">
        <v>0</v>
      </c>
    </row>
    <row r="556" spans="1:18" hidden="1" x14ac:dyDescent="0.3">
      <c r="A556">
        <v>202506</v>
      </c>
      <c r="B556" s="22" t="s">
        <v>917</v>
      </c>
      <c r="F556" s="24" t="s">
        <v>55</v>
      </c>
      <c r="G556" s="47">
        <f>MAX(+input_invoice[[#This Row],[net]]+input_invoice[[#This Row],[tax_iva]]+input_invoice[[#This Row],[tax_irpf]],input_invoice[[#This Row],[net]])</f>
        <v>433.83</v>
      </c>
      <c r="H556" s="47">
        <f>input_invoice[[#This Row],[net]]*(MAX(input_invoice[[#This Row],[tax_rate_iva]],0)/100)</f>
        <v>0</v>
      </c>
      <c r="I556" s="47">
        <f>-input_invoice[[#This Row],[net]]*input_invoice[[#This Row],[tax_rate_irpf]]/100</f>
        <v>0</v>
      </c>
      <c r="J556" s="47">
        <v>433.83</v>
      </c>
      <c r="K556" t="str">
        <f t="shared" si="14"/>
        <v>logistics</v>
      </c>
      <c r="L556">
        <v>0</v>
      </c>
      <c r="N556" t="str">
        <f>VLOOKUP(input_invoice[[#This Row],[concept/supplier]],'sel-invoice'!D:E,2,0)</f>
        <v>UPS DE</v>
      </c>
      <c r="O556" t="str">
        <f>VLOOKUP(input_invoice[[#This Row],[concept/supplier]],'sel-invoice'!D:F,3,0)</f>
        <v>SL</v>
      </c>
      <c r="P556" t="str">
        <f>IF(input_invoice[[#This Row],[entity]]="SL","EUR",IF(input_invoice[[#This Row],[entity]]="Ltd","GBP",IF(input_invoice[[#This Row],[entity]]="Inc","USD","XXX")))</f>
        <v>EUR</v>
      </c>
      <c r="R556" s="259" t="b">
        <v>0</v>
      </c>
    </row>
    <row r="557" spans="1:18" hidden="1" x14ac:dyDescent="0.3">
      <c r="A557">
        <v>202506</v>
      </c>
      <c r="B557" s="22" t="s">
        <v>917</v>
      </c>
      <c r="F557" s="24" t="s">
        <v>55</v>
      </c>
      <c r="G557" s="47">
        <f>MAX(+input_invoice[[#This Row],[net]]+input_invoice[[#This Row],[tax_iva]]+input_invoice[[#This Row],[tax_irpf]],input_invoice[[#This Row],[net]])</f>
        <v>362.89</v>
      </c>
      <c r="H557" s="47">
        <f>input_invoice[[#This Row],[net]]*(MAX(input_invoice[[#This Row],[tax_rate_iva]],0)/100)</f>
        <v>0</v>
      </c>
      <c r="I557" s="47">
        <f>-input_invoice[[#This Row],[net]]*input_invoice[[#This Row],[tax_rate_irpf]]/100</f>
        <v>0</v>
      </c>
      <c r="J557" s="47">
        <v>362.89</v>
      </c>
      <c r="K557" t="str">
        <f t="shared" si="14"/>
        <v>logistics</v>
      </c>
      <c r="L557">
        <v>0</v>
      </c>
      <c r="N557" t="str">
        <f>VLOOKUP(input_invoice[[#This Row],[concept/supplier]],'sel-invoice'!D:E,2,0)</f>
        <v>UPS DE</v>
      </c>
      <c r="O557" t="str">
        <f>VLOOKUP(input_invoice[[#This Row],[concept/supplier]],'sel-invoice'!D:F,3,0)</f>
        <v>SL</v>
      </c>
      <c r="P557" t="str">
        <f>IF(input_invoice[[#This Row],[entity]]="SL","EUR",IF(input_invoice[[#This Row],[entity]]="Ltd","GBP",IF(input_invoice[[#This Row],[entity]]="Inc","USD","XXX")))</f>
        <v>EUR</v>
      </c>
      <c r="R557" s="259" t="b">
        <v>0</v>
      </c>
    </row>
    <row r="558" spans="1:18" hidden="1" x14ac:dyDescent="0.3">
      <c r="A558">
        <v>202506</v>
      </c>
      <c r="B558" s="22" t="s">
        <v>917</v>
      </c>
      <c r="F558" s="24" t="s">
        <v>55</v>
      </c>
      <c r="G558" s="47">
        <f>MAX(+input_invoice[[#This Row],[net]]+input_invoice[[#This Row],[tax_iva]]+input_invoice[[#This Row],[tax_irpf]],input_invoice[[#This Row],[net]])</f>
        <v>411.9</v>
      </c>
      <c r="H558" s="47">
        <f>input_invoice[[#This Row],[net]]*(MAX(input_invoice[[#This Row],[tax_rate_iva]],0)/100)</f>
        <v>0</v>
      </c>
      <c r="I558" s="47">
        <f>-input_invoice[[#This Row],[net]]*input_invoice[[#This Row],[tax_rate_irpf]]/100</f>
        <v>0</v>
      </c>
      <c r="J558" s="47">
        <v>411.9</v>
      </c>
      <c r="K558" t="str">
        <f t="shared" si="14"/>
        <v>logistics</v>
      </c>
      <c r="L558">
        <v>0</v>
      </c>
      <c r="N558" t="str">
        <f>VLOOKUP(input_invoice[[#This Row],[concept/supplier]],'sel-invoice'!D:E,2,0)</f>
        <v>UPS DE</v>
      </c>
      <c r="O558" t="str">
        <f>VLOOKUP(input_invoice[[#This Row],[concept/supplier]],'sel-invoice'!D:F,3,0)</f>
        <v>SL</v>
      </c>
      <c r="P558" t="str">
        <f>IF(input_invoice[[#This Row],[entity]]="SL","EUR",IF(input_invoice[[#This Row],[entity]]="Ltd","GBP",IF(input_invoice[[#This Row],[entity]]="Inc","USD","XXX")))</f>
        <v>EUR</v>
      </c>
      <c r="R558" s="259" t="b">
        <v>0</v>
      </c>
    </row>
    <row r="559" spans="1:18" hidden="1" x14ac:dyDescent="0.3">
      <c r="A559">
        <v>202506</v>
      </c>
      <c r="B559" s="22" t="s">
        <v>917</v>
      </c>
      <c r="F559" t="s">
        <v>56</v>
      </c>
      <c r="G559" s="47">
        <f>MAX(+input_invoice[[#This Row],[net]]+input_invoice[[#This Row],[tax_iva]]+input_invoice[[#This Row],[tax_irpf]],input_invoice[[#This Row],[net]])</f>
        <v>498.48</v>
      </c>
      <c r="H559" s="47">
        <f>input_invoice[[#This Row],[net]]*(MAX(input_invoice[[#This Row],[tax_rate_iva]],0)/100)</f>
        <v>0</v>
      </c>
      <c r="I559" s="47">
        <f>-input_invoice[[#This Row],[net]]*input_invoice[[#This Row],[tax_rate_irpf]]/100</f>
        <v>0</v>
      </c>
      <c r="J559" s="47">
        <v>498.48</v>
      </c>
      <c r="K559" t="str">
        <f t="shared" si="14"/>
        <v>logistics</v>
      </c>
      <c r="L559">
        <v>0</v>
      </c>
      <c r="N559" t="str">
        <f>VLOOKUP(input_invoice[[#This Row],[concept/supplier]],'sel-invoice'!D:E,2,0)</f>
        <v>UPS FR</v>
      </c>
      <c r="O559" t="str">
        <f>VLOOKUP(input_invoice[[#This Row],[concept/supplier]],'sel-invoice'!D:F,3,0)</f>
        <v>SL</v>
      </c>
      <c r="P559" t="str">
        <f>IF(input_invoice[[#This Row],[entity]]="SL","EUR",IF(input_invoice[[#This Row],[entity]]="Ltd","GBP",IF(input_invoice[[#This Row],[entity]]="Inc","USD","XXX")))</f>
        <v>EUR</v>
      </c>
      <c r="R559" s="259" t="b">
        <v>0</v>
      </c>
    </row>
    <row r="560" spans="1:18" hidden="1" x14ac:dyDescent="0.3">
      <c r="A560">
        <v>202507</v>
      </c>
      <c r="B560" s="22" t="s">
        <v>917</v>
      </c>
      <c r="F560" t="s">
        <v>39</v>
      </c>
      <c r="G560" s="47">
        <f>MAX(+input_invoice[[#This Row],[net]]+input_invoice[[#This Row],[tax_iva]]+input_invoice[[#This Row],[tax_irpf]],input_invoice[[#This Row],[net]])</f>
        <v>72.150100000000009</v>
      </c>
      <c r="H560" s="47">
        <f>input_invoice[[#This Row],[net]]*(MAX(input_invoice[[#This Row],[tax_rate_iva]],0)/100)</f>
        <v>4.7201000000000013</v>
      </c>
      <c r="I560" s="47">
        <f>-input_invoice[[#This Row],[net]]*input_invoice[[#This Row],[tax_rate_irpf]]/100</f>
        <v>0</v>
      </c>
      <c r="J560" s="47">
        <v>67.430000000000007</v>
      </c>
      <c r="K560" t="str">
        <f t="shared" si="14"/>
        <v>manufacturing</v>
      </c>
      <c r="L560">
        <v>7</v>
      </c>
      <c r="N560" t="str">
        <f>VLOOKUP(input_invoice[[#This Row],[concept/supplier]],'sel-invoice'!D:E,2,0)</f>
        <v>Apphoto Canarias</v>
      </c>
      <c r="O560" t="str">
        <f>VLOOKUP(input_invoice[[#This Row],[concept/supplier]],'sel-invoice'!D:F,3,0)</f>
        <v>SL</v>
      </c>
      <c r="P560" t="str">
        <f>IF(input_invoice[[#This Row],[entity]]="SL","EUR",IF(input_invoice[[#This Row],[entity]]="Ltd","GBP",IF(input_invoice[[#This Row],[entity]]="Inc","USD","XXX")))</f>
        <v>EUR</v>
      </c>
    </row>
    <row r="561" spans="1:18" hidden="1" x14ac:dyDescent="0.3">
      <c r="A561">
        <v>202507</v>
      </c>
      <c r="B561" s="22" t="s">
        <v>917</v>
      </c>
      <c r="F561" t="s">
        <v>37</v>
      </c>
      <c r="G561" s="47">
        <f>MAX(+input_invoice[[#This Row],[net]]+input_invoice[[#This Row],[tax_iva]]+input_invoice[[#This Row],[tax_irpf]],input_invoice[[#This Row],[net]])</f>
        <v>9867.8525000000009</v>
      </c>
      <c r="H561" s="47">
        <f>input_invoice[[#This Row],[net]]*(MAX(input_invoice[[#This Row],[tax_rate_iva]],0)/100)</f>
        <v>1712.6025</v>
      </c>
      <c r="I561" s="47">
        <f>-input_invoice[[#This Row],[net]]*input_invoice[[#This Row],[tax_rate_irpf]]/100</f>
        <v>0</v>
      </c>
      <c r="J561" s="47">
        <v>8155.25</v>
      </c>
      <c r="K561" t="str">
        <f t="shared" si="14"/>
        <v>manufacturing</v>
      </c>
      <c r="L561">
        <v>21</v>
      </c>
      <c r="N561" t="str">
        <f>VLOOKUP(input_invoice[[#This Row],[concept/supplier]],'sel-invoice'!D:E,2,0)</f>
        <v>Apphoto España</v>
      </c>
      <c r="O561" t="str">
        <f>VLOOKUP(input_invoice[[#This Row],[concept/supplier]],'sel-invoice'!D:F,3,0)</f>
        <v>SL</v>
      </c>
      <c r="P561" t="str">
        <f>IF(input_invoice[[#This Row],[entity]]="SL","EUR",IF(input_invoice[[#This Row],[entity]]="Ltd","GBP",IF(input_invoice[[#This Row],[entity]]="Inc","USD","XXX")))</f>
        <v>EUR</v>
      </c>
    </row>
    <row r="562" spans="1:18" hidden="1" x14ac:dyDescent="0.3">
      <c r="A562">
        <v>202507</v>
      </c>
      <c r="B562" s="22" t="s">
        <v>917</v>
      </c>
      <c r="F562" t="s">
        <v>37</v>
      </c>
      <c r="G562" s="47">
        <f>MAX(+input_invoice[[#This Row],[net]]+input_invoice[[#This Row],[tax_iva]]+input_invoice[[#This Row],[tax_irpf]],input_invoice[[#This Row],[net]])</f>
        <v>9726.1130999999987</v>
      </c>
      <c r="H562" s="47">
        <f>input_invoice[[#This Row],[net]]*(MAX(input_invoice[[#This Row],[tax_rate_iva]],0)/100)</f>
        <v>1688.0030999999999</v>
      </c>
      <c r="I562" s="47">
        <f>-input_invoice[[#This Row],[net]]*input_invoice[[#This Row],[tax_rate_irpf]]/100</f>
        <v>0</v>
      </c>
      <c r="J562" s="47">
        <v>8038.11</v>
      </c>
      <c r="K562" t="str">
        <f t="shared" si="14"/>
        <v>manufacturing</v>
      </c>
      <c r="L562">
        <v>21</v>
      </c>
      <c r="N562" t="str">
        <f>VLOOKUP(input_invoice[[#This Row],[concept/supplier]],'sel-invoice'!D:E,2,0)</f>
        <v>Apphoto España</v>
      </c>
      <c r="O562" t="str">
        <f>VLOOKUP(input_invoice[[#This Row],[concept/supplier]],'sel-invoice'!D:F,3,0)</f>
        <v>SL</v>
      </c>
      <c r="P562" t="str">
        <f>IF(input_invoice[[#This Row],[entity]]="SL","EUR",IF(input_invoice[[#This Row],[entity]]="Ltd","GBP",IF(input_invoice[[#This Row],[entity]]="Inc","USD","XXX")))</f>
        <v>EUR</v>
      </c>
    </row>
    <row r="563" spans="1:18" hidden="1" x14ac:dyDescent="0.3">
      <c r="A563">
        <v>202507</v>
      </c>
      <c r="B563" s="22" t="s">
        <v>917</v>
      </c>
      <c r="F563" t="s">
        <v>37</v>
      </c>
      <c r="G563" s="47">
        <f>MAX(+input_invoice[[#This Row],[net]]+input_invoice[[#This Row],[tax_iva]]+input_invoice[[#This Row],[tax_irpf]],input_invoice[[#This Row],[net]])</f>
        <v>6367.0684000000001</v>
      </c>
      <c r="H563" s="47">
        <f>input_invoice[[#This Row],[net]]*(MAX(input_invoice[[#This Row],[tax_rate_iva]],0)/100)</f>
        <v>1105.0283999999999</v>
      </c>
      <c r="I563" s="47">
        <f>-input_invoice[[#This Row],[net]]*input_invoice[[#This Row],[tax_rate_irpf]]/100</f>
        <v>0</v>
      </c>
      <c r="J563" s="47">
        <v>5262.04</v>
      </c>
      <c r="K563" t="str">
        <f t="shared" si="14"/>
        <v>manufacturing</v>
      </c>
      <c r="L563">
        <v>21</v>
      </c>
      <c r="N563" t="str">
        <f>VLOOKUP(input_invoice[[#This Row],[concept/supplier]],'sel-invoice'!D:E,2,0)</f>
        <v>Apphoto España</v>
      </c>
      <c r="O563" t="str">
        <f>VLOOKUP(input_invoice[[#This Row],[concept/supplier]],'sel-invoice'!D:F,3,0)</f>
        <v>SL</v>
      </c>
      <c r="P563" t="str">
        <f>IF(input_invoice[[#This Row],[entity]]="SL","EUR",IF(input_invoice[[#This Row],[entity]]="Ltd","GBP",IF(input_invoice[[#This Row],[entity]]="Inc","USD","XXX")))</f>
        <v>EUR</v>
      </c>
    </row>
    <row r="564" spans="1:18" hidden="1" x14ac:dyDescent="0.3">
      <c r="A564">
        <v>202507</v>
      </c>
      <c r="B564" s="22" t="s">
        <v>917</v>
      </c>
      <c r="F564" t="s">
        <v>37</v>
      </c>
      <c r="G564" s="47">
        <f>MAX(+input_invoice[[#This Row],[net]]+input_invoice[[#This Row],[tax_iva]]+input_invoice[[#This Row],[tax_irpf]],input_invoice[[#This Row],[net]])</f>
        <v>1566.6716999999999</v>
      </c>
      <c r="H564" s="47">
        <f>input_invoice[[#This Row],[net]]*(MAX(input_invoice[[#This Row],[tax_rate_iva]],0)/100)</f>
        <v>271.90170000000001</v>
      </c>
      <c r="I564" s="47">
        <f>-input_invoice[[#This Row],[net]]*input_invoice[[#This Row],[tax_rate_irpf]]/100</f>
        <v>0</v>
      </c>
      <c r="J564" s="47">
        <v>1294.77</v>
      </c>
      <c r="K564" t="str">
        <f t="shared" si="14"/>
        <v>manufacturing</v>
      </c>
      <c r="L564">
        <v>21</v>
      </c>
      <c r="N564" t="str">
        <f>VLOOKUP(input_invoice[[#This Row],[concept/supplier]],'sel-invoice'!D:E,2,0)</f>
        <v>Apphoto España</v>
      </c>
      <c r="O564" t="str">
        <f>VLOOKUP(input_invoice[[#This Row],[concept/supplier]],'sel-invoice'!D:F,3,0)</f>
        <v>SL</v>
      </c>
      <c r="P564" t="str">
        <f>IF(input_invoice[[#This Row],[entity]]="SL","EUR",IF(input_invoice[[#This Row],[entity]]="Ltd","GBP",IF(input_invoice[[#This Row],[entity]]="Inc","USD","XXX")))</f>
        <v>EUR</v>
      </c>
    </row>
    <row r="565" spans="1:18" hidden="1" x14ac:dyDescent="0.3">
      <c r="A565">
        <v>202507</v>
      </c>
      <c r="B565" s="22" t="s">
        <v>917</v>
      </c>
      <c r="F565" t="s">
        <v>37</v>
      </c>
      <c r="G565" s="47">
        <f>MAX(+input_invoice[[#This Row],[net]]+input_invoice[[#This Row],[tax_iva]]+input_invoice[[#This Row],[tax_irpf]],input_invoice[[#This Row],[net]])</f>
        <v>8330.5959000000003</v>
      </c>
      <c r="H565" s="47">
        <f>input_invoice[[#This Row],[net]]*(MAX(input_invoice[[#This Row],[tax_rate_iva]],0)/100)</f>
        <v>1445.8058999999998</v>
      </c>
      <c r="I565" s="47">
        <f>-input_invoice[[#This Row],[net]]*input_invoice[[#This Row],[tax_rate_irpf]]/100</f>
        <v>0</v>
      </c>
      <c r="J565" s="47">
        <v>6884.79</v>
      </c>
      <c r="K565" t="str">
        <f t="shared" si="14"/>
        <v>manufacturing</v>
      </c>
      <c r="L565">
        <v>21</v>
      </c>
      <c r="N565" t="str">
        <f>VLOOKUP(input_invoice[[#This Row],[concept/supplier]],'sel-invoice'!D:E,2,0)</f>
        <v>Apphoto España</v>
      </c>
      <c r="O565" t="str">
        <f>VLOOKUP(input_invoice[[#This Row],[concept/supplier]],'sel-invoice'!D:F,3,0)</f>
        <v>SL</v>
      </c>
      <c r="P565" t="str">
        <f>IF(input_invoice[[#This Row],[entity]]="SL","EUR",IF(input_invoice[[#This Row],[entity]]="Ltd","GBP",IF(input_invoice[[#This Row],[entity]]="Inc","USD","XXX")))</f>
        <v>EUR</v>
      </c>
    </row>
    <row r="566" spans="1:18" hidden="1" x14ac:dyDescent="0.3">
      <c r="A566">
        <v>202507</v>
      </c>
      <c r="B566" s="22" t="s">
        <v>917</v>
      </c>
      <c r="F566" t="s">
        <v>37</v>
      </c>
      <c r="G566" s="47">
        <f>MAX(+input_invoice[[#This Row],[net]]+input_invoice[[#This Row],[tax_iva]]+input_invoice[[#This Row],[tax_irpf]],input_invoice[[#This Row],[net]])</f>
        <v>5152.7970999999998</v>
      </c>
      <c r="H566" s="47">
        <f>input_invoice[[#This Row],[net]]*(MAX(input_invoice[[#This Row],[tax_rate_iva]],0)/100)</f>
        <v>894.28710000000001</v>
      </c>
      <c r="I566" s="47">
        <f>-input_invoice[[#This Row],[net]]*input_invoice[[#This Row],[tax_rate_irpf]]/100</f>
        <v>0</v>
      </c>
      <c r="J566" s="47">
        <v>4258.51</v>
      </c>
      <c r="K566" t="str">
        <f t="shared" si="14"/>
        <v>manufacturing</v>
      </c>
      <c r="L566">
        <v>21</v>
      </c>
      <c r="N566" t="str">
        <f>VLOOKUP(input_invoice[[#This Row],[concept/supplier]],'sel-invoice'!D:E,2,0)</f>
        <v>Apphoto España</v>
      </c>
      <c r="O566" t="str">
        <f>VLOOKUP(input_invoice[[#This Row],[concept/supplier]],'sel-invoice'!D:F,3,0)</f>
        <v>SL</v>
      </c>
      <c r="P566" t="str">
        <f>IF(input_invoice[[#This Row],[entity]]="SL","EUR",IF(input_invoice[[#This Row],[entity]]="Ltd","GBP",IF(input_invoice[[#This Row],[entity]]="Inc","USD","XXX")))</f>
        <v>EUR</v>
      </c>
    </row>
    <row r="567" spans="1:18" hidden="1" x14ac:dyDescent="0.3">
      <c r="A567">
        <v>202512</v>
      </c>
      <c r="B567" s="22" t="s">
        <v>917</v>
      </c>
      <c r="C567" s="48">
        <v>201923</v>
      </c>
      <c r="D567" s="43">
        <v>46022</v>
      </c>
      <c r="E567" s="43">
        <v>46052</v>
      </c>
      <c r="F567" t="s">
        <v>46</v>
      </c>
      <c r="G567" s="47">
        <f>MAX(+input_invoice[[#This Row],[net]]+input_invoice[[#This Row],[tax_iva]],input_invoice[[#This Row],[net]])</f>
        <v>1400</v>
      </c>
      <c r="H567" s="47">
        <f>input_invoice[[#This Row],[net]]*(MAX(input_invoice[[#This Row],[tax_rate_iva]],0)/100)</f>
        <v>0</v>
      </c>
      <c r="I567" s="47">
        <f>-input_invoice[[#This Row],[net]]*input_invoice[[#This Row],[tax_rate_irpf]]/100</f>
        <v>0</v>
      </c>
      <c r="J567" s="47">
        <v>1400</v>
      </c>
      <c r="K567" t="str">
        <f t="shared" si="14"/>
        <v>logistics</v>
      </c>
      <c r="L567">
        <v>0</v>
      </c>
      <c r="N567" t="str">
        <f>VLOOKUP(input_invoice[[#This Row],[concept/supplier]],'sel-invoice'!D:E,2,0)</f>
        <v>artlink</v>
      </c>
      <c r="O567" t="str">
        <f>VLOOKUP(input_invoice[[#This Row],[concept/supplier]],'sel-invoice'!D:F,3,0)</f>
        <v>SL</v>
      </c>
      <c r="P567" t="str">
        <f>IF(input_invoice[[#This Row],[entity]]="SL","EUR",IF(input_invoice[[#This Row],[entity]]="Ltd","GBP",IF(input_invoice[[#This Row],[entity]]="Inc","USD","XXX")))</f>
        <v>EUR</v>
      </c>
      <c r="Q567" s="199" t="s">
        <v>1152</v>
      </c>
      <c r="R567" s="267" t="b">
        <v>1</v>
      </c>
    </row>
    <row r="568" spans="1:18" hidden="1" x14ac:dyDescent="0.3">
      <c r="A568">
        <v>202501</v>
      </c>
      <c r="B568" s="22" t="s">
        <v>917</v>
      </c>
      <c r="C568" s="48">
        <v>6019470</v>
      </c>
      <c r="D568" s="43">
        <v>45670</v>
      </c>
      <c r="F568" t="s">
        <v>1040</v>
      </c>
      <c r="G568" s="47">
        <f>MAX(+input_invoice[[#This Row],[net]]+input_invoice[[#This Row],[tax_iva]]+input_invoice[[#This Row],[tax_irpf]],input_invoice[[#This Row],[net]])</f>
        <v>1476</v>
      </c>
      <c r="H568" s="47">
        <f>input_invoice[[#This Row],[net]]*(MAX(input_invoice[[#This Row],[tax_rate_iva]],0)/100)</f>
        <v>246</v>
      </c>
      <c r="I568" s="47">
        <f>-input_invoice[[#This Row],[net]]*input_invoice[[#This Row],[tax_rate_irpf]]/100</f>
        <v>0</v>
      </c>
      <c r="J568" s="47">
        <v>1230</v>
      </c>
      <c r="K568" t="str">
        <f t="shared" si="14"/>
        <v>logistics</v>
      </c>
      <c r="L568">
        <v>20</v>
      </c>
      <c r="N568" t="str">
        <f>VLOOKUP(input_invoice[[#This Row],[concept/supplier]],'sel-invoice'!D:E,2,0)</f>
        <v>artlink</v>
      </c>
      <c r="O568" t="str">
        <f>VLOOKUP(input_invoice[[#This Row],[concept/supplier]],'sel-invoice'!D:F,3,0)</f>
        <v>Ltd</v>
      </c>
      <c r="P568" t="str">
        <f>IF(input_invoice[[#This Row],[entity]]="SL","EUR",IF(input_invoice[[#This Row],[entity]]="Ltd","GBP",IF(input_invoice[[#This Row],[entity]]="Inc","USD","XXX")))</f>
        <v>GBP</v>
      </c>
      <c r="R568" s="259" t="b">
        <v>1</v>
      </c>
    </row>
    <row r="569" spans="1:18" hidden="1" x14ac:dyDescent="0.3">
      <c r="A569">
        <v>202503</v>
      </c>
      <c r="B569" s="22" t="s">
        <v>917</v>
      </c>
      <c r="C569" s="48">
        <v>6023455</v>
      </c>
      <c r="D569" s="43">
        <v>45730</v>
      </c>
      <c r="F569" t="s">
        <v>1040</v>
      </c>
      <c r="G569" s="47">
        <f>MAX(+input_invoice[[#This Row],[net]]+input_invoice[[#This Row],[tax_iva]]+input_invoice[[#This Row],[tax_irpf]],input_invoice[[#This Row],[net]])</f>
        <v>1671.4319999999998</v>
      </c>
      <c r="H569" s="47">
        <f>input_invoice[[#This Row],[net]]*(MAX(input_invoice[[#This Row],[tax_rate_iva]],0)/100)</f>
        <v>278.572</v>
      </c>
      <c r="I569" s="47">
        <f>-input_invoice[[#This Row],[net]]*input_invoice[[#This Row],[tax_rate_irpf]]/100</f>
        <v>0</v>
      </c>
      <c r="J569" s="47">
        <v>1392.86</v>
      </c>
      <c r="K569" t="str">
        <f t="shared" si="14"/>
        <v>logistics</v>
      </c>
      <c r="L569">
        <v>20</v>
      </c>
      <c r="N569" t="str">
        <f>VLOOKUP(input_invoice[[#This Row],[concept/supplier]],'sel-invoice'!D:E,2,0)</f>
        <v>artlink</v>
      </c>
      <c r="O569" t="str">
        <f>VLOOKUP(input_invoice[[#This Row],[concept/supplier]],'sel-invoice'!D:F,3,0)</f>
        <v>Ltd</v>
      </c>
      <c r="P569" t="str">
        <f>IF(input_invoice[[#This Row],[entity]]="SL","EUR",IF(input_invoice[[#This Row],[entity]]="Ltd","GBP",IF(input_invoice[[#This Row],[entity]]="Inc","USD","XXX")))</f>
        <v>GBP</v>
      </c>
      <c r="R569" s="259" t="b">
        <v>1</v>
      </c>
    </row>
    <row r="570" spans="1:18" hidden="1" x14ac:dyDescent="0.3">
      <c r="A570">
        <v>202507</v>
      </c>
      <c r="B570" s="22" t="s">
        <v>917</v>
      </c>
      <c r="F570" t="s">
        <v>348</v>
      </c>
      <c r="G570" s="47">
        <f>MAX(+input_invoice[[#This Row],[net]]+input_invoice[[#This Row],[tax_iva]]+input_invoice[[#This Row],[tax_irpf]],input_invoice[[#This Row],[net]])</f>
        <v>399</v>
      </c>
      <c r="H570" s="47">
        <f>input_invoice[[#This Row],[net]]*(MAX(input_invoice[[#This Row],[tax_rate_iva]],0)/100)</f>
        <v>0</v>
      </c>
      <c r="I570" s="47">
        <f>-input_invoice[[#This Row],[net]]*input_invoice[[#This Row],[tax_rate_irpf]]/100</f>
        <v>0</v>
      </c>
      <c r="J570" s="47">
        <v>399</v>
      </c>
      <c r="K570" t="str">
        <f t="shared" si="14"/>
        <v>manufacturing</v>
      </c>
      <c r="L570">
        <v>0</v>
      </c>
      <c r="N570" t="str">
        <f>VLOOKUP(input_invoice[[#This Row],[concept/supplier]],'sel-invoice'!D:E,2,0)</f>
        <v>artlink</v>
      </c>
      <c r="O570" t="str">
        <f>VLOOKUP(input_invoice[[#This Row],[concept/supplier]],'sel-invoice'!D:F,3,0)</f>
        <v>SL</v>
      </c>
      <c r="P570" t="str">
        <f>IF(input_invoice[[#This Row],[entity]]="SL","EUR",IF(input_invoice[[#This Row],[entity]]="Ltd","GBP",IF(input_invoice[[#This Row],[entity]]="Inc","USD","XXX")))</f>
        <v>EUR</v>
      </c>
      <c r="R570" s="259" t="b">
        <v>1</v>
      </c>
    </row>
    <row r="571" spans="1:18" hidden="1" x14ac:dyDescent="0.3">
      <c r="A571">
        <v>202507</v>
      </c>
      <c r="B571" s="22" t="s">
        <v>917</v>
      </c>
      <c r="F571" t="s">
        <v>53</v>
      </c>
      <c r="G571" s="47">
        <f>MAX(+input_invoice[[#This Row],[net]]+input_invoice[[#This Row],[tax_iva]]+input_invoice[[#This Row],[tax_irpf]],input_invoice[[#This Row],[net]])</f>
        <v>787.93990000000008</v>
      </c>
      <c r="H571" s="47">
        <f>input_invoice[[#This Row],[net]]*(MAX(input_invoice[[#This Row],[tax_rate_iva]],0)/100)</f>
        <v>136.7499</v>
      </c>
      <c r="I571" s="47">
        <f>-input_invoice[[#This Row],[net]]*input_invoice[[#This Row],[tax_rate_irpf]]/100</f>
        <v>0</v>
      </c>
      <c r="J571" s="47">
        <v>651.19000000000005</v>
      </c>
      <c r="K571" t="str">
        <f t="shared" si="14"/>
        <v>logistics</v>
      </c>
      <c r="L571" s="47">
        <v>21</v>
      </c>
      <c r="M571" s="47"/>
      <c r="N571" t="str">
        <f>VLOOKUP(input_invoice[[#This Row],[concept/supplier]],'sel-invoice'!D:E,2,0)</f>
        <v>Asendia</v>
      </c>
      <c r="O571" t="str">
        <f>VLOOKUP(input_invoice[[#This Row],[concept/supplier]],'sel-invoice'!D:F,3,0)</f>
        <v>SL</v>
      </c>
      <c r="P571" t="str">
        <f>IF(input_invoice[[#This Row],[entity]]="SL","EUR",IF(input_invoice[[#This Row],[entity]]="Ltd","GBP",IF(input_invoice[[#This Row],[entity]]="Inc","USD","XXX")))</f>
        <v>EUR</v>
      </c>
    </row>
    <row r="572" spans="1:18" hidden="1" x14ac:dyDescent="0.3">
      <c r="A572">
        <v>202507</v>
      </c>
      <c r="B572" s="22" t="s">
        <v>917</v>
      </c>
      <c r="F572" t="s">
        <v>143</v>
      </c>
      <c r="G572" s="47">
        <v>11.99</v>
      </c>
      <c r="H572" s="47">
        <v>2.08</v>
      </c>
      <c r="I572" s="47">
        <f>-input_invoice[[#This Row],[net]]*input_invoice[[#This Row],[tax_rate_irpf]]/100</f>
        <v>0</v>
      </c>
      <c r="J572" s="47">
        <f>+input_invoice[[#This Row],[gross]]-input_invoice[[#This Row],[tax_iva]]</f>
        <v>9.91</v>
      </c>
      <c r="K572" t="str">
        <f t="shared" si="14"/>
        <v>it</v>
      </c>
      <c r="L572">
        <v>21</v>
      </c>
      <c r="N572" t="str">
        <f>VLOOKUP(input_invoice[[#This Row],[concept/supplier]],'sel-invoice'!D:E,2,0)</f>
        <v>Canva</v>
      </c>
      <c r="O572" t="str">
        <f>VLOOKUP(input_invoice[[#This Row],[concept/supplier]],'sel-invoice'!D:F,3,0)</f>
        <v>SL</v>
      </c>
      <c r="P572" t="str">
        <f>IF(input_invoice[[#This Row],[entity]]="SL","EUR",IF(input_invoice[[#This Row],[entity]]="Ltd","GBP",IF(input_invoice[[#This Row],[entity]]="Inc","USD","XXX")))</f>
        <v>EUR</v>
      </c>
    </row>
    <row r="573" spans="1:18" hidden="1" x14ac:dyDescent="0.3">
      <c r="A573">
        <v>202507</v>
      </c>
      <c r="B573" s="22" t="s">
        <v>917</v>
      </c>
      <c r="F573" t="s">
        <v>52</v>
      </c>
      <c r="G573" s="47">
        <f>MAX(+input_invoice[[#This Row],[net]]+input_invoice[[#This Row],[tax_iva]]+input_invoice[[#This Row],[tax_irpf]],input_invoice[[#This Row],[net]])</f>
        <v>335.12159999999994</v>
      </c>
      <c r="H573" s="47">
        <f>input_invoice[[#This Row],[net]]*(MAX(input_invoice[[#This Row],[tax_rate_iva]],0)/100)</f>
        <v>58.161599999999993</v>
      </c>
      <c r="I573" s="47">
        <f>-input_invoice[[#This Row],[net]]*input_invoice[[#This Row],[tax_rate_irpf]]/100</f>
        <v>0</v>
      </c>
      <c r="J573" s="47">
        <v>276.95999999999998</v>
      </c>
      <c r="K573" t="str">
        <f t="shared" si="14"/>
        <v>logistics</v>
      </c>
      <c r="L573">
        <v>21</v>
      </c>
      <c r="N573" t="str">
        <f>VLOOKUP(input_invoice[[#This Row],[concept/supplier]],'sel-invoice'!D:E,2,0)</f>
        <v>Correos</v>
      </c>
      <c r="O573" t="str">
        <f>VLOOKUP(input_invoice[[#This Row],[concept/supplier]],'sel-invoice'!D:F,3,0)</f>
        <v>SL</v>
      </c>
      <c r="P573" t="str">
        <f>IF(input_invoice[[#This Row],[entity]]="SL","EUR",IF(input_invoice[[#This Row],[entity]]="Ltd","GBP",IF(input_invoice[[#This Row],[entity]]="Inc","USD","XXX")))</f>
        <v>EUR</v>
      </c>
      <c r="R573" s="88"/>
    </row>
    <row r="574" spans="1:18" hidden="1" x14ac:dyDescent="0.3">
      <c r="A574">
        <v>202507</v>
      </c>
      <c r="B574" s="22" t="s">
        <v>917</v>
      </c>
      <c r="C574" s="48">
        <v>4004410069</v>
      </c>
      <c r="F574" t="s">
        <v>52</v>
      </c>
      <c r="G574" s="47">
        <f>MAX(+input_invoice[[#This Row],[net]]+input_invoice[[#This Row],[tax_iva]]+input_invoice[[#This Row],[tax_irpf]],input_invoice[[#This Row],[net]])</f>
        <v>5.0611000000000006</v>
      </c>
      <c r="H574" s="47">
        <f>input_invoice[[#This Row],[net]]*(MAX(input_invoice[[#This Row],[tax_rate_iva]],0)/100)</f>
        <v>0.33110000000000006</v>
      </c>
      <c r="I574" s="47">
        <f>-input_invoice[[#This Row],[net]]*input_invoice[[#This Row],[tax_rate_irpf]]/100</f>
        <v>0</v>
      </c>
      <c r="J574" s="262">
        <v>4.7300000000000004</v>
      </c>
      <c r="K574" t="str">
        <f t="shared" si="14"/>
        <v>logistics</v>
      </c>
      <c r="L574">
        <v>7</v>
      </c>
      <c r="N574" t="str">
        <f>VLOOKUP(input_invoice[[#This Row],[concept/supplier]],'sel-invoice'!D:E,2,0)</f>
        <v>Correos</v>
      </c>
      <c r="O574" t="str">
        <f>VLOOKUP(input_invoice[[#This Row],[concept/supplier]],'sel-invoice'!D:F,3,0)</f>
        <v>SL</v>
      </c>
      <c r="P574" t="str">
        <f>IF(input_invoice[[#This Row],[entity]]="SL","EUR",IF(input_invoice[[#This Row],[entity]]="Ltd","GBP",IF(input_invoice[[#This Row],[entity]]="Inc","USD","XXX")))</f>
        <v>EUR</v>
      </c>
      <c r="R574" s="88"/>
    </row>
    <row r="575" spans="1:18" hidden="1" x14ac:dyDescent="0.3">
      <c r="A575">
        <v>202507</v>
      </c>
      <c r="B575" s="22" t="s">
        <v>917</v>
      </c>
      <c r="C575" s="48">
        <v>4004410069</v>
      </c>
      <c r="F575" t="s">
        <v>52</v>
      </c>
      <c r="G575" s="47">
        <f>MAX(+input_invoice[[#This Row],[net]]+input_invoice[[#This Row],[tax_iva]]+input_invoice[[#This Row],[tax_irpf]],input_invoice[[#This Row],[net]])</f>
        <v>15.43</v>
      </c>
      <c r="H575" s="47">
        <f>input_invoice[[#This Row],[net]]*(MAX(input_invoice[[#This Row],[tax_rate_iva]],0)/100)</f>
        <v>0</v>
      </c>
      <c r="I575" s="47">
        <f>-input_invoice[[#This Row],[net]]*input_invoice[[#This Row],[tax_rate_irpf]]/100</f>
        <v>0</v>
      </c>
      <c r="J575" s="262">
        <v>15.43</v>
      </c>
      <c r="K575" t="str">
        <f t="shared" si="14"/>
        <v>logistics</v>
      </c>
      <c r="L575">
        <v>0</v>
      </c>
      <c r="N575" t="str">
        <f>VLOOKUP(input_invoice[[#This Row],[concept/supplier]],'sel-invoice'!D:E,2,0)</f>
        <v>Correos</v>
      </c>
      <c r="O575" t="str">
        <f>VLOOKUP(input_invoice[[#This Row],[concept/supplier]],'sel-invoice'!D:F,3,0)</f>
        <v>SL</v>
      </c>
      <c r="P575" t="str">
        <f>IF(input_invoice[[#This Row],[entity]]="SL","EUR",IF(input_invoice[[#This Row],[entity]]="Ltd","GBP",IF(input_invoice[[#This Row],[entity]]="Inc","USD","XXX")))</f>
        <v>EUR</v>
      </c>
    </row>
    <row r="576" spans="1:18" hidden="1" x14ac:dyDescent="0.3">
      <c r="A576">
        <v>202507</v>
      </c>
      <c r="B576" s="22" t="s">
        <v>917</v>
      </c>
      <c r="F576" t="s">
        <v>43</v>
      </c>
      <c r="G576" s="47">
        <f>MAX(+input_invoice[[#This Row],[net]]+input_invoice[[#This Row],[tax_iva]]+input_invoice[[#This Row],[tax_irpf]],input_invoice[[#This Row],[net]])</f>
        <v>4621.8886000000002</v>
      </c>
      <c r="H576" s="47">
        <f>input_invoice[[#This Row],[net]]*(MAX(input_invoice[[#This Row],[tax_rate_iva]],0)/100)</f>
        <v>737.94860000000006</v>
      </c>
      <c r="I576" s="47">
        <f>-input_invoice[[#This Row],[net]]*input_invoice[[#This Row],[tax_rate_irpf]]/100</f>
        <v>0</v>
      </c>
      <c r="J576" s="47">
        <v>3883.94</v>
      </c>
      <c r="K576" t="str">
        <f t="shared" si="14"/>
        <v>manufacturing</v>
      </c>
      <c r="L576">
        <v>19</v>
      </c>
      <c r="N576" t="str">
        <f>VLOOKUP(input_invoice[[#This Row],[concept/supplier]],'sel-invoice'!D:E,2,0)</f>
        <v>DCT</v>
      </c>
      <c r="O576" t="str">
        <f>VLOOKUP(input_invoice[[#This Row],[concept/supplier]],'sel-invoice'!D:F,3,0)</f>
        <v>SL</v>
      </c>
      <c r="P576" t="str">
        <f>IF(input_invoice[[#This Row],[entity]]="SL","EUR",IF(input_invoice[[#This Row],[entity]]="Ltd","GBP",IF(input_invoice[[#This Row],[entity]]="Inc","USD","XXX")))</f>
        <v>EUR</v>
      </c>
      <c r="R576" s="60"/>
    </row>
    <row r="577" spans="1:18" hidden="1" x14ac:dyDescent="0.3">
      <c r="A577">
        <v>202507</v>
      </c>
      <c r="B577" s="22" t="s">
        <v>917</v>
      </c>
      <c r="F577" t="s">
        <v>43</v>
      </c>
      <c r="G577" s="47">
        <f>MAX(+input_invoice[[#This Row],[net]]+input_invoice[[#This Row],[tax_iva]]+input_invoice[[#This Row],[tax_irpf]],input_invoice[[#This Row],[net]])</f>
        <v>8670.8873999999996</v>
      </c>
      <c r="H577" s="47">
        <f>input_invoice[[#This Row],[net]]*(MAX(input_invoice[[#This Row],[tax_rate_iva]],0)/100)</f>
        <v>1384.4274</v>
      </c>
      <c r="I577" s="47">
        <f>-input_invoice[[#This Row],[net]]*input_invoice[[#This Row],[tax_rate_irpf]]/100</f>
        <v>0</v>
      </c>
      <c r="J577" s="47">
        <v>7286.46</v>
      </c>
      <c r="K577" t="str">
        <f t="shared" si="14"/>
        <v>manufacturing</v>
      </c>
      <c r="L577">
        <v>19</v>
      </c>
      <c r="N577" t="str">
        <f>VLOOKUP(input_invoice[[#This Row],[concept/supplier]],'sel-invoice'!D:E,2,0)</f>
        <v>DCT</v>
      </c>
      <c r="O577" t="str">
        <f>VLOOKUP(input_invoice[[#This Row],[concept/supplier]],'sel-invoice'!D:F,3,0)</f>
        <v>SL</v>
      </c>
      <c r="P577" t="str">
        <f>IF(input_invoice[[#This Row],[entity]]="SL","EUR",IF(input_invoice[[#This Row],[entity]]="Ltd","GBP",IF(input_invoice[[#This Row],[entity]]="Inc","USD","XXX")))</f>
        <v>EUR</v>
      </c>
    </row>
    <row r="578" spans="1:18" hidden="1" x14ac:dyDescent="0.3">
      <c r="A578">
        <v>202507</v>
      </c>
      <c r="B578" s="22" t="s">
        <v>917</v>
      </c>
      <c r="F578" t="s">
        <v>43</v>
      </c>
      <c r="G578" s="47">
        <f>MAX(+input_invoice[[#This Row],[net]]+input_invoice[[#This Row],[tax_iva]]+input_invoice[[#This Row],[tax_irpf]],input_invoice[[#This Row],[net]])</f>
        <v>265.37</v>
      </c>
      <c r="H578" s="47">
        <f>input_invoice[[#This Row],[net]]*(MAX(input_invoice[[#This Row],[tax_rate_iva]],0)/100)</f>
        <v>42.37</v>
      </c>
      <c r="I578" s="47">
        <f>-input_invoice[[#This Row],[net]]*input_invoice[[#This Row],[tax_rate_irpf]]/100</f>
        <v>0</v>
      </c>
      <c r="J578" s="47">
        <v>223</v>
      </c>
      <c r="K578" t="str">
        <f t="shared" si="14"/>
        <v>manufacturing</v>
      </c>
      <c r="L578">
        <v>19</v>
      </c>
      <c r="N578" t="str">
        <f>VLOOKUP(input_invoice[[#This Row],[concept/supplier]],'sel-invoice'!D:E,2,0)</f>
        <v>DCT</v>
      </c>
      <c r="O578" t="str">
        <f>VLOOKUP(input_invoice[[#This Row],[concept/supplier]],'sel-invoice'!D:F,3,0)</f>
        <v>SL</v>
      </c>
      <c r="P578" t="str">
        <f>IF(input_invoice[[#This Row],[entity]]="SL","EUR",IF(input_invoice[[#This Row],[entity]]="Ltd","GBP",IF(input_invoice[[#This Row],[entity]]="Inc","USD","XXX")))</f>
        <v>EUR</v>
      </c>
    </row>
    <row r="579" spans="1:18" hidden="1" x14ac:dyDescent="0.3">
      <c r="A579">
        <v>202507</v>
      </c>
      <c r="B579" s="22" t="s">
        <v>917</v>
      </c>
      <c r="F579" t="s">
        <v>51</v>
      </c>
      <c r="G579" s="47">
        <f>MAX(+input_invoice[[#This Row],[net]]+input_invoice[[#This Row],[tax_iva]]+input_invoice[[#This Row],[tax_irpf]],input_invoice[[#This Row],[net]])</f>
        <v>6128.7951999999996</v>
      </c>
      <c r="H579" s="47">
        <f>input_invoice[[#This Row],[net]]*(MAX(input_invoice[[#This Row],[tax_rate_iva]],0)/100)</f>
        <v>1063.6751999999999</v>
      </c>
      <c r="I579" s="47">
        <f>-input_invoice[[#This Row],[net]]*input_invoice[[#This Row],[tax_rate_irpf]]/100</f>
        <v>0</v>
      </c>
      <c r="J579" s="47">
        <v>5065.12</v>
      </c>
      <c r="K579" t="str">
        <f t="shared" si="14"/>
        <v>logistics</v>
      </c>
      <c r="L579">
        <v>21</v>
      </c>
      <c r="N579" t="str">
        <f>VLOOKUP(input_invoice[[#This Row],[concept/supplier]],'sel-invoice'!D:E,2,0)</f>
        <v>GLS</v>
      </c>
      <c r="O579" t="str">
        <f>VLOOKUP(input_invoice[[#This Row],[concept/supplier]],'sel-invoice'!D:F,3,0)</f>
        <v>SL</v>
      </c>
      <c r="P579" t="str">
        <f>IF(input_invoice[[#This Row],[entity]]="SL","EUR",IF(input_invoice[[#This Row],[entity]]="Ltd","GBP",IF(input_invoice[[#This Row],[entity]]="Inc","USD","XXX")))</f>
        <v>EUR</v>
      </c>
      <c r="R579" s="267" t="b">
        <v>1</v>
      </c>
    </row>
    <row r="580" spans="1:18" hidden="1" x14ac:dyDescent="0.3">
      <c r="A580">
        <v>202507</v>
      </c>
      <c r="B580" s="22" t="s">
        <v>917</v>
      </c>
      <c r="F580" t="s">
        <v>145</v>
      </c>
      <c r="G580" s="47">
        <f>MAX(+input_invoice[[#This Row],[net]]+input_invoice[[#This Row],[tax_iva]]+input_invoice[[#This Row],[tax_irpf]],input_invoice[[#This Row],[net]])</f>
        <v>320.86</v>
      </c>
      <c r="H580" s="47">
        <f>input_invoice[[#This Row],[net]]*(MAX(input_invoice[[#This Row],[tax_rate_iva]],0)/100)</f>
        <v>0</v>
      </c>
      <c r="I580" s="47">
        <f>-input_invoice[[#This Row],[net]]*input_invoice[[#This Row],[tax_rate_irpf]]/100</f>
        <v>0</v>
      </c>
      <c r="J580" s="47">
        <v>320.86</v>
      </c>
      <c r="K580" t="str">
        <f t="shared" si="14"/>
        <v>it</v>
      </c>
      <c r="L580">
        <v>0</v>
      </c>
      <c r="N580" t="str">
        <f>VLOOKUP(input_invoice[[#This Row],[concept/supplier]],'sel-invoice'!D:E,2,0)</f>
        <v>Gorgias</v>
      </c>
      <c r="O580" t="str">
        <f>VLOOKUP(input_invoice[[#This Row],[concept/supplier]],'sel-invoice'!D:F,3,0)</f>
        <v>SL</v>
      </c>
      <c r="P580" t="str">
        <f>IF(input_invoice[[#This Row],[entity]]="SL","EUR",IF(input_invoice[[#This Row],[entity]]="Ltd","GBP",IF(input_invoice[[#This Row],[entity]]="Inc","USD","XXX")))</f>
        <v>EUR</v>
      </c>
    </row>
    <row r="581" spans="1:18" hidden="1" x14ac:dyDescent="0.3">
      <c r="A581">
        <v>202507</v>
      </c>
      <c r="B581" s="22" t="s">
        <v>917</v>
      </c>
      <c r="F581" t="s">
        <v>127</v>
      </c>
      <c r="G581" s="47">
        <f>MAX(+input_invoice[[#This Row],[net]]+input_invoice[[#This Row],[tax_iva]]+input_invoice[[#This Row],[tax_irpf]],input_invoice[[#This Row],[net]])</f>
        <v>13.189</v>
      </c>
      <c r="H581" s="47">
        <f>input_invoice[[#This Row],[net]]*(MAX(input_invoice[[#This Row],[tax_rate_iva]],0)/100)</f>
        <v>2.2890000000000001</v>
      </c>
      <c r="I581" s="47">
        <f>-input_invoice[[#This Row],[net]]*input_invoice[[#This Row],[tax_rate_irpf]]/100</f>
        <v>0</v>
      </c>
      <c r="J581" s="47">
        <v>10.9</v>
      </c>
      <c r="K581" t="str">
        <f t="shared" si="14"/>
        <v>it</v>
      </c>
      <c r="L581">
        <v>21</v>
      </c>
      <c r="N581" t="str">
        <f>VLOOKUP(input_invoice[[#This Row],[concept/supplier]],'sel-invoice'!D:E,2,0)</f>
        <v>Hetzner</v>
      </c>
      <c r="O581" t="str">
        <f>VLOOKUP(input_invoice[[#This Row],[concept/supplier]],'sel-invoice'!D:F,3,0)</f>
        <v>SL</v>
      </c>
      <c r="P581" t="str">
        <f>IF(input_invoice[[#This Row],[entity]]="SL","EUR",IF(input_invoice[[#This Row],[entity]]="Ltd","GBP",IF(input_invoice[[#This Row],[entity]]="Inc","USD","XXX")))</f>
        <v>EUR</v>
      </c>
    </row>
    <row r="582" spans="1:18" hidden="1" x14ac:dyDescent="0.3">
      <c r="A582">
        <v>202507</v>
      </c>
      <c r="B582" s="22" t="s">
        <v>917</v>
      </c>
      <c r="F582" t="s">
        <v>139</v>
      </c>
      <c r="G582" s="47">
        <f>MAX(+input_invoice[[#This Row],[net]]+input_invoice[[#This Row],[tax_iva]]+input_invoice[[#This Row],[tax_irpf]],input_invoice[[#This Row],[net]])</f>
        <v>6.8243999999999998</v>
      </c>
      <c r="H582" s="47">
        <f>input_invoice[[#This Row],[net]]*(MAX(input_invoice[[#This Row],[tax_rate_iva]],0)/100)</f>
        <v>1.1843999999999999</v>
      </c>
      <c r="I582" s="47">
        <f>-input_invoice[[#This Row],[net]]*input_invoice[[#This Row],[tax_rate_irpf]]/100</f>
        <v>0</v>
      </c>
      <c r="J582" s="47">
        <v>5.64</v>
      </c>
      <c r="K582" t="str">
        <f t="shared" si="14"/>
        <v>it</v>
      </c>
      <c r="L582">
        <v>21</v>
      </c>
      <c r="N582" t="str">
        <f>VLOOKUP(input_invoice[[#This Row],[concept/supplier]],'sel-invoice'!D:E,2,0)</f>
        <v>Mas Movil</v>
      </c>
      <c r="O582" t="str">
        <f>VLOOKUP(input_invoice[[#This Row],[concept/supplier]],'sel-invoice'!D:F,3,0)</f>
        <v>SL</v>
      </c>
      <c r="P582" t="str">
        <f>IF(input_invoice[[#This Row],[entity]]="SL","EUR",IF(input_invoice[[#This Row],[entity]]="Ltd","GBP",IF(input_invoice[[#This Row],[entity]]="Inc","USD","XXX")))</f>
        <v>EUR</v>
      </c>
    </row>
    <row r="583" spans="1:18" hidden="1" x14ac:dyDescent="0.3">
      <c r="A583">
        <v>202507</v>
      </c>
      <c r="B583" s="22" t="s">
        <v>917</v>
      </c>
      <c r="F583" t="s">
        <v>119</v>
      </c>
      <c r="G583" s="47">
        <f>MAX(+input_invoice[[#This Row],[net]]+input_invoice[[#This Row],[tax_iva]]+input_invoice[[#This Row],[tax_irpf]],input_invoice[[#This Row],[net]])</f>
        <v>160.5</v>
      </c>
      <c r="H583" s="47">
        <f>input_invoice[[#This Row],[net]]*(MAX(input_invoice[[#This Row],[tax_rate_iva]],0)/100)</f>
        <v>10.500000000000002</v>
      </c>
      <c r="I583" s="47">
        <f>-input_invoice[[#This Row],[net]]*input_invoice[[#This Row],[tax_rate_irpf]]/100</f>
        <v>0</v>
      </c>
      <c r="J583" s="47">
        <v>150</v>
      </c>
      <c r="K583" t="str">
        <f t="shared" si="14"/>
        <v>administrative</v>
      </c>
      <c r="L583">
        <v>7</v>
      </c>
      <c r="N583" t="str">
        <f>VLOOKUP(input_invoice[[#This Row],[concept/supplier]],'sel-invoice'!D:E,2,0)</f>
        <v>otros</v>
      </c>
      <c r="O583" t="str">
        <f>VLOOKUP(input_invoice[[#This Row],[concept/supplier]],'sel-invoice'!D:F,3,0)</f>
        <v>SL</v>
      </c>
      <c r="P583" t="str">
        <f>IF(input_invoice[[#This Row],[entity]]="SL","EUR",IF(input_invoice[[#This Row],[entity]]="Ltd","GBP",IF(input_invoice[[#This Row],[entity]]="Inc","USD","XXX")))</f>
        <v>EUR</v>
      </c>
    </row>
    <row r="584" spans="1:18" hidden="1" x14ac:dyDescent="0.3">
      <c r="A584">
        <v>202507</v>
      </c>
      <c r="B584" s="22" t="s">
        <v>917</v>
      </c>
      <c r="C584" s="48" t="s">
        <v>351</v>
      </c>
      <c r="F584" t="s">
        <v>119</v>
      </c>
      <c r="G584" s="47">
        <f>MAX(+input_invoice[[#This Row],[net]]+input_invoice[[#This Row],[tax_iva]]+input_invoice[[#This Row],[tax_irpf]],input_invoice[[#This Row],[net]])</f>
        <v>36.808199999999999</v>
      </c>
      <c r="H584" s="47">
        <f>input_invoice[[#This Row],[net]]*(MAX(input_invoice[[#This Row],[tax_rate_iva]],0)/100)</f>
        <v>6.3882000000000003</v>
      </c>
      <c r="I584" s="47">
        <f>-input_invoice[[#This Row],[net]]*input_invoice[[#This Row],[tax_rate_irpf]]/100</f>
        <v>0</v>
      </c>
      <c r="J584" s="47">
        <v>30.42</v>
      </c>
      <c r="K584" t="str">
        <f t="shared" si="14"/>
        <v>administrative</v>
      </c>
      <c r="L584" s="47">
        <v>21</v>
      </c>
      <c r="M584" s="47"/>
      <c r="N584" t="str">
        <f>VLOOKUP(input_invoice[[#This Row],[concept/supplier]],'sel-invoice'!D:E,2,0)</f>
        <v>otros</v>
      </c>
      <c r="O584" t="str">
        <f>VLOOKUP(input_invoice[[#This Row],[concept/supplier]],'sel-invoice'!D:F,3,0)</f>
        <v>SL</v>
      </c>
      <c r="P584" t="str">
        <f>IF(input_invoice[[#This Row],[entity]]="SL","EUR",IF(input_invoice[[#This Row],[entity]]="Ltd","GBP",IF(input_invoice[[#This Row],[entity]]="Inc","USD","XXX")))</f>
        <v>EUR</v>
      </c>
    </row>
    <row r="585" spans="1:18" hidden="1" x14ac:dyDescent="0.3">
      <c r="A585">
        <v>202507</v>
      </c>
      <c r="B585" s="22" t="s">
        <v>917</v>
      </c>
      <c r="C585" s="48" t="s">
        <v>352</v>
      </c>
      <c r="F585" t="s">
        <v>119</v>
      </c>
      <c r="G585" s="47">
        <f>MAX(+input_invoice[[#This Row],[net]]+input_invoice[[#This Row],[tax_iva]]+input_invoice[[#This Row],[tax_irpf]],input_invoice[[#This Row],[net]])</f>
        <v>46.403500000000001</v>
      </c>
      <c r="H585" s="47">
        <f>input_invoice[[#This Row],[net]]*(MAX(input_invoice[[#This Row],[tax_rate_iva]],0)/100)</f>
        <v>8.0534999999999997</v>
      </c>
      <c r="I585" s="47">
        <f>-input_invoice[[#This Row],[net]]*input_invoice[[#This Row],[tax_rate_irpf]]/100</f>
        <v>0</v>
      </c>
      <c r="J585" s="47">
        <v>38.35</v>
      </c>
      <c r="K585" t="str">
        <f t="shared" si="14"/>
        <v>administrative</v>
      </c>
      <c r="L585">
        <v>21</v>
      </c>
      <c r="N585" t="str">
        <f>VLOOKUP(input_invoice[[#This Row],[concept/supplier]],'sel-invoice'!D:E,2,0)</f>
        <v>otros</v>
      </c>
      <c r="O585" t="str">
        <f>VLOOKUP(input_invoice[[#This Row],[concept/supplier]],'sel-invoice'!D:F,3,0)</f>
        <v>SL</v>
      </c>
      <c r="P585" t="str">
        <f>IF(input_invoice[[#This Row],[entity]]="SL","EUR",IF(input_invoice[[#This Row],[entity]]="Ltd","GBP",IF(input_invoice[[#This Row],[entity]]="Inc","USD","XXX")))</f>
        <v>EUR</v>
      </c>
    </row>
    <row r="586" spans="1:18" hidden="1" x14ac:dyDescent="0.3">
      <c r="A586">
        <v>202507</v>
      </c>
      <c r="B586" s="22" t="s">
        <v>917</v>
      </c>
      <c r="F586" t="s">
        <v>41</v>
      </c>
      <c r="G586" s="47">
        <f>MAX(+input_invoice[[#This Row],[net]]+input_invoice[[#This Row],[tax_iva]]+input_invoice[[#This Row],[tax_irpf]],input_invoice[[#This Row],[net]])</f>
        <v>5438.6475</v>
      </c>
      <c r="H586" s="47">
        <f>input_invoice[[#This Row],[net]]*(MAX(input_invoice[[#This Row],[tax_rate_iva]],0)/100)</f>
        <v>943.89749999999992</v>
      </c>
      <c r="I586" s="47">
        <f>-input_invoice[[#This Row],[net]]*input_invoice[[#This Row],[tax_rate_irpf]]/100</f>
        <v>0</v>
      </c>
      <c r="J586" s="47">
        <v>4494.75</v>
      </c>
      <c r="K586" t="str">
        <f t="shared" si="14"/>
        <v>manufacturing</v>
      </c>
      <c r="L586">
        <v>21</v>
      </c>
      <c r="N586" t="str">
        <f>VLOOKUP(input_invoice[[#This Row],[concept/supplier]],'sel-invoice'!D:E,2,0)</f>
        <v>Pressing</v>
      </c>
      <c r="O586" t="str">
        <f>VLOOKUP(input_invoice[[#This Row],[concept/supplier]],'sel-invoice'!D:F,3,0)</f>
        <v>SL</v>
      </c>
      <c r="P586" t="str">
        <f>IF(input_invoice[[#This Row],[entity]]="SL","EUR",IF(input_invoice[[#This Row],[entity]]="Ltd","GBP",IF(input_invoice[[#This Row],[entity]]="Inc","USD","XXX")))</f>
        <v>EUR</v>
      </c>
    </row>
    <row r="587" spans="1:18" hidden="1" x14ac:dyDescent="0.3">
      <c r="A587">
        <v>202507</v>
      </c>
      <c r="B587" s="22" t="s">
        <v>917</v>
      </c>
      <c r="C587" s="48">
        <v>6027669</v>
      </c>
      <c r="D587" s="43">
        <v>45869</v>
      </c>
      <c r="F587" t="s">
        <v>182</v>
      </c>
      <c r="G587" s="47">
        <f>MAX(+input_invoice[[#This Row],[net]]+input_invoice[[#This Row],[tax_iva]]+input_invoice[[#This Row],[tax_irpf]],input_invoice[[#This Row],[net]])</f>
        <v>8503.2000000000007</v>
      </c>
      <c r="H587" s="47">
        <f>input_invoice[[#This Row],[net]]*(MAX(input_invoice[[#This Row],[tax_rate_iva]],0)/100)</f>
        <v>1417.2</v>
      </c>
      <c r="I587" s="47">
        <f>-input_invoice[[#This Row],[net]]*input_invoice[[#This Row],[tax_rate_irpf]]/100</f>
        <v>0</v>
      </c>
      <c r="J587" s="47">
        <v>7086</v>
      </c>
      <c r="K587" t="str">
        <f t="shared" si="14"/>
        <v>manufacturing</v>
      </c>
      <c r="L587">
        <v>20</v>
      </c>
      <c r="N587" t="str">
        <f>VLOOKUP(input_invoice[[#This Row],[concept/supplier]],'sel-invoice'!D:E,2,0)</f>
        <v>Proco</v>
      </c>
      <c r="O587" t="str">
        <f>VLOOKUP(input_invoice[[#This Row],[concept/supplier]],'sel-invoice'!D:F,3,0)</f>
        <v>Ltd</v>
      </c>
      <c r="P587" t="str">
        <f>IF(input_invoice[[#This Row],[entity]]="SL","EUR",IF(input_invoice[[#This Row],[entity]]="Ltd","GBP",IF(input_invoice[[#This Row],[entity]]="Inc","USD","XXX")))</f>
        <v>GBP</v>
      </c>
    </row>
    <row r="588" spans="1:18" hidden="1" x14ac:dyDescent="0.3">
      <c r="A588">
        <v>202507</v>
      </c>
      <c r="B588" s="22" t="s">
        <v>917</v>
      </c>
      <c r="C588" s="48">
        <v>6027669</v>
      </c>
      <c r="D588" s="43">
        <v>45869</v>
      </c>
      <c r="F588" t="s">
        <v>194</v>
      </c>
      <c r="G588" s="47">
        <f>MAX(+input_invoice[[#This Row],[net]]+input_invoice[[#This Row],[tax_iva]]+input_invoice[[#This Row],[tax_irpf]],input_invoice[[#This Row],[net]])</f>
        <v>1140.48</v>
      </c>
      <c r="H588" s="47">
        <f>input_invoice[[#This Row],[net]]*(MAX(input_invoice[[#This Row],[tax_rate_iva]],0)/100)</f>
        <v>190.08</v>
      </c>
      <c r="I588" s="47">
        <f>-input_invoice[[#This Row],[net]]*input_invoice[[#This Row],[tax_rate_irpf]]/100</f>
        <v>0</v>
      </c>
      <c r="J588" s="47">
        <v>950.4</v>
      </c>
      <c r="K588" t="str">
        <f t="shared" si="14"/>
        <v>logistics</v>
      </c>
      <c r="L588">
        <v>20</v>
      </c>
      <c r="N588" t="str">
        <f>VLOOKUP(input_invoice[[#This Row],[concept/supplier]],'sel-invoice'!D:E,2,0)</f>
        <v>Proco</v>
      </c>
      <c r="O588" t="str">
        <f>VLOOKUP(input_invoice[[#This Row],[concept/supplier]],'sel-invoice'!D:F,3,0)</f>
        <v>Ltd</v>
      </c>
      <c r="P588" t="str">
        <f>IF(input_invoice[[#This Row],[entity]]="SL","EUR",IF(input_invoice[[#This Row],[entity]]="Ltd","GBP",IF(input_invoice[[#This Row],[entity]]="Inc","USD","XXX")))</f>
        <v>GBP</v>
      </c>
      <c r="R588" s="259" t="b">
        <v>1</v>
      </c>
    </row>
    <row r="589" spans="1:18" hidden="1" x14ac:dyDescent="0.3">
      <c r="A589">
        <v>202507</v>
      </c>
      <c r="B589" s="22" t="s">
        <v>917</v>
      </c>
      <c r="C589" s="48">
        <v>6027669</v>
      </c>
      <c r="D589" s="43">
        <v>45869</v>
      </c>
      <c r="F589" t="s">
        <v>196</v>
      </c>
      <c r="G589" s="47">
        <f>MAX(+input_invoice[[#This Row],[net]]+input_invoice[[#This Row],[tax_iva]]+input_invoice[[#This Row],[tax_irpf]],input_invoice[[#This Row],[net]])</f>
        <v>1789.7040000000002</v>
      </c>
      <c r="H589" s="47">
        <f>input_invoice[[#This Row],[net]]*(MAX(input_invoice[[#This Row],[tax_rate_iva]],0)/100)</f>
        <v>298.28400000000005</v>
      </c>
      <c r="I589" s="47">
        <f>-input_invoice[[#This Row],[net]]*input_invoice[[#This Row],[tax_rate_irpf]]/100</f>
        <v>0</v>
      </c>
      <c r="J589" s="47">
        <v>1491.42</v>
      </c>
      <c r="K589" t="str">
        <f t="shared" si="14"/>
        <v>logistics</v>
      </c>
      <c r="L589">
        <v>20</v>
      </c>
      <c r="N589" t="str">
        <f>VLOOKUP(input_invoice[[#This Row],[concept/supplier]],'sel-invoice'!D:E,2,0)</f>
        <v>Proco</v>
      </c>
      <c r="O589" t="str">
        <f>VLOOKUP(input_invoice[[#This Row],[concept/supplier]],'sel-invoice'!D:F,3,0)</f>
        <v>Ltd</v>
      </c>
      <c r="P589" t="str">
        <f>IF(input_invoice[[#This Row],[entity]]="SL","EUR",IF(input_invoice[[#This Row],[entity]]="Ltd","GBP",IF(input_invoice[[#This Row],[entity]]="Inc","USD","XXX")))</f>
        <v>GBP</v>
      </c>
      <c r="R589" s="259" t="b">
        <v>1</v>
      </c>
    </row>
    <row r="590" spans="1:18" hidden="1" x14ac:dyDescent="0.3">
      <c r="A590">
        <v>202507</v>
      </c>
      <c r="B590" s="22" t="s">
        <v>917</v>
      </c>
      <c r="C590" s="48">
        <v>6027669</v>
      </c>
      <c r="D590" s="43">
        <v>45869</v>
      </c>
      <c r="F590" t="s">
        <v>184</v>
      </c>
      <c r="G590" s="47">
        <f>MAX(+input_invoice[[#This Row],[net]]+input_invoice[[#This Row],[tax_iva]]+input_invoice[[#This Row],[tax_irpf]],input_invoice[[#This Row],[net]])</f>
        <v>5784.4080000000004</v>
      </c>
      <c r="H590" s="47">
        <f>input_invoice[[#This Row],[net]]*(MAX(input_invoice[[#This Row],[tax_rate_iva]],0)/100)</f>
        <v>964.0680000000001</v>
      </c>
      <c r="I590" s="47">
        <f>-input_invoice[[#This Row],[net]]*input_invoice[[#This Row],[tax_rate_irpf]]/100</f>
        <v>0</v>
      </c>
      <c r="J590" s="47">
        <v>4820.34</v>
      </c>
      <c r="K590" t="str">
        <f t="shared" si="14"/>
        <v>manufacturing</v>
      </c>
      <c r="L590">
        <v>20</v>
      </c>
      <c r="N590" t="str">
        <f>VLOOKUP(input_invoice[[#This Row],[concept/supplier]],'sel-invoice'!D:E,2,0)</f>
        <v>Proco</v>
      </c>
      <c r="O590" t="str">
        <f>VLOOKUP(input_invoice[[#This Row],[concept/supplier]],'sel-invoice'!D:F,3,0)</f>
        <v>Ltd</v>
      </c>
      <c r="P590" t="str">
        <f>IF(input_invoice[[#This Row],[entity]]="SL","EUR",IF(input_invoice[[#This Row],[entity]]="Ltd","GBP",IF(input_invoice[[#This Row],[entity]]="Inc","USD","XXX")))</f>
        <v>GBP</v>
      </c>
      <c r="R590" s="259" t="b">
        <v>1</v>
      </c>
    </row>
    <row r="591" spans="1:18" hidden="1" x14ac:dyDescent="0.3">
      <c r="A591">
        <v>202507</v>
      </c>
      <c r="B591" s="22" t="s">
        <v>917</v>
      </c>
      <c r="C591" s="48">
        <v>6027669</v>
      </c>
      <c r="D591" s="43">
        <v>45869</v>
      </c>
      <c r="F591" t="s">
        <v>186</v>
      </c>
      <c r="G591" s="47">
        <f>MAX(+input_invoice[[#This Row],[net]]+input_invoice[[#This Row],[tax_iva]]+input_invoice[[#This Row],[tax_irpf]],input_invoice[[#This Row],[net]])</f>
        <v>1404</v>
      </c>
      <c r="H591" s="47">
        <f>input_invoice[[#This Row],[net]]*(MAX(input_invoice[[#This Row],[tax_rate_iva]],0)/100)</f>
        <v>234</v>
      </c>
      <c r="I591" s="47">
        <f>-input_invoice[[#This Row],[net]]*input_invoice[[#This Row],[tax_rate_irpf]]/100</f>
        <v>0</v>
      </c>
      <c r="J591" s="47">
        <v>1170</v>
      </c>
      <c r="K591" t="str">
        <f t="shared" si="14"/>
        <v>manufacturing</v>
      </c>
      <c r="L591">
        <v>20</v>
      </c>
      <c r="N591" t="str">
        <f>VLOOKUP(input_invoice[[#This Row],[concept/supplier]],'sel-invoice'!D:E,2,0)</f>
        <v>Proco</v>
      </c>
      <c r="O591" t="str">
        <f>VLOOKUP(input_invoice[[#This Row],[concept/supplier]],'sel-invoice'!D:F,3,0)</f>
        <v>Ltd</v>
      </c>
      <c r="P591" t="str">
        <f>IF(input_invoice[[#This Row],[entity]]="SL","EUR",IF(input_invoice[[#This Row],[entity]]="Ltd","GBP",IF(input_invoice[[#This Row],[entity]]="Inc","USD","XXX")))</f>
        <v>GBP</v>
      </c>
      <c r="R591" s="259" t="b">
        <v>1</v>
      </c>
    </row>
    <row r="592" spans="1:18" hidden="1" x14ac:dyDescent="0.3">
      <c r="A592">
        <v>202507</v>
      </c>
      <c r="B592" s="22" t="s">
        <v>917</v>
      </c>
      <c r="F592" t="s">
        <v>131</v>
      </c>
      <c r="G592" s="47">
        <f>MAX(+input_invoice[[#This Row],[net]]+input_invoice[[#This Row],[tax_iva]]+input_invoice[[#This Row],[tax_irpf]],input_invoice[[#This Row],[net]])</f>
        <v>178.35</v>
      </c>
      <c r="H592" s="47">
        <f>input_invoice[[#This Row],[net]]*(MAX(input_invoice[[#This Row],[tax_rate_iva]],0)/100)</f>
        <v>0</v>
      </c>
      <c r="I592" s="47">
        <f>-input_invoice[[#This Row],[net]]*input_invoice[[#This Row],[tax_rate_irpf]]/100</f>
        <v>0</v>
      </c>
      <c r="J592" s="47">
        <v>178.35</v>
      </c>
      <c r="K592" t="str">
        <f t="shared" si="14"/>
        <v>it</v>
      </c>
      <c r="L592">
        <v>0</v>
      </c>
      <c r="N592" t="str">
        <f>VLOOKUP(input_invoice[[#This Row],[concept/supplier]],'sel-invoice'!D:E,2,0)</f>
        <v>Product Hero</v>
      </c>
      <c r="O592" t="str">
        <f>VLOOKUP(input_invoice[[#This Row],[concept/supplier]],'sel-invoice'!D:F,3,0)</f>
        <v>SL</v>
      </c>
      <c r="P592" t="str">
        <f>IF(input_invoice[[#This Row],[entity]]="SL","EUR",IF(input_invoice[[#This Row],[entity]]="Ltd","GBP",IF(input_invoice[[#This Row],[entity]]="Inc","USD","XXX")))</f>
        <v>EUR</v>
      </c>
    </row>
    <row r="593" spans="1:18" hidden="1" x14ac:dyDescent="0.3">
      <c r="A593">
        <v>202507</v>
      </c>
      <c r="B593" s="22" t="s">
        <v>917</v>
      </c>
      <c r="F593" t="s">
        <v>68</v>
      </c>
      <c r="G593" s="47">
        <f>MAX(+input_invoice[[#This Row],[net]]+input_invoice[[#This Row],[tax_iva]]+input_invoice[[#This Row],[tax_irpf]],input_invoice[[#This Row],[net]])</f>
        <v>0</v>
      </c>
      <c r="H593" s="47">
        <f>input_invoice[[#This Row],[net]]*(MAX(input_invoice[[#This Row],[tax_rate_iva]],0)/100)</f>
        <v>0</v>
      </c>
      <c r="I593" s="47">
        <f>-input_invoice[[#This Row],[net]]*input_invoice[[#This Row],[tax_rate_irpf]]/100</f>
        <v>0</v>
      </c>
      <c r="J593" s="47">
        <v>0</v>
      </c>
      <c r="K593" t="str">
        <f t="shared" si="14"/>
        <v>payment-suppliers</v>
      </c>
      <c r="L593">
        <v>0</v>
      </c>
      <c r="N593" t="str">
        <f>VLOOKUP(input_invoice[[#This Row],[concept/supplier]],'sel-invoice'!D:E,2,0)</f>
        <v>Amazon Pay</v>
      </c>
      <c r="O593" t="str">
        <f>VLOOKUP(input_invoice[[#This Row],[concept/supplier]],'sel-invoice'!D:F,3,0)</f>
        <v>SL</v>
      </c>
      <c r="P593" t="str">
        <f>IF(input_invoice[[#This Row],[entity]]="SL","EUR",IF(input_invoice[[#This Row],[entity]]="Ltd","GBP",IF(input_invoice[[#This Row],[entity]]="Inc","USD","XXX")))</f>
        <v>EUR</v>
      </c>
      <c r="Q593" t="s">
        <v>908</v>
      </c>
    </row>
    <row r="594" spans="1:18" hidden="1" x14ac:dyDescent="0.3">
      <c r="A594">
        <v>202507</v>
      </c>
      <c r="B594" s="22" t="s">
        <v>917</v>
      </c>
      <c r="F594" t="s">
        <v>76</v>
      </c>
      <c r="G594" s="47">
        <f>MAX(+input_invoice[[#This Row],[net]]+input_invoice[[#This Row],[tax_iva]]+input_invoice[[#This Row],[tax_irpf]],input_invoice[[#This Row],[net]])</f>
        <v>0</v>
      </c>
      <c r="H594" s="47">
        <f>input_invoice[[#This Row],[net]]*(MAX(input_invoice[[#This Row],[tax_rate_iva]],0)/100)</f>
        <v>0</v>
      </c>
      <c r="I594" s="47">
        <f>-input_invoice[[#This Row],[net]]*input_invoice[[#This Row],[tax_rate_irpf]]/100</f>
        <v>0</v>
      </c>
      <c r="J594" s="47">
        <v>0</v>
      </c>
      <c r="K594" t="str">
        <f t="shared" si="14"/>
        <v>payment-suppliers</v>
      </c>
      <c r="L594">
        <v>0</v>
      </c>
      <c r="N594" t="str">
        <f>VLOOKUP(input_invoice[[#This Row],[concept/supplier]],'sel-invoice'!D:E,2,0)</f>
        <v>Amazon Seller</v>
      </c>
      <c r="O594" t="str">
        <f>VLOOKUP(input_invoice[[#This Row],[concept/supplier]],'sel-invoice'!D:F,3,0)</f>
        <v>SL</v>
      </c>
      <c r="P594" t="str">
        <f>IF(input_invoice[[#This Row],[entity]]="SL","EUR",IF(input_invoice[[#This Row],[entity]]="Ltd","GBP",IF(input_invoice[[#This Row],[entity]]="Inc","USD","XXX")))</f>
        <v>EUR</v>
      </c>
      <c r="Q594" t="s">
        <v>908</v>
      </c>
    </row>
    <row r="595" spans="1:18" hidden="1" x14ac:dyDescent="0.3">
      <c r="A595">
        <v>202507</v>
      </c>
      <c r="B595" s="22" t="s">
        <v>917</v>
      </c>
      <c r="F595" t="s">
        <v>79</v>
      </c>
      <c r="G595" s="47">
        <f>MAX(+input_invoice[[#This Row],[net]]+input_invoice[[#This Row],[tax_iva]]+input_invoice[[#This Row],[tax_irpf]],input_invoice[[#This Row],[net]])</f>
        <v>0</v>
      </c>
      <c r="H595" s="47">
        <f>input_invoice[[#This Row],[net]]*(MAX(input_invoice[[#This Row],[tax_rate_iva]],0)/100)</f>
        <v>0</v>
      </c>
      <c r="I595" s="47">
        <f>-input_invoice[[#This Row],[net]]*input_invoice[[#This Row],[tax_rate_irpf]]/100</f>
        <v>0</v>
      </c>
      <c r="J595" s="47">
        <v>0</v>
      </c>
      <c r="K595" t="str">
        <f t="shared" si="14"/>
        <v>payment-suppliers</v>
      </c>
      <c r="L595">
        <v>0</v>
      </c>
      <c r="N595" t="str">
        <f>VLOOKUP(input_invoice[[#This Row],[concept/supplier]],'sel-invoice'!D:E,2,0)</f>
        <v>Home24</v>
      </c>
      <c r="O595" t="str">
        <f>VLOOKUP(input_invoice[[#This Row],[concept/supplier]],'sel-invoice'!D:F,3,0)</f>
        <v>SL</v>
      </c>
      <c r="P595" t="str">
        <f>IF(input_invoice[[#This Row],[entity]]="SL","EUR",IF(input_invoice[[#This Row],[entity]]="Ltd","GBP",IF(input_invoice[[#This Row],[entity]]="Inc","USD","XXX")))</f>
        <v>EUR</v>
      </c>
      <c r="Q595" t="s">
        <v>908</v>
      </c>
    </row>
    <row r="596" spans="1:18" hidden="1" x14ac:dyDescent="0.3">
      <c r="A596">
        <v>202507</v>
      </c>
      <c r="B596" s="22" t="s">
        <v>917</v>
      </c>
      <c r="F596" t="s">
        <v>70</v>
      </c>
      <c r="G596" s="47">
        <f>MAX(+input_invoice[[#This Row],[net]]+input_invoice[[#This Row],[tax_iva]]+input_invoice[[#This Row],[tax_irpf]],input_invoice[[#This Row],[net]])</f>
        <v>0</v>
      </c>
      <c r="H596" s="47">
        <f>input_invoice[[#This Row],[net]]*(MAX(input_invoice[[#This Row],[tax_rate_iva]],0)/100)</f>
        <v>0</v>
      </c>
      <c r="I596" s="47">
        <f>-input_invoice[[#This Row],[net]]*input_invoice[[#This Row],[tax_rate_irpf]]/100</f>
        <v>0</v>
      </c>
      <c r="J596" s="47">
        <v>0</v>
      </c>
      <c r="K596" t="str">
        <f t="shared" si="14"/>
        <v>payment-suppliers</v>
      </c>
      <c r="L596">
        <v>0</v>
      </c>
      <c r="N596" t="str">
        <f>VLOOKUP(input_invoice[[#This Row],[concept/supplier]],'sel-invoice'!D:E,2,0)</f>
        <v>Klarna</v>
      </c>
      <c r="O596" t="str">
        <f>VLOOKUP(input_invoice[[#This Row],[concept/supplier]],'sel-invoice'!D:F,3,0)</f>
        <v>SL</v>
      </c>
      <c r="P596" t="str">
        <f>IF(input_invoice[[#This Row],[entity]]="SL","EUR",IF(input_invoice[[#This Row],[entity]]="Ltd","GBP",IF(input_invoice[[#This Row],[entity]]="Inc","USD","XXX")))</f>
        <v>EUR</v>
      </c>
      <c r="Q596" t="s">
        <v>908</v>
      </c>
    </row>
    <row r="597" spans="1:18" hidden="1" x14ac:dyDescent="0.3">
      <c r="A597">
        <v>202507</v>
      </c>
      <c r="B597" s="22" t="s">
        <v>917</v>
      </c>
      <c r="F597" t="s">
        <v>78</v>
      </c>
      <c r="G597" s="47">
        <f>MAX(+input_invoice[[#This Row],[net]]+input_invoice[[#This Row],[tax_iva]]+input_invoice[[#This Row],[tax_irpf]],input_invoice[[#This Row],[net]])</f>
        <v>0</v>
      </c>
      <c r="H597" s="47">
        <f>input_invoice[[#This Row],[net]]*(MAX(input_invoice[[#This Row],[tax_rate_iva]],0)/100)</f>
        <v>0</v>
      </c>
      <c r="I597" s="47">
        <f>-input_invoice[[#This Row],[net]]*input_invoice[[#This Row],[tax_rate_irpf]]/100</f>
        <v>0</v>
      </c>
      <c r="J597" s="47">
        <v>0</v>
      </c>
      <c r="K597" t="str">
        <f t="shared" si="14"/>
        <v>payment-suppliers</v>
      </c>
      <c r="L597">
        <v>0</v>
      </c>
      <c r="N597" t="str">
        <f>VLOOKUP(input_invoice[[#This Row],[concept/supplier]],'sel-invoice'!D:E,2,0)</f>
        <v>Leroy Merlin</v>
      </c>
      <c r="O597" t="str">
        <f>VLOOKUP(input_invoice[[#This Row],[concept/supplier]],'sel-invoice'!D:F,3,0)</f>
        <v>SL</v>
      </c>
      <c r="P597" t="str">
        <f>IF(input_invoice[[#This Row],[entity]]="SL","EUR",IF(input_invoice[[#This Row],[entity]]="Ltd","GBP",IF(input_invoice[[#This Row],[entity]]="Inc","USD","XXX")))</f>
        <v>EUR</v>
      </c>
      <c r="Q597" t="s">
        <v>908</v>
      </c>
    </row>
    <row r="598" spans="1:18" hidden="1" x14ac:dyDescent="0.3">
      <c r="A598">
        <v>202507</v>
      </c>
      <c r="B598" s="22" t="s">
        <v>917</v>
      </c>
      <c r="F598" t="s">
        <v>77</v>
      </c>
      <c r="G598" s="47">
        <f>MAX(+input_invoice[[#This Row],[net]]+input_invoice[[#This Row],[tax_iva]]+input_invoice[[#This Row],[tax_irpf]],input_invoice[[#This Row],[net]])</f>
        <v>0</v>
      </c>
      <c r="H598" s="47">
        <f>input_invoice[[#This Row],[net]]*(MAX(input_invoice[[#This Row],[tax_rate_iva]],0)/100)</f>
        <v>0</v>
      </c>
      <c r="I598" s="47">
        <f>-input_invoice[[#This Row],[net]]*input_invoice[[#This Row],[tax_rate_irpf]]/100</f>
        <v>0</v>
      </c>
      <c r="J598" s="47">
        <v>0</v>
      </c>
      <c r="K598" t="str">
        <f t="shared" si="14"/>
        <v>payment-suppliers</v>
      </c>
      <c r="L598">
        <v>0</v>
      </c>
      <c r="N598" t="str">
        <f>VLOOKUP(input_invoice[[#This Row],[concept/supplier]],'sel-invoice'!D:E,2,0)</f>
        <v>Maisons du Monde</v>
      </c>
      <c r="O598" t="str">
        <f>VLOOKUP(input_invoice[[#This Row],[concept/supplier]],'sel-invoice'!D:F,3,0)</f>
        <v>SL</v>
      </c>
      <c r="P598" t="str">
        <f>IF(input_invoice[[#This Row],[entity]]="SL","EUR",IF(input_invoice[[#This Row],[entity]]="Ltd","GBP",IF(input_invoice[[#This Row],[entity]]="Inc","USD","XXX")))</f>
        <v>EUR</v>
      </c>
      <c r="Q598" t="s">
        <v>908</v>
      </c>
    </row>
    <row r="599" spans="1:18" hidden="1" x14ac:dyDescent="0.3">
      <c r="A599">
        <v>202507</v>
      </c>
      <c r="B599" s="22" t="s">
        <v>917</v>
      </c>
      <c r="F599" t="s">
        <v>66</v>
      </c>
      <c r="G599" s="47">
        <f>MAX(+input_invoice[[#This Row],[net]]+input_invoice[[#This Row],[tax_iva]]+input_invoice[[#This Row],[tax_irpf]],input_invoice[[#This Row],[net]])</f>
        <v>1069.46</v>
      </c>
      <c r="H599" s="47">
        <f>input_invoice[[#This Row],[net]]*(MAX(input_invoice[[#This Row],[tax_rate_iva]],0)/100)</f>
        <v>0</v>
      </c>
      <c r="I599" s="47">
        <f>-input_invoice[[#This Row],[net]]*input_invoice[[#This Row],[tax_rate_irpf]]/100</f>
        <v>0</v>
      </c>
      <c r="J599" s="47">
        <v>1069.46</v>
      </c>
      <c r="K599" t="str">
        <f t="shared" ref="K599:K662" si="15">_xlfn.TEXTBEFORE(F599," - ")</f>
        <v>payment-suppliers</v>
      </c>
      <c r="L599">
        <v>0</v>
      </c>
      <c r="N599" t="str">
        <f>VLOOKUP(input_invoice[[#This Row],[concept/supplier]],'sel-invoice'!D:E,2,0)</f>
        <v>Paypal</v>
      </c>
      <c r="O599" t="str">
        <f>VLOOKUP(input_invoice[[#This Row],[concept/supplier]],'sel-invoice'!D:F,3,0)</f>
        <v>SL</v>
      </c>
      <c r="P599" t="str">
        <f>IF(input_invoice[[#This Row],[entity]]="SL","EUR",IF(input_invoice[[#This Row],[entity]]="Ltd","GBP",IF(input_invoice[[#This Row],[entity]]="Inc","USD","XXX")))</f>
        <v>EUR</v>
      </c>
      <c r="Q599" t="s">
        <v>908</v>
      </c>
    </row>
    <row r="600" spans="1:18" hidden="1" x14ac:dyDescent="0.3">
      <c r="A600">
        <v>202507</v>
      </c>
      <c r="B600" s="22" t="s">
        <v>917</v>
      </c>
      <c r="F600" t="s">
        <v>72</v>
      </c>
      <c r="G600" s="47">
        <f>MAX(+input_invoice[[#This Row],[net]]+input_invoice[[#This Row],[tax_iva]]+input_invoice[[#This Row],[tax_irpf]],input_invoice[[#This Row],[net]])</f>
        <v>0</v>
      </c>
      <c r="H600" s="47">
        <f>input_invoice[[#This Row],[net]]*(MAX(input_invoice[[#This Row],[tax_rate_iva]],0)/100)</f>
        <v>0</v>
      </c>
      <c r="I600" s="47">
        <f>-input_invoice[[#This Row],[net]]*input_invoice[[#This Row],[tax_rate_irpf]]/100</f>
        <v>0</v>
      </c>
      <c r="J600" s="47">
        <v>0</v>
      </c>
      <c r="K600" t="str">
        <f t="shared" si="15"/>
        <v>payment-suppliers</v>
      </c>
      <c r="L600">
        <v>0</v>
      </c>
      <c r="N600" t="str">
        <f>VLOOKUP(input_invoice[[#This Row],[concept/supplier]],'sel-invoice'!D:E,2,0)</f>
        <v>Revolut</v>
      </c>
      <c r="O600" t="str">
        <f>VLOOKUP(input_invoice[[#This Row],[concept/supplier]],'sel-invoice'!D:F,3,0)</f>
        <v>SL</v>
      </c>
      <c r="P600" t="str">
        <f>IF(input_invoice[[#This Row],[entity]]="SL","EUR",IF(input_invoice[[#This Row],[entity]]="Ltd","GBP",IF(input_invoice[[#This Row],[entity]]="Inc","USD","XXX")))</f>
        <v>EUR</v>
      </c>
      <c r="Q600" t="s">
        <v>908</v>
      </c>
    </row>
    <row r="601" spans="1:18" hidden="1" x14ac:dyDescent="0.3">
      <c r="A601">
        <v>202507</v>
      </c>
      <c r="B601" s="22" t="s">
        <v>917</v>
      </c>
      <c r="F601" t="s">
        <v>74</v>
      </c>
      <c r="G601" s="47">
        <f>MAX(+input_invoice[[#This Row],[net]]+input_invoice[[#This Row],[tax_iva]]+input_invoice[[#This Row],[tax_irpf]],input_invoice[[#This Row],[net]])</f>
        <v>0</v>
      </c>
      <c r="H601" s="47">
        <f>input_invoice[[#This Row],[net]]*(MAX(input_invoice[[#This Row],[tax_rate_iva]],0)/100)</f>
        <v>0</v>
      </c>
      <c r="I601" s="47">
        <f>-input_invoice[[#This Row],[net]]*input_invoice[[#This Row],[tax_rate_irpf]]/100</f>
        <v>0</v>
      </c>
      <c r="J601" s="47">
        <v>0</v>
      </c>
      <c r="K601" t="str">
        <f t="shared" si="15"/>
        <v>payment-suppliers</v>
      </c>
      <c r="L601">
        <v>0</v>
      </c>
      <c r="N601" t="str">
        <f>VLOOKUP(input_invoice[[#This Row],[concept/supplier]],'sel-invoice'!D:E,2,0)</f>
        <v>SeQura</v>
      </c>
      <c r="O601" t="str">
        <f>VLOOKUP(input_invoice[[#This Row],[concept/supplier]],'sel-invoice'!D:F,3,0)</f>
        <v>SL</v>
      </c>
      <c r="P601" t="str">
        <f>IF(input_invoice[[#This Row],[entity]]="SL","EUR",IF(input_invoice[[#This Row],[entity]]="Ltd","GBP",IF(input_invoice[[#This Row],[entity]]="Inc","USD","XXX")))</f>
        <v>EUR</v>
      </c>
      <c r="Q601" t="s">
        <v>908</v>
      </c>
    </row>
    <row r="602" spans="1:18" hidden="1" x14ac:dyDescent="0.3">
      <c r="A602">
        <v>202507</v>
      </c>
      <c r="B602" s="22" t="s">
        <v>917</v>
      </c>
      <c r="F602" t="s">
        <v>65</v>
      </c>
      <c r="G602" s="47">
        <f>MAX(+input_invoice[[#This Row],[net]]+input_invoice[[#This Row],[tax_iva]]+input_invoice[[#This Row],[tax_irpf]],input_invoice[[#This Row],[net]])</f>
        <v>2439.54</v>
      </c>
      <c r="H602" s="47">
        <f>input_invoice[[#This Row],[net]]*(MAX(input_invoice[[#This Row],[tax_rate_iva]],0)/100)</f>
        <v>0</v>
      </c>
      <c r="I602" s="47">
        <f>-input_invoice[[#This Row],[net]]*input_invoice[[#This Row],[tax_rate_irpf]]/100</f>
        <v>0</v>
      </c>
      <c r="J602" s="47">
        <v>2439.54</v>
      </c>
      <c r="K602" t="str">
        <f t="shared" si="15"/>
        <v>payment-suppliers</v>
      </c>
      <c r="L602">
        <v>0</v>
      </c>
      <c r="N602" t="str">
        <f>VLOOKUP(input_invoice[[#This Row],[concept/supplier]],'sel-invoice'!D:E,2,0)</f>
        <v>Shopify</v>
      </c>
      <c r="O602" t="str">
        <f>VLOOKUP(input_invoice[[#This Row],[concept/supplier]],'sel-invoice'!D:F,3,0)</f>
        <v>SL</v>
      </c>
      <c r="P602" t="str">
        <f>IF(input_invoice[[#This Row],[entity]]="SL","EUR",IF(input_invoice[[#This Row],[entity]]="Ltd","GBP",IF(input_invoice[[#This Row],[entity]]="Inc","USD","XXX")))</f>
        <v>EUR</v>
      </c>
      <c r="Q602" t="s">
        <v>908</v>
      </c>
      <c r="R602" s="267" t="b">
        <v>1</v>
      </c>
    </row>
    <row r="603" spans="1:18" hidden="1" x14ac:dyDescent="0.3">
      <c r="A603">
        <v>202507</v>
      </c>
      <c r="B603" s="22" t="s">
        <v>917</v>
      </c>
      <c r="F603" t="s">
        <v>70</v>
      </c>
      <c r="G603" s="47">
        <f>MAX(+input_invoice[[#This Row],[net]]+input_invoice[[#This Row],[tax_iva]],input_invoice[[#This Row],[net]])</f>
        <v>40.35</v>
      </c>
      <c r="H603" s="47">
        <f>input_invoice[[#This Row],[net]]*(MAX(input_invoice[[#This Row],[tax_rate_iva]],0)/100)</f>
        <v>0</v>
      </c>
      <c r="I603" s="47">
        <f>-input_invoice[[#This Row],[net]]*input_invoice[[#This Row],[tax_rate_irpf]]/100</f>
        <v>0</v>
      </c>
      <c r="J603" s="47">
        <v>40.35</v>
      </c>
      <c r="K603" t="str">
        <f t="shared" si="15"/>
        <v>payment-suppliers</v>
      </c>
      <c r="L603">
        <v>0</v>
      </c>
      <c r="N603" t="str">
        <f>VLOOKUP(input_invoice[[#This Row],[concept/supplier]],'sel-invoice'!D:E,2,0)</f>
        <v>Klarna</v>
      </c>
      <c r="O603" t="str">
        <f>VLOOKUP(input_invoice[[#This Row],[concept/supplier]],'sel-invoice'!D:F,3,0)</f>
        <v>SL</v>
      </c>
      <c r="P603" t="str">
        <f>IF(input_invoice[[#This Row],[entity]]="SL","EUR",IF(input_invoice[[#This Row],[entity]]="Ltd","GBP",IF(input_invoice[[#This Row],[entity]]="Inc","USD","XXX")))</f>
        <v>EUR</v>
      </c>
    </row>
    <row r="604" spans="1:18" hidden="1" x14ac:dyDescent="0.3">
      <c r="A604">
        <v>202508</v>
      </c>
      <c r="B604" s="22" t="s">
        <v>917</v>
      </c>
      <c r="F604" t="s">
        <v>122</v>
      </c>
      <c r="G604" s="47">
        <f>MAX(+input_invoice[[#This Row],[net]]+input_invoice[[#This Row],[tax_iva]]+input_invoice[[#This Row],[tax_irpf]],input_invoice[[#This Row],[net]])</f>
        <v>2332.38</v>
      </c>
      <c r="H604" s="47">
        <f>input_invoice[[#This Row],[net]]*(MAX(input_invoice[[#This Row],[tax_rate_iva]],0)/100)</f>
        <v>0</v>
      </c>
      <c r="I604" s="47">
        <f>-input_invoice[[#This Row],[net]]*input_invoice[[#This Row],[tax_rate_irpf]]/100</f>
        <v>0</v>
      </c>
      <c r="J604" s="47">
        <v>2332.38</v>
      </c>
      <c r="K604" t="str">
        <f t="shared" si="15"/>
        <v>it</v>
      </c>
      <c r="L604">
        <v>0</v>
      </c>
      <c r="N604" t="str">
        <f>VLOOKUP(input_invoice[[#This Row],[concept/supplier]],'sel-invoice'!D:E,2,0)</f>
        <v>Shopify</v>
      </c>
      <c r="O604" t="str">
        <f>VLOOKUP(input_invoice[[#This Row],[concept/supplier]],'sel-invoice'!D:F,3,0)</f>
        <v>SL</v>
      </c>
      <c r="P604" t="str">
        <f>IF(input_invoice[[#This Row],[entity]]="SL","EUR",IF(input_invoice[[#This Row],[entity]]="Ltd","GBP",IF(input_invoice[[#This Row],[entity]]="Inc","USD","XXX")))</f>
        <v>EUR</v>
      </c>
      <c r="R604" s="259" t="b">
        <v>1</v>
      </c>
    </row>
    <row r="605" spans="1:18" hidden="1" x14ac:dyDescent="0.3">
      <c r="A605">
        <v>202507</v>
      </c>
      <c r="B605" s="22" t="s">
        <v>917</v>
      </c>
      <c r="C605" s="48" t="s">
        <v>356</v>
      </c>
      <c r="F605" t="s">
        <v>54</v>
      </c>
      <c r="G605" s="47">
        <f>MAX(+input_invoice[[#This Row],[net]]+input_invoice[[#This Row],[tax_iva]]+input_invoice[[#This Row],[tax_irpf]],input_invoice[[#This Row],[net]])</f>
        <v>8.5909999999999993</v>
      </c>
      <c r="H605" s="47">
        <f>input_invoice[[#This Row],[net]]*(MAX(input_invoice[[#This Row],[tax_rate_iva]],0)/100)</f>
        <v>1.4909999999999999</v>
      </c>
      <c r="I605" s="47">
        <f>-input_invoice[[#This Row],[net]]*input_invoice[[#This Row],[tax_rate_irpf]]/100</f>
        <v>0</v>
      </c>
      <c r="J605" s="47">
        <v>7.1</v>
      </c>
      <c r="K605" t="str">
        <f t="shared" si="15"/>
        <v>logistics</v>
      </c>
      <c r="L605">
        <v>21</v>
      </c>
      <c r="N605" t="str">
        <f>VLOOKUP(input_invoice[[#This Row],[concept/supplier]],'sel-invoice'!D:E,2,0)</f>
        <v>Spring</v>
      </c>
      <c r="O605" t="str">
        <f>VLOOKUP(input_invoice[[#This Row],[concept/supplier]],'sel-invoice'!D:F,3,0)</f>
        <v>SL</v>
      </c>
      <c r="P605" t="str">
        <f>IF(input_invoice[[#This Row],[entity]]="SL","EUR",IF(input_invoice[[#This Row],[entity]]="Ltd","GBP",IF(input_invoice[[#This Row],[entity]]="Inc","USD","XXX")))</f>
        <v>EUR</v>
      </c>
    </row>
    <row r="606" spans="1:18" hidden="1" x14ac:dyDescent="0.3">
      <c r="A606">
        <v>202507</v>
      </c>
      <c r="B606" s="22" t="s">
        <v>917</v>
      </c>
      <c r="F606" t="s">
        <v>54</v>
      </c>
      <c r="G606" s="47">
        <f>MAX(+input_invoice[[#This Row],[net]]+input_invoice[[#This Row],[tax_iva]]+input_invoice[[#This Row],[tax_irpf]],input_invoice[[#This Row],[net]])</f>
        <v>24.974399999999999</v>
      </c>
      <c r="H606" s="47">
        <f>input_invoice[[#This Row],[net]]*(MAX(input_invoice[[#This Row],[tax_rate_iva]],0)/100)</f>
        <v>4.3343999999999996</v>
      </c>
      <c r="I606" s="47">
        <f>-input_invoice[[#This Row],[net]]*input_invoice[[#This Row],[tax_rate_irpf]]/100</f>
        <v>0</v>
      </c>
      <c r="J606" s="47">
        <v>20.64</v>
      </c>
      <c r="K606" t="str">
        <f t="shared" si="15"/>
        <v>logistics</v>
      </c>
      <c r="L606">
        <v>21</v>
      </c>
      <c r="N606" t="str">
        <f>VLOOKUP(input_invoice[[#This Row],[concept/supplier]],'sel-invoice'!D:E,2,0)</f>
        <v>Spring</v>
      </c>
      <c r="O606" t="str">
        <f>VLOOKUP(input_invoice[[#This Row],[concept/supplier]],'sel-invoice'!D:F,3,0)</f>
        <v>SL</v>
      </c>
      <c r="P606" t="str">
        <f>IF(input_invoice[[#This Row],[entity]]="SL","EUR",IF(input_invoice[[#This Row],[entity]]="Ltd","GBP",IF(input_invoice[[#This Row],[entity]]="Inc","USD","XXX")))</f>
        <v>EUR</v>
      </c>
    </row>
    <row r="607" spans="1:18" hidden="1" x14ac:dyDescent="0.3">
      <c r="A607">
        <v>202507</v>
      </c>
      <c r="B607" s="22" t="s">
        <v>917</v>
      </c>
      <c r="C607" s="48" t="s">
        <v>357</v>
      </c>
      <c r="F607" t="s">
        <v>54</v>
      </c>
      <c r="G607" s="47">
        <f>MAX(+input_invoice[[#This Row],[net]]+input_invoice[[#This Row],[tax_iva]]+input_invoice[[#This Row],[tax_irpf]],input_invoice[[#This Row],[net]])</f>
        <v>8.5909999999999993</v>
      </c>
      <c r="H607" s="47">
        <f>input_invoice[[#This Row],[net]]*(MAX(input_invoice[[#This Row],[tax_rate_iva]],0)/100)</f>
        <v>1.4909999999999999</v>
      </c>
      <c r="I607" s="47">
        <f>-input_invoice[[#This Row],[net]]*input_invoice[[#This Row],[tax_rate_irpf]]/100</f>
        <v>0</v>
      </c>
      <c r="J607" s="47">
        <v>7.1</v>
      </c>
      <c r="K607" t="str">
        <f t="shared" si="15"/>
        <v>logistics</v>
      </c>
      <c r="L607">
        <v>21</v>
      </c>
      <c r="N607" t="str">
        <f>VLOOKUP(input_invoice[[#This Row],[concept/supplier]],'sel-invoice'!D:E,2,0)</f>
        <v>Spring</v>
      </c>
      <c r="O607" t="str">
        <f>VLOOKUP(input_invoice[[#This Row],[concept/supplier]],'sel-invoice'!D:F,3,0)</f>
        <v>SL</v>
      </c>
      <c r="P607" t="str">
        <f>IF(input_invoice[[#This Row],[entity]]="SL","EUR",IF(input_invoice[[#This Row],[entity]]="Ltd","GBP",IF(input_invoice[[#This Row],[entity]]="Inc","USD","XXX")))</f>
        <v>EUR</v>
      </c>
    </row>
    <row r="608" spans="1:18" hidden="1" x14ac:dyDescent="0.3">
      <c r="A608">
        <v>202507</v>
      </c>
      <c r="B608" s="22" t="s">
        <v>917</v>
      </c>
      <c r="F608" t="s">
        <v>54</v>
      </c>
      <c r="G608" s="47">
        <f>MAX(+input_invoice[[#This Row],[net]]+input_invoice[[#This Row],[tax_iva]]+input_invoice[[#This Row],[tax_irpf]],input_invoice[[#This Row],[net]])</f>
        <v>20.037599999999998</v>
      </c>
      <c r="H608" s="47">
        <f>input_invoice[[#This Row],[net]]*(MAX(input_invoice[[#This Row],[tax_rate_iva]],0)/100)</f>
        <v>3.4775999999999998</v>
      </c>
      <c r="I608" s="47">
        <f>-input_invoice[[#This Row],[net]]*input_invoice[[#This Row],[tax_rate_irpf]]/100</f>
        <v>0</v>
      </c>
      <c r="J608" s="47">
        <v>16.559999999999999</v>
      </c>
      <c r="K608" t="str">
        <f t="shared" si="15"/>
        <v>logistics</v>
      </c>
      <c r="L608">
        <v>21</v>
      </c>
      <c r="N608" t="str">
        <f>VLOOKUP(input_invoice[[#This Row],[concept/supplier]],'sel-invoice'!D:E,2,0)</f>
        <v>Spring</v>
      </c>
      <c r="O608" t="str">
        <f>VLOOKUP(input_invoice[[#This Row],[concept/supplier]],'sel-invoice'!D:F,3,0)</f>
        <v>SL</v>
      </c>
      <c r="P608" t="str">
        <f>IF(input_invoice[[#This Row],[entity]]="SL","EUR",IF(input_invoice[[#This Row],[entity]]="Ltd","GBP",IF(input_invoice[[#This Row],[entity]]="Inc","USD","XXX")))</f>
        <v>EUR</v>
      </c>
    </row>
    <row r="609" spans="1:18" ht="15" hidden="1" thickBot="1" x14ac:dyDescent="0.35">
      <c r="A609">
        <v>202507</v>
      </c>
      <c r="B609" s="22" t="s">
        <v>917</v>
      </c>
      <c r="F609" t="s">
        <v>55</v>
      </c>
      <c r="G609" s="47">
        <f>MAX(+input_invoice[[#This Row],[net]]+input_invoice[[#This Row],[tax_iva]]+input_invoice[[#This Row],[tax_irpf]],input_invoice[[#This Row],[net]])</f>
        <v>415.25</v>
      </c>
      <c r="H609" s="47">
        <f>input_invoice[[#This Row],[net]]*(MAX(input_invoice[[#This Row],[tax_rate_iva]],0)/100)</f>
        <v>0</v>
      </c>
      <c r="I609" s="47">
        <f>-input_invoice[[#This Row],[net]]*input_invoice[[#This Row],[tax_rate_irpf]]/100</f>
        <v>0</v>
      </c>
      <c r="J609" s="266">
        <v>415.25</v>
      </c>
      <c r="K609" t="str">
        <f t="shared" si="15"/>
        <v>logistics</v>
      </c>
      <c r="L609">
        <v>0</v>
      </c>
      <c r="N609" t="str">
        <f>VLOOKUP(input_invoice[[#This Row],[concept/supplier]],'sel-invoice'!D:E,2,0)</f>
        <v>UPS DE</v>
      </c>
      <c r="O609" t="str">
        <f>VLOOKUP(input_invoice[[#This Row],[concept/supplier]],'sel-invoice'!D:F,3,0)</f>
        <v>SL</v>
      </c>
      <c r="P609" t="str">
        <f>IF(input_invoice[[#This Row],[entity]]="SL","EUR",IF(input_invoice[[#This Row],[entity]]="Ltd","GBP",IF(input_invoice[[#This Row],[entity]]="Inc","USD","XXX")))</f>
        <v>EUR</v>
      </c>
      <c r="R609" s="259" t="b">
        <v>0</v>
      </c>
    </row>
    <row r="610" spans="1:18" ht="15.75" hidden="1" customHeight="1" thickBot="1" x14ac:dyDescent="0.35">
      <c r="A610">
        <v>202507</v>
      </c>
      <c r="B610" s="22" t="s">
        <v>917</v>
      </c>
      <c r="F610" t="s">
        <v>55</v>
      </c>
      <c r="G610" s="47">
        <f>MAX(+input_invoice[[#This Row],[net]]+input_invoice[[#This Row],[tax_iva]]+input_invoice[[#This Row],[tax_irpf]],input_invoice[[#This Row],[net]])</f>
        <v>770.8</v>
      </c>
      <c r="H610" s="47">
        <f>input_invoice[[#This Row],[net]]*(MAX(input_invoice[[#This Row],[tax_rate_iva]],0)/100)</f>
        <v>0</v>
      </c>
      <c r="I610" s="47">
        <f>-input_invoice[[#This Row],[net]]*input_invoice[[#This Row],[tax_rate_irpf]]/100</f>
        <v>0</v>
      </c>
      <c r="J610" s="266">
        <v>770.8</v>
      </c>
      <c r="K610" t="str">
        <f t="shared" si="15"/>
        <v>logistics</v>
      </c>
      <c r="L610">
        <v>0</v>
      </c>
      <c r="N610" t="str">
        <f>VLOOKUP(input_invoice[[#This Row],[concept/supplier]],'sel-invoice'!D:E,2,0)</f>
        <v>UPS DE</v>
      </c>
      <c r="O610" t="str">
        <f>VLOOKUP(input_invoice[[#This Row],[concept/supplier]],'sel-invoice'!D:F,3,0)</f>
        <v>SL</v>
      </c>
      <c r="P610" t="str">
        <f>IF(input_invoice[[#This Row],[entity]]="SL","EUR",IF(input_invoice[[#This Row],[entity]]="Ltd","GBP",IF(input_invoice[[#This Row],[entity]]="Inc","USD","XXX")))</f>
        <v>EUR</v>
      </c>
      <c r="R610" s="259" t="b">
        <v>0</v>
      </c>
    </row>
    <row r="611" spans="1:18" ht="15.75" hidden="1" customHeight="1" thickBot="1" x14ac:dyDescent="0.35">
      <c r="A611">
        <v>202507</v>
      </c>
      <c r="B611" s="22" t="s">
        <v>917</v>
      </c>
      <c r="F611" t="s">
        <v>55</v>
      </c>
      <c r="G611" s="47">
        <f>MAX(+input_invoice[[#This Row],[net]]+input_invoice[[#This Row],[tax_iva]]+input_invoice[[#This Row],[tax_irpf]],input_invoice[[#This Row],[net]])</f>
        <v>1546.23</v>
      </c>
      <c r="H611" s="47">
        <f>input_invoice[[#This Row],[net]]*(MAX(input_invoice[[#This Row],[tax_rate_iva]],0)/100)</f>
        <v>0</v>
      </c>
      <c r="I611" s="47">
        <f>-input_invoice[[#This Row],[net]]*input_invoice[[#This Row],[tax_rate_irpf]]/100</f>
        <v>0</v>
      </c>
      <c r="J611" s="266">
        <v>1546.23</v>
      </c>
      <c r="K611" t="str">
        <f t="shared" si="15"/>
        <v>logistics</v>
      </c>
      <c r="L611">
        <v>0</v>
      </c>
      <c r="N611" t="str">
        <f>VLOOKUP(input_invoice[[#This Row],[concept/supplier]],'sel-invoice'!D:E,2,0)</f>
        <v>UPS DE</v>
      </c>
      <c r="O611" t="str">
        <f>VLOOKUP(input_invoice[[#This Row],[concept/supplier]],'sel-invoice'!D:F,3,0)</f>
        <v>SL</v>
      </c>
      <c r="P611" t="str">
        <f>IF(input_invoice[[#This Row],[entity]]="SL","EUR",IF(input_invoice[[#This Row],[entity]]="Ltd","GBP",IF(input_invoice[[#This Row],[entity]]="Inc","USD","XXX")))</f>
        <v>EUR</v>
      </c>
      <c r="R611" s="259" t="b">
        <v>0</v>
      </c>
    </row>
    <row r="612" spans="1:18" hidden="1" x14ac:dyDescent="0.3">
      <c r="A612">
        <v>202507</v>
      </c>
      <c r="B612" s="22" t="s">
        <v>917</v>
      </c>
      <c r="F612" t="s">
        <v>55</v>
      </c>
      <c r="G612" s="47">
        <f>MAX(+input_invoice[[#This Row],[net]]+input_invoice[[#This Row],[tax_iva]]+input_invoice[[#This Row],[tax_irpf]],input_invoice[[#This Row],[net]])</f>
        <v>844.11</v>
      </c>
      <c r="H612" s="47">
        <f>input_invoice[[#This Row],[net]]*(MAX(input_invoice[[#This Row],[tax_rate_iva]],0)/100)</f>
        <v>0</v>
      </c>
      <c r="I612" s="47">
        <f>-input_invoice[[#This Row],[net]]*input_invoice[[#This Row],[tax_rate_irpf]]/100</f>
        <v>0</v>
      </c>
      <c r="J612" s="47">
        <v>844.11</v>
      </c>
      <c r="K612" t="str">
        <f t="shared" si="15"/>
        <v>logistics</v>
      </c>
      <c r="L612">
        <v>0</v>
      </c>
      <c r="N612" t="str">
        <f>VLOOKUP(input_invoice[[#This Row],[concept/supplier]],'sel-invoice'!D:E,2,0)</f>
        <v>UPS DE</v>
      </c>
      <c r="O612" t="str">
        <f>VLOOKUP(input_invoice[[#This Row],[concept/supplier]],'sel-invoice'!D:F,3,0)</f>
        <v>SL</v>
      </c>
      <c r="P612" t="str">
        <f>IF(input_invoice[[#This Row],[entity]]="SL","EUR",IF(input_invoice[[#This Row],[entity]]="Ltd","GBP",IF(input_invoice[[#This Row],[entity]]="Inc","USD","XXX")))</f>
        <v>EUR</v>
      </c>
      <c r="R612" s="259" t="b">
        <v>0</v>
      </c>
    </row>
    <row r="613" spans="1:18" hidden="1" x14ac:dyDescent="0.3">
      <c r="A613">
        <v>202507</v>
      </c>
      <c r="B613" s="22" t="s">
        <v>917</v>
      </c>
      <c r="F613" t="s">
        <v>55</v>
      </c>
      <c r="G613" s="47">
        <f>MAX(+input_invoice[[#This Row],[net]]+input_invoice[[#This Row],[tax_iva]]+input_invoice[[#This Row],[tax_irpf]],input_invoice[[#This Row],[net]])</f>
        <v>1472.73</v>
      </c>
      <c r="H613" s="47">
        <f>input_invoice[[#This Row],[net]]*(MAX(input_invoice[[#This Row],[tax_rate_iva]],0)/100)</f>
        <v>0</v>
      </c>
      <c r="I613" s="47">
        <f>-input_invoice[[#This Row],[net]]*input_invoice[[#This Row],[tax_rate_irpf]]/100</f>
        <v>0</v>
      </c>
      <c r="J613" s="47">
        <v>1472.73</v>
      </c>
      <c r="K613" t="str">
        <f t="shared" si="15"/>
        <v>logistics</v>
      </c>
      <c r="L613">
        <v>0</v>
      </c>
      <c r="N613" t="str">
        <f>VLOOKUP(input_invoice[[#This Row],[concept/supplier]],'sel-invoice'!D:E,2,0)</f>
        <v>UPS DE</v>
      </c>
      <c r="O613" t="str">
        <f>VLOOKUP(input_invoice[[#This Row],[concept/supplier]],'sel-invoice'!D:F,3,0)</f>
        <v>SL</v>
      </c>
      <c r="P613" t="str">
        <f>IF(input_invoice[[#This Row],[entity]]="SL","EUR",IF(input_invoice[[#This Row],[entity]]="Ltd","GBP",IF(input_invoice[[#This Row],[entity]]="Inc","USD","XXX")))</f>
        <v>EUR</v>
      </c>
      <c r="R613" s="259" t="b">
        <v>0</v>
      </c>
    </row>
    <row r="614" spans="1:18" hidden="1" x14ac:dyDescent="0.3">
      <c r="A614">
        <v>202507</v>
      </c>
      <c r="B614" s="22" t="s">
        <v>917</v>
      </c>
      <c r="F614" t="s">
        <v>56</v>
      </c>
      <c r="G614" s="47">
        <f>MAX(+input_invoice[[#This Row],[net]]+input_invoice[[#This Row],[tax_iva]]+input_invoice[[#This Row],[tax_irpf]],input_invoice[[#This Row],[net]])</f>
        <v>498.48</v>
      </c>
      <c r="H614" s="47">
        <f>input_invoice[[#This Row],[net]]*(MAX(input_invoice[[#This Row],[tax_rate_iva]],0)/100)</f>
        <v>0</v>
      </c>
      <c r="I614" s="47">
        <f>-input_invoice[[#This Row],[net]]*input_invoice[[#This Row],[tax_rate_irpf]]/100</f>
        <v>0</v>
      </c>
      <c r="J614" s="47">
        <v>498.48</v>
      </c>
      <c r="K614" t="str">
        <f t="shared" si="15"/>
        <v>logistics</v>
      </c>
      <c r="L614">
        <v>0</v>
      </c>
      <c r="N614" t="str">
        <f>VLOOKUP(input_invoice[[#This Row],[concept/supplier]],'sel-invoice'!D:E,2,0)</f>
        <v>UPS FR</v>
      </c>
      <c r="O614" t="str">
        <f>VLOOKUP(input_invoice[[#This Row],[concept/supplier]],'sel-invoice'!D:F,3,0)</f>
        <v>SL</v>
      </c>
      <c r="P614" t="str">
        <f>IF(input_invoice[[#This Row],[entity]]="SL","EUR",IF(input_invoice[[#This Row],[entity]]="Ltd","GBP",IF(input_invoice[[#This Row],[entity]]="Inc","USD","XXX")))</f>
        <v>EUR</v>
      </c>
      <c r="R614" s="259" t="b">
        <v>0</v>
      </c>
    </row>
    <row r="615" spans="1:18" hidden="1" x14ac:dyDescent="0.3">
      <c r="A615">
        <v>202507</v>
      </c>
      <c r="B615" s="22" t="s">
        <v>917</v>
      </c>
      <c r="F615" t="s">
        <v>56</v>
      </c>
      <c r="G615" s="47">
        <f>MAX(+input_invoice[[#This Row],[net]]+input_invoice[[#This Row],[tax_iva]]+input_invoice[[#This Row],[tax_irpf]],input_invoice[[#This Row],[net]])</f>
        <v>53.51</v>
      </c>
      <c r="H615" s="47">
        <f>input_invoice[[#This Row],[net]]*(MAX(input_invoice[[#This Row],[tax_rate_iva]],0)/100)</f>
        <v>0</v>
      </c>
      <c r="I615" s="47">
        <f>-input_invoice[[#This Row],[net]]*input_invoice[[#This Row],[tax_rate_irpf]]/100</f>
        <v>0</v>
      </c>
      <c r="J615" s="47">
        <v>53.51</v>
      </c>
      <c r="K615" t="str">
        <f t="shared" si="15"/>
        <v>logistics</v>
      </c>
      <c r="L615">
        <v>0</v>
      </c>
      <c r="N615" t="str">
        <f>VLOOKUP(input_invoice[[#This Row],[concept/supplier]],'sel-invoice'!D:E,2,0)</f>
        <v>UPS FR</v>
      </c>
      <c r="O615" t="str">
        <f>VLOOKUP(input_invoice[[#This Row],[concept/supplier]],'sel-invoice'!D:F,3,0)</f>
        <v>SL</v>
      </c>
      <c r="P615" t="str">
        <f>IF(input_invoice[[#This Row],[entity]]="SL","EUR",IF(input_invoice[[#This Row],[entity]]="Ltd","GBP",IF(input_invoice[[#This Row],[entity]]="Inc","USD","XXX")))</f>
        <v>EUR</v>
      </c>
      <c r="R615" s="259" t="b">
        <v>0</v>
      </c>
    </row>
    <row r="616" spans="1:18" hidden="1" x14ac:dyDescent="0.3">
      <c r="A616">
        <v>202508</v>
      </c>
      <c r="B616" s="22" t="s">
        <v>917</v>
      </c>
      <c r="F616" t="s">
        <v>39</v>
      </c>
      <c r="G616" s="47">
        <f>MAX(+input_invoice[[#This Row],[net]]+input_invoice[[#This Row],[tax_iva]]+input_invoice[[#This Row],[tax_irpf]],input_invoice[[#This Row],[net]])</f>
        <v>151.5976</v>
      </c>
      <c r="H616" s="47">
        <f>input_invoice[[#This Row],[net]]*(MAX(input_invoice[[#This Row],[tax_rate_iva]],0)/100)</f>
        <v>9.917600000000002</v>
      </c>
      <c r="I616" s="47">
        <f>-input_invoice[[#This Row],[net]]*input_invoice[[#This Row],[tax_rate_irpf]]/100</f>
        <v>0</v>
      </c>
      <c r="J616" s="47">
        <v>141.68</v>
      </c>
      <c r="K616" t="str">
        <f t="shared" si="15"/>
        <v>manufacturing</v>
      </c>
      <c r="L616">
        <v>7</v>
      </c>
      <c r="N616" t="str">
        <f>VLOOKUP(input_invoice[[#This Row],[concept/supplier]],'sel-invoice'!D:E,2,0)</f>
        <v>Apphoto Canarias</v>
      </c>
      <c r="O616" t="str">
        <f>VLOOKUP(input_invoice[[#This Row],[concept/supplier]],'sel-invoice'!D:F,3,0)</f>
        <v>SL</v>
      </c>
      <c r="P616" t="str">
        <f>IF(input_invoice[[#This Row],[entity]]="SL","EUR",IF(input_invoice[[#This Row],[entity]]="Ltd","GBP",IF(input_invoice[[#This Row],[entity]]="Inc","USD","XXX")))</f>
        <v>EUR</v>
      </c>
    </row>
    <row r="617" spans="1:18" hidden="1" x14ac:dyDescent="0.3">
      <c r="A617">
        <v>202508</v>
      </c>
      <c r="B617" s="22" t="s">
        <v>917</v>
      </c>
      <c r="F617" t="s">
        <v>37</v>
      </c>
      <c r="G617" s="47">
        <f>MAX(+input_invoice[[#This Row],[net]]+input_invoice[[#This Row],[tax_iva]]+input_invoice[[#This Row],[tax_irpf]],input_invoice[[#This Row],[net]])</f>
        <v>8077.9721</v>
      </c>
      <c r="H617" s="47">
        <f>input_invoice[[#This Row],[net]]*(MAX(input_invoice[[#This Row],[tax_rate_iva]],0)/100)</f>
        <v>1401.9621</v>
      </c>
      <c r="I617" s="47">
        <f>-input_invoice[[#This Row],[net]]*input_invoice[[#This Row],[tax_rate_irpf]]/100</f>
        <v>0</v>
      </c>
      <c r="J617" s="47">
        <v>6676.01</v>
      </c>
      <c r="K617" t="str">
        <f t="shared" si="15"/>
        <v>manufacturing</v>
      </c>
      <c r="L617">
        <v>21</v>
      </c>
      <c r="N617" t="str">
        <f>VLOOKUP(input_invoice[[#This Row],[concept/supplier]],'sel-invoice'!D:E,2,0)</f>
        <v>Apphoto España</v>
      </c>
      <c r="O617" t="str">
        <f>VLOOKUP(input_invoice[[#This Row],[concept/supplier]],'sel-invoice'!D:F,3,0)</f>
        <v>SL</v>
      </c>
      <c r="P617" t="str">
        <f>IF(input_invoice[[#This Row],[entity]]="SL","EUR",IF(input_invoice[[#This Row],[entity]]="Ltd","GBP",IF(input_invoice[[#This Row],[entity]]="Inc","USD","XXX")))</f>
        <v>EUR</v>
      </c>
    </row>
    <row r="618" spans="1:18" hidden="1" x14ac:dyDescent="0.3">
      <c r="A618">
        <v>202508</v>
      </c>
      <c r="B618" s="22" t="s">
        <v>917</v>
      </c>
      <c r="F618" t="s">
        <v>37</v>
      </c>
      <c r="G618" s="47">
        <f>MAX(+input_invoice[[#This Row],[net]]+input_invoice[[#This Row],[tax_iva]]+input_invoice[[#This Row],[tax_irpf]],input_invoice[[#This Row],[net]])</f>
        <v>6997.0064999999995</v>
      </c>
      <c r="H618" s="47">
        <f>input_invoice[[#This Row],[net]]*(MAX(input_invoice[[#This Row],[tax_rate_iva]],0)/100)</f>
        <v>1214.3564999999999</v>
      </c>
      <c r="I618" s="47">
        <f>-input_invoice[[#This Row],[net]]*input_invoice[[#This Row],[tax_rate_irpf]]/100</f>
        <v>0</v>
      </c>
      <c r="J618" s="47">
        <v>5782.65</v>
      </c>
      <c r="K618" t="str">
        <f t="shared" si="15"/>
        <v>manufacturing</v>
      </c>
      <c r="L618">
        <v>21</v>
      </c>
      <c r="N618" t="str">
        <f>VLOOKUP(input_invoice[[#This Row],[concept/supplier]],'sel-invoice'!D:E,2,0)</f>
        <v>Apphoto España</v>
      </c>
      <c r="O618" t="str">
        <f>VLOOKUP(input_invoice[[#This Row],[concept/supplier]],'sel-invoice'!D:F,3,0)</f>
        <v>SL</v>
      </c>
      <c r="P618" t="str">
        <f>IF(input_invoice[[#This Row],[entity]]="SL","EUR",IF(input_invoice[[#This Row],[entity]]="Ltd","GBP",IF(input_invoice[[#This Row],[entity]]="Inc","USD","XXX")))</f>
        <v>EUR</v>
      </c>
    </row>
    <row r="619" spans="1:18" hidden="1" x14ac:dyDescent="0.3">
      <c r="A619">
        <v>202508</v>
      </c>
      <c r="B619" s="22" t="s">
        <v>917</v>
      </c>
      <c r="F619" t="s">
        <v>37</v>
      </c>
      <c r="G619" s="47">
        <f>MAX(+input_invoice[[#This Row],[net]]+input_invoice[[#This Row],[tax_iva]]+input_invoice[[#This Row],[tax_irpf]],input_invoice[[#This Row],[net]])</f>
        <v>7296.3</v>
      </c>
      <c r="H619" s="47">
        <f>input_invoice[[#This Row],[net]]*(MAX(input_invoice[[#This Row],[tax_rate_iva]],0)/100)</f>
        <v>1266.3</v>
      </c>
      <c r="I619" s="47">
        <f>-input_invoice[[#This Row],[net]]*input_invoice[[#This Row],[tax_rate_irpf]]/100</f>
        <v>0</v>
      </c>
      <c r="J619" s="47">
        <v>6030</v>
      </c>
      <c r="K619" t="str">
        <f t="shared" si="15"/>
        <v>manufacturing</v>
      </c>
      <c r="L619">
        <v>21</v>
      </c>
      <c r="N619" t="str">
        <f>VLOOKUP(input_invoice[[#This Row],[concept/supplier]],'sel-invoice'!D:E,2,0)</f>
        <v>Apphoto España</v>
      </c>
      <c r="O619" t="str">
        <f>VLOOKUP(input_invoice[[#This Row],[concept/supplier]],'sel-invoice'!D:F,3,0)</f>
        <v>SL</v>
      </c>
      <c r="P619" t="str">
        <f>IF(input_invoice[[#This Row],[entity]]="SL","EUR",IF(input_invoice[[#This Row],[entity]]="Ltd","GBP",IF(input_invoice[[#This Row],[entity]]="Inc","USD","XXX")))</f>
        <v>EUR</v>
      </c>
    </row>
    <row r="620" spans="1:18" hidden="1" x14ac:dyDescent="0.3">
      <c r="A620">
        <v>202508</v>
      </c>
      <c r="B620" s="22" t="s">
        <v>917</v>
      </c>
      <c r="F620" t="s">
        <v>53</v>
      </c>
      <c r="G620" s="47">
        <f>MAX(+input_invoice[[#This Row],[net]]+input_invoice[[#This Row],[tax_iva]]+input_invoice[[#This Row],[tax_irpf]],input_invoice[[#This Row],[net]])</f>
        <v>3228.0742999999998</v>
      </c>
      <c r="H620" s="47">
        <f>input_invoice[[#This Row],[net]]*(MAX(input_invoice[[#This Row],[tax_rate_iva]],0)/100)</f>
        <v>560.24429999999995</v>
      </c>
      <c r="I620" s="47">
        <f>-input_invoice[[#This Row],[net]]*input_invoice[[#This Row],[tax_rate_irpf]]/100</f>
        <v>0</v>
      </c>
      <c r="J620" s="47">
        <v>2667.83</v>
      </c>
      <c r="K620" t="str">
        <f t="shared" si="15"/>
        <v>logistics</v>
      </c>
      <c r="L620">
        <v>21</v>
      </c>
      <c r="N620" t="str">
        <f>VLOOKUP(input_invoice[[#This Row],[concept/supplier]],'sel-invoice'!D:E,2,0)</f>
        <v>Asendia</v>
      </c>
      <c r="O620" t="str">
        <f>VLOOKUP(input_invoice[[#This Row],[concept/supplier]],'sel-invoice'!D:F,3,0)</f>
        <v>SL</v>
      </c>
      <c r="P620" t="str">
        <f>IF(input_invoice[[#This Row],[entity]]="SL","EUR",IF(input_invoice[[#This Row],[entity]]="Ltd","GBP",IF(input_invoice[[#This Row],[entity]]="Inc","USD","XXX")))</f>
        <v>EUR</v>
      </c>
    </row>
    <row r="621" spans="1:18" hidden="1" x14ac:dyDescent="0.3">
      <c r="A621">
        <v>202508</v>
      </c>
      <c r="B621" s="22" t="s">
        <v>917</v>
      </c>
      <c r="F621" t="s">
        <v>143</v>
      </c>
      <c r="G621" s="47">
        <v>11.99</v>
      </c>
      <c r="H621" s="47">
        <v>2.08</v>
      </c>
      <c r="I621" s="47">
        <f>-input_invoice[[#This Row],[net]]*input_invoice[[#This Row],[tax_rate_irpf]]/100</f>
        <v>0</v>
      </c>
      <c r="J621" s="47">
        <f>+input_invoice[[#This Row],[gross]]-input_invoice[[#This Row],[tax_iva]]</f>
        <v>9.91</v>
      </c>
      <c r="K621" t="str">
        <f t="shared" si="15"/>
        <v>it</v>
      </c>
      <c r="L621">
        <v>21</v>
      </c>
      <c r="N621" t="str">
        <f>VLOOKUP(input_invoice[[#This Row],[concept/supplier]],'sel-invoice'!D:E,2,0)</f>
        <v>Canva</v>
      </c>
      <c r="O621" t="str">
        <f>VLOOKUP(input_invoice[[#This Row],[concept/supplier]],'sel-invoice'!D:F,3,0)</f>
        <v>SL</v>
      </c>
      <c r="P621" t="str">
        <f>IF(input_invoice[[#This Row],[entity]]="SL","EUR",IF(input_invoice[[#This Row],[entity]]="Ltd","GBP",IF(input_invoice[[#This Row],[entity]]="Inc","USD","XXX")))</f>
        <v>EUR</v>
      </c>
    </row>
    <row r="622" spans="1:18" hidden="1" x14ac:dyDescent="0.3">
      <c r="A622">
        <v>202508</v>
      </c>
      <c r="B622" s="22" t="s">
        <v>917</v>
      </c>
      <c r="F622" t="s">
        <v>111</v>
      </c>
      <c r="G622" s="47">
        <f>MAX(+input_invoice[[#This Row],[net]]+input_invoice[[#This Row],[tax_iva]]+input_invoice[[#This Row],[tax_irpf]],input_invoice[[#This Row],[net]])</f>
        <v>888.87810000000002</v>
      </c>
      <c r="H622" s="47">
        <f>input_invoice[[#This Row],[net]]*(MAX(input_invoice[[#This Row],[tax_rate_iva]],0)/100)</f>
        <v>154.2681</v>
      </c>
      <c r="I622" s="47">
        <f>-input_invoice[[#This Row],[net]]*input_invoice[[#This Row],[tax_rate_irpf]]/100</f>
        <v>0</v>
      </c>
      <c r="J622" s="47">
        <v>734.61</v>
      </c>
      <c r="K622" t="str">
        <f t="shared" si="15"/>
        <v>administrative</v>
      </c>
      <c r="L622">
        <v>21</v>
      </c>
      <c r="N622" t="str">
        <f>VLOOKUP(input_invoice[[#This Row],[concept/supplier]],'sel-invoice'!D:E,2,0)</f>
        <v>Claris Gestio</v>
      </c>
      <c r="O622" t="str">
        <f>VLOOKUP(input_invoice[[#This Row],[concept/supplier]],'sel-invoice'!D:F,3,0)</f>
        <v>SL</v>
      </c>
      <c r="P622" t="str">
        <f>IF(input_invoice[[#This Row],[entity]]="SL","EUR",IF(input_invoice[[#This Row],[entity]]="Ltd","GBP",IF(input_invoice[[#This Row],[entity]]="Inc","USD","XXX")))</f>
        <v>EUR</v>
      </c>
    </row>
    <row r="623" spans="1:18" hidden="1" x14ac:dyDescent="0.3">
      <c r="A623">
        <v>202508</v>
      </c>
      <c r="B623" s="22" t="s">
        <v>917</v>
      </c>
      <c r="C623" s="48">
        <v>4004442353</v>
      </c>
      <c r="F623" t="s">
        <v>52</v>
      </c>
      <c r="G623" s="47">
        <f>MAX(+input_invoice[[#This Row],[net]]+input_invoice[[#This Row],[tax_iva]]+input_invoice[[#This Row],[tax_irpf]],input_invoice[[#This Row],[net]])</f>
        <v>34.92</v>
      </c>
      <c r="H623" s="47">
        <f>input_invoice[[#This Row],[net]]*(MAX(input_invoice[[#This Row],[tax_rate_iva]],0)/100)</f>
        <v>0</v>
      </c>
      <c r="I623" s="47">
        <f>-input_invoice[[#This Row],[net]]*input_invoice[[#This Row],[tax_rate_irpf]]/100</f>
        <v>0</v>
      </c>
      <c r="J623" s="47">
        <v>34.92</v>
      </c>
      <c r="K623" t="str">
        <f t="shared" si="15"/>
        <v>logistics</v>
      </c>
      <c r="L623">
        <v>0</v>
      </c>
      <c r="N623" t="str">
        <f>VLOOKUP(input_invoice[[#This Row],[concept/supplier]],'sel-invoice'!D:E,2,0)</f>
        <v>Correos</v>
      </c>
      <c r="O623" t="str">
        <f>VLOOKUP(input_invoice[[#This Row],[concept/supplier]],'sel-invoice'!D:F,3,0)</f>
        <v>SL</v>
      </c>
      <c r="P623" t="str">
        <f>IF(input_invoice[[#This Row],[entity]]="SL","EUR",IF(input_invoice[[#This Row],[entity]]="Ltd","GBP",IF(input_invoice[[#This Row],[entity]]="Inc","USD","XXX")))</f>
        <v>EUR</v>
      </c>
    </row>
    <row r="624" spans="1:18" hidden="1" x14ac:dyDescent="0.3">
      <c r="A624">
        <v>202508</v>
      </c>
      <c r="B624" s="22" t="s">
        <v>917</v>
      </c>
      <c r="C624" s="48">
        <v>4004442353</v>
      </c>
      <c r="F624" t="s">
        <v>52</v>
      </c>
      <c r="G624" s="47">
        <f>MAX(+input_invoice[[#This Row],[net]]+input_invoice[[#This Row],[tax_iva]]+input_invoice[[#This Row],[tax_irpf]],input_invoice[[#This Row],[net]])</f>
        <v>13.3536</v>
      </c>
      <c r="H624" s="47">
        <f>input_invoice[[#This Row],[net]]*(MAX(input_invoice[[#This Row],[tax_rate_iva]],0)/100)</f>
        <v>0.87360000000000015</v>
      </c>
      <c r="I624" s="47">
        <f>-input_invoice[[#This Row],[net]]*input_invoice[[#This Row],[tax_rate_irpf]]/100</f>
        <v>0</v>
      </c>
      <c r="J624" s="47">
        <v>12.48</v>
      </c>
      <c r="K624" t="str">
        <f t="shared" si="15"/>
        <v>logistics</v>
      </c>
      <c r="L624">
        <v>7</v>
      </c>
      <c r="N624" t="str">
        <f>VLOOKUP(input_invoice[[#This Row],[concept/supplier]],'sel-invoice'!D:E,2,0)</f>
        <v>Correos</v>
      </c>
      <c r="O624" t="str">
        <f>VLOOKUP(input_invoice[[#This Row],[concept/supplier]],'sel-invoice'!D:F,3,0)</f>
        <v>SL</v>
      </c>
      <c r="P624" t="str">
        <f>IF(input_invoice[[#This Row],[entity]]="SL","EUR",IF(input_invoice[[#This Row],[entity]]="Ltd","GBP",IF(input_invoice[[#This Row],[entity]]="Inc","USD","XXX")))</f>
        <v>EUR</v>
      </c>
    </row>
    <row r="625" spans="1:18" hidden="1" x14ac:dyDescent="0.3">
      <c r="A625">
        <v>202508</v>
      </c>
      <c r="B625" s="22" t="s">
        <v>917</v>
      </c>
      <c r="C625" s="48">
        <v>4004442354</v>
      </c>
      <c r="F625" t="s">
        <v>52</v>
      </c>
      <c r="G625" s="47">
        <f>MAX(+input_invoice[[#This Row],[net]]+input_invoice[[#This Row],[tax_iva]]+input_invoice[[#This Row],[tax_irpf]],input_invoice[[#This Row],[net]])</f>
        <v>137.3955</v>
      </c>
      <c r="H625" s="47">
        <f>input_invoice[[#This Row],[net]]*(MAX(input_invoice[[#This Row],[tax_rate_iva]],0)/100)</f>
        <v>23.845499999999998</v>
      </c>
      <c r="I625" s="47">
        <f>-input_invoice[[#This Row],[net]]*input_invoice[[#This Row],[tax_rate_irpf]]/100</f>
        <v>0</v>
      </c>
      <c r="J625" s="47">
        <v>113.55</v>
      </c>
      <c r="K625" t="str">
        <f t="shared" si="15"/>
        <v>logistics</v>
      </c>
      <c r="L625">
        <v>21</v>
      </c>
      <c r="N625" t="str">
        <f>VLOOKUP(input_invoice[[#This Row],[concept/supplier]],'sel-invoice'!D:E,2,0)</f>
        <v>Correos</v>
      </c>
      <c r="O625" t="str">
        <f>VLOOKUP(input_invoice[[#This Row],[concept/supplier]],'sel-invoice'!D:F,3,0)</f>
        <v>SL</v>
      </c>
      <c r="P625" t="str">
        <f>IF(input_invoice[[#This Row],[entity]]="SL","EUR",IF(input_invoice[[#This Row],[entity]]="Ltd","GBP",IF(input_invoice[[#This Row],[entity]]="Inc","USD","XXX")))</f>
        <v>EUR</v>
      </c>
    </row>
    <row r="626" spans="1:18" hidden="1" x14ac:dyDescent="0.3">
      <c r="A626">
        <v>202508</v>
      </c>
      <c r="B626" s="22" t="s">
        <v>917</v>
      </c>
      <c r="F626" t="s">
        <v>43</v>
      </c>
      <c r="G626" s="47">
        <f>MAX(+input_invoice[[#This Row],[net]]+input_invoice[[#This Row],[tax_iva]]+input_invoice[[#This Row],[tax_irpf]],input_invoice[[#This Row],[net]])</f>
        <v>6639.8073000000004</v>
      </c>
      <c r="H626" s="47">
        <f>input_invoice[[#This Row],[net]]*(MAX(input_invoice[[#This Row],[tax_rate_iva]],0)/100)</f>
        <v>1060.1373000000001</v>
      </c>
      <c r="I626" s="47">
        <f>-input_invoice[[#This Row],[net]]*input_invoice[[#This Row],[tax_rate_irpf]]/100</f>
        <v>0</v>
      </c>
      <c r="J626" s="47">
        <v>5579.67</v>
      </c>
      <c r="K626" t="str">
        <f t="shared" si="15"/>
        <v>manufacturing</v>
      </c>
      <c r="L626">
        <v>19</v>
      </c>
      <c r="N626" t="str">
        <f>VLOOKUP(input_invoice[[#This Row],[concept/supplier]],'sel-invoice'!D:E,2,0)</f>
        <v>DCT</v>
      </c>
      <c r="O626" t="str">
        <f>VLOOKUP(input_invoice[[#This Row],[concept/supplier]],'sel-invoice'!D:F,3,0)</f>
        <v>SL</v>
      </c>
      <c r="P626" t="str">
        <f>IF(input_invoice[[#This Row],[entity]]="SL","EUR",IF(input_invoice[[#This Row],[entity]]="Ltd","GBP",IF(input_invoice[[#This Row],[entity]]="Inc","USD","XXX")))</f>
        <v>EUR</v>
      </c>
    </row>
    <row r="627" spans="1:18" hidden="1" x14ac:dyDescent="0.3">
      <c r="A627">
        <v>202508</v>
      </c>
      <c r="B627" s="22" t="s">
        <v>917</v>
      </c>
      <c r="F627" t="s">
        <v>43</v>
      </c>
      <c r="G627" s="47">
        <f>MAX(+input_invoice[[#This Row],[net]]+input_invoice[[#This Row],[tax_iva]]+input_invoice[[#This Row],[tax_irpf]],input_invoice[[#This Row],[net]])</f>
        <v>9892.6128000000008</v>
      </c>
      <c r="H627" s="47">
        <f>input_invoice[[#This Row],[net]]*(MAX(input_invoice[[#This Row],[tax_rate_iva]],0)/100)</f>
        <v>1579.4928000000002</v>
      </c>
      <c r="I627" s="47">
        <f>-input_invoice[[#This Row],[net]]*input_invoice[[#This Row],[tax_rate_irpf]]/100</f>
        <v>0</v>
      </c>
      <c r="J627" s="47">
        <v>8313.1200000000008</v>
      </c>
      <c r="K627" t="str">
        <f t="shared" si="15"/>
        <v>manufacturing</v>
      </c>
      <c r="L627">
        <v>19</v>
      </c>
      <c r="N627" t="str">
        <f>VLOOKUP(input_invoice[[#This Row],[concept/supplier]],'sel-invoice'!D:E,2,0)</f>
        <v>DCT</v>
      </c>
      <c r="O627" t="str">
        <f>VLOOKUP(input_invoice[[#This Row],[concept/supplier]],'sel-invoice'!D:F,3,0)</f>
        <v>SL</v>
      </c>
      <c r="P627" t="str">
        <f>IF(input_invoice[[#This Row],[entity]]="SL","EUR",IF(input_invoice[[#This Row],[entity]]="Ltd","GBP",IF(input_invoice[[#This Row],[entity]]="Inc","USD","XXX")))</f>
        <v>EUR</v>
      </c>
    </row>
    <row r="628" spans="1:18" hidden="1" x14ac:dyDescent="0.3">
      <c r="A628">
        <v>202508</v>
      </c>
      <c r="B628" s="22" t="s">
        <v>917</v>
      </c>
      <c r="F628" t="s">
        <v>43</v>
      </c>
      <c r="G628" s="47">
        <f>MAX(+input_invoice[[#This Row],[net]]+input_invoice[[#This Row],[tax_iva]]+input_invoice[[#This Row],[tax_irpf]],input_invoice[[#This Row],[net]])</f>
        <v>56.524999999999999</v>
      </c>
      <c r="H628" s="47">
        <f>input_invoice[[#This Row],[net]]*(MAX(input_invoice[[#This Row],[tax_rate_iva]],0)/100)</f>
        <v>9.0250000000000004</v>
      </c>
      <c r="I628" s="47">
        <f>-input_invoice[[#This Row],[net]]*input_invoice[[#This Row],[tax_rate_irpf]]/100</f>
        <v>0</v>
      </c>
      <c r="J628" s="47">
        <v>47.5</v>
      </c>
      <c r="K628" t="str">
        <f t="shared" si="15"/>
        <v>manufacturing</v>
      </c>
      <c r="L628">
        <v>19</v>
      </c>
      <c r="N628" t="str">
        <f>VLOOKUP(input_invoice[[#This Row],[concept/supplier]],'sel-invoice'!D:E,2,0)</f>
        <v>DCT</v>
      </c>
      <c r="O628" t="str">
        <f>VLOOKUP(input_invoice[[#This Row],[concept/supplier]],'sel-invoice'!D:F,3,0)</f>
        <v>SL</v>
      </c>
      <c r="P628" t="str">
        <f>IF(input_invoice[[#This Row],[entity]]="SL","EUR",IF(input_invoice[[#This Row],[entity]]="Ltd","GBP",IF(input_invoice[[#This Row],[entity]]="Inc","USD","XXX")))</f>
        <v>EUR</v>
      </c>
    </row>
    <row r="629" spans="1:18" hidden="1" x14ac:dyDescent="0.3">
      <c r="A629">
        <v>202508</v>
      </c>
      <c r="B629" s="22" t="s">
        <v>917</v>
      </c>
      <c r="F629" t="s">
        <v>51</v>
      </c>
      <c r="G629" s="47">
        <f>MAX(+input_invoice[[#This Row],[net]]+input_invoice[[#This Row],[tax_iva]]+input_invoice[[#This Row],[tax_irpf]],input_invoice[[#This Row],[net]])</f>
        <v>3869.0475999999999</v>
      </c>
      <c r="H629" s="47">
        <f>input_invoice[[#This Row],[net]]*(MAX(input_invoice[[#This Row],[tax_rate_iva]],0)/100)</f>
        <v>671.48759999999993</v>
      </c>
      <c r="I629" s="47">
        <f>-input_invoice[[#This Row],[net]]*input_invoice[[#This Row],[tax_rate_irpf]]/100</f>
        <v>0</v>
      </c>
      <c r="J629" s="47">
        <v>3197.56</v>
      </c>
      <c r="K629" t="str">
        <f t="shared" si="15"/>
        <v>logistics</v>
      </c>
      <c r="L629">
        <v>21</v>
      </c>
      <c r="N629" t="str">
        <f>VLOOKUP(input_invoice[[#This Row],[concept/supplier]],'sel-invoice'!D:E,2,0)</f>
        <v>GLS</v>
      </c>
      <c r="O629" t="str">
        <f>VLOOKUP(input_invoice[[#This Row],[concept/supplier]],'sel-invoice'!D:F,3,0)</f>
        <v>SL</v>
      </c>
      <c r="P629" t="str">
        <f>IF(input_invoice[[#This Row],[entity]]="SL","EUR",IF(input_invoice[[#This Row],[entity]]="Ltd","GBP",IF(input_invoice[[#This Row],[entity]]="Inc","USD","XXX")))</f>
        <v>EUR</v>
      </c>
      <c r="R629" s="267" t="b">
        <v>1</v>
      </c>
    </row>
    <row r="630" spans="1:18" hidden="1" x14ac:dyDescent="0.3">
      <c r="A630">
        <v>202508</v>
      </c>
      <c r="B630" s="22" t="s">
        <v>917</v>
      </c>
      <c r="F630" t="s">
        <v>145</v>
      </c>
      <c r="G630" s="47">
        <f>MAX(+input_invoice[[#This Row],[net]]+input_invoice[[#This Row],[tax_iva]]+input_invoice[[#This Row],[tax_irpf]],input_invoice[[#This Row],[net]])</f>
        <v>53.47</v>
      </c>
      <c r="H630" s="47">
        <f>input_invoice[[#This Row],[net]]*(MAX(input_invoice[[#This Row],[tax_rate_iva]],0)/100)</f>
        <v>0</v>
      </c>
      <c r="I630" s="47">
        <f>-input_invoice[[#This Row],[net]]*input_invoice[[#This Row],[tax_rate_irpf]]/100</f>
        <v>0</v>
      </c>
      <c r="J630" s="47">
        <v>53.47</v>
      </c>
      <c r="K630" t="str">
        <f t="shared" si="15"/>
        <v>it</v>
      </c>
      <c r="L630">
        <v>0</v>
      </c>
      <c r="N630" t="str">
        <f>VLOOKUP(input_invoice[[#This Row],[concept/supplier]],'sel-invoice'!D:E,2,0)</f>
        <v>Gorgias</v>
      </c>
      <c r="O630" t="str">
        <f>VLOOKUP(input_invoice[[#This Row],[concept/supplier]],'sel-invoice'!D:F,3,0)</f>
        <v>SL</v>
      </c>
      <c r="P630" t="str">
        <f>IF(input_invoice[[#This Row],[entity]]="SL","EUR",IF(input_invoice[[#This Row],[entity]]="Ltd","GBP",IF(input_invoice[[#This Row],[entity]]="Inc","USD","XXX")))</f>
        <v>EUR</v>
      </c>
    </row>
    <row r="631" spans="1:18" hidden="1" x14ac:dyDescent="0.3">
      <c r="A631">
        <v>202508</v>
      </c>
      <c r="B631" s="22" t="s">
        <v>917</v>
      </c>
      <c r="F631" t="s">
        <v>133</v>
      </c>
      <c r="G631" s="47">
        <f>MAX(+input_invoice[[#This Row],[net]]+input_invoice[[#This Row],[tax_iva]]+input_invoice[[#This Row],[tax_irpf]],input_invoice[[#This Row],[net]])</f>
        <v>194.4</v>
      </c>
      <c r="H631" s="47">
        <f>input_invoice[[#This Row],[net]]*(MAX(input_invoice[[#This Row],[tax_rate_iva]],0)/100)</f>
        <v>0</v>
      </c>
      <c r="I631" s="47">
        <f>-input_invoice[[#This Row],[net]]*input_invoice[[#This Row],[tax_rate_irpf]]/100</f>
        <v>0</v>
      </c>
      <c r="J631" s="47">
        <v>194.4</v>
      </c>
      <c r="K631" t="str">
        <f t="shared" si="15"/>
        <v>it</v>
      </c>
      <c r="L631">
        <v>0</v>
      </c>
      <c r="N631" t="str">
        <f>VLOOKUP(input_invoice[[#This Row],[concept/supplier]],'sel-invoice'!D:E,2,0)</f>
        <v>Gsuite</v>
      </c>
      <c r="O631" t="str">
        <f>VLOOKUP(input_invoice[[#This Row],[concept/supplier]],'sel-invoice'!D:F,3,0)</f>
        <v>SL</v>
      </c>
      <c r="P631" t="str">
        <f>IF(input_invoice[[#This Row],[entity]]="SL","EUR",IF(input_invoice[[#This Row],[entity]]="Ltd","GBP",IF(input_invoice[[#This Row],[entity]]="Inc","USD","XXX")))</f>
        <v>EUR</v>
      </c>
    </row>
    <row r="632" spans="1:18" hidden="1" x14ac:dyDescent="0.3">
      <c r="A632">
        <v>202508</v>
      </c>
      <c r="B632" s="22" t="s">
        <v>917</v>
      </c>
      <c r="F632" t="s">
        <v>127</v>
      </c>
      <c r="G632" s="47">
        <f>MAX(+input_invoice[[#This Row],[net]]+input_invoice[[#This Row],[tax_iva]]+input_invoice[[#This Row],[tax_irpf]],input_invoice[[#This Row],[net]])</f>
        <v>13.189</v>
      </c>
      <c r="H632" s="47">
        <f>input_invoice[[#This Row],[net]]*(MAX(input_invoice[[#This Row],[tax_rate_iva]],0)/100)</f>
        <v>2.2890000000000001</v>
      </c>
      <c r="I632" s="47">
        <f>-input_invoice[[#This Row],[net]]*input_invoice[[#This Row],[tax_rate_irpf]]/100</f>
        <v>0</v>
      </c>
      <c r="J632" s="47">
        <v>10.9</v>
      </c>
      <c r="K632" t="str">
        <f t="shared" si="15"/>
        <v>it</v>
      </c>
      <c r="L632">
        <v>21</v>
      </c>
      <c r="N632" t="str">
        <f>VLOOKUP(input_invoice[[#This Row],[concept/supplier]],'sel-invoice'!D:E,2,0)</f>
        <v>Hetzner</v>
      </c>
      <c r="O632" t="str">
        <f>VLOOKUP(input_invoice[[#This Row],[concept/supplier]],'sel-invoice'!D:F,3,0)</f>
        <v>SL</v>
      </c>
      <c r="P632" t="str">
        <f>IF(input_invoice[[#This Row],[entity]]="SL","EUR",IF(input_invoice[[#This Row],[entity]]="Ltd","GBP",IF(input_invoice[[#This Row],[entity]]="Inc","USD","XXX")))</f>
        <v>EUR</v>
      </c>
    </row>
    <row r="633" spans="1:18" hidden="1" x14ac:dyDescent="0.3">
      <c r="A633">
        <v>202508</v>
      </c>
      <c r="B633" s="22" t="s">
        <v>917</v>
      </c>
      <c r="F633" t="s">
        <v>139</v>
      </c>
      <c r="G633" s="47">
        <f>MAX(+input_invoice[[#This Row],[net]]+input_invoice[[#This Row],[tax_iva]]+input_invoice[[#This Row],[tax_irpf]],input_invoice[[#This Row],[net]])</f>
        <v>12.5961</v>
      </c>
      <c r="H633" s="47">
        <f>input_invoice[[#This Row],[net]]*(MAX(input_invoice[[#This Row],[tax_rate_iva]],0)/100)</f>
        <v>2.1861000000000002</v>
      </c>
      <c r="I633" s="47">
        <f>-input_invoice[[#This Row],[net]]*input_invoice[[#This Row],[tax_rate_irpf]]/100</f>
        <v>0</v>
      </c>
      <c r="J633" s="47">
        <v>10.41</v>
      </c>
      <c r="K633" t="str">
        <f t="shared" si="15"/>
        <v>it</v>
      </c>
      <c r="L633">
        <v>21</v>
      </c>
      <c r="N633" t="str">
        <f>VLOOKUP(input_invoice[[#This Row],[concept/supplier]],'sel-invoice'!D:E,2,0)</f>
        <v>Mas Movil</v>
      </c>
      <c r="O633" t="str">
        <f>VLOOKUP(input_invoice[[#This Row],[concept/supplier]],'sel-invoice'!D:F,3,0)</f>
        <v>SL</v>
      </c>
      <c r="P633" t="str">
        <f>IF(input_invoice[[#This Row],[entity]]="SL","EUR",IF(input_invoice[[#This Row],[entity]]="Ltd","GBP",IF(input_invoice[[#This Row],[entity]]="Inc","USD","XXX")))</f>
        <v>EUR</v>
      </c>
    </row>
    <row r="634" spans="1:18" hidden="1" x14ac:dyDescent="0.3">
      <c r="A634">
        <v>202508</v>
      </c>
      <c r="B634" s="22" t="s">
        <v>917</v>
      </c>
      <c r="C634" s="48" t="s">
        <v>366</v>
      </c>
      <c r="F634" t="s">
        <v>129</v>
      </c>
      <c r="G634" s="47">
        <f>MAX(+input_invoice[[#This Row],[net]]+input_invoice[[#This Row],[tax_iva]]+input_invoice[[#This Row],[tax_irpf]],input_invoice[[#This Row],[net]])</f>
        <v>23.716000000000001</v>
      </c>
      <c r="H634" s="47">
        <f>input_invoice[[#This Row],[net]]*(MAX(input_invoice[[#This Row],[tax_rate_iva]],0)/100)</f>
        <v>4.1160000000000005</v>
      </c>
      <c r="I634" s="47">
        <f>-input_invoice[[#This Row],[net]]*input_invoice[[#This Row],[tax_rate_irpf]]/100</f>
        <v>0</v>
      </c>
      <c r="J634" s="47">
        <v>19.600000000000001</v>
      </c>
      <c r="K634" t="str">
        <f t="shared" si="15"/>
        <v>it</v>
      </c>
      <c r="L634">
        <v>21</v>
      </c>
      <c r="N634" t="str">
        <f>VLOOKUP(input_invoice[[#This Row],[concept/supplier]],'sel-invoice'!D:E,2,0)</f>
        <v>Microsoft</v>
      </c>
      <c r="O634" t="str">
        <f>VLOOKUP(input_invoice[[#This Row],[concept/supplier]],'sel-invoice'!D:F,3,0)</f>
        <v>SL</v>
      </c>
      <c r="P634" t="str">
        <f>IF(input_invoice[[#This Row],[entity]]="SL","EUR",IF(input_invoice[[#This Row],[entity]]="Ltd","GBP",IF(input_invoice[[#This Row],[entity]]="Inc","USD","XXX")))</f>
        <v>EUR</v>
      </c>
    </row>
    <row r="635" spans="1:18" hidden="1" x14ac:dyDescent="0.3">
      <c r="A635">
        <v>202508</v>
      </c>
      <c r="B635" s="22" t="s">
        <v>917</v>
      </c>
      <c r="C635" s="48" t="s">
        <v>367</v>
      </c>
      <c r="F635" t="s">
        <v>129</v>
      </c>
      <c r="G635" s="47">
        <f>MAX(+input_invoice[[#This Row],[net]]+input_invoice[[#This Row],[tax_iva]]+input_invoice[[#This Row],[tax_irpf]],input_invoice[[#This Row],[net]])</f>
        <v>34.122</v>
      </c>
      <c r="H635" s="47">
        <f>input_invoice[[#This Row],[net]]*(MAX(input_invoice[[#This Row],[tax_rate_iva]],0)/100)</f>
        <v>5.9219999999999997</v>
      </c>
      <c r="I635" s="47">
        <f>-input_invoice[[#This Row],[net]]*input_invoice[[#This Row],[tax_rate_irpf]]/100</f>
        <v>0</v>
      </c>
      <c r="J635" s="47">
        <v>28.2</v>
      </c>
      <c r="K635" t="str">
        <f t="shared" si="15"/>
        <v>it</v>
      </c>
      <c r="L635">
        <v>21</v>
      </c>
      <c r="N635" t="str">
        <f>VLOOKUP(input_invoice[[#This Row],[concept/supplier]],'sel-invoice'!D:E,2,0)</f>
        <v>Microsoft</v>
      </c>
      <c r="O635" t="str">
        <f>VLOOKUP(input_invoice[[#This Row],[concept/supplier]],'sel-invoice'!D:F,3,0)</f>
        <v>SL</v>
      </c>
      <c r="P635" t="str">
        <f>IF(input_invoice[[#This Row],[entity]]="SL","EUR",IF(input_invoice[[#This Row],[entity]]="Ltd","GBP",IF(input_invoice[[#This Row],[entity]]="Inc","USD","XXX")))</f>
        <v>EUR</v>
      </c>
    </row>
    <row r="636" spans="1:18" hidden="1" x14ac:dyDescent="0.3">
      <c r="A636">
        <v>202508</v>
      </c>
      <c r="B636" s="22" t="s">
        <v>917</v>
      </c>
      <c r="C636" s="48" t="s">
        <v>365</v>
      </c>
      <c r="F636" t="s">
        <v>119</v>
      </c>
      <c r="G636" s="47">
        <f>MAX(+input_invoice[[#This Row],[net]]+input_invoice[[#This Row],[tax_iva]]+input_invoice[[#This Row],[tax_irpf]],input_invoice[[#This Row],[net]])</f>
        <v>67.62</v>
      </c>
      <c r="H636" s="47">
        <f>input_invoice[[#This Row],[net]]*(MAX(input_invoice[[#This Row],[tax_rate_iva]],0)/100)</f>
        <v>0</v>
      </c>
      <c r="I636" s="47">
        <f>-input_invoice[[#This Row],[net]]*input_invoice[[#This Row],[tax_rate_irpf]]/100</f>
        <v>0</v>
      </c>
      <c r="J636" s="47">
        <v>67.62</v>
      </c>
      <c r="K636" t="str">
        <f t="shared" si="15"/>
        <v>administrative</v>
      </c>
      <c r="L636">
        <v>0</v>
      </c>
      <c r="N636" t="str">
        <f>VLOOKUP(input_invoice[[#This Row],[concept/supplier]],'sel-invoice'!D:E,2,0)</f>
        <v>otros</v>
      </c>
      <c r="O636" t="str">
        <f>VLOOKUP(input_invoice[[#This Row],[concept/supplier]],'sel-invoice'!D:F,3,0)</f>
        <v>SL</v>
      </c>
      <c r="P636" t="str">
        <f>IF(input_invoice[[#This Row],[entity]]="SL","EUR",IF(input_invoice[[#This Row],[entity]]="Ltd","GBP",IF(input_invoice[[#This Row],[entity]]="Inc","USD","XXX")))</f>
        <v>EUR</v>
      </c>
    </row>
    <row r="637" spans="1:18" hidden="1" x14ac:dyDescent="0.3">
      <c r="A637">
        <v>202508</v>
      </c>
      <c r="B637" s="22" t="s">
        <v>917</v>
      </c>
      <c r="F637" t="s">
        <v>41</v>
      </c>
      <c r="G637" s="47">
        <f>MAX(+input_invoice[[#This Row],[net]]+input_invoice[[#This Row],[tax_iva]]+input_invoice[[#This Row],[tax_irpf]],input_invoice[[#This Row],[net]])</f>
        <v>6557.7885999999999</v>
      </c>
      <c r="H637" s="47">
        <f>input_invoice[[#This Row],[net]]*(MAX(input_invoice[[#This Row],[tax_rate_iva]],0)/100)</f>
        <v>1138.1286</v>
      </c>
      <c r="I637" s="47">
        <f>-input_invoice[[#This Row],[net]]*input_invoice[[#This Row],[tax_rate_irpf]]/100</f>
        <v>0</v>
      </c>
      <c r="J637" s="47">
        <v>5419.66</v>
      </c>
      <c r="K637" t="str">
        <f t="shared" si="15"/>
        <v>manufacturing</v>
      </c>
      <c r="L637">
        <v>21</v>
      </c>
      <c r="N637" t="str">
        <f>VLOOKUP(input_invoice[[#This Row],[concept/supplier]],'sel-invoice'!D:E,2,0)</f>
        <v>Pressing</v>
      </c>
      <c r="O637" t="str">
        <f>VLOOKUP(input_invoice[[#This Row],[concept/supplier]],'sel-invoice'!D:F,3,0)</f>
        <v>SL</v>
      </c>
      <c r="P637" t="str">
        <f>IF(input_invoice[[#This Row],[entity]]="SL","EUR",IF(input_invoice[[#This Row],[entity]]="Ltd","GBP",IF(input_invoice[[#This Row],[entity]]="Inc","USD","XXX")))</f>
        <v>EUR</v>
      </c>
    </row>
    <row r="638" spans="1:18" hidden="1" x14ac:dyDescent="0.3">
      <c r="A638">
        <v>202508</v>
      </c>
      <c r="B638" s="22" t="s">
        <v>917</v>
      </c>
      <c r="C638" s="48">
        <v>6028361</v>
      </c>
      <c r="D638" s="43">
        <v>45900</v>
      </c>
      <c r="F638" t="s">
        <v>182</v>
      </c>
      <c r="G638" s="47">
        <f>MAX(+input_invoice[[#This Row],[net]]+input_invoice[[#This Row],[tax_iva]]+input_invoice[[#This Row],[tax_irpf]],input_invoice[[#This Row],[net]])</f>
        <v>5477.0759999999991</v>
      </c>
      <c r="H638" s="47">
        <f>input_invoice[[#This Row],[net]]*(MAX(input_invoice[[#This Row],[tax_rate_iva]],0)/100)</f>
        <v>912.846</v>
      </c>
      <c r="I638" s="47">
        <f>-input_invoice[[#This Row],[net]]*input_invoice[[#This Row],[tax_rate_irpf]]/100</f>
        <v>0</v>
      </c>
      <c r="J638" s="47">
        <v>4564.2299999999996</v>
      </c>
      <c r="K638" t="str">
        <f t="shared" si="15"/>
        <v>manufacturing</v>
      </c>
      <c r="L638">
        <v>20</v>
      </c>
      <c r="N638" t="str">
        <f>VLOOKUP(input_invoice[[#This Row],[concept/supplier]],'sel-invoice'!D:E,2,0)</f>
        <v>Proco</v>
      </c>
      <c r="O638" t="str">
        <f>VLOOKUP(input_invoice[[#This Row],[concept/supplier]],'sel-invoice'!D:F,3,0)</f>
        <v>Ltd</v>
      </c>
      <c r="P638" t="str">
        <f>IF(input_invoice[[#This Row],[entity]]="SL","EUR",IF(input_invoice[[#This Row],[entity]]="Ltd","GBP",IF(input_invoice[[#This Row],[entity]]="Inc","USD","XXX")))</f>
        <v>GBP</v>
      </c>
      <c r="R638" s="259" t="b">
        <v>1</v>
      </c>
    </row>
    <row r="639" spans="1:18" hidden="1" x14ac:dyDescent="0.3">
      <c r="A639">
        <v>202508</v>
      </c>
      <c r="B639" s="22" t="s">
        <v>917</v>
      </c>
      <c r="C639" s="48">
        <v>6028361</v>
      </c>
      <c r="D639" s="43">
        <v>45900</v>
      </c>
      <c r="F639" t="s">
        <v>194</v>
      </c>
      <c r="G639" s="47">
        <f>MAX(+input_invoice[[#This Row],[net]]+input_invoice[[#This Row],[tax_iva]]+input_invoice[[#This Row],[tax_irpf]],input_invoice[[#This Row],[net]])</f>
        <v>725.76</v>
      </c>
      <c r="H639" s="47">
        <f>input_invoice[[#This Row],[net]]*(MAX(input_invoice[[#This Row],[tax_rate_iva]],0)/100)</f>
        <v>120.96</v>
      </c>
      <c r="I639" s="47">
        <f>-input_invoice[[#This Row],[net]]*input_invoice[[#This Row],[tax_rate_irpf]]/100</f>
        <v>0</v>
      </c>
      <c r="J639" s="47">
        <v>604.79999999999995</v>
      </c>
      <c r="K639" t="str">
        <f t="shared" si="15"/>
        <v>logistics</v>
      </c>
      <c r="L639">
        <v>20</v>
      </c>
      <c r="N639" t="str">
        <f>VLOOKUP(input_invoice[[#This Row],[concept/supplier]],'sel-invoice'!D:E,2,0)</f>
        <v>Proco</v>
      </c>
      <c r="O639" t="str">
        <f>VLOOKUP(input_invoice[[#This Row],[concept/supplier]],'sel-invoice'!D:F,3,0)</f>
        <v>Ltd</v>
      </c>
      <c r="P639" t="str">
        <f>IF(input_invoice[[#This Row],[entity]]="SL","EUR",IF(input_invoice[[#This Row],[entity]]="Ltd","GBP",IF(input_invoice[[#This Row],[entity]]="Inc","USD","XXX")))</f>
        <v>GBP</v>
      </c>
      <c r="R639" s="259" t="b">
        <v>1</v>
      </c>
    </row>
    <row r="640" spans="1:18" hidden="1" x14ac:dyDescent="0.3">
      <c r="A640">
        <v>202508</v>
      </c>
      <c r="B640" s="22" t="s">
        <v>917</v>
      </c>
      <c r="C640" s="48">
        <v>6028361</v>
      </c>
      <c r="D640" s="43">
        <v>45900</v>
      </c>
      <c r="F640" t="s">
        <v>196</v>
      </c>
      <c r="G640" s="47">
        <f>MAX(+input_invoice[[#This Row],[net]]+input_invoice[[#This Row],[tax_iva]]+input_invoice[[#This Row],[tax_irpf]],input_invoice[[#This Row],[net]])</f>
        <v>1543.68</v>
      </c>
      <c r="H640" s="47">
        <f>input_invoice[[#This Row],[net]]*(MAX(input_invoice[[#This Row],[tax_rate_iva]],0)/100)</f>
        <v>257.28000000000003</v>
      </c>
      <c r="I640" s="47">
        <f>-input_invoice[[#This Row],[net]]*input_invoice[[#This Row],[tax_rate_irpf]]/100</f>
        <v>0</v>
      </c>
      <c r="J640" s="47">
        <v>1286.4000000000001</v>
      </c>
      <c r="K640" t="str">
        <f t="shared" si="15"/>
        <v>logistics</v>
      </c>
      <c r="L640">
        <v>20</v>
      </c>
      <c r="N640" t="str">
        <f>VLOOKUP(input_invoice[[#This Row],[concept/supplier]],'sel-invoice'!D:E,2,0)</f>
        <v>Proco</v>
      </c>
      <c r="O640" t="str">
        <f>VLOOKUP(input_invoice[[#This Row],[concept/supplier]],'sel-invoice'!D:F,3,0)</f>
        <v>Ltd</v>
      </c>
      <c r="P640" t="str">
        <f>IF(input_invoice[[#This Row],[entity]]="SL","EUR",IF(input_invoice[[#This Row],[entity]]="Ltd","GBP",IF(input_invoice[[#This Row],[entity]]="Inc","USD","XXX")))</f>
        <v>GBP</v>
      </c>
      <c r="R640" s="259" t="b">
        <v>1</v>
      </c>
    </row>
    <row r="641" spans="1:18" hidden="1" x14ac:dyDescent="0.3">
      <c r="A641">
        <v>202508</v>
      </c>
      <c r="B641" s="22" t="s">
        <v>917</v>
      </c>
      <c r="C641" s="48">
        <v>6028361</v>
      </c>
      <c r="D641" s="43">
        <v>45900</v>
      </c>
      <c r="F641" t="s">
        <v>184</v>
      </c>
      <c r="G641" s="47">
        <f>MAX(+input_invoice[[#This Row],[net]]+input_invoice[[#This Row],[tax_iva]]+input_invoice[[#This Row],[tax_irpf]],input_invoice[[#This Row],[net]])</f>
        <v>3858.7080000000001</v>
      </c>
      <c r="H641" s="47">
        <f>input_invoice[[#This Row],[net]]*(MAX(input_invoice[[#This Row],[tax_rate_iva]],0)/100)</f>
        <v>643.11800000000005</v>
      </c>
      <c r="I641" s="47">
        <f>-input_invoice[[#This Row],[net]]*input_invoice[[#This Row],[tax_rate_irpf]]/100</f>
        <v>0</v>
      </c>
      <c r="J641" s="47">
        <v>3215.59</v>
      </c>
      <c r="K641" t="str">
        <f t="shared" si="15"/>
        <v>manufacturing</v>
      </c>
      <c r="L641">
        <v>20</v>
      </c>
      <c r="N641" t="str">
        <f>VLOOKUP(input_invoice[[#This Row],[concept/supplier]],'sel-invoice'!D:E,2,0)</f>
        <v>Proco</v>
      </c>
      <c r="O641" t="str">
        <f>VLOOKUP(input_invoice[[#This Row],[concept/supplier]],'sel-invoice'!D:F,3,0)</f>
        <v>Ltd</v>
      </c>
      <c r="P641" t="str">
        <f>IF(input_invoice[[#This Row],[entity]]="SL","EUR",IF(input_invoice[[#This Row],[entity]]="Ltd","GBP",IF(input_invoice[[#This Row],[entity]]="Inc","USD","XXX")))</f>
        <v>GBP</v>
      </c>
      <c r="R641" s="259" t="b">
        <v>1</v>
      </c>
    </row>
    <row r="642" spans="1:18" hidden="1" x14ac:dyDescent="0.3">
      <c r="A642">
        <v>202508</v>
      </c>
      <c r="B642" s="22" t="s">
        <v>917</v>
      </c>
      <c r="C642" s="48">
        <v>6028361</v>
      </c>
      <c r="D642" s="43">
        <v>45900</v>
      </c>
      <c r="F642" t="s">
        <v>186</v>
      </c>
      <c r="G642" s="47">
        <f>MAX(+input_invoice[[#This Row],[net]]+input_invoice[[#This Row],[tax_iva]]+input_invoice[[#This Row],[tax_irpf]],input_invoice[[#This Row],[net]])</f>
        <v>1107</v>
      </c>
      <c r="H642" s="47">
        <f>input_invoice[[#This Row],[net]]*(MAX(input_invoice[[#This Row],[tax_rate_iva]],0)/100)</f>
        <v>184.5</v>
      </c>
      <c r="I642" s="47">
        <f>-input_invoice[[#This Row],[net]]*input_invoice[[#This Row],[tax_rate_irpf]]/100</f>
        <v>0</v>
      </c>
      <c r="J642" s="47">
        <v>922.5</v>
      </c>
      <c r="K642" t="str">
        <f t="shared" si="15"/>
        <v>manufacturing</v>
      </c>
      <c r="L642">
        <v>20</v>
      </c>
      <c r="N642" t="str">
        <f>VLOOKUP(input_invoice[[#This Row],[concept/supplier]],'sel-invoice'!D:E,2,0)</f>
        <v>Proco</v>
      </c>
      <c r="O642" t="str">
        <f>VLOOKUP(input_invoice[[#This Row],[concept/supplier]],'sel-invoice'!D:F,3,0)</f>
        <v>Ltd</v>
      </c>
      <c r="P642" t="str">
        <f>IF(input_invoice[[#This Row],[entity]]="SL","EUR",IF(input_invoice[[#This Row],[entity]]="Ltd","GBP",IF(input_invoice[[#This Row],[entity]]="Inc","USD","XXX")))</f>
        <v>GBP</v>
      </c>
      <c r="R642" s="259" t="b">
        <v>1</v>
      </c>
    </row>
    <row r="643" spans="1:18" hidden="1" x14ac:dyDescent="0.3">
      <c r="A643">
        <v>202508</v>
      </c>
      <c r="B643" s="22" t="s">
        <v>917</v>
      </c>
      <c r="F643" t="s">
        <v>131</v>
      </c>
      <c r="G643" s="47">
        <f>MAX(+input_invoice[[#This Row],[net]]+input_invoice[[#This Row],[tax_iva]]+input_invoice[[#This Row],[tax_irpf]],input_invoice[[#This Row],[net]])</f>
        <v>134</v>
      </c>
      <c r="H643" s="47">
        <f>input_invoice[[#This Row],[net]]*(MAX(input_invoice[[#This Row],[tax_rate_iva]],0)/100)</f>
        <v>0</v>
      </c>
      <c r="I643" s="47">
        <f>-input_invoice[[#This Row],[net]]*input_invoice[[#This Row],[tax_rate_irpf]]/100</f>
        <v>0</v>
      </c>
      <c r="J643" s="47">
        <v>134</v>
      </c>
      <c r="K643" t="str">
        <f t="shared" si="15"/>
        <v>it</v>
      </c>
      <c r="L643">
        <v>0</v>
      </c>
      <c r="N643" t="str">
        <f>VLOOKUP(input_invoice[[#This Row],[concept/supplier]],'sel-invoice'!D:E,2,0)</f>
        <v>Product Hero</v>
      </c>
      <c r="O643" t="str">
        <f>VLOOKUP(input_invoice[[#This Row],[concept/supplier]],'sel-invoice'!D:F,3,0)</f>
        <v>SL</v>
      </c>
      <c r="P643" t="str">
        <f>IF(input_invoice[[#This Row],[entity]]="SL","EUR",IF(input_invoice[[#This Row],[entity]]="Ltd","GBP",IF(input_invoice[[#This Row],[entity]]="Inc","USD","XXX")))</f>
        <v>EUR</v>
      </c>
    </row>
    <row r="644" spans="1:18" hidden="1" x14ac:dyDescent="0.3">
      <c r="A644">
        <v>202509</v>
      </c>
      <c r="B644" s="22" t="s">
        <v>917</v>
      </c>
      <c r="F644" t="s">
        <v>122</v>
      </c>
      <c r="G644" s="47">
        <f>MAX(+input_invoice[[#This Row],[net]]+input_invoice[[#This Row],[tax_iva]]+input_invoice[[#This Row],[tax_irpf]],input_invoice[[#This Row],[net]])</f>
        <v>2336.88</v>
      </c>
      <c r="H644" s="47">
        <f>input_invoice[[#This Row],[net]]*(MAX(input_invoice[[#This Row],[tax_rate_iva]],0)/100)</f>
        <v>0</v>
      </c>
      <c r="I644" s="47">
        <f>-input_invoice[[#This Row],[net]]*input_invoice[[#This Row],[tax_rate_irpf]]/100</f>
        <v>0</v>
      </c>
      <c r="J644" s="47">
        <v>2336.88</v>
      </c>
      <c r="K644" t="str">
        <f t="shared" si="15"/>
        <v>it</v>
      </c>
      <c r="L644">
        <v>0</v>
      </c>
      <c r="N644" t="str">
        <f>VLOOKUP(input_invoice[[#This Row],[concept/supplier]],'sel-invoice'!D:E,2,0)</f>
        <v>Shopify</v>
      </c>
      <c r="O644" t="str">
        <f>VLOOKUP(input_invoice[[#This Row],[concept/supplier]],'sel-invoice'!D:F,3,0)</f>
        <v>SL</v>
      </c>
      <c r="P644" t="str">
        <f>IF(input_invoice[[#This Row],[entity]]="SL","EUR",IF(input_invoice[[#This Row],[entity]]="Ltd","GBP",IF(input_invoice[[#This Row],[entity]]="Inc","USD","XXX")))</f>
        <v>EUR</v>
      </c>
      <c r="R644" s="259" t="b">
        <v>1</v>
      </c>
    </row>
    <row r="645" spans="1:18" hidden="1" x14ac:dyDescent="0.3">
      <c r="A645">
        <v>202508</v>
      </c>
      <c r="B645" s="22" t="s">
        <v>917</v>
      </c>
      <c r="F645" t="s">
        <v>54</v>
      </c>
      <c r="G645" s="47">
        <f>MAX(+input_invoice[[#This Row],[net]]+input_invoice[[#This Row],[tax_iva]]+input_invoice[[#This Row],[tax_irpf]],input_invoice[[#This Row],[net]])</f>
        <v>17.8233</v>
      </c>
      <c r="H645" s="47">
        <f>input_invoice[[#This Row],[net]]*(MAX(input_invoice[[#This Row],[tax_rate_iva]],0)/100)</f>
        <v>3.0933000000000002</v>
      </c>
      <c r="I645" s="47">
        <f>-input_invoice[[#This Row],[net]]*input_invoice[[#This Row],[tax_rate_irpf]]/100</f>
        <v>0</v>
      </c>
      <c r="J645" s="47">
        <v>14.73</v>
      </c>
      <c r="K645" t="str">
        <f t="shared" si="15"/>
        <v>logistics</v>
      </c>
      <c r="L645">
        <v>21</v>
      </c>
      <c r="N645" t="str">
        <f>VLOOKUP(input_invoice[[#This Row],[concept/supplier]],'sel-invoice'!D:E,2,0)</f>
        <v>Spring</v>
      </c>
      <c r="O645" t="str">
        <f>VLOOKUP(input_invoice[[#This Row],[concept/supplier]],'sel-invoice'!D:F,3,0)</f>
        <v>SL</v>
      </c>
      <c r="P645" t="str">
        <f>IF(input_invoice[[#This Row],[entity]]="SL","EUR",IF(input_invoice[[#This Row],[entity]]="Ltd","GBP",IF(input_invoice[[#This Row],[entity]]="Inc","USD","XXX")))</f>
        <v>EUR</v>
      </c>
    </row>
    <row r="646" spans="1:18" hidden="1" x14ac:dyDescent="0.3">
      <c r="A646">
        <v>202508</v>
      </c>
      <c r="B646" s="22" t="s">
        <v>917</v>
      </c>
      <c r="F646" t="s">
        <v>54</v>
      </c>
      <c r="G646" s="47">
        <f>MAX(+input_invoice[[#This Row],[net]]+input_invoice[[#This Row],[tax_iva]]+input_invoice[[#This Row],[tax_irpf]],input_invoice[[#This Row],[net]])</f>
        <v>16.395500000000002</v>
      </c>
      <c r="H646" s="47">
        <f>input_invoice[[#This Row],[net]]*(MAX(input_invoice[[#This Row],[tax_rate_iva]],0)/100)</f>
        <v>2.8454999999999999</v>
      </c>
      <c r="I646" s="47">
        <f>-input_invoice[[#This Row],[net]]*input_invoice[[#This Row],[tax_rate_irpf]]/100</f>
        <v>0</v>
      </c>
      <c r="J646" s="47">
        <v>13.55</v>
      </c>
      <c r="K646" t="str">
        <f t="shared" si="15"/>
        <v>logistics</v>
      </c>
      <c r="L646">
        <v>21</v>
      </c>
      <c r="N646" t="str">
        <f>VLOOKUP(input_invoice[[#This Row],[concept/supplier]],'sel-invoice'!D:E,2,0)</f>
        <v>Spring</v>
      </c>
      <c r="O646" t="str">
        <f>VLOOKUP(input_invoice[[#This Row],[concept/supplier]],'sel-invoice'!D:F,3,0)</f>
        <v>SL</v>
      </c>
      <c r="P646" t="str">
        <f>IF(input_invoice[[#This Row],[entity]]="SL","EUR",IF(input_invoice[[#This Row],[entity]]="Ltd","GBP",IF(input_invoice[[#This Row],[entity]]="Inc","USD","XXX")))</f>
        <v>EUR</v>
      </c>
    </row>
    <row r="647" spans="1:18" hidden="1" x14ac:dyDescent="0.3">
      <c r="A647">
        <v>202508</v>
      </c>
      <c r="B647" s="22" t="s">
        <v>917</v>
      </c>
      <c r="F647" t="s">
        <v>113</v>
      </c>
      <c r="G647" s="47">
        <f>MAX(+input_invoice[[#This Row],[net]]+input_invoice[[#This Row],[tax_iva]]+input_invoice[[#This Row],[tax_irpf]],input_invoice[[#This Row],[net]])</f>
        <v>18.149999999999999</v>
      </c>
      <c r="H647" s="47">
        <f>input_invoice[[#This Row],[net]]*(MAX(input_invoice[[#This Row],[tax_rate_iva]],0)/100)</f>
        <v>3.15</v>
      </c>
      <c r="I647" s="47">
        <f>-input_invoice[[#This Row],[net]]*input_invoice[[#This Row],[tax_rate_irpf]]/100</f>
        <v>0</v>
      </c>
      <c r="J647" s="47">
        <v>15</v>
      </c>
      <c r="K647" t="str">
        <f t="shared" si="15"/>
        <v>administrative</v>
      </c>
      <c r="L647">
        <v>21</v>
      </c>
      <c r="N647" t="str">
        <f>VLOOKUP(input_invoice[[#This Row],[concept/supplier]],'sel-invoice'!D:E,2,0)</f>
        <v>Torras y asociados</v>
      </c>
      <c r="O647" t="str">
        <f>VLOOKUP(input_invoice[[#This Row],[concept/supplier]],'sel-invoice'!D:F,3,0)</f>
        <v>SL</v>
      </c>
      <c r="P647" t="str">
        <f>IF(input_invoice[[#This Row],[entity]]="SL","EUR",IF(input_invoice[[#This Row],[entity]]="Ltd","GBP",IF(input_invoice[[#This Row],[entity]]="Inc","USD","XXX")))</f>
        <v>EUR</v>
      </c>
      <c r="R647" s="259" t="b">
        <v>0</v>
      </c>
    </row>
    <row r="648" spans="1:18" hidden="1" x14ac:dyDescent="0.3">
      <c r="A648">
        <v>202508</v>
      </c>
      <c r="B648" s="22" t="s">
        <v>917</v>
      </c>
      <c r="F648" t="s">
        <v>55</v>
      </c>
      <c r="G648" s="47">
        <f>MAX(+input_invoice[[#This Row],[net]]+input_invoice[[#This Row],[tax_iva]]+input_invoice[[#This Row],[tax_irpf]],input_invoice[[#This Row],[net]])</f>
        <v>1314.85</v>
      </c>
      <c r="H648" s="47">
        <f>input_invoice[[#This Row],[net]]*(MAX(input_invoice[[#This Row],[tax_rate_iva]],0)/100)</f>
        <v>0</v>
      </c>
      <c r="I648" s="47">
        <f>-input_invoice[[#This Row],[net]]*input_invoice[[#This Row],[tax_rate_irpf]]/100</f>
        <v>0</v>
      </c>
      <c r="J648" s="47">
        <v>1314.85</v>
      </c>
      <c r="K648" t="str">
        <f t="shared" si="15"/>
        <v>logistics</v>
      </c>
      <c r="L648">
        <v>0</v>
      </c>
      <c r="N648" t="str">
        <f>VLOOKUP(input_invoice[[#This Row],[concept/supplier]],'sel-invoice'!D:E,2,0)</f>
        <v>UPS DE</v>
      </c>
      <c r="O648" t="str">
        <f>VLOOKUP(input_invoice[[#This Row],[concept/supplier]],'sel-invoice'!D:F,3,0)</f>
        <v>SL</v>
      </c>
      <c r="P648" t="str">
        <f>IF(input_invoice[[#This Row],[entity]]="SL","EUR",IF(input_invoice[[#This Row],[entity]]="Ltd","GBP",IF(input_invoice[[#This Row],[entity]]="Inc","USD","XXX")))</f>
        <v>EUR</v>
      </c>
      <c r="R648" s="259" t="b">
        <v>0</v>
      </c>
    </row>
    <row r="649" spans="1:18" hidden="1" x14ac:dyDescent="0.3">
      <c r="A649">
        <v>202508</v>
      </c>
      <c r="B649" s="22" t="s">
        <v>917</v>
      </c>
      <c r="F649" t="s">
        <v>55</v>
      </c>
      <c r="G649" s="47">
        <f>MAX(+input_invoice[[#This Row],[net]]+input_invoice[[#This Row],[tax_iva]]+input_invoice[[#This Row],[tax_irpf]],input_invoice[[#This Row],[net]])</f>
        <v>1715.71</v>
      </c>
      <c r="H649" s="47">
        <f>input_invoice[[#This Row],[net]]*(MAX(input_invoice[[#This Row],[tax_rate_iva]],0)/100)</f>
        <v>0</v>
      </c>
      <c r="I649" s="47">
        <f>-input_invoice[[#This Row],[net]]*input_invoice[[#This Row],[tax_rate_irpf]]/100</f>
        <v>0</v>
      </c>
      <c r="J649" s="47">
        <v>1715.71</v>
      </c>
      <c r="K649" t="str">
        <f t="shared" si="15"/>
        <v>logistics</v>
      </c>
      <c r="L649">
        <v>0</v>
      </c>
      <c r="N649" t="str">
        <f>VLOOKUP(input_invoice[[#This Row],[concept/supplier]],'sel-invoice'!D:E,2,0)</f>
        <v>UPS DE</v>
      </c>
      <c r="O649" t="str">
        <f>VLOOKUP(input_invoice[[#This Row],[concept/supplier]],'sel-invoice'!D:F,3,0)</f>
        <v>SL</v>
      </c>
      <c r="P649" t="str">
        <f>IF(input_invoice[[#This Row],[entity]]="SL","EUR",IF(input_invoice[[#This Row],[entity]]="Ltd","GBP",IF(input_invoice[[#This Row],[entity]]="Inc","USD","XXX")))</f>
        <v>EUR</v>
      </c>
      <c r="R649" s="259" t="b">
        <v>0</v>
      </c>
    </row>
    <row r="650" spans="1:18" hidden="1" x14ac:dyDescent="0.3">
      <c r="A650">
        <v>202508</v>
      </c>
      <c r="B650" s="22" t="s">
        <v>917</v>
      </c>
      <c r="F650" t="s">
        <v>55</v>
      </c>
      <c r="G650" s="47">
        <f>MAX(+input_invoice[[#This Row],[net]]+input_invoice[[#This Row],[tax_iva]]+input_invoice[[#This Row],[tax_irpf]],input_invoice[[#This Row],[net]])</f>
        <v>1137.3599999999999</v>
      </c>
      <c r="H650" s="47">
        <f>input_invoice[[#This Row],[net]]*(MAX(input_invoice[[#This Row],[tax_rate_iva]],0)/100)</f>
        <v>0</v>
      </c>
      <c r="I650" s="47">
        <f>-input_invoice[[#This Row],[net]]*input_invoice[[#This Row],[tax_rate_irpf]]/100</f>
        <v>0</v>
      </c>
      <c r="J650" s="47">
        <v>1137.3599999999999</v>
      </c>
      <c r="K650" t="str">
        <f t="shared" si="15"/>
        <v>logistics</v>
      </c>
      <c r="L650">
        <v>0</v>
      </c>
      <c r="N650" t="str">
        <f>VLOOKUP(input_invoice[[#This Row],[concept/supplier]],'sel-invoice'!D:E,2,0)</f>
        <v>UPS DE</v>
      </c>
      <c r="O650" t="str">
        <f>VLOOKUP(input_invoice[[#This Row],[concept/supplier]],'sel-invoice'!D:F,3,0)</f>
        <v>SL</v>
      </c>
      <c r="P650" t="str">
        <f>IF(input_invoice[[#This Row],[entity]]="SL","EUR",IF(input_invoice[[#This Row],[entity]]="Ltd","GBP",IF(input_invoice[[#This Row],[entity]]="Inc","USD","XXX")))</f>
        <v>EUR</v>
      </c>
      <c r="R650" s="259" t="b">
        <v>0</v>
      </c>
    </row>
    <row r="651" spans="1:18" hidden="1" x14ac:dyDescent="0.3">
      <c r="A651">
        <v>202508</v>
      </c>
      <c r="B651" s="22" t="s">
        <v>917</v>
      </c>
      <c r="F651" t="s">
        <v>55</v>
      </c>
      <c r="G651" s="47">
        <f>MAX(+input_invoice[[#This Row],[net]]+input_invoice[[#This Row],[tax_iva]]+input_invoice[[#This Row],[tax_irpf]],input_invoice[[#This Row],[net]])</f>
        <v>22.38</v>
      </c>
      <c r="H651" s="47">
        <f>input_invoice[[#This Row],[net]]*(MAX(input_invoice[[#This Row],[tax_rate_iva]],0)/100)</f>
        <v>0</v>
      </c>
      <c r="I651" s="47">
        <f>-input_invoice[[#This Row],[net]]*input_invoice[[#This Row],[tax_rate_irpf]]/100</f>
        <v>0</v>
      </c>
      <c r="J651" s="47">
        <v>22.38</v>
      </c>
      <c r="K651" t="str">
        <f t="shared" si="15"/>
        <v>logistics</v>
      </c>
      <c r="L651">
        <v>0</v>
      </c>
      <c r="N651" t="str">
        <f>VLOOKUP(input_invoice[[#This Row],[concept/supplier]],'sel-invoice'!D:E,2,0)</f>
        <v>UPS DE</v>
      </c>
      <c r="O651" t="str">
        <f>VLOOKUP(input_invoice[[#This Row],[concept/supplier]],'sel-invoice'!D:F,3,0)</f>
        <v>SL</v>
      </c>
      <c r="P651" t="str">
        <f>IF(input_invoice[[#This Row],[entity]]="SL","EUR",IF(input_invoice[[#This Row],[entity]]="Ltd","GBP",IF(input_invoice[[#This Row],[entity]]="Inc","USD","XXX")))</f>
        <v>EUR</v>
      </c>
      <c r="R651" s="259" t="b">
        <v>0</v>
      </c>
    </row>
    <row r="652" spans="1:18" hidden="1" x14ac:dyDescent="0.3">
      <c r="A652">
        <v>202508</v>
      </c>
      <c r="B652" s="22" t="s">
        <v>917</v>
      </c>
      <c r="F652" t="s">
        <v>55</v>
      </c>
      <c r="G652" s="47">
        <f>MAX(+input_invoice[[#This Row],[net]]+input_invoice[[#This Row],[tax_iva]]+input_invoice[[#This Row],[tax_irpf]],input_invoice[[#This Row],[net]])</f>
        <v>28.62</v>
      </c>
      <c r="H652" s="47">
        <f>input_invoice[[#This Row],[net]]*(MAX(input_invoice[[#This Row],[tax_rate_iva]],0)/100)</f>
        <v>0</v>
      </c>
      <c r="I652" s="47">
        <f>-input_invoice[[#This Row],[net]]*input_invoice[[#This Row],[tax_rate_irpf]]/100</f>
        <v>0</v>
      </c>
      <c r="J652" s="47">
        <v>28.62</v>
      </c>
      <c r="K652" t="str">
        <f t="shared" si="15"/>
        <v>logistics</v>
      </c>
      <c r="L652">
        <v>0</v>
      </c>
      <c r="N652" t="str">
        <f>VLOOKUP(input_invoice[[#This Row],[concept/supplier]],'sel-invoice'!D:E,2,0)</f>
        <v>UPS DE</v>
      </c>
      <c r="O652" t="str">
        <f>VLOOKUP(input_invoice[[#This Row],[concept/supplier]],'sel-invoice'!D:F,3,0)</f>
        <v>SL</v>
      </c>
      <c r="P652" t="str">
        <f>IF(input_invoice[[#This Row],[entity]]="SL","EUR",IF(input_invoice[[#This Row],[entity]]="Ltd","GBP",IF(input_invoice[[#This Row],[entity]]="Inc","USD","XXX")))</f>
        <v>EUR</v>
      </c>
      <c r="R652" s="259" t="b">
        <v>0</v>
      </c>
    </row>
    <row r="653" spans="1:18" hidden="1" x14ac:dyDescent="0.3">
      <c r="A653">
        <v>202508</v>
      </c>
      <c r="B653" s="22" t="s">
        <v>917</v>
      </c>
      <c r="F653" t="s">
        <v>56</v>
      </c>
      <c r="G653" s="47">
        <f>MAX(+input_invoice[[#This Row],[net]]+input_invoice[[#This Row],[tax_iva]]+input_invoice[[#This Row],[tax_irpf]],input_invoice[[#This Row],[net]])</f>
        <v>25.34</v>
      </c>
      <c r="H653" s="47">
        <f>input_invoice[[#This Row],[net]]*(MAX(input_invoice[[#This Row],[tax_rate_iva]],0)/100)</f>
        <v>0</v>
      </c>
      <c r="I653" s="47">
        <f>-input_invoice[[#This Row],[net]]*input_invoice[[#This Row],[tax_rate_irpf]]/100</f>
        <v>0</v>
      </c>
      <c r="J653" s="47">
        <v>25.34</v>
      </c>
      <c r="K653" t="str">
        <f t="shared" si="15"/>
        <v>logistics</v>
      </c>
      <c r="L653">
        <v>0</v>
      </c>
      <c r="N653" t="str">
        <f>VLOOKUP(input_invoice[[#This Row],[concept/supplier]],'sel-invoice'!D:E,2,0)</f>
        <v>UPS FR</v>
      </c>
      <c r="O653" t="str">
        <f>VLOOKUP(input_invoice[[#This Row],[concept/supplier]],'sel-invoice'!D:F,3,0)</f>
        <v>SL</v>
      </c>
      <c r="P653" t="str">
        <f>IF(input_invoice[[#This Row],[entity]]="SL","EUR",IF(input_invoice[[#This Row],[entity]]="Ltd","GBP",IF(input_invoice[[#This Row],[entity]]="Inc","USD","XXX")))</f>
        <v>EUR</v>
      </c>
      <c r="R653" s="259" t="b">
        <v>0</v>
      </c>
    </row>
    <row r="654" spans="1:18" hidden="1" x14ac:dyDescent="0.3">
      <c r="A654">
        <v>202508</v>
      </c>
      <c r="B654" s="22" t="s">
        <v>917</v>
      </c>
      <c r="F654" t="s">
        <v>66</v>
      </c>
      <c r="G654" s="47">
        <f>MAX(+input_invoice[[#This Row],[net]]+input_invoice[[#This Row],[tax_iva]],input_invoice[[#This Row],[net]])</f>
        <v>1159.95</v>
      </c>
      <c r="H654" s="47">
        <f>input_invoice[[#This Row],[net]]*(MAX(input_invoice[[#This Row],[tax_rate_iva]],0)/100)</f>
        <v>0</v>
      </c>
      <c r="I654" s="47">
        <f>-input_invoice[[#This Row],[net]]*input_invoice[[#This Row],[tax_rate_irpf]]/100</f>
        <v>0</v>
      </c>
      <c r="J654" s="47">
        <v>1159.95</v>
      </c>
      <c r="K654" t="str">
        <f t="shared" si="15"/>
        <v>payment-suppliers</v>
      </c>
      <c r="L654">
        <v>0</v>
      </c>
      <c r="N654" t="str">
        <f>VLOOKUP(input_invoice[[#This Row],[concept/supplier]],'sel-invoice'!D:E,2,0)</f>
        <v>Paypal</v>
      </c>
      <c r="O654" t="str">
        <f>VLOOKUP(input_invoice[[#This Row],[concept/supplier]],'sel-invoice'!D:F,3,0)</f>
        <v>SL</v>
      </c>
      <c r="P654" t="str">
        <f>IF(input_invoice[[#This Row],[entity]]="SL","EUR",IF(input_invoice[[#This Row],[entity]]="Ltd","GBP",IF(input_invoice[[#This Row],[entity]]="Inc","USD","XXX")))</f>
        <v>EUR</v>
      </c>
      <c r="Q654" s="257" t="s">
        <v>918</v>
      </c>
      <c r="R654" s="259" t="b">
        <v>0</v>
      </c>
    </row>
    <row r="655" spans="1:18" hidden="1" x14ac:dyDescent="0.3">
      <c r="A655">
        <v>202508</v>
      </c>
      <c r="B655" s="22" t="s">
        <v>917</v>
      </c>
      <c r="F655" t="s">
        <v>70</v>
      </c>
      <c r="G655" s="47">
        <f>MAX(+input_invoice[[#This Row],[net]]+input_invoice[[#This Row],[tax_iva]],input_invoice[[#This Row],[net]])</f>
        <v>50.79</v>
      </c>
      <c r="H655" s="47">
        <f>input_invoice[[#This Row],[net]]*(MAX(input_invoice[[#This Row],[tax_rate_iva]],0)/100)</f>
        <v>0</v>
      </c>
      <c r="I655" s="47">
        <f>-input_invoice[[#This Row],[net]]*input_invoice[[#This Row],[tax_rate_irpf]]/100</f>
        <v>0</v>
      </c>
      <c r="J655" s="47">
        <v>50.79</v>
      </c>
      <c r="K655" t="str">
        <f t="shared" si="15"/>
        <v>payment-suppliers</v>
      </c>
      <c r="L655">
        <v>0</v>
      </c>
      <c r="N655" t="str">
        <f>VLOOKUP(input_invoice[[#This Row],[concept/supplier]],'sel-invoice'!D:E,2,0)</f>
        <v>Klarna</v>
      </c>
      <c r="O655" t="str">
        <f>VLOOKUP(input_invoice[[#This Row],[concept/supplier]],'sel-invoice'!D:F,3,0)</f>
        <v>SL</v>
      </c>
      <c r="P655" t="str">
        <f>IF(input_invoice[[#This Row],[entity]]="SL","EUR",IF(input_invoice[[#This Row],[entity]]="Ltd","GBP",IF(input_invoice[[#This Row],[entity]]="Inc","USD","XXX")))</f>
        <v>EUR</v>
      </c>
      <c r="Q655" s="257" t="s">
        <v>918</v>
      </c>
      <c r="R655" s="259" t="b">
        <v>0</v>
      </c>
    </row>
    <row r="656" spans="1:18" hidden="1" x14ac:dyDescent="0.3">
      <c r="A656">
        <v>202510</v>
      </c>
      <c r="B656" s="22" t="s">
        <v>917</v>
      </c>
      <c r="C656" s="48">
        <v>170655</v>
      </c>
      <c r="D656" s="43">
        <v>45961</v>
      </c>
      <c r="E656" s="43">
        <f>input_invoice[[#This Row],[date]]+45</f>
        <v>46006</v>
      </c>
      <c r="F656" t="s">
        <v>218</v>
      </c>
      <c r="G656" s="47">
        <f>MAX(+input_invoice[[#This Row],[net]]+input_invoice[[#This Row],[tax_iva]],input_invoice[[#This Row],[net]])</f>
        <v>3523.43</v>
      </c>
      <c r="H656" s="47">
        <f>input_invoice[[#This Row],[net]]*(MAX(input_invoice[[#This Row],[tax_rate_iva]],0)/100)</f>
        <v>0</v>
      </c>
      <c r="I656" s="47">
        <f>-input_invoice[[#This Row],[net]]*input_invoice[[#This Row],[tax_rate_irpf]]/100</f>
        <v>0</v>
      </c>
      <c r="J656" s="47">
        <v>3523.43</v>
      </c>
      <c r="K656" t="str">
        <f t="shared" si="15"/>
        <v>manufacturing</v>
      </c>
      <c r="L656">
        <v>0</v>
      </c>
      <c r="N656" t="str">
        <f>VLOOKUP(input_invoice[[#This Row],[concept/supplier]],'sel-invoice'!D:E,2,0)</f>
        <v>TGI Inc</v>
      </c>
      <c r="O656" t="str">
        <f>VLOOKUP(input_invoice[[#This Row],[concept/supplier]],'sel-invoice'!D:F,3,0)</f>
        <v>Inc</v>
      </c>
      <c r="P656" t="str">
        <f>IF(input_invoice[[#This Row],[entity]]="SL","EUR",IF(input_invoice[[#This Row],[entity]]="Ltd","GBP",IF(input_invoice[[#This Row],[entity]]="Inc","USD","XXX")))</f>
        <v>USD</v>
      </c>
      <c r="Q656" s="199" t="s">
        <v>1063</v>
      </c>
      <c r="R656" s="267" t="b">
        <v>1</v>
      </c>
    </row>
    <row r="657" spans="1:18" hidden="1" x14ac:dyDescent="0.3">
      <c r="A657">
        <v>202508</v>
      </c>
      <c r="B657" s="22" t="s">
        <v>917</v>
      </c>
      <c r="F657" t="s">
        <v>199</v>
      </c>
      <c r="G657" s="47">
        <f>MAX(+input_invoice[[#This Row],[net]]+input_invoice[[#This Row],[tax_iva]],input_invoice[[#This Row],[net]])</f>
        <v>478.36</v>
      </c>
      <c r="H657" s="47">
        <f>input_invoice[[#This Row],[net]]*(MAX(input_invoice[[#This Row],[tax_rate_iva]],0)/100)</f>
        <v>0</v>
      </c>
      <c r="I657" s="47">
        <f>-input_invoice[[#This Row],[net]]*input_invoice[[#This Row],[tax_rate_irpf]]/100</f>
        <v>0</v>
      </c>
      <c r="J657">
        <v>478.36</v>
      </c>
      <c r="K657" t="str">
        <f t="shared" si="15"/>
        <v>payment-suppliers</v>
      </c>
      <c r="L657">
        <v>0</v>
      </c>
      <c r="N657" t="str">
        <f>VLOOKUP(input_invoice[[#This Row],[concept/supplier]],'sel-invoice'!D:E,2,0)</f>
        <v>Shopify</v>
      </c>
      <c r="O657" t="str">
        <f>VLOOKUP(input_invoice[[#This Row],[concept/supplier]],'sel-invoice'!D:F,3,0)</f>
        <v>Ltd</v>
      </c>
      <c r="P657" t="str">
        <f>IF(input_invoice[[#This Row],[entity]]="SL","EUR",IF(input_invoice[[#This Row],[entity]]="Ltd","GBP",IF(input_invoice[[#This Row],[entity]]="Inc","USD","XXX")))</f>
        <v>GBP</v>
      </c>
      <c r="Q657" s="199" t="s">
        <v>918</v>
      </c>
      <c r="R657" s="259" t="b">
        <v>0</v>
      </c>
    </row>
    <row r="658" spans="1:18" hidden="1" x14ac:dyDescent="0.3">
      <c r="A658">
        <v>202508</v>
      </c>
      <c r="B658" s="22" t="s">
        <v>917</v>
      </c>
      <c r="C658">
        <v>306084</v>
      </c>
      <c r="F658" t="s">
        <v>77</v>
      </c>
      <c r="G658" s="47">
        <f>MAX(+input_invoice[[#This Row],[net]]+input_invoice[[#This Row],[tax_iva]],input_invoice[[#This Row],[net]])</f>
        <v>63.47</v>
      </c>
      <c r="H658" s="47">
        <f>input_invoice[[#This Row],[net]]*(MAX(input_invoice[[#This Row],[tax_rate_iva]],0)/100)</f>
        <v>0</v>
      </c>
      <c r="I658" s="47">
        <f>-input_invoice[[#This Row],[net]]*input_invoice[[#This Row],[tax_rate_irpf]]/100</f>
        <v>0</v>
      </c>
      <c r="J658" s="47">
        <v>63.47</v>
      </c>
      <c r="K658" t="str">
        <f t="shared" si="15"/>
        <v>payment-suppliers</v>
      </c>
      <c r="L658">
        <v>0</v>
      </c>
      <c r="N658" t="str">
        <f>VLOOKUP(input_invoice[[#This Row],[concept/supplier]],'sel-invoice'!D:E,2,0)</f>
        <v>Maisons du Monde</v>
      </c>
      <c r="O658" t="str">
        <f>VLOOKUP(input_invoice[[#This Row],[concept/supplier]],'sel-invoice'!D:F,3,0)</f>
        <v>SL</v>
      </c>
      <c r="P658" t="str">
        <f>IF(input_invoice[[#This Row],[entity]]="SL","EUR",IF(input_invoice[[#This Row],[entity]]="Ltd","GBP",IF(input_invoice[[#This Row],[entity]]="Inc","USD","XXX")))</f>
        <v>EUR</v>
      </c>
      <c r="Q658" s="199" t="s">
        <v>918</v>
      </c>
      <c r="R658" s="259" t="b">
        <v>0</v>
      </c>
    </row>
    <row r="659" spans="1:18" hidden="1" x14ac:dyDescent="0.3">
      <c r="A659">
        <v>202508</v>
      </c>
      <c r="B659" s="22" t="s">
        <v>917</v>
      </c>
      <c r="C659">
        <v>306712</v>
      </c>
      <c r="F659" t="s">
        <v>77</v>
      </c>
      <c r="G659" s="47">
        <f>MAX(+input_invoice[[#This Row],[net]]+input_invoice[[#This Row],[tax_iva]],input_invoice[[#This Row],[net]])</f>
        <v>58.74</v>
      </c>
      <c r="H659" s="47">
        <f>input_invoice[[#This Row],[net]]*(MAX(input_invoice[[#This Row],[tax_rate_iva]],0)/100)</f>
        <v>0</v>
      </c>
      <c r="I659" s="47">
        <f>-input_invoice[[#This Row],[net]]*input_invoice[[#This Row],[tax_rate_irpf]]/100</f>
        <v>0</v>
      </c>
      <c r="J659" s="47">
        <v>58.74</v>
      </c>
      <c r="K659" t="str">
        <f t="shared" si="15"/>
        <v>payment-suppliers</v>
      </c>
      <c r="L659">
        <v>0</v>
      </c>
      <c r="N659" t="str">
        <f>VLOOKUP(input_invoice[[#This Row],[concept/supplier]],'sel-invoice'!D:E,2,0)</f>
        <v>Maisons du Monde</v>
      </c>
      <c r="O659" t="str">
        <f>VLOOKUP(input_invoice[[#This Row],[concept/supplier]],'sel-invoice'!D:F,3,0)</f>
        <v>SL</v>
      </c>
      <c r="P659" t="str">
        <f>IF(input_invoice[[#This Row],[entity]]="SL","EUR",IF(input_invoice[[#This Row],[entity]]="Ltd","GBP",IF(input_invoice[[#This Row],[entity]]="Inc","USD","XXX")))</f>
        <v>EUR</v>
      </c>
      <c r="Q659" s="199" t="s">
        <v>918</v>
      </c>
      <c r="R659" s="259" t="b">
        <v>0</v>
      </c>
    </row>
    <row r="660" spans="1:18" hidden="1" x14ac:dyDescent="0.3">
      <c r="A660">
        <v>202508</v>
      </c>
      <c r="B660" s="22" t="s">
        <v>917</v>
      </c>
      <c r="C660" s="48">
        <v>307347</v>
      </c>
      <c r="F660" t="s">
        <v>77</v>
      </c>
      <c r="G660" s="47">
        <f>MAX(+input_invoice[[#This Row],[net]]+input_invoice[[#This Row],[tax_iva]],input_invoice[[#This Row],[net]])</f>
        <v>56.35</v>
      </c>
      <c r="H660" s="47">
        <f>input_invoice[[#This Row],[net]]*(MAX(input_invoice[[#This Row],[tax_rate_iva]],0)/100)</f>
        <v>0</v>
      </c>
      <c r="I660" s="47">
        <f>-input_invoice[[#This Row],[net]]*input_invoice[[#This Row],[tax_rate_irpf]]/100</f>
        <v>0</v>
      </c>
      <c r="J660" s="47">
        <v>56.35</v>
      </c>
      <c r="K660" t="str">
        <f t="shared" si="15"/>
        <v>payment-suppliers</v>
      </c>
      <c r="L660">
        <v>0</v>
      </c>
      <c r="N660" t="str">
        <f>VLOOKUP(input_invoice[[#This Row],[concept/supplier]],'sel-invoice'!D:E,2,0)</f>
        <v>Maisons du Monde</v>
      </c>
      <c r="O660" t="str">
        <f>VLOOKUP(input_invoice[[#This Row],[concept/supplier]],'sel-invoice'!D:F,3,0)</f>
        <v>SL</v>
      </c>
      <c r="P660" t="str">
        <f>IF(input_invoice[[#This Row],[entity]]="SL","EUR",IF(input_invoice[[#This Row],[entity]]="Ltd","GBP",IF(input_invoice[[#This Row],[entity]]="Inc","USD","XXX")))</f>
        <v>EUR</v>
      </c>
      <c r="Q660" s="199" t="s">
        <v>918</v>
      </c>
      <c r="R660" s="259" t="b">
        <v>0</v>
      </c>
    </row>
    <row r="661" spans="1:18" hidden="1" x14ac:dyDescent="0.3">
      <c r="A661">
        <v>202508</v>
      </c>
      <c r="B661" s="22" t="s">
        <v>917</v>
      </c>
      <c r="F661" t="s">
        <v>65</v>
      </c>
      <c r="G661" s="47">
        <f>MAX(+input_invoice[[#This Row],[net]]+input_invoice[[#This Row],[tax_iva]],input_invoice[[#This Row],[net]])</f>
        <v>1917.69</v>
      </c>
      <c r="H661" s="47">
        <f>input_invoice[[#This Row],[net]]*(MAX(input_invoice[[#This Row],[tax_rate_iva]],0)/100)</f>
        <v>0</v>
      </c>
      <c r="I661" s="47">
        <f>-input_invoice[[#This Row],[net]]*input_invoice[[#This Row],[tax_rate_irpf]]/100</f>
        <v>0</v>
      </c>
      <c r="J661" s="47">
        <v>1917.69</v>
      </c>
      <c r="K661" t="str">
        <f t="shared" si="15"/>
        <v>payment-suppliers</v>
      </c>
      <c r="L661">
        <v>0</v>
      </c>
      <c r="N661" t="str">
        <f>VLOOKUP(input_invoice[[#This Row],[concept/supplier]],'sel-invoice'!D:E,2,0)</f>
        <v>Shopify</v>
      </c>
      <c r="O661" t="str">
        <f>VLOOKUP(input_invoice[[#This Row],[concept/supplier]],'sel-invoice'!D:F,3,0)</f>
        <v>SL</v>
      </c>
      <c r="P661" t="str">
        <f>IF(input_invoice[[#This Row],[entity]]="SL","EUR",IF(input_invoice[[#This Row],[entity]]="Ltd","GBP",IF(input_invoice[[#This Row],[entity]]="Inc","USD","XXX")))</f>
        <v>EUR</v>
      </c>
      <c r="Q661" s="199" t="s">
        <v>918</v>
      </c>
      <c r="R661" s="267" t="b">
        <v>1</v>
      </c>
    </row>
    <row r="662" spans="1:18" hidden="1" x14ac:dyDescent="0.3">
      <c r="A662">
        <v>202509</v>
      </c>
      <c r="B662" s="22" t="s">
        <v>917</v>
      </c>
      <c r="F662" t="s">
        <v>37</v>
      </c>
      <c r="G662" s="47">
        <f>MAX(+input_invoice[[#This Row],[net]]+input_invoice[[#This Row],[tax_iva]]+input_invoice[[#This Row],[tax_irpf]],input_invoice[[#This Row],[net]])</f>
        <v>3989.7814000000003</v>
      </c>
      <c r="H662" s="47">
        <f>input_invoice[[#This Row],[net]]*(MAX(input_invoice[[#This Row],[tax_rate_iva]],0)/100)</f>
        <v>692.44140000000004</v>
      </c>
      <c r="I662" s="47">
        <f>-input_invoice[[#This Row],[net]]*input_invoice[[#This Row],[tax_rate_irpf]]/100</f>
        <v>0</v>
      </c>
      <c r="J662" s="47">
        <v>3297.34</v>
      </c>
      <c r="K662" t="str">
        <f t="shared" si="15"/>
        <v>manufacturing</v>
      </c>
      <c r="L662">
        <v>21</v>
      </c>
      <c r="N662" t="str">
        <f>VLOOKUP(input_invoice[[#This Row],[concept/supplier]],'sel-invoice'!D:E,2,0)</f>
        <v>Apphoto España</v>
      </c>
      <c r="O662" t="str">
        <f>VLOOKUP(input_invoice[[#This Row],[concept/supplier]],'sel-invoice'!D:F,3,0)</f>
        <v>SL</v>
      </c>
      <c r="P662" t="str">
        <f>IF(input_invoice[[#This Row],[entity]]="SL","EUR",IF(input_invoice[[#This Row],[entity]]="Ltd","GBP",IF(input_invoice[[#This Row],[entity]]="Inc","USD","XXX")))</f>
        <v>EUR</v>
      </c>
    </row>
    <row r="663" spans="1:18" hidden="1" x14ac:dyDescent="0.3">
      <c r="A663">
        <v>202509</v>
      </c>
      <c r="B663" s="22" t="s">
        <v>917</v>
      </c>
      <c r="F663" t="s">
        <v>37</v>
      </c>
      <c r="G663" s="47">
        <f>MAX(+input_invoice[[#This Row],[net]]+input_invoice[[#This Row],[tax_iva]]+input_invoice[[#This Row],[tax_irpf]],input_invoice[[#This Row],[net]])</f>
        <v>8124.3392999999996</v>
      </c>
      <c r="H663" s="47">
        <f>input_invoice[[#This Row],[net]]*(MAX(input_invoice[[#This Row],[tax_rate_iva]],0)/100)</f>
        <v>1410.0092999999999</v>
      </c>
      <c r="I663" s="47">
        <f>-input_invoice[[#This Row],[net]]*input_invoice[[#This Row],[tax_rate_irpf]]/100</f>
        <v>0</v>
      </c>
      <c r="J663" s="47">
        <v>6714.33</v>
      </c>
      <c r="K663" t="str">
        <f t="shared" ref="K663:K726" si="16">_xlfn.TEXTBEFORE(F663," - ")</f>
        <v>manufacturing</v>
      </c>
      <c r="L663">
        <v>21</v>
      </c>
      <c r="N663" t="str">
        <f>VLOOKUP(input_invoice[[#This Row],[concept/supplier]],'sel-invoice'!D:E,2,0)</f>
        <v>Apphoto España</v>
      </c>
      <c r="O663" t="str">
        <f>VLOOKUP(input_invoice[[#This Row],[concept/supplier]],'sel-invoice'!D:F,3,0)</f>
        <v>SL</v>
      </c>
      <c r="P663" t="str">
        <f>IF(input_invoice[[#This Row],[entity]]="SL","EUR",IF(input_invoice[[#This Row],[entity]]="Ltd","GBP",IF(input_invoice[[#This Row],[entity]]="Inc","USD","XXX")))</f>
        <v>EUR</v>
      </c>
    </row>
    <row r="664" spans="1:18" hidden="1" x14ac:dyDescent="0.3">
      <c r="A664">
        <v>202509</v>
      </c>
      <c r="B664" s="22" t="s">
        <v>917</v>
      </c>
      <c r="F664" t="s">
        <v>37</v>
      </c>
      <c r="G664" s="47">
        <f>MAX(+input_invoice[[#This Row],[net]]+input_invoice[[#This Row],[tax_iva]]+input_invoice[[#This Row],[tax_irpf]],input_invoice[[#This Row],[net]])</f>
        <v>2128.4989</v>
      </c>
      <c r="H664" s="47">
        <f>input_invoice[[#This Row],[net]]*(MAX(input_invoice[[#This Row],[tax_rate_iva]],0)/100)</f>
        <v>369.40889999999996</v>
      </c>
      <c r="I664" s="47">
        <f>-input_invoice[[#This Row],[net]]*input_invoice[[#This Row],[tax_rate_irpf]]/100</f>
        <v>0</v>
      </c>
      <c r="J664" s="47">
        <v>1759.09</v>
      </c>
      <c r="K664" t="str">
        <f t="shared" si="16"/>
        <v>manufacturing</v>
      </c>
      <c r="L664">
        <v>21</v>
      </c>
      <c r="N664" t="str">
        <f>VLOOKUP(input_invoice[[#This Row],[concept/supplier]],'sel-invoice'!D:E,2,0)</f>
        <v>Apphoto España</v>
      </c>
      <c r="O664" t="str">
        <f>VLOOKUP(input_invoice[[#This Row],[concept/supplier]],'sel-invoice'!D:F,3,0)</f>
        <v>SL</v>
      </c>
      <c r="P664" t="str">
        <f>IF(input_invoice[[#This Row],[entity]]="SL","EUR",IF(input_invoice[[#This Row],[entity]]="Ltd","GBP",IF(input_invoice[[#This Row],[entity]]="Inc","USD","XXX")))</f>
        <v>EUR</v>
      </c>
    </row>
    <row r="665" spans="1:18" hidden="1" x14ac:dyDescent="0.3">
      <c r="A665">
        <v>202509</v>
      </c>
      <c r="B665" s="22" t="s">
        <v>917</v>
      </c>
      <c r="F665" t="s">
        <v>37</v>
      </c>
      <c r="G665" s="47">
        <f>MAX(+input_invoice[[#This Row],[net]]+input_invoice[[#This Row],[tax_iva]]+input_invoice[[#This Row],[tax_irpf]],input_invoice[[#This Row],[net]])</f>
        <v>1934.4391000000001</v>
      </c>
      <c r="H665" s="47">
        <f>input_invoice[[#This Row],[net]]*(MAX(input_invoice[[#This Row],[tax_rate_iva]],0)/100)</f>
        <v>335.72910000000002</v>
      </c>
      <c r="I665" s="47">
        <f>-input_invoice[[#This Row],[net]]*input_invoice[[#This Row],[tax_rate_irpf]]/100</f>
        <v>0</v>
      </c>
      <c r="J665" s="47">
        <v>1598.71</v>
      </c>
      <c r="K665" t="str">
        <f t="shared" si="16"/>
        <v>manufacturing</v>
      </c>
      <c r="L665">
        <v>21</v>
      </c>
      <c r="N665" t="str">
        <f>VLOOKUP(input_invoice[[#This Row],[concept/supplier]],'sel-invoice'!D:E,2,0)</f>
        <v>Apphoto España</v>
      </c>
      <c r="O665" t="str">
        <f>VLOOKUP(input_invoice[[#This Row],[concept/supplier]],'sel-invoice'!D:F,3,0)</f>
        <v>SL</v>
      </c>
      <c r="P665" t="str">
        <f>IF(input_invoice[[#This Row],[entity]]="SL","EUR",IF(input_invoice[[#This Row],[entity]]="Ltd","GBP",IF(input_invoice[[#This Row],[entity]]="Inc","USD","XXX")))</f>
        <v>EUR</v>
      </c>
    </row>
    <row r="666" spans="1:18" hidden="1" x14ac:dyDescent="0.3">
      <c r="A666">
        <v>202509</v>
      </c>
      <c r="B666" s="22" t="s">
        <v>917</v>
      </c>
      <c r="F666" t="s">
        <v>37</v>
      </c>
      <c r="G666" s="47">
        <f>MAX(+input_invoice[[#This Row],[net]]+input_invoice[[#This Row],[tax_iva]]+input_invoice[[#This Row],[tax_irpf]],input_invoice[[#This Row],[net]])</f>
        <v>101.30119999999999</v>
      </c>
      <c r="H666" s="47">
        <f>input_invoice[[#This Row],[net]]*(MAX(input_invoice[[#This Row],[tax_rate_iva]],0)/100)</f>
        <v>17.581199999999999</v>
      </c>
      <c r="I666" s="47">
        <f>-input_invoice[[#This Row],[net]]*input_invoice[[#This Row],[tax_rate_irpf]]/100</f>
        <v>0</v>
      </c>
      <c r="J666" s="47">
        <v>83.72</v>
      </c>
      <c r="K666" t="str">
        <f t="shared" si="16"/>
        <v>manufacturing</v>
      </c>
      <c r="L666">
        <v>21</v>
      </c>
      <c r="N666" t="str">
        <f>VLOOKUP(input_invoice[[#This Row],[concept/supplier]],'sel-invoice'!D:E,2,0)</f>
        <v>Apphoto España</v>
      </c>
      <c r="O666" t="str">
        <f>VLOOKUP(input_invoice[[#This Row],[concept/supplier]],'sel-invoice'!D:F,3,0)</f>
        <v>SL</v>
      </c>
      <c r="P666" t="str">
        <f>IF(input_invoice[[#This Row],[entity]]="SL","EUR",IF(input_invoice[[#This Row],[entity]]="Ltd","GBP",IF(input_invoice[[#This Row],[entity]]="Inc","USD","XXX")))</f>
        <v>EUR</v>
      </c>
    </row>
    <row r="667" spans="1:18" hidden="1" x14ac:dyDescent="0.3">
      <c r="A667">
        <v>202509</v>
      </c>
      <c r="B667" s="22" t="s">
        <v>917</v>
      </c>
      <c r="F667" t="s">
        <v>37</v>
      </c>
      <c r="G667" s="47">
        <f>MAX(+input_invoice[[#This Row],[net]]+input_invoice[[#This Row],[tax_iva]]+input_invoice[[#This Row],[tax_irpf]],input_invoice[[#This Row],[net]])</f>
        <v>9405.1726999999992</v>
      </c>
      <c r="H667" s="47">
        <f>input_invoice[[#This Row],[net]]*(MAX(input_invoice[[#This Row],[tax_rate_iva]],0)/100)</f>
        <v>1632.3027</v>
      </c>
      <c r="I667" s="47">
        <f>-input_invoice[[#This Row],[net]]*input_invoice[[#This Row],[tax_rate_irpf]]/100</f>
        <v>0</v>
      </c>
      <c r="J667" s="47">
        <v>7772.87</v>
      </c>
      <c r="K667" t="str">
        <f t="shared" si="16"/>
        <v>manufacturing</v>
      </c>
      <c r="L667">
        <v>21</v>
      </c>
      <c r="N667" t="str">
        <f>VLOOKUP(input_invoice[[#This Row],[concept/supplier]],'sel-invoice'!D:E,2,0)</f>
        <v>Apphoto España</v>
      </c>
      <c r="O667" t="str">
        <f>VLOOKUP(input_invoice[[#This Row],[concept/supplier]],'sel-invoice'!D:F,3,0)</f>
        <v>SL</v>
      </c>
      <c r="P667" t="str">
        <f>IF(input_invoice[[#This Row],[entity]]="SL","EUR",IF(input_invoice[[#This Row],[entity]]="Ltd","GBP",IF(input_invoice[[#This Row],[entity]]="Inc","USD","XXX")))</f>
        <v>EUR</v>
      </c>
    </row>
    <row r="668" spans="1:18" hidden="1" x14ac:dyDescent="0.3">
      <c r="A668">
        <v>202509</v>
      </c>
      <c r="B668" s="22" t="s">
        <v>917</v>
      </c>
      <c r="F668" t="s">
        <v>143</v>
      </c>
      <c r="G668" s="47">
        <f>MAX(+input_invoice[[#This Row],[net]]+input_invoice[[#This Row],[tax_iva]]+input_invoice[[#This Row],[tax_irpf]],input_invoice[[#This Row],[net]])</f>
        <v>11.991099999999999</v>
      </c>
      <c r="H668" s="47">
        <f>input_invoice[[#This Row],[net]]*(MAX(input_invoice[[#This Row],[tax_rate_iva]],0)/100)</f>
        <v>2.0811000000000002</v>
      </c>
      <c r="I668" s="47">
        <f>-input_invoice[[#This Row],[net]]*input_invoice[[#This Row],[tax_rate_irpf]]/100</f>
        <v>0</v>
      </c>
      <c r="J668" s="47">
        <v>9.91</v>
      </c>
      <c r="K668" t="str">
        <f t="shared" si="16"/>
        <v>it</v>
      </c>
      <c r="L668">
        <v>21</v>
      </c>
      <c r="N668" t="str">
        <f>VLOOKUP(input_invoice[[#This Row],[concept/supplier]],'sel-invoice'!D:E,2,0)</f>
        <v>Canva</v>
      </c>
      <c r="O668" t="str">
        <f>VLOOKUP(input_invoice[[#This Row],[concept/supplier]],'sel-invoice'!D:F,3,0)</f>
        <v>SL</v>
      </c>
      <c r="P668" t="str">
        <f>IF(input_invoice[[#This Row],[entity]]="SL","EUR",IF(input_invoice[[#This Row],[entity]]="Ltd","GBP",IF(input_invoice[[#This Row],[entity]]="Inc","USD","XXX")))</f>
        <v>EUR</v>
      </c>
    </row>
    <row r="669" spans="1:18" hidden="1" x14ac:dyDescent="0.3">
      <c r="A669">
        <v>202509</v>
      </c>
      <c r="B669" s="22" t="s">
        <v>917</v>
      </c>
      <c r="F669" t="s">
        <v>111</v>
      </c>
      <c r="G669" s="47">
        <f>MAX(+input_invoice[[#This Row],[net]]+input_invoice[[#This Row],[tax_iva]]+input_invoice[[#This Row],[tax_irpf]],input_invoice[[#This Row],[net]])</f>
        <v>888.87810000000002</v>
      </c>
      <c r="H669" s="47">
        <f>input_invoice[[#This Row],[net]]*(MAX(input_invoice[[#This Row],[tax_rate_iva]],0)/100)</f>
        <v>154.2681</v>
      </c>
      <c r="I669" s="47">
        <f>-input_invoice[[#This Row],[net]]*input_invoice[[#This Row],[tax_rate_irpf]]/100</f>
        <v>0</v>
      </c>
      <c r="J669" s="47">
        <v>734.61</v>
      </c>
      <c r="K669" t="str">
        <f t="shared" si="16"/>
        <v>administrative</v>
      </c>
      <c r="L669">
        <v>21</v>
      </c>
      <c r="N669" t="str">
        <f>VLOOKUP(input_invoice[[#This Row],[concept/supplier]],'sel-invoice'!D:E,2,0)</f>
        <v>Claris Gestio</v>
      </c>
      <c r="O669" t="str">
        <f>VLOOKUP(input_invoice[[#This Row],[concept/supplier]],'sel-invoice'!D:F,3,0)</f>
        <v>SL</v>
      </c>
      <c r="P669" t="str">
        <f>IF(input_invoice[[#This Row],[entity]]="SL","EUR",IF(input_invoice[[#This Row],[entity]]="Ltd","GBP",IF(input_invoice[[#This Row],[entity]]="Inc","USD","XXX")))</f>
        <v>EUR</v>
      </c>
    </row>
    <row r="670" spans="1:18" hidden="1" x14ac:dyDescent="0.3">
      <c r="A670">
        <v>202509</v>
      </c>
      <c r="B670" s="22" t="s">
        <v>917</v>
      </c>
      <c r="F670" t="s">
        <v>43</v>
      </c>
      <c r="G670" s="47">
        <f>MAX(+input_invoice[[#This Row],[net]]+input_invoice[[#This Row],[tax_iva]]+input_invoice[[#This Row],[tax_irpf]],input_invoice[[#This Row],[net]])</f>
        <v>8168.6241000000009</v>
      </c>
      <c r="H670" s="47">
        <f>input_invoice[[#This Row],[net]]*(MAX(input_invoice[[#This Row],[tax_rate_iva]],0)/100)</f>
        <v>1304.2341000000001</v>
      </c>
      <c r="I670" s="47">
        <f>-input_invoice[[#This Row],[net]]*input_invoice[[#This Row],[tax_rate_irpf]]/100</f>
        <v>0</v>
      </c>
      <c r="J670" s="47">
        <v>6864.39</v>
      </c>
      <c r="K670" t="str">
        <f t="shared" si="16"/>
        <v>manufacturing</v>
      </c>
      <c r="L670">
        <v>19</v>
      </c>
      <c r="N670" t="str">
        <f>VLOOKUP(input_invoice[[#This Row],[concept/supplier]],'sel-invoice'!D:E,2,0)</f>
        <v>DCT</v>
      </c>
      <c r="O670" t="str">
        <f>VLOOKUP(input_invoice[[#This Row],[concept/supplier]],'sel-invoice'!D:F,3,0)</f>
        <v>SL</v>
      </c>
      <c r="P670" t="str">
        <f>IF(input_invoice[[#This Row],[entity]]="SL","EUR",IF(input_invoice[[#This Row],[entity]]="Ltd","GBP",IF(input_invoice[[#This Row],[entity]]="Inc","USD","XXX")))</f>
        <v>EUR</v>
      </c>
    </row>
    <row r="671" spans="1:18" hidden="1" x14ac:dyDescent="0.3">
      <c r="A671">
        <v>202509</v>
      </c>
      <c r="B671" s="22" t="s">
        <v>917</v>
      </c>
      <c r="F671" t="s">
        <v>127</v>
      </c>
      <c r="G671" s="47">
        <f>MAX(+input_invoice[[#This Row],[net]]+input_invoice[[#This Row],[tax_iva]]+input_invoice[[#This Row],[tax_irpf]],input_invoice[[#This Row],[net]])</f>
        <v>13.189</v>
      </c>
      <c r="H671" s="47">
        <f>input_invoice[[#This Row],[net]]*(MAX(input_invoice[[#This Row],[tax_rate_iva]],0)/100)</f>
        <v>2.2890000000000001</v>
      </c>
      <c r="I671" s="47">
        <f>-input_invoice[[#This Row],[net]]*input_invoice[[#This Row],[tax_rate_irpf]]/100</f>
        <v>0</v>
      </c>
      <c r="J671" s="47">
        <v>10.9</v>
      </c>
      <c r="K671" t="str">
        <f t="shared" si="16"/>
        <v>it</v>
      </c>
      <c r="L671">
        <v>21</v>
      </c>
      <c r="N671" t="str">
        <f>VLOOKUP(input_invoice[[#This Row],[concept/supplier]],'sel-invoice'!D:E,2,0)</f>
        <v>Hetzner</v>
      </c>
      <c r="O671" t="str">
        <f>VLOOKUP(input_invoice[[#This Row],[concept/supplier]],'sel-invoice'!D:F,3,0)</f>
        <v>SL</v>
      </c>
      <c r="P671" t="str">
        <f>IF(input_invoice[[#This Row],[entity]]="SL","EUR",IF(input_invoice[[#This Row],[entity]]="Ltd","GBP",IF(input_invoice[[#This Row],[entity]]="Inc","USD","XXX")))</f>
        <v>EUR</v>
      </c>
    </row>
    <row r="672" spans="1:18" hidden="1" x14ac:dyDescent="0.3">
      <c r="A672">
        <v>202509</v>
      </c>
      <c r="B672" s="22" t="s">
        <v>917</v>
      </c>
      <c r="F672" t="s">
        <v>129</v>
      </c>
      <c r="G672" s="47">
        <f>MAX(+input_invoice[[#This Row],[net]]+input_invoice[[#This Row],[tax_iva]]+input_invoice[[#This Row],[tax_irpf]],input_invoice[[#This Row],[net]])</f>
        <v>34.122</v>
      </c>
      <c r="H672" s="47">
        <f>input_invoice[[#This Row],[net]]*(MAX(input_invoice[[#This Row],[tax_rate_iva]],0)/100)</f>
        <v>5.9219999999999997</v>
      </c>
      <c r="I672" s="47">
        <f>-input_invoice[[#This Row],[net]]*input_invoice[[#This Row],[tax_rate_irpf]]/100</f>
        <v>0</v>
      </c>
      <c r="J672" s="47">
        <v>28.2</v>
      </c>
      <c r="K672" t="str">
        <f t="shared" si="16"/>
        <v>it</v>
      </c>
      <c r="L672">
        <v>21</v>
      </c>
      <c r="N672" t="str">
        <f>VLOOKUP(input_invoice[[#This Row],[concept/supplier]],'sel-invoice'!D:E,2,0)</f>
        <v>Microsoft</v>
      </c>
      <c r="O672" t="str">
        <f>VLOOKUP(input_invoice[[#This Row],[concept/supplier]],'sel-invoice'!D:F,3,0)</f>
        <v>SL</v>
      </c>
      <c r="P672" t="str">
        <f>IF(input_invoice[[#This Row],[entity]]="SL","EUR",IF(input_invoice[[#This Row],[entity]]="Ltd","GBP",IF(input_invoice[[#This Row],[entity]]="Inc","USD","XXX")))</f>
        <v>EUR</v>
      </c>
    </row>
    <row r="673" spans="1:18" hidden="1" x14ac:dyDescent="0.3">
      <c r="A673">
        <v>202509</v>
      </c>
      <c r="B673" s="22" t="s">
        <v>917</v>
      </c>
      <c r="C673" s="48" t="s">
        <v>369</v>
      </c>
      <c r="F673" t="s">
        <v>370</v>
      </c>
      <c r="G673" s="47">
        <f>MAX(+input_invoice[[#This Row],[net]]+input_invoice[[#This Row],[tax_iva]]+input_invoice[[#This Row],[tax_irpf]],input_invoice[[#This Row],[net]])</f>
        <v>299.00310000000002</v>
      </c>
      <c r="H673" s="47">
        <f>input_invoice[[#This Row],[net]]*(MAX(input_invoice[[#This Row],[tax_rate_iva]],0)/100)</f>
        <v>51.893100000000004</v>
      </c>
      <c r="I673" s="47">
        <f>-input_invoice[[#This Row],[net]]*input_invoice[[#This Row],[tax_rate_irpf]]/100</f>
        <v>0</v>
      </c>
      <c r="J673" s="47">
        <v>247.11</v>
      </c>
      <c r="K673" t="str">
        <f t="shared" si="16"/>
        <v>tools</v>
      </c>
      <c r="L673">
        <v>21</v>
      </c>
      <c r="N673" t="str">
        <f>VLOOKUP(input_invoice[[#This Row],[concept/supplier]],'sel-invoice'!D:E,2,0)</f>
        <v>personal tools</v>
      </c>
      <c r="O673" t="str">
        <f>VLOOKUP(input_invoice[[#This Row],[concept/supplier]],'sel-invoice'!D:F,3,0)</f>
        <v>SL</v>
      </c>
      <c r="P673" t="str">
        <f>IF(input_invoice[[#This Row],[entity]]="SL","EUR",IF(input_invoice[[#This Row],[entity]]="Ltd","GBP",IF(input_invoice[[#This Row],[entity]]="Inc","USD","XXX")))</f>
        <v>EUR</v>
      </c>
    </row>
    <row r="674" spans="1:18" hidden="1" x14ac:dyDescent="0.3">
      <c r="A674">
        <v>202509</v>
      </c>
      <c r="B674" s="22" t="s">
        <v>917</v>
      </c>
      <c r="C674" s="48" t="s">
        <v>378</v>
      </c>
      <c r="F674" t="s">
        <v>370</v>
      </c>
      <c r="G674" s="47">
        <f>MAX(+input_invoice[[#This Row],[net]]+input_invoice[[#This Row],[tax_iva]]+input_invoice[[#This Row],[tax_irpf]],input_invoice[[#This Row],[net]])</f>
        <v>999.00019999999995</v>
      </c>
      <c r="H674" s="47">
        <f>input_invoice[[#This Row],[net]]*(MAX(input_invoice[[#This Row],[tax_rate_iva]],0)/100)</f>
        <v>173.3802</v>
      </c>
      <c r="I674" s="47">
        <f>-input_invoice[[#This Row],[net]]*input_invoice[[#This Row],[tax_rate_irpf]]/100</f>
        <v>0</v>
      </c>
      <c r="J674">
        <v>825.62</v>
      </c>
      <c r="K674" t="str">
        <f t="shared" si="16"/>
        <v>tools</v>
      </c>
      <c r="L674">
        <v>21</v>
      </c>
      <c r="N674" t="str">
        <f>VLOOKUP(input_invoice[[#This Row],[concept/supplier]],'sel-invoice'!D:E,2,0)</f>
        <v>personal tools</v>
      </c>
      <c r="O674" t="str">
        <f>VLOOKUP(input_invoice[[#This Row],[concept/supplier]],'sel-invoice'!D:F,3,0)</f>
        <v>SL</v>
      </c>
      <c r="P674" t="str">
        <f>IF(input_invoice[[#This Row],[entity]]="SL","EUR",IF(input_invoice[[#This Row],[entity]]="Ltd","GBP",IF(input_invoice[[#This Row],[entity]]="Inc","USD","XXX")))</f>
        <v>EUR</v>
      </c>
    </row>
    <row r="675" spans="1:18" hidden="1" x14ac:dyDescent="0.3">
      <c r="A675">
        <v>202511</v>
      </c>
      <c r="B675" s="22" t="s">
        <v>917</v>
      </c>
      <c r="C675" s="48" t="s">
        <v>1046</v>
      </c>
      <c r="D675" s="43">
        <v>45962</v>
      </c>
      <c r="E675" s="43">
        <v>45962</v>
      </c>
      <c r="F675" t="s">
        <v>81</v>
      </c>
      <c r="G675" s="47">
        <f>MAX(+input_invoice[[#This Row],[net]]+input_invoice[[#This Row],[tax_iva]],input_invoice[[#This Row],[net]])</f>
        <v>448.68009999999998</v>
      </c>
      <c r="H675" s="47">
        <f>input_invoice[[#This Row],[net]]*(MAX(input_invoice[[#This Row],[tax_rate_iva]],0)/100)</f>
        <v>77.870099999999994</v>
      </c>
      <c r="I675" s="47">
        <f>-input_invoice[[#This Row],[net]]*input_invoice[[#This Row],[tax_rate_irpf]]/100</f>
        <v>0</v>
      </c>
      <c r="J675" s="47">
        <v>370.81</v>
      </c>
      <c r="K675" t="str">
        <f t="shared" si="16"/>
        <v>returns</v>
      </c>
      <c r="L675">
        <v>21</v>
      </c>
      <c r="N675" t="str">
        <f>VLOOKUP(input_invoice[[#This Row],[concept/supplier]],'sel-invoice'!D:E,2,0)</f>
        <v>rever</v>
      </c>
      <c r="O675" t="str">
        <f>VLOOKUP(input_invoice[[#This Row],[concept/supplier]],'sel-invoice'!D:F,3,0)</f>
        <v>SL</v>
      </c>
      <c r="P675" t="str">
        <f>IF(input_invoice[[#This Row],[entity]]="SL","EUR",IF(input_invoice[[#This Row],[entity]]="Ltd","GBP",IF(input_invoice[[#This Row],[entity]]="Inc","USD","XXX")))</f>
        <v>EUR</v>
      </c>
      <c r="Q675" s="199" t="s">
        <v>1047</v>
      </c>
    </row>
    <row r="676" spans="1:18" hidden="1" x14ac:dyDescent="0.3">
      <c r="A676">
        <v>202510</v>
      </c>
      <c r="B676" s="22" t="s">
        <v>917</v>
      </c>
      <c r="C676" s="48" t="s">
        <v>974</v>
      </c>
      <c r="D676" s="43">
        <v>45955</v>
      </c>
      <c r="E676" s="43">
        <f>input_invoice[[#This Row],[date]]</f>
        <v>45955</v>
      </c>
      <c r="F676" t="s">
        <v>122</v>
      </c>
      <c r="G676" s="47">
        <f>MAX(+input_invoice[[#This Row],[net]]+input_invoice[[#This Row],[tax_iva]],input_invoice[[#This Row],[net]])</f>
        <v>2322.9499999999998</v>
      </c>
      <c r="H676" s="47">
        <f>input_invoice[[#This Row],[net]]*(MAX(input_invoice[[#This Row],[tax_rate_iva]],0)/100)</f>
        <v>0</v>
      </c>
      <c r="I676" s="47">
        <f>-input_invoice[[#This Row],[net]]*input_invoice[[#This Row],[tax_rate_irpf]]/100</f>
        <v>0</v>
      </c>
      <c r="J676" s="47">
        <v>2322.9499999999998</v>
      </c>
      <c r="K676" t="str">
        <f t="shared" si="16"/>
        <v>it</v>
      </c>
      <c r="L676">
        <v>0</v>
      </c>
      <c r="N676" t="str">
        <f>VLOOKUP(input_invoice[[#This Row],[concept/supplier]],'sel-invoice'!D:E,2,0)</f>
        <v>Shopify</v>
      </c>
      <c r="O676" t="str">
        <f>VLOOKUP(input_invoice[[#This Row],[concept/supplier]],'sel-invoice'!D:F,3,0)</f>
        <v>SL</v>
      </c>
      <c r="P676" t="str">
        <f>IF(input_invoice[[#This Row],[entity]]="SL","EUR",IF(input_invoice[[#This Row],[entity]]="Ltd","GBP",IF(input_invoice[[#This Row],[entity]]="Inc","USD","XXX")))</f>
        <v>EUR</v>
      </c>
      <c r="Q676" s="199" t="s">
        <v>975</v>
      </c>
      <c r="R676" s="259" t="b">
        <v>1</v>
      </c>
    </row>
    <row r="677" spans="1:18" hidden="1" x14ac:dyDescent="0.3">
      <c r="A677">
        <v>202509</v>
      </c>
      <c r="B677" s="22" t="s">
        <v>917</v>
      </c>
      <c r="F677" t="s">
        <v>54</v>
      </c>
      <c r="G677" s="47">
        <f>MAX(+input_invoice[[#This Row],[net]]+input_invoice[[#This Row],[tax_iva]]+input_invoice[[#This Row],[tax_irpf]],input_invoice[[#This Row],[net]])</f>
        <v>11.4466</v>
      </c>
      <c r="H677" s="47">
        <f>input_invoice[[#This Row],[net]]*(MAX(input_invoice[[#This Row],[tax_rate_iva]],0)/100)</f>
        <v>1.9866000000000001</v>
      </c>
      <c r="I677" s="47">
        <f>-input_invoice[[#This Row],[net]]*input_invoice[[#This Row],[tax_rate_irpf]]/100</f>
        <v>0</v>
      </c>
      <c r="J677" s="47">
        <v>9.4600000000000009</v>
      </c>
      <c r="K677" t="str">
        <f t="shared" si="16"/>
        <v>logistics</v>
      </c>
      <c r="L677">
        <v>21</v>
      </c>
      <c r="N677" t="str">
        <f>VLOOKUP(input_invoice[[#This Row],[concept/supplier]],'sel-invoice'!D:E,2,0)</f>
        <v>Spring</v>
      </c>
      <c r="O677" t="str">
        <f>VLOOKUP(input_invoice[[#This Row],[concept/supplier]],'sel-invoice'!D:F,3,0)</f>
        <v>SL</v>
      </c>
      <c r="P677" t="str">
        <f>IF(input_invoice[[#This Row],[entity]]="SL","EUR",IF(input_invoice[[#This Row],[entity]]="Ltd","GBP",IF(input_invoice[[#This Row],[entity]]="Inc","USD","XXX")))</f>
        <v>EUR</v>
      </c>
    </row>
    <row r="678" spans="1:18" hidden="1" x14ac:dyDescent="0.3">
      <c r="A678">
        <v>202509</v>
      </c>
      <c r="B678" s="22" t="s">
        <v>917</v>
      </c>
      <c r="F678" t="s">
        <v>54</v>
      </c>
      <c r="G678" s="47">
        <f>MAX(+input_invoice[[#This Row],[net]]+input_invoice[[#This Row],[tax_iva]]+input_invoice[[#This Row],[tax_irpf]],input_invoice[[#This Row],[net]])</f>
        <v>14.0481</v>
      </c>
      <c r="H678" s="47">
        <f>input_invoice[[#This Row],[net]]*(MAX(input_invoice[[#This Row],[tax_rate_iva]],0)/100)</f>
        <v>2.4380999999999999</v>
      </c>
      <c r="I678" s="47">
        <f>-input_invoice[[#This Row],[net]]*input_invoice[[#This Row],[tax_rate_irpf]]/100</f>
        <v>0</v>
      </c>
      <c r="J678" s="47">
        <v>11.61</v>
      </c>
      <c r="K678" t="str">
        <f t="shared" si="16"/>
        <v>logistics</v>
      </c>
      <c r="L678">
        <v>21</v>
      </c>
      <c r="N678" t="str">
        <f>VLOOKUP(input_invoice[[#This Row],[concept/supplier]],'sel-invoice'!D:E,2,0)</f>
        <v>Spring</v>
      </c>
      <c r="O678" t="str">
        <f>VLOOKUP(input_invoice[[#This Row],[concept/supplier]],'sel-invoice'!D:F,3,0)</f>
        <v>SL</v>
      </c>
      <c r="P678" t="str">
        <f>IF(input_invoice[[#This Row],[entity]]="SL","EUR",IF(input_invoice[[#This Row],[entity]]="Ltd","GBP",IF(input_invoice[[#This Row],[entity]]="Inc","USD","XXX")))</f>
        <v>EUR</v>
      </c>
    </row>
    <row r="679" spans="1:18" hidden="1" x14ac:dyDescent="0.3">
      <c r="A679">
        <v>202509</v>
      </c>
      <c r="B679" s="22" t="s">
        <v>917</v>
      </c>
      <c r="F679" t="s">
        <v>54</v>
      </c>
      <c r="G679" s="47">
        <f>MAX(+input_invoice[[#This Row],[net]]+input_invoice[[#This Row],[tax_iva]]+input_invoice[[#This Row],[tax_irpf]],input_invoice[[#This Row],[net]])</f>
        <v>6.2435999999999998</v>
      </c>
      <c r="H679" s="47">
        <f>input_invoice[[#This Row],[net]]*(MAX(input_invoice[[#This Row],[tax_rate_iva]],0)/100)</f>
        <v>1.0835999999999999</v>
      </c>
      <c r="I679" s="47">
        <f>-input_invoice[[#This Row],[net]]*input_invoice[[#This Row],[tax_rate_irpf]]/100</f>
        <v>0</v>
      </c>
      <c r="J679" s="47">
        <v>5.16</v>
      </c>
      <c r="K679" t="str">
        <f t="shared" si="16"/>
        <v>logistics</v>
      </c>
      <c r="L679">
        <v>21</v>
      </c>
      <c r="N679" t="str">
        <f>VLOOKUP(input_invoice[[#This Row],[concept/supplier]],'sel-invoice'!D:E,2,0)</f>
        <v>Spring</v>
      </c>
      <c r="O679" t="str">
        <f>VLOOKUP(input_invoice[[#This Row],[concept/supplier]],'sel-invoice'!D:F,3,0)</f>
        <v>SL</v>
      </c>
      <c r="P679" t="str">
        <f>IF(input_invoice[[#This Row],[entity]]="SL","EUR",IF(input_invoice[[#This Row],[entity]]="Ltd","GBP",IF(input_invoice[[#This Row],[entity]]="Inc","USD","XXX")))</f>
        <v>EUR</v>
      </c>
    </row>
    <row r="680" spans="1:18" hidden="1" x14ac:dyDescent="0.3">
      <c r="A680">
        <v>202509</v>
      </c>
      <c r="B680" s="22" t="s">
        <v>917</v>
      </c>
      <c r="F680" t="s">
        <v>113</v>
      </c>
      <c r="G680" s="47">
        <f>MAX(+input_invoice[[#This Row],[net]]+input_invoice[[#This Row],[tax_iva]]+input_invoice[[#This Row],[tax_irpf]],input_invoice[[#This Row],[net]])</f>
        <v>18.149999999999999</v>
      </c>
      <c r="H680" s="47">
        <f>input_invoice[[#This Row],[net]]*(MAX(input_invoice[[#This Row],[tax_rate_iva]],0)/100)</f>
        <v>3.15</v>
      </c>
      <c r="I680" s="47">
        <f>-input_invoice[[#This Row],[net]]*input_invoice[[#This Row],[tax_rate_irpf]]/100</f>
        <v>0</v>
      </c>
      <c r="J680" s="47">
        <v>15</v>
      </c>
      <c r="K680" t="str">
        <f t="shared" si="16"/>
        <v>administrative</v>
      </c>
      <c r="L680">
        <v>21</v>
      </c>
      <c r="N680" t="str">
        <f>VLOOKUP(input_invoice[[#This Row],[concept/supplier]],'sel-invoice'!D:E,2,0)</f>
        <v>Torras y asociados</v>
      </c>
      <c r="O680" t="str">
        <f>VLOOKUP(input_invoice[[#This Row],[concept/supplier]],'sel-invoice'!D:F,3,0)</f>
        <v>SL</v>
      </c>
      <c r="P680" t="str">
        <f>IF(input_invoice[[#This Row],[entity]]="SL","EUR",IF(input_invoice[[#This Row],[entity]]="Ltd","GBP",IF(input_invoice[[#This Row],[entity]]="Inc","USD","XXX")))</f>
        <v>EUR</v>
      </c>
      <c r="R680" s="259" t="b">
        <v>0</v>
      </c>
    </row>
    <row r="681" spans="1:18" hidden="1" x14ac:dyDescent="0.3">
      <c r="A681">
        <v>202509</v>
      </c>
      <c r="B681" s="22" t="s">
        <v>917</v>
      </c>
      <c r="F681" t="s">
        <v>70</v>
      </c>
      <c r="G681" s="47">
        <f>MAX(+input_invoice[[#This Row],[net]]+input_invoice[[#This Row],[tax_iva]],input_invoice[[#This Row],[net]])</f>
        <v>76.38</v>
      </c>
      <c r="H681" s="47">
        <f>input_invoice[[#This Row],[net]]*(MAX(input_invoice[[#This Row],[tax_rate_iva]],0)/100)</f>
        <v>0</v>
      </c>
      <c r="I681" s="47">
        <f>-input_invoice[[#This Row],[net]]*input_invoice[[#This Row],[tax_rate_irpf]]/100</f>
        <v>0</v>
      </c>
      <c r="J681" s="47">
        <v>76.38</v>
      </c>
      <c r="K681" t="str">
        <f t="shared" si="16"/>
        <v>payment-suppliers</v>
      </c>
      <c r="L681">
        <v>0</v>
      </c>
      <c r="N681" t="str">
        <f>VLOOKUP(input_invoice[[#This Row],[concept/supplier]],'sel-invoice'!D:E,2,0)</f>
        <v>Klarna</v>
      </c>
      <c r="O681" t="str">
        <f>VLOOKUP(input_invoice[[#This Row],[concept/supplier]],'sel-invoice'!D:F,3,0)</f>
        <v>SL</v>
      </c>
      <c r="P681" t="str">
        <f>IF(input_invoice[[#This Row],[entity]]="SL","EUR",IF(input_invoice[[#This Row],[entity]]="Ltd","GBP",IF(input_invoice[[#This Row],[entity]]="Inc","USD","XXX")))</f>
        <v>EUR</v>
      </c>
      <c r="Q681" s="199" t="s">
        <v>918</v>
      </c>
    </row>
    <row r="682" spans="1:18" hidden="1" x14ac:dyDescent="0.3">
      <c r="A682">
        <v>202509</v>
      </c>
      <c r="B682" s="22" t="s">
        <v>917</v>
      </c>
      <c r="F682" t="s">
        <v>200</v>
      </c>
      <c r="G682" s="47">
        <f>MAX(+input_invoice[[#This Row],[net]]+input_invoice[[#This Row],[tax_iva]],input_invoice[[#This Row],[net]])</f>
        <v>0</v>
      </c>
      <c r="H682" s="47">
        <f>input_invoice[[#This Row],[net]]*(MAX(input_invoice[[#This Row],[tax_rate_iva]],0)/100)</f>
        <v>0</v>
      </c>
      <c r="I682" s="47">
        <f>-input_invoice[[#This Row],[net]]*input_invoice[[#This Row],[tax_rate_irpf]]/100</f>
        <v>0</v>
      </c>
      <c r="J682" s="47">
        <v>0</v>
      </c>
      <c r="K682" t="str">
        <f t="shared" si="16"/>
        <v>payment-suppliers</v>
      </c>
      <c r="L682">
        <v>0</v>
      </c>
      <c r="N682" t="str">
        <f>VLOOKUP(input_invoice[[#This Row],[concept/supplier]],'sel-invoice'!D:E,2,0)</f>
        <v>Paypal</v>
      </c>
      <c r="O682" t="str">
        <f>VLOOKUP(input_invoice[[#This Row],[concept/supplier]],'sel-invoice'!D:F,3,0)</f>
        <v>Ltd</v>
      </c>
      <c r="P682" t="str">
        <f>IF(input_invoice[[#This Row],[entity]]="SL","EUR",IF(input_invoice[[#This Row],[entity]]="Ltd","GBP",IF(input_invoice[[#This Row],[entity]]="Inc","USD","XXX")))</f>
        <v>GBP</v>
      </c>
      <c r="Q682" s="199" t="s">
        <v>918</v>
      </c>
    </row>
    <row r="683" spans="1:18" hidden="1" x14ac:dyDescent="0.3">
      <c r="A683">
        <v>202510</v>
      </c>
      <c r="B683" s="22" t="s">
        <v>917</v>
      </c>
      <c r="C683" s="48">
        <v>170656</v>
      </c>
      <c r="D683" s="43">
        <v>45961</v>
      </c>
      <c r="E683" s="43">
        <f>input_invoice[[#This Row],[date]]+45</f>
        <v>46006</v>
      </c>
      <c r="F683" t="s">
        <v>221</v>
      </c>
      <c r="G683" s="47">
        <f>MAX(+input_invoice[[#This Row],[net]]+input_invoice[[#This Row],[tax_iva]],input_invoice[[#This Row],[net]])</f>
        <v>4743.07</v>
      </c>
      <c r="H683" s="47">
        <f>input_invoice[[#This Row],[net]]*(MAX(input_invoice[[#This Row],[tax_rate_iva]],0)/100)</f>
        <v>0</v>
      </c>
      <c r="I683" s="47">
        <f>-input_invoice[[#This Row],[net]]*input_invoice[[#This Row],[tax_rate_irpf]]/100</f>
        <v>0</v>
      </c>
      <c r="J683" s="47">
        <v>4743.07</v>
      </c>
      <c r="K683" t="str">
        <f t="shared" si="16"/>
        <v>logistics</v>
      </c>
      <c r="L683">
        <v>0</v>
      </c>
      <c r="N683" t="str">
        <f>VLOOKUP(input_invoice[[#This Row],[concept/supplier]],'sel-invoice'!D:E,2,0)</f>
        <v>TGI Inc</v>
      </c>
      <c r="O683" t="str">
        <f>VLOOKUP(input_invoice[[#This Row],[concept/supplier]],'sel-invoice'!D:F,3,0)</f>
        <v>Inc</v>
      </c>
      <c r="P683" t="str">
        <f>IF(input_invoice[[#This Row],[entity]]="SL","EUR",IF(input_invoice[[#This Row],[entity]]="Ltd","GBP",IF(input_invoice[[#This Row],[entity]]="Inc","USD","XXX")))</f>
        <v>USD</v>
      </c>
      <c r="Q683" s="199" t="s">
        <v>1064</v>
      </c>
      <c r="R683" s="267" t="b">
        <v>1</v>
      </c>
    </row>
    <row r="684" spans="1:18" hidden="1" x14ac:dyDescent="0.3">
      <c r="A684">
        <v>202509</v>
      </c>
      <c r="B684" s="22" t="s">
        <v>917</v>
      </c>
      <c r="F684" t="s">
        <v>66</v>
      </c>
      <c r="G684" s="47">
        <f>MAX(+input_invoice[[#This Row],[net]]+input_invoice[[#This Row],[tax_iva]],input_invoice[[#This Row],[net]])</f>
        <v>1216.8900000000001</v>
      </c>
      <c r="H684" s="47">
        <f>input_invoice[[#This Row],[net]]*(MAX(input_invoice[[#This Row],[tax_rate_iva]],0)/100)</f>
        <v>0</v>
      </c>
      <c r="I684" s="47">
        <f>-input_invoice[[#This Row],[net]]*input_invoice[[#This Row],[tax_rate_irpf]]/100</f>
        <v>0</v>
      </c>
      <c r="J684" s="47">
        <v>1216.8900000000001</v>
      </c>
      <c r="K684" t="str">
        <f t="shared" si="16"/>
        <v>payment-suppliers</v>
      </c>
      <c r="L684">
        <v>0</v>
      </c>
      <c r="N684" t="str">
        <f>VLOOKUP(input_invoice[[#This Row],[concept/supplier]],'sel-invoice'!D:E,2,0)</f>
        <v>Paypal</v>
      </c>
      <c r="O684" t="str">
        <f>VLOOKUP(input_invoice[[#This Row],[concept/supplier]],'sel-invoice'!D:F,3,0)</f>
        <v>SL</v>
      </c>
      <c r="P684" t="str">
        <f>IF(input_invoice[[#This Row],[entity]]="SL","EUR",IF(input_invoice[[#This Row],[entity]]="Ltd","GBP",IF(input_invoice[[#This Row],[entity]]="Inc","USD","XXX")))</f>
        <v>EUR</v>
      </c>
      <c r="Q684" s="199" t="s">
        <v>918</v>
      </c>
    </row>
    <row r="685" spans="1:18" hidden="1" x14ac:dyDescent="0.3">
      <c r="A685">
        <v>202509</v>
      </c>
      <c r="B685" s="22" t="s">
        <v>917</v>
      </c>
      <c r="F685" t="s">
        <v>65</v>
      </c>
      <c r="G685" s="47">
        <f>MAX(+input_invoice[[#This Row],[net]]+input_invoice[[#This Row],[tax_iva]],input_invoice[[#This Row],[net]])</f>
        <v>2236.6</v>
      </c>
      <c r="H685" s="47">
        <f>input_invoice[[#This Row],[net]]*(MAX(input_invoice[[#This Row],[tax_rate_iva]],0)/100)</f>
        <v>0</v>
      </c>
      <c r="I685" s="47">
        <f>-input_invoice[[#This Row],[net]]*input_invoice[[#This Row],[tax_rate_irpf]]/100</f>
        <v>0</v>
      </c>
      <c r="J685">
        <v>2236.6</v>
      </c>
      <c r="K685" t="str">
        <f t="shared" si="16"/>
        <v>payment-suppliers</v>
      </c>
      <c r="L685">
        <v>0</v>
      </c>
      <c r="N685" t="str">
        <f>VLOOKUP(input_invoice[[#This Row],[concept/supplier]],'sel-invoice'!D:E,2,0)</f>
        <v>Shopify</v>
      </c>
      <c r="O685" t="str">
        <f>VLOOKUP(input_invoice[[#This Row],[concept/supplier]],'sel-invoice'!D:F,3,0)</f>
        <v>SL</v>
      </c>
      <c r="P685" t="str">
        <f>IF(input_invoice[[#This Row],[entity]]="SL","EUR",IF(input_invoice[[#This Row],[entity]]="Ltd","GBP",IF(input_invoice[[#This Row],[entity]]="Inc","USD","XXX")))</f>
        <v>EUR</v>
      </c>
      <c r="Q685" s="199" t="s">
        <v>918</v>
      </c>
      <c r="R685" s="267" t="b">
        <v>1</v>
      </c>
    </row>
    <row r="686" spans="1:18" hidden="1" x14ac:dyDescent="0.3">
      <c r="A686">
        <v>202509</v>
      </c>
      <c r="B686" s="22" t="s">
        <v>917</v>
      </c>
      <c r="F686" t="s">
        <v>199</v>
      </c>
      <c r="G686" s="47">
        <f>MAX(+input_invoice[[#This Row],[net]]+input_invoice[[#This Row],[tax_iva]],input_invoice[[#This Row],[net]])</f>
        <v>504.55</v>
      </c>
      <c r="H686" s="47">
        <f>input_invoice[[#This Row],[net]]*(MAX(input_invoice[[#This Row],[tax_rate_iva]],0)/100)</f>
        <v>0</v>
      </c>
      <c r="I686" s="47">
        <f>-input_invoice[[#This Row],[net]]*input_invoice[[#This Row],[tax_rate_irpf]]/100</f>
        <v>0</v>
      </c>
      <c r="J686">
        <v>504.55</v>
      </c>
      <c r="K686" t="str">
        <f t="shared" si="16"/>
        <v>payment-suppliers</v>
      </c>
      <c r="L686">
        <v>0</v>
      </c>
      <c r="N686" t="str">
        <f>VLOOKUP(input_invoice[[#This Row],[concept/supplier]],'sel-invoice'!D:E,2,0)</f>
        <v>Shopify</v>
      </c>
      <c r="O686" t="str">
        <f>VLOOKUP(input_invoice[[#This Row],[concept/supplier]],'sel-invoice'!D:F,3,0)</f>
        <v>Ltd</v>
      </c>
      <c r="P686" t="str">
        <f>IF(input_invoice[[#This Row],[entity]]="SL","EUR",IF(input_invoice[[#This Row],[entity]]="Ltd","GBP",IF(input_invoice[[#This Row],[entity]]="Inc","USD","XXX")))</f>
        <v>GBP</v>
      </c>
      <c r="Q686" s="199" t="s">
        <v>918</v>
      </c>
    </row>
    <row r="687" spans="1:18" hidden="1" x14ac:dyDescent="0.3">
      <c r="A687">
        <v>202512</v>
      </c>
      <c r="B687" s="22" t="s">
        <v>917</v>
      </c>
      <c r="C687" s="48" t="s">
        <v>1191</v>
      </c>
      <c r="D687" s="43">
        <v>45992</v>
      </c>
      <c r="E687" s="43">
        <v>46006</v>
      </c>
      <c r="F687" t="s">
        <v>117</v>
      </c>
      <c r="G687" s="47">
        <f>MAX(+input_invoice[[#This Row],[net]]+input_invoice[[#This Row],[tax_iva]],input_invoice[[#This Row],[net]])</f>
        <v>89.8</v>
      </c>
      <c r="H687" s="47">
        <f>input_invoice[[#This Row],[net]]*(MAX(input_invoice[[#This Row],[tax_rate_iva]],0)/100)</f>
        <v>0</v>
      </c>
      <c r="I687" s="47">
        <f>-input_invoice[[#This Row],[net]]*input_invoice[[#This Row],[tax_rate_irpf]]/100</f>
        <v>0</v>
      </c>
      <c r="J687" s="47">
        <v>89.8</v>
      </c>
      <c r="K687" t="str">
        <f t="shared" si="16"/>
        <v>administrative</v>
      </c>
      <c r="L687">
        <v>0</v>
      </c>
      <c r="N687" t="str">
        <f>VLOOKUP(input_invoice[[#This Row],[concept/supplier]],'sel-invoice'!D:E,2,0)</f>
        <v>regus</v>
      </c>
      <c r="O687" t="str">
        <f>VLOOKUP(input_invoice[[#This Row],[concept/supplier]],'sel-invoice'!D:F,3,0)</f>
        <v>Inc</v>
      </c>
      <c r="P687" t="str">
        <f>IF(input_invoice[[#This Row],[entity]]="SL","EUR",IF(input_invoice[[#This Row],[entity]]="Ltd","GBP",IF(input_invoice[[#This Row],[entity]]="Inc","USD","XXX")))</f>
        <v>USD</v>
      </c>
      <c r="Q687" s="199" t="s">
        <v>1192</v>
      </c>
      <c r="R687" s="259" t="b">
        <v>1</v>
      </c>
    </row>
    <row r="688" spans="1:18" hidden="1" x14ac:dyDescent="0.3">
      <c r="A688">
        <v>202509</v>
      </c>
      <c r="B688" s="22" t="s">
        <v>917</v>
      </c>
      <c r="F688" t="s">
        <v>72</v>
      </c>
      <c r="G688" s="47">
        <f>MAX(+input_invoice[[#This Row],[net]]+input_invoice[[#This Row],[tax_iva]],input_invoice[[#This Row],[net]])</f>
        <v>10</v>
      </c>
      <c r="H688" s="47">
        <f>input_invoice[[#This Row],[net]]*(MAX(input_invoice[[#This Row],[tax_rate_iva]],0)/100)</f>
        <v>0</v>
      </c>
      <c r="I688" s="47">
        <f>-input_invoice[[#This Row],[net]]*input_invoice[[#This Row],[tax_rate_irpf]]/100</f>
        <v>0</v>
      </c>
      <c r="J688" s="47">
        <v>10</v>
      </c>
      <c r="K688" t="str">
        <f t="shared" si="16"/>
        <v>payment-suppliers</v>
      </c>
      <c r="L688">
        <v>0</v>
      </c>
      <c r="N688" t="str">
        <f>VLOOKUP(input_invoice[[#This Row],[concept/supplier]],'sel-invoice'!D:E,2,0)</f>
        <v>Revolut</v>
      </c>
      <c r="O688" t="str">
        <f>VLOOKUP(input_invoice[[#This Row],[concept/supplier]],'sel-invoice'!D:F,3,0)</f>
        <v>SL</v>
      </c>
      <c r="P688" t="str">
        <f>IF(input_invoice[[#This Row],[entity]]="SL","EUR",IF(input_invoice[[#This Row],[entity]]="Ltd","GBP",IF(input_invoice[[#This Row],[entity]]="Inc","USD","XXX")))</f>
        <v>EUR</v>
      </c>
      <c r="Q688" s="199" t="s">
        <v>918</v>
      </c>
    </row>
    <row r="689" spans="1:18" hidden="1" x14ac:dyDescent="0.3">
      <c r="A689">
        <v>202509</v>
      </c>
      <c r="B689" s="22" t="s">
        <v>917</v>
      </c>
      <c r="C689" s="48">
        <v>20250558</v>
      </c>
      <c r="D689" s="43">
        <v>45930</v>
      </c>
      <c r="F689" t="s">
        <v>51</v>
      </c>
      <c r="G689" s="47">
        <f>MAX(+input_invoice[[#This Row],[net]]+input_invoice[[#This Row],[tax_iva]],input_invoice[[#This Row],[net]])</f>
        <v>4812.6297999999997</v>
      </c>
      <c r="H689" s="47">
        <f>input_invoice[[#This Row],[net]]*(MAX(input_invoice[[#This Row],[tax_rate_iva]],0)/100)</f>
        <v>835.24979999999994</v>
      </c>
      <c r="I689" s="47">
        <f>-input_invoice[[#This Row],[net]]*input_invoice[[#This Row],[tax_rate_irpf]]/100</f>
        <v>0</v>
      </c>
      <c r="J689" s="47">
        <v>3977.38</v>
      </c>
      <c r="K689" t="str">
        <f t="shared" si="16"/>
        <v>logistics</v>
      </c>
      <c r="L689">
        <v>21</v>
      </c>
      <c r="N689" t="str">
        <f>VLOOKUP(input_invoice[[#This Row],[concept/supplier]],'sel-invoice'!D:E,2,0)</f>
        <v>GLS</v>
      </c>
      <c r="O689" t="str">
        <f>VLOOKUP(input_invoice[[#This Row],[concept/supplier]],'sel-invoice'!D:F,3,0)</f>
        <v>SL</v>
      </c>
      <c r="P689" t="str">
        <f>IF(input_invoice[[#This Row],[entity]]="SL","EUR",IF(input_invoice[[#This Row],[entity]]="Ltd","GBP",IF(input_invoice[[#This Row],[entity]]="Inc","USD","XXX")))</f>
        <v>EUR</v>
      </c>
      <c r="Q689" s="199" t="s">
        <v>921</v>
      </c>
      <c r="R689" s="259" t="b">
        <v>0</v>
      </c>
    </row>
    <row r="690" spans="1:18" hidden="1" x14ac:dyDescent="0.3">
      <c r="A690">
        <v>202509</v>
      </c>
      <c r="B690" s="22" t="s">
        <v>917</v>
      </c>
      <c r="D690" s="43">
        <v>45909</v>
      </c>
      <c r="F690" t="s">
        <v>125</v>
      </c>
      <c r="G690" s="47">
        <f>MAX(+input_invoice[[#This Row],[net]]+input_invoice[[#This Row],[tax_iva]],input_invoice[[#This Row],[net]])</f>
        <v>13.3</v>
      </c>
      <c r="H690" s="47">
        <f>input_invoice[[#This Row],[net]]*(MAX(input_invoice[[#This Row],[tax_rate_iva]],0)/100)</f>
        <v>0</v>
      </c>
      <c r="I690" s="47">
        <f>-input_invoice[[#This Row],[net]]*input_invoice[[#This Row],[tax_rate_irpf]]/100</f>
        <v>0</v>
      </c>
      <c r="J690" s="265">
        <v>13.3</v>
      </c>
      <c r="K690" t="str">
        <f t="shared" si="16"/>
        <v>it</v>
      </c>
      <c r="L690">
        <v>0</v>
      </c>
      <c r="N690" t="str">
        <f>VLOOKUP(input_invoice[[#This Row],[concept/supplier]],'sel-invoice'!D:E,2,0)</f>
        <v>Godaddy</v>
      </c>
      <c r="O690" t="str">
        <f>VLOOKUP(input_invoice[[#This Row],[concept/supplier]],'sel-invoice'!D:F,3,0)</f>
        <v>SL</v>
      </c>
      <c r="P690" t="str">
        <f>IF(input_invoice[[#This Row],[entity]]="SL","EUR",IF(input_invoice[[#This Row],[entity]]="Ltd","GBP",IF(input_invoice[[#This Row],[entity]]="Inc","USD","XXX")))</f>
        <v>EUR</v>
      </c>
    </row>
    <row r="691" spans="1:18" hidden="1" x14ac:dyDescent="0.3">
      <c r="A691">
        <v>202509</v>
      </c>
      <c r="B691" s="22" t="s">
        <v>917</v>
      </c>
      <c r="C691" s="48" t="s">
        <v>930</v>
      </c>
      <c r="D691" s="43">
        <v>45922</v>
      </c>
      <c r="F691" t="s">
        <v>54</v>
      </c>
      <c r="G691" s="47">
        <f>MAX(+input_invoice[[#This Row],[net]]+input_invoice[[#This Row],[tax_iva]],input_invoice[[#This Row],[net]])</f>
        <v>11.4466</v>
      </c>
      <c r="H691" s="47">
        <f>input_invoice[[#This Row],[net]]*(MAX(input_invoice[[#This Row],[tax_rate_iva]],0)/100)</f>
        <v>1.9866000000000001</v>
      </c>
      <c r="I691" s="47">
        <f>-input_invoice[[#This Row],[net]]*input_invoice[[#This Row],[tax_rate_irpf]]/100</f>
        <v>0</v>
      </c>
      <c r="J691" s="265">
        <v>9.4600000000000009</v>
      </c>
      <c r="K691" t="str">
        <f t="shared" si="16"/>
        <v>logistics</v>
      </c>
      <c r="L691">
        <v>21</v>
      </c>
      <c r="N691" t="str">
        <f>VLOOKUP(input_invoice[[#This Row],[concept/supplier]],'sel-invoice'!D:E,2,0)</f>
        <v>Spring</v>
      </c>
      <c r="O691" t="str">
        <f>VLOOKUP(input_invoice[[#This Row],[concept/supplier]],'sel-invoice'!D:F,3,0)</f>
        <v>SL</v>
      </c>
      <c r="P691" t="str">
        <f>IF(input_invoice[[#This Row],[entity]]="SL","EUR",IF(input_invoice[[#This Row],[entity]]="Ltd","GBP",IF(input_invoice[[#This Row],[entity]]="Inc","USD","XXX")))</f>
        <v>EUR</v>
      </c>
    </row>
    <row r="692" spans="1:18" hidden="1" x14ac:dyDescent="0.3">
      <c r="A692">
        <v>202509</v>
      </c>
      <c r="B692" s="22" t="s">
        <v>917</v>
      </c>
      <c r="D692" s="43">
        <v>45914</v>
      </c>
      <c r="F692" t="s">
        <v>145</v>
      </c>
      <c r="G692" s="47">
        <f>MAX(+input_invoice[[#This Row],[net]]+input_invoice[[#This Row],[tax_iva]],input_invoice[[#This Row],[net]])</f>
        <v>133.97999999999999</v>
      </c>
      <c r="H692" s="47">
        <f>input_invoice[[#This Row],[net]]*(MAX(input_invoice[[#This Row],[tax_rate_iva]],0)/100)</f>
        <v>0</v>
      </c>
      <c r="I692" s="47">
        <f>-input_invoice[[#This Row],[net]]*input_invoice[[#This Row],[tax_rate_irpf]]/100</f>
        <v>0</v>
      </c>
      <c r="J692" s="265">
        <v>133.97999999999999</v>
      </c>
      <c r="K692" t="str">
        <f t="shared" si="16"/>
        <v>it</v>
      </c>
      <c r="L692">
        <v>0</v>
      </c>
      <c r="N692" t="str">
        <f>VLOOKUP(input_invoice[[#This Row],[concept/supplier]],'sel-invoice'!D:E,2,0)</f>
        <v>Gorgias</v>
      </c>
      <c r="O692" t="str">
        <f>VLOOKUP(input_invoice[[#This Row],[concept/supplier]],'sel-invoice'!D:F,3,0)</f>
        <v>SL</v>
      </c>
      <c r="P692" t="str">
        <f>IF(input_invoice[[#This Row],[entity]]="SL","EUR",IF(input_invoice[[#This Row],[entity]]="Ltd","GBP",IF(input_invoice[[#This Row],[entity]]="Inc","USD","XXX")))</f>
        <v>EUR</v>
      </c>
    </row>
    <row r="693" spans="1:18" hidden="1" x14ac:dyDescent="0.3">
      <c r="A693">
        <v>202510</v>
      </c>
      <c r="B693" s="22" t="s">
        <v>917</v>
      </c>
      <c r="F693" t="s">
        <v>66</v>
      </c>
      <c r="G693" s="47">
        <f>MAX(+input_invoice[[#This Row],[net]]+input_invoice[[#This Row],[tax_iva]],input_invoice[[#This Row],[net]])</f>
        <v>1296.1500000000001</v>
      </c>
      <c r="H693" s="47">
        <f>input_invoice[[#This Row],[net]]*(MAX(input_invoice[[#This Row],[tax_rate_iva]],0)/100)</f>
        <v>0</v>
      </c>
      <c r="I693" s="47">
        <f>-input_invoice[[#This Row],[net]]*input_invoice[[#This Row],[tax_rate_irpf]]/100</f>
        <v>0</v>
      </c>
      <c r="J693" s="47">
        <v>1296.1500000000001</v>
      </c>
      <c r="K693" t="str">
        <f t="shared" si="16"/>
        <v>payment-suppliers</v>
      </c>
      <c r="L693">
        <v>0</v>
      </c>
      <c r="N693" t="str">
        <f>VLOOKUP(input_invoice[[#This Row],[concept/supplier]],'sel-invoice'!D:E,2,0)</f>
        <v>Paypal</v>
      </c>
      <c r="O693" t="str">
        <f>VLOOKUP(input_invoice[[#This Row],[concept/supplier]],'sel-invoice'!D:F,3,0)</f>
        <v>SL</v>
      </c>
      <c r="P693" t="str">
        <f>IF(input_invoice[[#This Row],[entity]]="SL","EUR",IF(input_invoice[[#This Row],[entity]]="Ltd","GBP",IF(input_invoice[[#This Row],[entity]]="Inc","USD","XXX")))</f>
        <v>EUR</v>
      </c>
      <c r="Q693" s="199" t="s">
        <v>1021</v>
      </c>
    </row>
    <row r="694" spans="1:18" hidden="1" x14ac:dyDescent="0.3">
      <c r="A694">
        <v>202510</v>
      </c>
      <c r="B694" s="22" t="s">
        <v>917</v>
      </c>
      <c r="F694" t="s">
        <v>1017</v>
      </c>
      <c r="G694" s="47">
        <f>MAX(+input_invoice[[#This Row],[net]]+input_invoice[[#This Row],[tax_iva]],input_invoice[[#This Row],[net]])</f>
        <v>153.18</v>
      </c>
      <c r="H694" s="47">
        <f>input_invoice[[#This Row],[net]]*(MAX(input_invoice[[#This Row],[tax_rate_iva]],0)/100)</f>
        <v>0</v>
      </c>
      <c r="I694" s="47">
        <f>-input_invoice[[#This Row],[net]]*input_invoice[[#This Row],[tax_rate_irpf]]/100</f>
        <v>0</v>
      </c>
      <c r="J694" s="47">
        <v>153.18</v>
      </c>
      <c r="K694" t="str">
        <f t="shared" si="16"/>
        <v>comisiones</v>
      </c>
      <c r="L694">
        <v>0</v>
      </c>
      <c r="N694" t="str">
        <f>VLOOKUP(input_invoice[[#This Row],[concept/supplier]],'sel-invoice'!D:E,2,0)</f>
        <v>Wise</v>
      </c>
      <c r="O694" t="str">
        <f>VLOOKUP(input_invoice[[#This Row],[concept/supplier]],'sel-invoice'!D:F,3,0)</f>
        <v>Ltd</v>
      </c>
      <c r="P694" t="str">
        <f>IF(input_invoice[[#This Row],[entity]]="SL","EUR",IF(input_invoice[[#This Row],[entity]]="Ltd","GBP",IF(input_invoice[[#This Row],[entity]]="Inc","USD","XXX")))</f>
        <v>GBP</v>
      </c>
    </row>
    <row r="695" spans="1:18" hidden="1" x14ac:dyDescent="0.3">
      <c r="A695">
        <v>202510</v>
      </c>
      <c r="B695" s="22" t="s">
        <v>917</v>
      </c>
      <c r="F695" t="s">
        <v>70</v>
      </c>
      <c r="G695" s="47">
        <f>MAX(+input_invoice[[#This Row],[net]]+input_invoice[[#This Row],[tax_iva]],input_invoice[[#This Row],[net]])</f>
        <v>14.38</v>
      </c>
      <c r="H695" s="47">
        <f>input_invoice[[#This Row],[net]]*(MAX(input_invoice[[#This Row],[tax_rate_iva]],0)/100)</f>
        <v>0</v>
      </c>
      <c r="I695" s="47">
        <f>-input_invoice[[#This Row],[net]]*input_invoice[[#This Row],[tax_rate_irpf]]/100</f>
        <v>0</v>
      </c>
      <c r="J695" s="47">
        <v>14.38</v>
      </c>
      <c r="K695" t="str">
        <f t="shared" si="16"/>
        <v>payment-suppliers</v>
      </c>
      <c r="L695">
        <v>0</v>
      </c>
      <c r="N695" t="str">
        <f>VLOOKUP(input_invoice[[#This Row],[concept/supplier]],'sel-invoice'!D:E,2,0)</f>
        <v>Klarna</v>
      </c>
      <c r="O695" t="str">
        <f>VLOOKUP(input_invoice[[#This Row],[concept/supplier]],'sel-invoice'!D:F,3,0)</f>
        <v>SL</v>
      </c>
      <c r="P695" t="str">
        <f>IF(input_invoice[[#This Row],[entity]]="SL","EUR",IF(input_invoice[[#This Row],[entity]]="Ltd","GBP",IF(input_invoice[[#This Row],[entity]]="Inc","USD","XXX")))</f>
        <v>EUR</v>
      </c>
      <c r="Q695" s="199" t="s">
        <v>1020</v>
      </c>
    </row>
    <row r="696" spans="1:18" hidden="1" x14ac:dyDescent="0.3">
      <c r="A696">
        <v>202510</v>
      </c>
      <c r="B696" s="22" t="s">
        <v>917</v>
      </c>
      <c r="F696" t="s">
        <v>200</v>
      </c>
      <c r="G696" s="47">
        <f>MAX(+input_invoice[[#This Row],[net]]+input_invoice[[#This Row],[tax_iva]],input_invoice[[#This Row],[net]])</f>
        <v>0</v>
      </c>
      <c r="H696" s="47">
        <f>input_invoice[[#This Row],[net]]*(MAX(input_invoice[[#This Row],[tax_rate_iva]],0)/100)</f>
        <v>0</v>
      </c>
      <c r="I696" s="47">
        <f>-input_invoice[[#This Row],[net]]*input_invoice[[#This Row],[tax_rate_irpf]]/100</f>
        <v>0</v>
      </c>
      <c r="J696" s="47">
        <v>0</v>
      </c>
      <c r="K696" t="str">
        <f t="shared" si="16"/>
        <v>payment-suppliers</v>
      </c>
      <c r="L696">
        <v>0</v>
      </c>
      <c r="N696" t="str">
        <f>VLOOKUP(input_invoice[[#This Row],[concept/supplier]],'sel-invoice'!D:E,2,0)</f>
        <v>Paypal</v>
      </c>
      <c r="O696" t="str">
        <f>VLOOKUP(input_invoice[[#This Row],[concept/supplier]],'sel-invoice'!D:F,3,0)</f>
        <v>Ltd</v>
      </c>
      <c r="P696" t="str">
        <f>IF(input_invoice[[#This Row],[entity]]="SL","EUR",IF(input_invoice[[#This Row],[entity]]="Ltd","GBP",IF(input_invoice[[#This Row],[entity]]="Inc","USD","XXX")))</f>
        <v>GBP</v>
      </c>
      <c r="Q696" s="199" t="s">
        <v>1022</v>
      </c>
    </row>
    <row r="697" spans="1:18" hidden="1" x14ac:dyDescent="0.3">
      <c r="A697">
        <v>202511</v>
      </c>
      <c r="B697" s="22" t="s">
        <v>917</v>
      </c>
      <c r="C697">
        <v>170889</v>
      </c>
      <c r="D697" s="43">
        <v>45991</v>
      </c>
      <c r="E697" s="43">
        <f>input_invoice[[#This Row],[date]]+45</f>
        <v>46036</v>
      </c>
      <c r="F697" t="s">
        <v>221</v>
      </c>
      <c r="G697" s="47">
        <f>MAX(+input_invoice[[#This Row],[net]]+input_invoice[[#This Row],[tax_iva]],input_invoice[[#This Row],[net]])</f>
        <v>3065.55</v>
      </c>
      <c r="H697" s="47">
        <f>input_invoice[[#This Row],[net]]*(MAX(input_invoice[[#This Row],[tax_rate_iva]],0)/100)</f>
        <v>0</v>
      </c>
      <c r="I697" s="47">
        <f>-input_invoice[[#This Row],[net]]*input_invoice[[#This Row],[tax_rate_irpf]]/100</f>
        <v>0</v>
      </c>
      <c r="J697" s="47">
        <v>3065.55</v>
      </c>
      <c r="K697" t="str">
        <f t="shared" si="16"/>
        <v>logistics</v>
      </c>
      <c r="L697">
        <v>0</v>
      </c>
      <c r="N697" t="str">
        <f>VLOOKUP(input_invoice[[#This Row],[concept/supplier]],'sel-invoice'!D:E,2,0)</f>
        <v>TGI Inc</v>
      </c>
      <c r="O697" t="str">
        <f>VLOOKUP(input_invoice[[#This Row],[concept/supplier]],'sel-invoice'!D:F,3,0)</f>
        <v>Inc</v>
      </c>
      <c r="P697" t="str">
        <f>IF(input_invoice[[#This Row],[entity]]="SL","EUR",IF(input_invoice[[#This Row],[entity]]="Ltd","GBP",IF(input_invoice[[#This Row],[entity]]="Inc","USD","XXX")))</f>
        <v>USD</v>
      </c>
      <c r="Q697" s="199" t="s">
        <v>1144</v>
      </c>
      <c r="R697" s="267" t="b">
        <v>1</v>
      </c>
    </row>
    <row r="698" spans="1:18" hidden="1" x14ac:dyDescent="0.3">
      <c r="A698">
        <v>202510</v>
      </c>
      <c r="B698" s="22" t="s">
        <v>917</v>
      </c>
      <c r="F698" t="s">
        <v>65</v>
      </c>
      <c r="G698" s="47">
        <f>MAX(+input_invoice[[#This Row],[net]]+input_invoice[[#This Row],[tax_iva]],input_invoice[[#This Row],[net]])</f>
        <v>2305.48</v>
      </c>
      <c r="H698" s="47">
        <f>input_invoice[[#This Row],[net]]*(MAX(input_invoice[[#This Row],[tax_rate_iva]],0)/100)</f>
        <v>0</v>
      </c>
      <c r="I698" s="47">
        <f>-input_invoice[[#This Row],[net]]*input_invoice[[#This Row],[tax_rate_irpf]]/100</f>
        <v>0</v>
      </c>
      <c r="J698" s="47">
        <v>2305.48</v>
      </c>
      <c r="K698" t="str">
        <f t="shared" si="16"/>
        <v>payment-suppliers</v>
      </c>
      <c r="L698">
        <v>0</v>
      </c>
      <c r="N698" t="str">
        <f>VLOOKUP(input_invoice[[#This Row],[concept/supplier]],'sel-invoice'!D:E,2,0)</f>
        <v>Shopify</v>
      </c>
      <c r="O698" t="str">
        <f>VLOOKUP(input_invoice[[#This Row],[concept/supplier]],'sel-invoice'!D:F,3,0)</f>
        <v>SL</v>
      </c>
      <c r="P698" t="str">
        <f>IF(input_invoice[[#This Row],[entity]]="SL","EUR",IF(input_invoice[[#This Row],[entity]]="Ltd","GBP",IF(input_invoice[[#This Row],[entity]]="Inc","USD","XXX")))</f>
        <v>EUR</v>
      </c>
      <c r="Q698" s="199" t="s">
        <v>1025</v>
      </c>
      <c r="R698" s="267" t="b">
        <v>1</v>
      </c>
    </row>
    <row r="699" spans="1:18" hidden="1" x14ac:dyDescent="0.3">
      <c r="A699">
        <v>202510</v>
      </c>
      <c r="B699" s="22" t="s">
        <v>917</v>
      </c>
      <c r="F699" t="s">
        <v>199</v>
      </c>
      <c r="G699" s="47">
        <f>MAX(+input_invoice[[#This Row],[net]]+input_invoice[[#This Row],[tax_iva]],input_invoice[[#This Row],[net]])</f>
        <v>649.17999999999995</v>
      </c>
      <c r="H699" s="47">
        <f>input_invoice[[#This Row],[net]]*(MAX(input_invoice[[#This Row],[tax_rate_iva]],0)/100)</f>
        <v>0</v>
      </c>
      <c r="I699" s="47">
        <f>-input_invoice[[#This Row],[net]]*input_invoice[[#This Row],[tax_rate_irpf]]/100</f>
        <v>0</v>
      </c>
      <c r="J699" s="47">
        <v>649.17999999999995</v>
      </c>
      <c r="K699" t="str">
        <f t="shared" si="16"/>
        <v>payment-suppliers</v>
      </c>
      <c r="L699">
        <v>0</v>
      </c>
      <c r="N699" t="str">
        <f>VLOOKUP(input_invoice[[#This Row],[concept/supplier]],'sel-invoice'!D:E,2,0)</f>
        <v>Shopify</v>
      </c>
      <c r="O699" t="str">
        <f>VLOOKUP(input_invoice[[#This Row],[concept/supplier]],'sel-invoice'!D:F,3,0)</f>
        <v>Ltd</v>
      </c>
      <c r="P699" t="str">
        <f>IF(input_invoice[[#This Row],[entity]]="SL","EUR",IF(input_invoice[[#This Row],[entity]]="Ltd","GBP",IF(input_invoice[[#This Row],[entity]]="Inc","USD","XXX")))</f>
        <v>GBP</v>
      </c>
      <c r="Q699" s="199" t="s">
        <v>1025</v>
      </c>
    </row>
    <row r="700" spans="1:18" hidden="1" x14ac:dyDescent="0.3">
      <c r="A700">
        <v>202511</v>
      </c>
      <c r="B700" s="22" t="s">
        <v>917</v>
      </c>
      <c r="C700">
        <v>170890</v>
      </c>
      <c r="D700" s="43">
        <v>45991</v>
      </c>
      <c r="E700" s="43">
        <f>input_invoice[[#This Row],[date]]+45</f>
        <v>46036</v>
      </c>
      <c r="F700" t="s">
        <v>218</v>
      </c>
      <c r="G700" s="47">
        <f>MAX(+input_invoice[[#This Row],[net]]+input_invoice[[#This Row],[tax_iva]],input_invoice[[#This Row],[net]])</f>
        <v>3363.73</v>
      </c>
      <c r="H700" s="47">
        <f>input_invoice[[#This Row],[net]]*(MAX(input_invoice[[#This Row],[tax_rate_iva]],0)/100)</f>
        <v>0</v>
      </c>
      <c r="I700" s="47">
        <f>-input_invoice[[#This Row],[net]]*input_invoice[[#This Row],[tax_rate_irpf]]/100</f>
        <v>0</v>
      </c>
      <c r="J700" s="47">
        <v>3363.73</v>
      </c>
      <c r="K700" t="str">
        <f t="shared" si="16"/>
        <v>manufacturing</v>
      </c>
      <c r="L700">
        <v>0</v>
      </c>
      <c r="N700" t="str">
        <f>VLOOKUP(input_invoice[[#This Row],[concept/supplier]],'sel-invoice'!D:E,2,0)</f>
        <v>TGI Inc</v>
      </c>
      <c r="O700" t="str">
        <f>VLOOKUP(input_invoice[[#This Row],[concept/supplier]],'sel-invoice'!D:F,3,0)</f>
        <v>Inc</v>
      </c>
      <c r="P700" t="str">
        <f>IF(input_invoice[[#This Row],[entity]]="SL","EUR",IF(input_invoice[[#This Row],[entity]]="Ltd","GBP",IF(input_invoice[[#This Row],[entity]]="Inc","USD","XXX")))</f>
        <v>USD</v>
      </c>
      <c r="Q700" s="199" t="s">
        <v>1145</v>
      </c>
      <c r="R700" s="267" t="b">
        <v>1</v>
      </c>
    </row>
    <row r="701" spans="1:18" hidden="1" x14ac:dyDescent="0.3">
      <c r="A701">
        <v>202510</v>
      </c>
      <c r="B701" s="22" t="s">
        <v>917</v>
      </c>
      <c r="F701" t="s">
        <v>72</v>
      </c>
      <c r="G701" s="47">
        <f>MAX(+input_invoice[[#This Row],[net]]+input_invoice[[#This Row],[tax_iva]],input_invoice[[#This Row],[net]])</f>
        <v>10</v>
      </c>
      <c r="H701" s="47">
        <f>input_invoice[[#This Row],[net]]*(MAX(input_invoice[[#This Row],[tax_rate_iva]],0)/100)</f>
        <v>0</v>
      </c>
      <c r="I701" s="47">
        <f>-input_invoice[[#This Row],[net]]*input_invoice[[#This Row],[tax_rate_irpf]]/100</f>
        <v>0</v>
      </c>
      <c r="J701" s="47">
        <v>10</v>
      </c>
      <c r="K701" t="str">
        <f t="shared" si="16"/>
        <v>payment-suppliers</v>
      </c>
      <c r="L701">
        <v>0</v>
      </c>
      <c r="N701" t="str">
        <f>VLOOKUP(input_invoice[[#This Row],[concept/supplier]],'sel-invoice'!D:E,2,0)</f>
        <v>Revolut</v>
      </c>
      <c r="O701" t="str">
        <f>VLOOKUP(input_invoice[[#This Row],[concept/supplier]],'sel-invoice'!D:F,3,0)</f>
        <v>SL</v>
      </c>
      <c r="P701" t="str">
        <f>IF(input_invoice[[#This Row],[entity]]="SL","EUR",IF(input_invoice[[#This Row],[entity]]="Ltd","GBP",IF(input_invoice[[#This Row],[entity]]="Inc","USD","XXX")))</f>
        <v>EUR</v>
      </c>
      <c r="Q701" s="199" t="s">
        <v>1024</v>
      </c>
    </row>
    <row r="702" spans="1:18" hidden="1" x14ac:dyDescent="0.3">
      <c r="A702">
        <v>202510</v>
      </c>
      <c r="B702" s="22" t="s">
        <v>917</v>
      </c>
      <c r="G702" s="47">
        <f ca="1">MAX(+input_invoice[[#This Row],[net]]+input_invoice[[#This Row],[tax_iva]],input_invoice[[#This Row],[net]])</f>
        <v>0</v>
      </c>
      <c r="H702" s="47">
        <f ca="1">input_invoice[[#This Row],[net]]*(MAX(input_invoice[[#This Row],[tax_rate_iva]],0)/100)</f>
        <v>0</v>
      </c>
      <c r="I702" s="47">
        <f>-input_invoice[[#This Row],[net]]*input_invoice[[#This Row],[tax_rate_irpf]]/100</f>
        <v>0</v>
      </c>
      <c r="K702" t="e">
        <f t="shared" si="16"/>
        <v>#N/A</v>
      </c>
      <c r="L702">
        <f ca="1">+input_invoice[[#This Row],[gross]]-input_invoice[[#This Row],[net]]</f>
        <v>0</v>
      </c>
      <c r="N702" t="e">
        <f>VLOOKUP(input_invoice[[#This Row],[concept/supplier]],'sel-invoice'!D:E,2,0)</f>
        <v>#N/A</v>
      </c>
      <c r="O702" t="e">
        <f>VLOOKUP(input_invoice[[#This Row],[concept/supplier]],'sel-invoice'!D:F,3,0)</f>
        <v>#N/A</v>
      </c>
      <c r="P702" t="e">
        <f>IF(input_invoice[[#This Row],[entity]]="SL","EUR",IF(input_invoice[[#This Row],[entity]]="Ltd","GBP",IF(input_invoice[[#This Row],[entity]]="Inc","USD","XXX")))</f>
        <v>#N/A</v>
      </c>
    </row>
    <row r="703" spans="1:18" hidden="1" x14ac:dyDescent="0.3">
      <c r="A703">
        <v>202510</v>
      </c>
      <c r="B703" s="22" t="s">
        <v>917</v>
      </c>
      <c r="G703" s="47">
        <f ca="1">MAX(+input_invoice[[#This Row],[net]]+input_invoice[[#This Row],[tax_iva]],input_invoice[[#This Row],[net]])</f>
        <v>0</v>
      </c>
      <c r="H703" s="47">
        <f ca="1">input_invoice[[#This Row],[net]]*(MAX(input_invoice[[#This Row],[tax_rate_iva]],0)/100)</f>
        <v>0</v>
      </c>
      <c r="I703" s="47">
        <f>-input_invoice[[#This Row],[net]]*input_invoice[[#This Row],[tax_rate_irpf]]/100</f>
        <v>0</v>
      </c>
      <c r="K703" t="e">
        <f t="shared" si="16"/>
        <v>#N/A</v>
      </c>
      <c r="L703">
        <f ca="1">+input_invoice[[#This Row],[gross]]-input_invoice[[#This Row],[net]]</f>
        <v>0</v>
      </c>
      <c r="N703" t="e">
        <f>VLOOKUP(input_invoice[[#This Row],[concept/supplier]],'sel-invoice'!D:E,2,0)</f>
        <v>#N/A</v>
      </c>
      <c r="O703" t="e">
        <f>VLOOKUP(input_invoice[[#This Row],[concept/supplier]],'sel-invoice'!D:F,3,0)</f>
        <v>#N/A</v>
      </c>
      <c r="P703" t="e">
        <f>IF(input_invoice[[#This Row],[entity]]="SL","EUR",IF(input_invoice[[#This Row],[entity]]="Ltd","GBP",IF(input_invoice[[#This Row],[entity]]="Inc","USD","XXX")))</f>
        <v>#N/A</v>
      </c>
    </row>
    <row r="704" spans="1:18" hidden="1" x14ac:dyDescent="0.3">
      <c r="A704">
        <v>202511</v>
      </c>
      <c r="B704" s="22" t="s">
        <v>917</v>
      </c>
      <c r="F704" t="s">
        <v>81</v>
      </c>
      <c r="G704" s="47">
        <f>MAX(+input_invoice[[#This Row],[net]]+input_invoice[[#This Row],[tax_iva]],input_invoice[[#This Row],[net]])</f>
        <v>752.56</v>
      </c>
      <c r="H704" s="47">
        <f>input_invoice[[#This Row],[net]]*(MAX(input_invoice[[#This Row],[tax_rate_iva]],0)/100)</f>
        <v>0</v>
      </c>
      <c r="I704" s="47">
        <f>-input_invoice[[#This Row],[net]]*input_invoice[[#This Row],[tax_rate_irpf]]/100</f>
        <v>0</v>
      </c>
      <c r="J704" s="47">
        <v>752.56</v>
      </c>
      <c r="K704" t="str">
        <f t="shared" si="16"/>
        <v>returns</v>
      </c>
      <c r="L704">
        <v>0</v>
      </c>
      <c r="N704" t="str">
        <f>VLOOKUP(input_invoice[[#This Row],[concept/supplier]],'sel-invoice'!D:E,2,0)</f>
        <v>rever</v>
      </c>
      <c r="O704" t="str">
        <f>VLOOKUP(input_invoice[[#This Row],[concept/supplier]],'sel-invoice'!D:F,3,0)</f>
        <v>SL</v>
      </c>
      <c r="P704" t="str">
        <f>IF(input_invoice[[#This Row],[entity]]="SL","EUR",IF(input_invoice[[#This Row],[entity]]="Ltd","GBP",IF(input_invoice[[#This Row],[entity]]="Inc","USD","XXX")))</f>
        <v>EUR</v>
      </c>
    </row>
    <row r="705" spans="1:18" hidden="1" x14ac:dyDescent="0.3">
      <c r="A705">
        <v>202504</v>
      </c>
      <c r="B705" s="22" t="s">
        <v>917</v>
      </c>
      <c r="C705" s="198">
        <v>45661</v>
      </c>
      <c r="F705" t="s">
        <v>517</v>
      </c>
      <c r="G705" s="47">
        <f>MAX(+input_invoice[[#This Row],[net]]+input_invoice[[#This Row],[tax_iva]]+input_invoice[[#This Row],[tax_irpf]],input_invoice[[#This Row],[net]])</f>
        <v>1150</v>
      </c>
      <c r="H705" s="47">
        <f>input_invoice[[#This Row],[net]]*(MAX(input_invoice[[#This Row],[tax_rate_iva]],0)/100)</f>
        <v>0</v>
      </c>
      <c r="I705" s="47">
        <f>-input_invoice[[#This Row],[net]]*input_invoice[[#This Row],[tax_rate_irpf]]/100</f>
        <v>0</v>
      </c>
      <c r="J705" s="47">
        <v>1150</v>
      </c>
      <c r="K705" t="str">
        <f t="shared" si="16"/>
        <v>administrative</v>
      </c>
      <c r="L705">
        <v>0</v>
      </c>
      <c r="N705" t="str">
        <f>VLOOKUP(input_invoice[[#This Row],[concept/supplier]],'sel-invoice'!D:E,2,0)</f>
        <v>Continuum</v>
      </c>
      <c r="O705" t="str">
        <f>VLOOKUP(input_invoice[[#This Row],[concept/supplier]],'sel-invoice'!D:F,3,0)</f>
        <v>Inc</v>
      </c>
      <c r="P705" t="str">
        <f>IF(input_invoice[[#This Row],[entity]]="SL","EUR",IF(input_invoice[[#This Row],[entity]]="Ltd","GBP",IF(input_invoice[[#This Row],[entity]]="Inc","USD","XXX")))</f>
        <v>USD</v>
      </c>
    </row>
    <row r="706" spans="1:18" hidden="1" x14ac:dyDescent="0.3">
      <c r="A706">
        <v>202508</v>
      </c>
      <c r="B706" s="22" t="s">
        <v>917</v>
      </c>
      <c r="F706" t="s">
        <v>223</v>
      </c>
      <c r="G706" s="47">
        <f>MAX(+input_invoice[[#This Row],[net]]+input_invoice[[#This Row],[tax_iva]],input_invoice[[#This Row],[net]])</f>
        <v>469.35</v>
      </c>
      <c r="H706" s="47">
        <f>input_invoice[[#This Row],[net]]*(MAX(input_invoice[[#This Row],[tax_rate_iva]],0)/100)</f>
        <v>0</v>
      </c>
      <c r="I706" s="47">
        <f>-input_invoice[[#This Row],[net]]*input_invoice[[#This Row],[tax_rate_irpf]]/100</f>
        <v>0</v>
      </c>
      <c r="J706">
        <v>469.35</v>
      </c>
      <c r="K706" t="str">
        <f t="shared" si="16"/>
        <v>payment-suppliers</v>
      </c>
      <c r="L706">
        <v>0</v>
      </c>
      <c r="N706" t="str">
        <f>VLOOKUP(input_invoice[[#This Row],[concept/supplier]],'sel-invoice'!D:E,2,0)</f>
        <v>Shopify</v>
      </c>
      <c r="O706" t="str">
        <f>VLOOKUP(input_invoice[[#This Row],[concept/supplier]],'sel-invoice'!D:F,3,0)</f>
        <v>Inc</v>
      </c>
      <c r="P706" t="str">
        <f>IF(input_invoice[[#This Row],[entity]]="SL","EUR",IF(input_invoice[[#This Row],[entity]]="Ltd","GBP",IF(input_invoice[[#This Row],[entity]]="Inc","USD","XXX")))</f>
        <v>USD</v>
      </c>
      <c r="Q706" s="199" t="s">
        <v>918</v>
      </c>
      <c r="R706" s="259" t="b">
        <v>0</v>
      </c>
    </row>
    <row r="707" spans="1:18" hidden="1" x14ac:dyDescent="0.3">
      <c r="A707">
        <v>202511</v>
      </c>
      <c r="B707" s="22" t="s">
        <v>917</v>
      </c>
      <c r="C707" s="48">
        <v>82000571420</v>
      </c>
      <c r="D707" s="43">
        <v>45977</v>
      </c>
      <c r="E707" s="43">
        <v>45981</v>
      </c>
      <c r="F707" t="s">
        <v>127</v>
      </c>
      <c r="G707" s="47">
        <f>MAX(+input_invoice[[#This Row],[net]]+input_invoice[[#This Row],[tax_iva]],input_invoice[[#This Row],[net]])</f>
        <v>13.189</v>
      </c>
      <c r="H707" s="47">
        <f>input_invoice[[#This Row],[net]]*(MAX(input_invoice[[#This Row],[tax_rate_iva]],0)/100)</f>
        <v>2.2890000000000001</v>
      </c>
      <c r="I707" s="47">
        <f>-input_invoice[[#This Row],[net]]*input_invoice[[#This Row],[tax_rate_irpf]]/100</f>
        <v>0</v>
      </c>
      <c r="J707" s="47">
        <v>10.9</v>
      </c>
      <c r="K707" t="str">
        <f t="shared" si="16"/>
        <v>it</v>
      </c>
      <c r="L707">
        <v>21</v>
      </c>
      <c r="N707" t="str">
        <f>VLOOKUP(input_invoice[[#This Row],[concept/supplier]],'sel-invoice'!D:E,2,0)</f>
        <v>Hetzner</v>
      </c>
      <c r="O707" t="str">
        <f>VLOOKUP(input_invoice[[#This Row],[concept/supplier]],'sel-invoice'!D:F,3,0)</f>
        <v>SL</v>
      </c>
      <c r="P707" t="str">
        <f>IF(input_invoice[[#This Row],[entity]]="SL","EUR",IF(input_invoice[[#This Row],[entity]]="Ltd","GBP",IF(input_invoice[[#This Row],[entity]]="Inc","USD","XXX")))</f>
        <v>EUR</v>
      </c>
      <c r="Q707" s="199" t="s">
        <v>1065</v>
      </c>
    </row>
    <row r="708" spans="1:18" hidden="1" x14ac:dyDescent="0.3">
      <c r="A708">
        <v>202511</v>
      </c>
      <c r="B708" s="22" t="s">
        <v>917</v>
      </c>
      <c r="C708" s="48" t="s">
        <v>1066</v>
      </c>
      <c r="D708" s="43">
        <v>45978</v>
      </c>
      <c r="E708" s="43">
        <v>45978</v>
      </c>
      <c r="F708" t="s">
        <v>125</v>
      </c>
      <c r="G708" s="47">
        <f>MAX(+input_invoice[[#This Row],[net]]+input_invoice[[#This Row],[tax_iva]],input_invoice[[#This Row],[net]])</f>
        <v>30.25</v>
      </c>
      <c r="H708" s="47">
        <f>input_invoice[[#This Row],[net]]*(MAX(input_invoice[[#This Row],[tax_rate_iva]],0)/100)</f>
        <v>5.25</v>
      </c>
      <c r="I708" s="47">
        <f>-input_invoice[[#This Row],[net]]*input_invoice[[#This Row],[tax_rate_irpf]]/100</f>
        <v>0</v>
      </c>
      <c r="J708" s="47">
        <v>25</v>
      </c>
      <c r="K708" t="str">
        <f t="shared" si="16"/>
        <v>it</v>
      </c>
      <c r="L708">
        <v>21</v>
      </c>
      <c r="N708" t="str">
        <f>VLOOKUP(input_invoice[[#This Row],[concept/supplier]],'sel-invoice'!D:E,2,0)</f>
        <v>Godaddy</v>
      </c>
      <c r="O708" t="str">
        <f>VLOOKUP(input_invoice[[#This Row],[concept/supplier]],'sel-invoice'!D:F,3,0)</f>
        <v>SL</v>
      </c>
      <c r="P708" t="str">
        <f>IF(input_invoice[[#This Row],[entity]]="SL","EUR",IF(input_invoice[[#This Row],[entity]]="Ltd","GBP",IF(input_invoice[[#This Row],[entity]]="Inc","USD","XXX")))</f>
        <v>EUR</v>
      </c>
      <c r="Q708" s="199" t="s">
        <v>1067</v>
      </c>
    </row>
    <row r="709" spans="1:18" hidden="1" x14ac:dyDescent="0.3">
      <c r="A709">
        <v>202511</v>
      </c>
      <c r="B709" s="22" t="s">
        <v>917</v>
      </c>
      <c r="C709" s="48" t="s">
        <v>1068</v>
      </c>
      <c r="D709" s="43">
        <v>45978</v>
      </c>
      <c r="E709" s="43">
        <f>input_invoice[[#This Row],[date]]+14</f>
        <v>45992</v>
      </c>
      <c r="F709" t="s">
        <v>43</v>
      </c>
      <c r="G709" s="47">
        <f>MAX(+input_invoice[[#This Row],[net]]+input_invoice[[#This Row],[tax_iva]],input_invoice[[#This Row],[net]])</f>
        <v>11840.916500000001</v>
      </c>
      <c r="H709" s="47">
        <f>input_invoice[[#This Row],[net]]*(MAX(input_invoice[[#This Row],[tax_rate_iva]],0)/100)</f>
        <v>1890.5665000000001</v>
      </c>
      <c r="I709" s="47">
        <f>-input_invoice[[#This Row],[net]]*input_invoice[[#This Row],[tax_rate_irpf]]/100</f>
        <v>0</v>
      </c>
      <c r="J709" s="47">
        <v>9950.35</v>
      </c>
      <c r="K709" t="str">
        <f t="shared" si="16"/>
        <v>manufacturing</v>
      </c>
      <c r="L709">
        <v>19</v>
      </c>
      <c r="N709" t="str">
        <f>VLOOKUP(input_invoice[[#This Row],[concept/supplier]],'sel-invoice'!D:E,2,0)</f>
        <v>DCT</v>
      </c>
      <c r="O709" t="str">
        <f>VLOOKUP(input_invoice[[#This Row],[concept/supplier]],'sel-invoice'!D:F,3,0)</f>
        <v>SL</v>
      </c>
      <c r="P709" t="str">
        <f>IF(input_invoice[[#This Row],[entity]]="SL","EUR",IF(input_invoice[[#This Row],[entity]]="Ltd","GBP",IF(input_invoice[[#This Row],[entity]]="Inc","USD","XXX")))</f>
        <v>EUR</v>
      </c>
      <c r="Q709" s="199" t="s">
        <v>1069</v>
      </c>
    </row>
    <row r="710" spans="1:18" hidden="1" x14ac:dyDescent="0.3">
      <c r="A710">
        <v>202511</v>
      </c>
      <c r="B710" s="22" t="s">
        <v>917</v>
      </c>
      <c r="C710" s="48" t="s">
        <v>1070</v>
      </c>
      <c r="D710" s="43">
        <v>45979</v>
      </c>
      <c r="E710" s="43">
        <v>45994</v>
      </c>
      <c r="F710" t="s">
        <v>37</v>
      </c>
      <c r="G710" s="47">
        <f>MAX(+input_invoice[[#This Row],[net]]+input_invoice[[#This Row],[tax_iva]],input_invoice[[#This Row],[net]])</f>
        <v>5611.0967000000001</v>
      </c>
      <c r="H710" s="47">
        <f>input_invoice[[#This Row],[net]]*(MAX(input_invoice[[#This Row],[tax_rate_iva]],0)/100)</f>
        <v>973.82670000000007</v>
      </c>
      <c r="I710" s="47">
        <f>-input_invoice[[#This Row],[net]]*input_invoice[[#This Row],[tax_rate_irpf]]/100</f>
        <v>0</v>
      </c>
      <c r="J710" s="47">
        <v>4637.2700000000004</v>
      </c>
      <c r="K710" t="str">
        <f t="shared" si="16"/>
        <v>manufacturing</v>
      </c>
      <c r="L710">
        <v>21</v>
      </c>
      <c r="N710" t="str">
        <f>VLOOKUP(input_invoice[[#This Row],[concept/supplier]],'sel-invoice'!D:E,2,0)</f>
        <v>Apphoto España</v>
      </c>
      <c r="O710" t="str">
        <f>VLOOKUP(input_invoice[[#This Row],[concept/supplier]],'sel-invoice'!D:F,3,0)</f>
        <v>SL</v>
      </c>
      <c r="P710" t="str">
        <f>IF(input_invoice[[#This Row],[entity]]="SL","EUR",IF(input_invoice[[#This Row],[entity]]="Ltd","GBP",IF(input_invoice[[#This Row],[entity]]="Inc","USD","XXX")))</f>
        <v>EUR</v>
      </c>
      <c r="Q710" s="199" t="s">
        <v>1071</v>
      </c>
    </row>
    <row r="711" spans="1:18" hidden="1" x14ac:dyDescent="0.3">
      <c r="A711">
        <v>202511</v>
      </c>
      <c r="B711" s="22" t="s">
        <v>917</v>
      </c>
      <c r="C711" t="s">
        <v>1072</v>
      </c>
      <c r="D711" s="43">
        <v>45979</v>
      </c>
      <c r="E711" s="43">
        <v>45979</v>
      </c>
      <c r="F711" t="s">
        <v>143</v>
      </c>
      <c r="G711" s="47">
        <f>MAX(+input_invoice[[#This Row],[net]]+input_invoice[[#This Row],[tax_iva]],input_invoice[[#This Row],[net]])</f>
        <v>11.991099999999999</v>
      </c>
      <c r="H711" s="47">
        <f>input_invoice[[#This Row],[net]]*(MAX(input_invoice[[#This Row],[tax_rate_iva]],0)/100)</f>
        <v>2.0811000000000002</v>
      </c>
      <c r="I711" s="47">
        <f>-input_invoice[[#This Row],[net]]*input_invoice[[#This Row],[tax_rate_irpf]]/100</f>
        <v>0</v>
      </c>
      <c r="J711" s="47">
        <v>9.91</v>
      </c>
      <c r="K711" t="str">
        <f t="shared" si="16"/>
        <v>it</v>
      </c>
      <c r="L711">
        <v>21</v>
      </c>
      <c r="N711" t="str">
        <f>VLOOKUP(input_invoice[[#This Row],[concept/supplier]],'sel-invoice'!D:E,2,0)</f>
        <v>Canva</v>
      </c>
      <c r="O711" t="str">
        <f>VLOOKUP(input_invoice[[#This Row],[concept/supplier]],'sel-invoice'!D:F,3,0)</f>
        <v>SL</v>
      </c>
      <c r="P711" t="str">
        <f>IF(input_invoice[[#This Row],[entity]]="SL","EUR",IF(input_invoice[[#This Row],[entity]]="Ltd","GBP",IF(input_invoice[[#This Row],[entity]]="Inc","USD","XXX")))</f>
        <v>EUR</v>
      </c>
      <c r="Q711" s="199" t="s">
        <v>1073</v>
      </c>
    </row>
    <row r="712" spans="1:18" hidden="1" x14ac:dyDescent="0.3">
      <c r="A712">
        <v>202511</v>
      </c>
      <c r="B712" s="22" t="s">
        <v>917</v>
      </c>
      <c r="C712" t="s">
        <v>1074</v>
      </c>
      <c r="D712" s="43">
        <v>45978</v>
      </c>
      <c r="E712" s="43">
        <v>45978</v>
      </c>
      <c r="F712" t="s">
        <v>129</v>
      </c>
      <c r="G712" s="47">
        <f>MAX(+input_invoice[[#This Row],[net]]+input_invoice[[#This Row],[tax_iva]],input_invoice[[#This Row],[net]])</f>
        <v>45.496000000000002</v>
      </c>
      <c r="H712" s="47">
        <f>input_invoice[[#This Row],[net]]*(MAX(input_invoice[[#This Row],[tax_rate_iva]],0)/100)</f>
        <v>7.8959999999999999</v>
      </c>
      <c r="I712" s="47">
        <f>-input_invoice[[#This Row],[net]]*input_invoice[[#This Row],[tax_rate_irpf]]/100</f>
        <v>0</v>
      </c>
      <c r="J712" s="47">
        <v>37.6</v>
      </c>
      <c r="K712" t="str">
        <f t="shared" si="16"/>
        <v>it</v>
      </c>
      <c r="L712">
        <v>21</v>
      </c>
      <c r="N712" t="str">
        <f>VLOOKUP(input_invoice[[#This Row],[concept/supplier]],'sel-invoice'!D:E,2,0)</f>
        <v>Microsoft</v>
      </c>
      <c r="O712" t="str">
        <f>VLOOKUP(input_invoice[[#This Row],[concept/supplier]],'sel-invoice'!D:F,3,0)</f>
        <v>SL</v>
      </c>
      <c r="P712" t="str">
        <f>IF(input_invoice[[#This Row],[entity]]="SL","EUR",IF(input_invoice[[#This Row],[entity]]="Ltd","GBP",IF(input_invoice[[#This Row],[entity]]="Inc","USD","XXX")))</f>
        <v>EUR</v>
      </c>
      <c r="Q712" s="199" t="s">
        <v>1075</v>
      </c>
    </row>
    <row r="713" spans="1:18" hidden="1" x14ac:dyDescent="0.3">
      <c r="A713">
        <v>202511</v>
      </c>
      <c r="B713" s="22" t="s">
        <v>917</v>
      </c>
      <c r="C713" s="48" t="s">
        <v>1076</v>
      </c>
      <c r="D713" s="43">
        <v>45986</v>
      </c>
      <c r="E713" s="43">
        <v>45986</v>
      </c>
      <c r="F713" t="s">
        <v>65</v>
      </c>
      <c r="G713" s="47">
        <f>MAX(+input_invoice[[#This Row],[net]]+input_invoice[[#This Row],[tax_iva]],input_invoice[[#This Row],[net]])</f>
        <v>2442.4299999999998</v>
      </c>
      <c r="H713" s="47">
        <f>input_invoice[[#This Row],[net]]*(MAX(input_invoice[[#This Row],[tax_rate_iva]],0)/100)</f>
        <v>0</v>
      </c>
      <c r="I713" s="47">
        <f>-input_invoice[[#This Row],[net]]*input_invoice[[#This Row],[tax_rate_irpf]]/100</f>
        <v>0</v>
      </c>
      <c r="J713" s="47">
        <v>2442.4299999999998</v>
      </c>
      <c r="K713" t="str">
        <f t="shared" si="16"/>
        <v>payment-suppliers</v>
      </c>
      <c r="L713">
        <v>0</v>
      </c>
      <c r="N713" t="str">
        <f>VLOOKUP(input_invoice[[#This Row],[concept/supplier]],'sel-invoice'!D:E,2,0)</f>
        <v>Shopify</v>
      </c>
      <c r="O713" t="str">
        <f>VLOOKUP(input_invoice[[#This Row],[concept/supplier]],'sel-invoice'!D:F,3,0)</f>
        <v>SL</v>
      </c>
      <c r="P713" t="str">
        <f>IF(input_invoice[[#This Row],[entity]]="SL","EUR",IF(input_invoice[[#This Row],[entity]]="Ltd","GBP",IF(input_invoice[[#This Row],[entity]]="Inc","USD","XXX")))</f>
        <v>EUR</v>
      </c>
      <c r="Q713" s="199" t="s">
        <v>1077</v>
      </c>
      <c r="R713" s="267" t="b">
        <v>1</v>
      </c>
    </row>
    <row r="714" spans="1:18" hidden="1" x14ac:dyDescent="0.3">
      <c r="A714">
        <v>202511</v>
      </c>
      <c r="B714" s="22" t="s">
        <v>917</v>
      </c>
      <c r="C714" s="48" t="s">
        <v>1078</v>
      </c>
      <c r="D714" s="43">
        <v>45985</v>
      </c>
      <c r="E714" s="43">
        <v>45992</v>
      </c>
      <c r="F714" t="s">
        <v>54</v>
      </c>
      <c r="G714" s="47">
        <f>MAX(+input_invoice[[#This Row],[net]]+input_invoice[[#This Row],[tax_iva]],input_invoice[[#This Row],[net]])</f>
        <v>33.819499999999998</v>
      </c>
      <c r="H714" s="47">
        <f>input_invoice[[#This Row],[net]]*(MAX(input_invoice[[#This Row],[tax_rate_iva]],0)/100)</f>
        <v>5.8694999999999995</v>
      </c>
      <c r="I714" s="47">
        <f>-input_invoice[[#This Row],[net]]*input_invoice[[#This Row],[tax_rate_irpf]]/100</f>
        <v>0</v>
      </c>
      <c r="J714" s="47">
        <v>27.95</v>
      </c>
      <c r="K714" t="str">
        <f t="shared" si="16"/>
        <v>logistics</v>
      </c>
      <c r="L714">
        <v>21</v>
      </c>
      <c r="N714" t="str">
        <f>VLOOKUP(input_invoice[[#This Row],[concept/supplier]],'sel-invoice'!D:E,2,0)</f>
        <v>Spring</v>
      </c>
      <c r="O714" t="str">
        <f>VLOOKUP(input_invoice[[#This Row],[concept/supplier]],'sel-invoice'!D:F,3,0)</f>
        <v>SL</v>
      </c>
      <c r="P714" t="str">
        <f>IF(input_invoice[[#This Row],[entity]]="SL","EUR",IF(input_invoice[[#This Row],[entity]]="Ltd","GBP",IF(input_invoice[[#This Row],[entity]]="Inc","USD","XXX")))</f>
        <v>EUR</v>
      </c>
      <c r="Q714" s="199" t="s">
        <v>1079</v>
      </c>
    </row>
    <row r="715" spans="1:18" hidden="1" x14ac:dyDescent="0.3">
      <c r="A715">
        <v>202511</v>
      </c>
      <c r="B715" s="22" t="s">
        <v>917</v>
      </c>
      <c r="C715" s="48" t="s">
        <v>1080</v>
      </c>
      <c r="D715" s="43">
        <v>45986</v>
      </c>
      <c r="E715" s="43">
        <v>46001</v>
      </c>
      <c r="F715" t="s">
        <v>37</v>
      </c>
      <c r="G715" s="47">
        <f>MAX(+input_invoice[[#This Row],[net]]+input_invoice[[#This Row],[tax_iva]],input_invoice[[#This Row],[net]])</f>
        <v>4595.9913999999999</v>
      </c>
      <c r="H715" s="47">
        <f>input_invoice[[#This Row],[net]]*(MAX(input_invoice[[#This Row],[tax_rate_iva]],0)/100)</f>
        <v>797.65139999999997</v>
      </c>
      <c r="I715" s="47">
        <f>-input_invoice[[#This Row],[net]]*input_invoice[[#This Row],[tax_rate_irpf]]/100</f>
        <v>0</v>
      </c>
      <c r="J715" s="47">
        <v>3798.34</v>
      </c>
      <c r="K715" t="str">
        <f t="shared" si="16"/>
        <v>manufacturing</v>
      </c>
      <c r="L715">
        <v>21</v>
      </c>
      <c r="N715" t="str">
        <f>VLOOKUP(input_invoice[[#This Row],[concept/supplier]],'sel-invoice'!D:E,2,0)</f>
        <v>Apphoto España</v>
      </c>
      <c r="O715" t="str">
        <f>VLOOKUP(input_invoice[[#This Row],[concept/supplier]],'sel-invoice'!D:F,3,0)</f>
        <v>SL</v>
      </c>
      <c r="P715" t="str">
        <f>IF(input_invoice[[#This Row],[entity]]="SL","EUR",IF(input_invoice[[#This Row],[entity]]="Ltd","GBP",IF(input_invoice[[#This Row],[entity]]="Inc","USD","XXX")))</f>
        <v>EUR</v>
      </c>
      <c r="Q715" s="199" t="s">
        <v>1081</v>
      </c>
    </row>
    <row r="716" spans="1:18" hidden="1" x14ac:dyDescent="0.3">
      <c r="A716">
        <v>202511</v>
      </c>
      <c r="B716" s="22" t="s">
        <v>917</v>
      </c>
      <c r="C716" t="s">
        <v>1084</v>
      </c>
      <c r="D716" s="43">
        <v>45987</v>
      </c>
      <c r="F716" t="s">
        <v>1083</v>
      </c>
      <c r="G716" s="47">
        <f>MAX(+input_invoice[[#This Row],[net]]+input_invoice[[#This Row],[tax_iva]],input_invoice[[#This Row],[net]])</f>
        <v>-2400</v>
      </c>
      <c r="H716" s="47">
        <f>input_invoice[[#This Row],[net]]*(MAX(input_invoice[[#This Row],[tax_rate_iva]],0)/100)</f>
        <v>0</v>
      </c>
      <c r="I716" s="47">
        <f>-input_invoice[[#This Row],[net]]*input_invoice[[#This Row],[tax_rate_irpf]]/100</f>
        <v>0</v>
      </c>
      <c r="J716" s="47">
        <v>-2400</v>
      </c>
      <c r="K716" t="str">
        <f t="shared" si="16"/>
        <v>it</v>
      </c>
      <c r="L716">
        <v>0</v>
      </c>
      <c r="N716" t="str">
        <f>VLOOKUP(input_invoice[[#This Row],[concept/supplier]],'sel-invoice'!D:E,2,0)</f>
        <v>mirakl</v>
      </c>
      <c r="O716" t="str">
        <f>VLOOKUP(input_invoice[[#This Row],[concept/supplier]],'sel-invoice'!D:F,3,0)</f>
        <v>SL</v>
      </c>
      <c r="P716" t="str">
        <f>IF(input_invoice[[#This Row],[entity]]="SL","EUR",IF(input_invoice[[#This Row],[entity]]="Ltd","GBP",IF(input_invoice[[#This Row],[entity]]="Inc","USD","XXX")))</f>
        <v>EUR</v>
      </c>
      <c r="Q716" s="199" t="s">
        <v>1085</v>
      </c>
    </row>
    <row r="717" spans="1:18" hidden="1" x14ac:dyDescent="0.3">
      <c r="A717">
        <v>202511</v>
      </c>
      <c r="B717" s="22" t="s">
        <v>917</v>
      </c>
      <c r="C717" s="48" t="s">
        <v>1087</v>
      </c>
      <c r="D717" s="43">
        <v>45987</v>
      </c>
      <c r="E717" s="43">
        <v>46002</v>
      </c>
      <c r="F717" t="s">
        <v>37</v>
      </c>
      <c r="G717" s="47">
        <f>MAX(+input_invoice[[#This Row],[net]]+input_invoice[[#This Row],[tax_iva]],input_invoice[[#This Row],[net]])</f>
        <v>2398.2683999999999</v>
      </c>
      <c r="H717" s="47">
        <f>input_invoice[[#This Row],[net]]*(MAX(input_invoice[[#This Row],[tax_rate_iva]],0)/100)</f>
        <v>416.22839999999997</v>
      </c>
      <c r="I717" s="47">
        <f>-input_invoice[[#This Row],[net]]*input_invoice[[#This Row],[tax_rate_irpf]]/100</f>
        <v>0</v>
      </c>
      <c r="J717" s="47">
        <v>1982.04</v>
      </c>
      <c r="K717" t="str">
        <f t="shared" si="16"/>
        <v>manufacturing</v>
      </c>
      <c r="L717">
        <v>21</v>
      </c>
      <c r="N717" t="str">
        <f>VLOOKUP(input_invoice[[#This Row],[concept/supplier]],'sel-invoice'!D:E,2,0)</f>
        <v>Apphoto España</v>
      </c>
      <c r="O717" t="str">
        <f>VLOOKUP(input_invoice[[#This Row],[concept/supplier]],'sel-invoice'!D:F,3,0)</f>
        <v>SL</v>
      </c>
      <c r="P717" t="str">
        <f>IF(input_invoice[[#This Row],[entity]]="SL","EUR",IF(input_invoice[[#This Row],[entity]]="Ltd","GBP",IF(input_invoice[[#This Row],[entity]]="Inc","USD","XXX")))</f>
        <v>EUR</v>
      </c>
      <c r="Q717" s="199" t="s">
        <v>1086</v>
      </c>
    </row>
    <row r="718" spans="1:18" hidden="1" x14ac:dyDescent="0.3">
      <c r="A718">
        <v>202511</v>
      </c>
      <c r="B718" s="22" t="s">
        <v>917</v>
      </c>
      <c r="C718">
        <v>193241</v>
      </c>
      <c r="D718" s="43">
        <v>45989</v>
      </c>
      <c r="E718" s="43">
        <v>45989</v>
      </c>
      <c r="F718" t="s">
        <v>131</v>
      </c>
      <c r="G718" s="47">
        <f>MAX(+input_invoice[[#This Row],[net]]+input_invoice[[#This Row],[tax_iva]],input_invoice[[#This Row],[net]])</f>
        <v>134</v>
      </c>
      <c r="H718" s="47">
        <f>input_invoice[[#This Row],[net]]*(MAX(input_invoice[[#This Row],[tax_rate_iva]],0)/100)</f>
        <v>0</v>
      </c>
      <c r="I718" s="47">
        <f>-input_invoice[[#This Row],[net]]*input_invoice[[#This Row],[tax_rate_irpf]]/100</f>
        <v>0</v>
      </c>
      <c r="J718" s="47">
        <v>134</v>
      </c>
      <c r="K718" t="str">
        <f t="shared" si="16"/>
        <v>it</v>
      </c>
      <c r="L718">
        <v>0</v>
      </c>
      <c r="N718" t="str">
        <f>VLOOKUP(input_invoice[[#This Row],[concept/supplier]],'sel-invoice'!D:E,2,0)</f>
        <v>Product Hero</v>
      </c>
      <c r="O718" t="str">
        <f>VLOOKUP(input_invoice[[#This Row],[concept/supplier]],'sel-invoice'!D:F,3,0)</f>
        <v>SL</v>
      </c>
      <c r="P718" t="str">
        <f>IF(input_invoice[[#This Row],[entity]]="SL","EUR",IF(input_invoice[[#This Row],[entity]]="Ltd","GBP",IF(input_invoice[[#This Row],[entity]]="Inc","USD","XXX")))</f>
        <v>EUR</v>
      </c>
      <c r="Q718" s="199" t="s">
        <v>1088</v>
      </c>
    </row>
    <row r="719" spans="1:18" hidden="1" x14ac:dyDescent="0.3">
      <c r="A719">
        <v>202511</v>
      </c>
      <c r="B719" s="22" t="s">
        <v>917</v>
      </c>
      <c r="C719" s="48" t="s">
        <v>1089</v>
      </c>
      <c r="D719" s="43">
        <v>45989</v>
      </c>
      <c r="E719" s="43">
        <v>46006</v>
      </c>
      <c r="F719" t="s">
        <v>39</v>
      </c>
      <c r="G719" s="47">
        <f>MAX(+input_invoice[[#This Row],[net]]+input_invoice[[#This Row],[tax_iva]],input_invoice[[#This Row],[net]])</f>
        <v>42.072400000000002</v>
      </c>
      <c r="H719" s="47">
        <f>input_invoice[[#This Row],[net]]*(MAX(input_invoice[[#This Row],[tax_rate_iva]],0)/100)</f>
        <v>2.7524000000000002</v>
      </c>
      <c r="I719" s="47">
        <f>-input_invoice[[#This Row],[net]]*input_invoice[[#This Row],[tax_rate_irpf]]/100</f>
        <v>0</v>
      </c>
      <c r="J719" s="47">
        <v>39.32</v>
      </c>
      <c r="K719" t="str">
        <f t="shared" si="16"/>
        <v>manufacturing</v>
      </c>
      <c r="L719">
        <v>7</v>
      </c>
      <c r="N719" t="str">
        <f>VLOOKUP(input_invoice[[#This Row],[concept/supplier]],'sel-invoice'!D:E,2,0)</f>
        <v>Apphoto Canarias</v>
      </c>
      <c r="O719" t="str">
        <f>VLOOKUP(input_invoice[[#This Row],[concept/supplier]],'sel-invoice'!D:F,3,0)</f>
        <v>SL</v>
      </c>
      <c r="P719" t="str">
        <f>IF(input_invoice[[#This Row],[entity]]="SL","EUR",IF(input_invoice[[#This Row],[entity]]="Ltd","GBP",IF(input_invoice[[#This Row],[entity]]="Inc","USD","XXX")))</f>
        <v>EUR</v>
      </c>
      <c r="Q719" s="199" t="s">
        <v>1091</v>
      </c>
    </row>
    <row r="720" spans="1:18" hidden="1" x14ac:dyDescent="0.3">
      <c r="A720">
        <v>202511</v>
      </c>
      <c r="B720" s="22" t="s">
        <v>917</v>
      </c>
      <c r="C720" s="48" t="s">
        <v>1090</v>
      </c>
      <c r="D720" s="43">
        <v>45989</v>
      </c>
      <c r="E720" s="43">
        <v>46006</v>
      </c>
      <c r="F720" t="s">
        <v>37</v>
      </c>
      <c r="G720" s="47">
        <f>MAX(+input_invoice[[#This Row],[net]]+input_invoice[[#This Row],[tax_iva]],input_invoice[[#This Row],[net]])</f>
        <v>1129.3172</v>
      </c>
      <c r="H720" s="47">
        <f>input_invoice[[#This Row],[net]]*(MAX(input_invoice[[#This Row],[tax_rate_iva]],0)/100)</f>
        <v>195.99719999999999</v>
      </c>
      <c r="I720" s="47">
        <f>-input_invoice[[#This Row],[net]]*input_invoice[[#This Row],[tax_rate_irpf]]/100</f>
        <v>0</v>
      </c>
      <c r="J720" s="47">
        <v>933.32</v>
      </c>
      <c r="K720" t="str">
        <f t="shared" si="16"/>
        <v>manufacturing</v>
      </c>
      <c r="L720">
        <v>21</v>
      </c>
      <c r="N720" t="str">
        <f>VLOOKUP(input_invoice[[#This Row],[concept/supplier]],'sel-invoice'!D:E,2,0)</f>
        <v>Apphoto España</v>
      </c>
      <c r="O720" t="str">
        <f>VLOOKUP(input_invoice[[#This Row],[concept/supplier]],'sel-invoice'!D:F,3,0)</f>
        <v>SL</v>
      </c>
      <c r="P720" t="str">
        <f>IF(input_invoice[[#This Row],[entity]]="SL","EUR",IF(input_invoice[[#This Row],[entity]]="Ltd","GBP",IF(input_invoice[[#This Row],[entity]]="Inc","USD","XXX")))</f>
        <v>EUR</v>
      </c>
      <c r="Q720" s="199" t="s">
        <v>1092</v>
      </c>
    </row>
    <row r="721" spans="1:18" hidden="1" x14ac:dyDescent="0.3">
      <c r="A721">
        <v>202511</v>
      </c>
      <c r="B721" s="22" t="s">
        <v>917</v>
      </c>
      <c r="C721" s="48" t="s">
        <v>1093</v>
      </c>
      <c r="D721" s="43">
        <v>45989</v>
      </c>
      <c r="E721" s="43">
        <v>45989</v>
      </c>
      <c r="F721" t="s">
        <v>81</v>
      </c>
      <c r="G721" s="47">
        <f>MAX(+input_invoice[[#This Row],[net]]+input_invoice[[#This Row],[tax_iva]],input_invoice[[#This Row],[net]])</f>
        <v>95.59</v>
      </c>
      <c r="H721" s="47">
        <f>input_invoice[[#This Row],[net]]*(MAX(input_invoice[[#This Row],[tax_rate_iva]],0)/100)</f>
        <v>16.59</v>
      </c>
      <c r="I721" s="47">
        <f>-input_invoice[[#This Row],[net]]*input_invoice[[#This Row],[tax_rate_irpf]]/100</f>
        <v>0</v>
      </c>
      <c r="J721" s="47">
        <v>79</v>
      </c>
      <c r="K721" t="str">
        <f t="shared" si="16"/>
        <v>returns</v>
      </c>
      <c r="L721">
        <v>21</v>
      </c>
      <c r="N721" t="str">
        <f>VLOOKUP(input_invoice[[#This Row],[concept/supplier]],'sel-invoice'!D:E,2,0)</f>
        <v>rever</v>
      </c>
      <c r="O721" t="str">
        <f>VLOOKUP(input_invoice[[#This Row],[concept/supplier]],'sel-invoice'!D:F,3,0)</f>
        <v>SL</v>
      </c>
      <c r="P721" t="str">
        <f>IF(input_invoice[[#This Row],[entity]]="SL","EUR",IF(input_invoice[[#This Row],[entity]]="Ltd","GBP",IF(input_invoice[[#This Row],[entity]]="Inc","USD","XXX")))</f>
        <v>EUR</v>
      </c>
      <c r="Q721" s="199" t="s">
        <v>1094</v>
      </c>
    </row>
    <row r="722" spans="1:18" hidden="1" x14ac:dyDescent="0.3">
      <c r="A722">
        <v>202511</v>
      </c>
      <c r="B722" s="22" t="s">
        <v>917</v>
      </c>
      <c r="C722" s="48" t="s">
        <v>1096</v>
      </c>
      <c r="D722" s="43">
        <v>45991</v>
      </c>
      <c r="E722" s="43">
        <f>input_invoice[[#This Row],[date]]+14</f>
        <v>46005</v>
      </c>
      <c r="F722" t="s">
        <v>43</v>
      </c>
      <c r="G722" s="47">
        <f>MAX(+input_invoice[[#This Row],[net]]+input_invoice[[#This Row],[tax_iva]],input_invoice[[#This Row],[net]])</f>
        <v>6064.2638000000006</v>
      </c>
      <c r="H722" s="47">
        <f>input_invoice[[#This Row],[net]]*(MAX(input_invoice[[#This Row],[tax_rate_iva]],0)/100)</f>
        <v>968.24380000000008</v>
      </c>
      <c r="I722" s="47">
        <f>-input_invoice[[#This Row],[net]]*input_invoice[[#This Row],[tax_rate_irpf]]/100</f>
        <v>0</v>
      </c>
      <c r="J722" s="47">
        <v>5096.0200000000004</v>
      </c>
      <c r="K722" t="str">
        <f t="shared" si="16"/>
        <v>manufacturing</v>
      </c>
      <c r="L722">
        <v>19</v>
      </c>
      <c r="N722" t="str">
        <f>VLOOKUP(input_invoice[[#This Row],[concept/supplier]],'sel-invoice'!D:E,2,0)</f>
        <v>DCT</v>
      </c>
      <c r="O722" t="str">
        <f>VLOOKUP(input_invoice[[#This Row],[concept/supplier]],'sel-invoice'!D:F,3,0)</f>
        <v>SL</v>
      </c>
      <c r="P722" t="str">
        <f>IF(input_invoice[[#This Row],[entity]]="SL","EUR",IF(input_invoice[[#This Row],[entity]]="Ltd","GBP",IF(input_invoice[[#This Row],[entity]]="Inc","USD","XXX")))</f>
        <v>EUR</v>
      </c>
      <c r="Q722" s="199" t="s">
        <v>1097</v>
      </c>
    </row>
    <row r="723" spans="1:18" hidden="1" x14ac:dyDescent="0.3">
      <c r="A723">
        <v>202511</v>
      </c>
      <c r="B723" s="22" t="s">
        <v>917</v>
      </c>
      <c r="C723" s="48" t="s">
        <v>1098</v>
      </c>
      <c r="D723" s="43">
        <v>45991</v>
      </c>
      <c r="E723" s="43">
        <f>input_invoice[[#This Row],[date]]+14</f>
        <v>46005</v>
      </c>
      <c r="F723" t="s">
        <v>43</v>
      </c>
      <c r="G723" s="47">
        <f>MAX(+input_invoice[[#This Row],[net]]+input_invoice[[#This Row],[tax_iva]],input_invoice[[#This Row],[net]])</f>
        <v>71.400000000000006</v>
      </c>
      <c r="H723" s="47">
        <f>input_invoice[[#This Row],[net]]*(MAX(input_invoice[[#This Row],[tax_rate_iva]],0)/100)</f>
        <v>11.4</v>
      </c>
      <c r="I723" s="47">
        <f>-input_invoice[[#This Row],[net]]*input_invoice[[#This Row],[tax_rate_irpf]]/100</f>
        <v>0</v>
      </c>
      <c r="J723" s="47">
        <v>60</v>
      </c>
      <c r="K723" t="str">
        <f t="shared" si="16"/>
        <v>manufacturing</v>
      </c>
      <c r="L723">
        <v>19</v>
      </c>
      <c r="N723" t="str">
        <f>VLOOKUP(input_invoice[[#This Row],[concept/supplier]],'sel-invoice'!D:E,2,0)</f>
        <v>DCT</v>
      </c>
      <c r="O723" t="str">
        <f>VLOOKUP(input_invoice[[#This Row],[concept/supplier]],'sel-invoice'!D:F,3,0)</f>
        <v>SL</v>
      </c>
      <c r="P723" t="str">
        <f>IF(input_invoice[[#This Row],[entity]]="SL","EUR",IF(input_invoice[[#This Row],[entity]]="Ltd","GBP",IF(input_invoice[[#This Row],[entity]]="Inc","USD","XXX")))</f>
        <v>EUR</v>
      </c>
      <c r="Q723" s="199" t="s">
        <v>1099</v>
      </c>
    </row>
    <row r="724" spans="1:18" hidden="1" x14ac:dyDescent="0.3">
      <c r="A724">
        <v>202511</v>
      </c>
      <c r="B724" s="22" t="s">
        <v>917</v>
      </c>
      <c r="C724" s="48">
        <v>4400037064</v>
      </c>
      <c r="D724" s="43">
        <v>45989</v>
      </c>
      <c r="E724" s="43">
        <v>46022</v>
      </c>
      <c r="F724" t="s">
        <v>52</v>
      </c>
      <c r="G724" s="47">
        <f>MAX(+input_invoice[[#This Row],[net]]+input_invoice[[#This Row],[tax_iva]],input_invoice[[#This Row],[net]])</f>
        <v>115.78489999999999</v>
      </c>
      <c r="H724" s="47">
        <f>input_invoice[[#This Row],[net]]*(MAX(input_invoice[[#This Row],[tax_rate_iva]],0)/100)</f>
        <v>20.094899999999999</v>
      </c>
      <c r="I724" s="47">
        <f>-input_invoice[[#This Row],[net]]*input_invoice[[#This Row],[tax_rate_irpf]]/100</f>
        <v>0</v>
      </c>
      <c r="J724" s="47">
        <v>95.69</v>
      </c>
      <c r="K724" t="str">
        <f t="shared" si="16"/>
        <v>logistics</v>
      </c>
      <c r="L724">
        <v>21</v>
      </c>
      <c r="N724" t="str">
        <f>VLOOKUP(input_invoice[[#This Row],[concept/supplier]],'sel-invoice'!D:E,2,0)</f>
        <v>Correos</v>
      </c>
      <c r="O724" t="str">
        <f>VLOOKUP(input_invoice[[#This Row],[concept/supplier]],'sel-invoice'!D:F,3,0)</f>
        <v>SL</v>
      </c>
      <c r="P724" t="str">
        <f>IF(input_invoice[[#This Row],[entity]]="SL","EUR",IF(input_invoice[[#This Row],[entity]]="Ltd","GBP",IF(input_invoice[[#This Row],[entity]]="Inc","USD","XXX")))</f>
        <v>EUR</v>
      </c>
      <c r="Q724" s="199" t="s">
        <v>1100</v>
      </c>
    </row>
    <row r="725" spans="1:18" hidden="1" x14ac:dyDescent="0.3">
      <c r="A725">
        <v>202511</v>
      </c>
      <c r="B725" s="22" t="s">
        <v>917</v>
      </c>
      <c r="C725" s="48" t="s">
        <v>1102</v>
      </c>
      <c r="D725" s="43">
        <v>45991</v>
      </c>
      <c r="E725" s="43">
        <v>46006</v>
      </c>
      <c r="F725" t="s">
        <v>37</v>
      </c>
      <c r="G725" s="47">
        <f>MAX(+input_invoice[[#This Row],[net]]+input_invoice[[#This Row],[tax_iva]],input_invoice[[#This Row],[net]])</f>
        <v>8370.7921000000006</v>
      </c>
      <c r="H725" s="47">
        <f>input_invoice[[#This Row],[net]]*(MAX(input_invoice[[#This Row],[tax_rate_iva]],0)/100)</f>
        <v>1452.7820999999999</v>
      </c>
      <c r="I725" s="47">
        <f>-input_invoice[[#This Row],[net]]*input_invoice[[#This Row],[tax_rate_irpf]]/100</f>
        <v>0</v>
      </c>
      <c r="J725" s="47">
        <v>6918.01</v>
      </c>
      <c r="K725" t="str">
        <f t="shared" si="16"/>
        <v>manufacturing</v>
      </c>
      <c r="L725">
        <v>21</v>
      </c>
      <c r="N725" t="str">
        <f>VLOOKUP(input_invoice[[#This Row],[concept/supplier]],'sel-invoice'!D:E,2,0)</f>
        <v>Apphoto España</v>
      </c>
      <c r="O725" t="str">
        <f>VLOOKUP(input_invoice[[#This Row],[concept/supplier]],'sel-invoice'!D:F,3,0)</f>
        <v>SL</v>
      </c>
      <c r="P725" t="str">
        <f>IF(input_invoice[[#This Row],[entity]]="SL","EUR",IF(input_invoice[[#This Row],[entity]]="Ltd","GBP",IF(input_invoice[[#This Row],[entity]]="Inc","USD","XXX")))</f>
        <v>EUR</v>
      </c>
      <c r="Q725" s="199" t="s">
        <v>1101</v>
      </c>
    </row>
    <row r="726" spans="1:18" hidden="1" x14ac:dyDescent="0.3">
      <c r="A726">
        <v>202511</v>
      </c>
      <c r="B726" s="22" t="s">
        <v>917</v>
      </c>
      <c r="C726">
        <v>6031033</v>
      </c>
      <c r="D726" s="43">
        <v>45991</v>
      </c>
      <c r="E726" s="43">
        <f>input_invoice[[#This Row],[date]]+30</f>
        <v>46021</v>
      </c>
      <c r="F726" t="s">
        <v>194</v>
      </c>
      <c r="G726" s="47">
        <f>MAX(+input_invoice[[#This Row],[net]]+input_invoice[[#This Row],[tax_iva]],input_invoice[[#This Row],[net]])</f>
        <v>449.28</v>
      </c>
      <c r="H726" s="47">
        <f>input_invoice[[#This Row],[net]]*(MAX(input_invoice[[#This Row],[tax_rate_iva]],0)/100)</f>
        <v>74.88</v>
      </c>
      <c r="I726" s="47">
        <f>-input_invoice[[#This Row],[net]]*input_invoice[[#This Row],[tax_rate_irpf]]/100</f>
        <v>0</v>
      </c>
      <c r="J726">
        <v>374.4</v>
      </c>
      <c r="K726" t="str">
        <f t="shared" si="16"/>
        <v>logistics</v>
      </c>
      <c r="L726">
        <v>20</v>
      </c>
      <c r="N726" t="str">
        <f>VLOOKUP(input_invoice[[#This Row],[concept/supplier]],'sel-invoice'!D:E,2,0)</f>
        <v>Proco</v>
      </c>
      <c r="O726" t="str">
        <f>VLOOKUP(input_invoice[[#This Row],[concept/supplier]],'sel-invoice'!D:F,3,0)</f>
        <v>Ltd</v>
      </c>
      <c r="P726" t="str">
        <f>IF(input_invoice[[#This Row],[entity]]="SL","EUR",IF(input_invoice[[#This Row],[entity]]="Ltd","GBP",IF(input_invoice[[#This Row],[entity]]="Inc","USD","XXX")))</f>
        <v>GBP</v>
      </c>
      <c r="Q726" s="199" t="s">
        <v>1104</v>
      </c>
      <c r="R726" s="259" t="b">
        <v>1</v>
      </c>
    </row>
    <row r="727" spans="1:18" hidden="1" x14ac:dyDescent="0.3">
      <c r="A727">
        <v>202511</v>
      </c>
      <c r="B727" s="22" t="s">
        <v>917</v>
      </c>
      <c r="C727">
        <v>6031034</v>
      </c>
      <c r="D727" s="43">
        <v>45991</v>
      </c>
      <c r="E727" s="43">
        <f>input_invoice[[#This Row],[date]]+30</f>
        <v>46021</v>
      </c>
      <c r="F727" t="s">
        <v>194</v>
      </c>
      <c r="G727" s="47">
        <f>MAX(+input_invoice[[#This Row],[net]]+input_invoice[[#This Row],[tax_iva]],input_invoice[[#This Row],[net]])</f>
        <v>509.76</v>
      </c>
      <c r="H727" s="47">
        <f>input_invoice[[#This Row],[net]]*(MAX(input_invoice[[#This Row],[tax_rate_iva]],0)/100)</f>
        <v>84.960000000000008</v>
      </c>
      <c r="I727" s="47">
        <f>-input_invoice[[#This Row],[net]]*input_invoice[[#This Row],[tax_rate_irpf]]/100</f>
        <v>0</v>
      </c>
      <c r="J727" s="47">
        <v>424.8</v>
      </c>
      <c r="K727" t="str">
        <f t="shared" ref="K727:K790" si="17">_xlfn.TEXTBEFORE(F727," - ")</f>
        <v>logistics</v>
      </c>
      <c r="L727">
        <v>20</v>
      </c>
      <c r="N727" t="str">
        <f>VLOOKUP(input_invoice[[#This Row],[concept/supplier]],'sel-invoice'!D:E,2,0)</f>
        <v>Proco</v>
      </c>
      <c r="O727" t="str">
        <f>VLOOKUP(input_invoice[[#This Row],[concept/supplier]],'sel-invoice'!D:F,3,0)</f>
        <v>Ltd</v>
      </c>
      <c r="P727" t="str">
        <f>IF(input_invoice[[#This Row],[entity]]="SL","EUR",IF(input_invoice[[#This Row],[entity]]="Ltd","GBP",IF(input_invoice[[#This Row],[entity]]="Inc","USD","XXX")))</f>
        <v>GBP</v>
      </c>
      <c r="Q727" s="199" t="s">
        <v>1105</v>
      </c>
      <c r="R727" s="259" t="b">
        <v>1</v>
      </c>
    </row>
    <row r="728" spans="1:18" hidden="1" x14ac:dyDescent="0.3">
      <c r="A728">
        <v>202511</v>
      </c>
      <c r="B728" s="22" t="s">
        <v>917</v>
      </c>
      <c r="C728">
        <v>6031033</v>
      </c>
      <c r="D728" s="43">
        <v>45991</v>
      </c>
      <c r="E728" s="43">
        <f>input_invoice[[#This Row],[date]]+30</f>
        <v>46021</v>
      </c>
      <c r="F728" t="s">
        <v>196</v>
      </c>
      <c r="G728" s="47">
        <f>MAX(+input_invoice[[#This Row],[net]]+input_invoice[[#This Row],[tax_iva]],input_invoice[[#This Row],[net]])</f>
        <v>765</v>
      </c>
      <c r="H728" s="47">
        <f>input_invoice[[#This Row],[net]]*(MAX(input_invoice[[#This Row],[tax_rate_iva]],0)/100)</f>
        <v>127.5</v>
      </c>
      <c r="I728" s="47">
        <f>-input_invoice[[#This Row],[net]]*input_invoice[[#This Row],[tax_rate_irpf]]/100</f>
        <v>0</v>
      </c>
      <c r="J728" s="47">
        <v>637.5</v>
      </c>
      <c r="K728" t="str">
        <f t="shared" si="17"/>
        <v>logistics</v>
      </c>
      <c r="L728">
        <v>20</v>
      </c>
      <c r="N728" t="str">
        <f>VLOOKUP(input_invoice[[#This Row],[concept/supplier]],'sel-invoice'!D:E,2,0)</f>
        <v>Proco</v>
      </c>
      <c r="O728" t="str">
        <f>VLOOKUP(input_invoice[[#This Row],[concept/supplier]],'sel-invoice'!D:F,3,0)</f>
        <v>Ltd</v>
      </c>
      <c r="P728" t="str">
        <f>IF(input_invoice[[#This Row],[entity]]="SL","EUR",IF(input_invoice[[#This Row],[entity]]="Ltd","GBP",IF(input_invoice[[#This Row],[entity]]="Inc","USD","XXX")))</f>
        <v>GBP</v>
      </c>
      <c r="Q728" s="199" t="s">
        <v>1104</v>
      </c>
      <c r="R728" s="259" t="b">
        <v>1</v>
      </c>
    </row>
    <row r="729" spans="1:18" hidden="1" x14ac:dyDescent="0.3">
      <c r="A729">
        <v>202511</v>
      </c>
      <c r="B729" s="22" t="s">
        <v>917</v>
      </c>
      <c r="C729">
        <v>6031034</v>
      </c>
      <c r="D729" s="43">
        <v>45991</v>
      </c>
      <c r="E729" s="43">
        <f>input_invoice[[#This Row],[date]]+30</f>
        <v>46021</v>
      </c>
      <c r="F729" t="s">
        <v>196</v>
      </c>
      <c r="G729" s="47">
        <f>MAX(+input_invoice[[#This Row],[net]]+input_invoice[[#This Row],[tax_iva]],input_invoice[[#This Row],[net]])</f>
        <v>901.96799999999996</v>
      </c>
      <c r="H729" s="47">
        <f>input_invoice[[#This Row],[net]]*(MAX(input_invoice[[#This Row],[tax_rate_iva]],0)/100)</f>
        <v>150.328</v>
      </c>
      <c r="I729" s="47">
        <f>-input_invoice[[#This Row],[net]]*input_invoice[[#This Row],[tax_rate_irpf]]/100</f>
        <v>0</v>
      </c>
      <c r="J729" s="47">
        <v>751.64</v>
      </c>
      <c r="K729" t="str">
        <f t="shared" si="17"/>
        <v>logistics</v>
      </c>
      <c r="L729">
        <v>20</v>
      </c>
      <c r="N729" t="str">
        <f>VLOOKUP(input_invoice[[#This Row],[concept/supplier]],'sel-invoice'!D:E,2,0)</f>
        <v>Proco</v>
      </c>
      <c r="O729" t="str">
        <f>VLOOKUP(input_invoice[[#This Row],[concept/supplier]],'sel-invoice'!D:F,3,0)</f>
        <v>Ltd</v>
      </c>
      <c r="P729" t="str">
        <f>IF(input_invoice[[#This Row],[entity]]="SL","EUR",IF(input_invoice[[#This Row],[entity]]="Ltd","GBP",IF(input_invoice[[#This Row],[entity]]="Inc","USD","XXX")))</f>
        <v>GBP</v>
      </c>
      <c r="Q729" s="199" t="s">
        <v>1105</v>
      </c>
      <c r="R729" s="259" t="b">
        <v>1</v>
      </c>
    </row>
    <row r="730" spans="1:18" hidden="1" x14ac:dyDescent="0.3">
      <c r="A730">
        <v>202511</v>
      </c>
      <c r="B730" s="22" t="s">
        <v>917</v>
      </c>
      <c r="C730">
        <v>6031033</v>
      </c>
      <c r="D730" s="43">
        <v>45991</v>
      </c>
      <c r="E730" s="43">
        <f>input_invoice[[#This Row],[date]]+30</f>
        <v>46021</v>
      </c>
      <c r="F730" t="s">
        <v>184</v>
      </c>
      <c r="G730" s="47">
        <f>MAX(+input_invoice[[#This Row],[net]]+input_invoice[[#This Row],[tax_iva]],input_invoice[[#This Row],[net]])</f>
        <v>4174.5600000000004</v>
      </c>
      <c r="H730" s="47">
        <f>input_invoice[[#This Row],[net]]*(MAX(input_invoice[[#This Row],[tax_rate_iva]],0)/100)</f>
        <v>695.7600000000001</v>
      </c>
      <c r="I730" s="47">
        <f>-input_invoice[[#This Row],[net]]*input_invoice[[#This Row],[tax_rate_irpf]]/100</f>
        <v>0</v>
      </c>
      <c r="J730" s="47">
        <v>3478.8</v>
      </c>
      <c r="K730" t="str">
        <f t="shared" si="17"/>
        <v>manufacturing</v>
      </c>
      <c r="L730">
        <v>20</v>
      </c>
      <c r="N730" t="str">
        <f>VLOOKUP(input_invoice[[#This Row],[concept/supplier]],'sel-invoice'!D:E,2,0)</f>
        <v>Proco</v>
      </c>
      <c r="O730" t="str">
        <f>VLOOKUP(input_invoice[[#This Row],[concept/supplier]],'sel-invoice'!D:F,3,0)</f>
        <v>Ltd</v>
      </c>
      <c r="P730" t="str">
        <f>IF(input_invoice[[#This Row],[entity]]="SL","EUR",IF(input_invoice[[#This Row],[entity]]="Ltd","GBP",IF(input_invoice[[#This Row],[entity]]="Inc","USD","XXX")))</f>
        <v>GBP</v>
      </c>
      <c r="Q730" s="199" t="s">
        <v>1104</v>
      </c>
      <c r="R730" s="259" t="b">
        <v>1</v>
      </c>
    </row>
    <row r="731" spans="1:18" hidden="1" x14ac:dyDescent="0.3">
      <c r="A731">
        <v>202511</v>
      </c>
      <c r="B731" s="22" t="s">
        <v>917</v>
      </c>
      <c r="C731">
        <v>6031034</v>
      </c>
      <c r="D731" s="43">
        <v>45991</v>
      </c>
      <c r="E731" s="43">
        <f>input_invoice[[#This Row],[date]]+30</f>
        <v>46021</v>
      </c>
      <c r="F731" t="s">
        <v>184</v>
      </c>
      <c r="G731" s="47">
        <f>MAX(+input_invoice[[#This Row],[net]]+input_invoice[[#This Row],[tax_iva]],input_invoice[[#This Row],[net]])</f>
        <v>3277.3919999999998</v>
      </c>
      <c r="H731" s="47">
        <f>input_invoice[[#This Row],[net]]*(MAX(input_invoice[[#This Row],[tax_rate_iva]],0)/100)</f>
        <v>546.23199999999997</v>
      </c>
      <c r="I731" s="47">
        <f>-input_invoice[[#This Row],[net]]*input_invoice[[#This Row],[tax_rate_irpf]]/100</f>
        <v>0</v>
      </c>
      <c r="J731" s="47">
        <v>2731.16</v>
      </c>
      <c r="K731" t="str">
        <f t="shared" si="17"/>
        <v>manufacturing</v>
      </c>
      <c r="L731">
        <v>20</v>
      </c>
      <c r="N731" t="str">
        <f>VLOOKUP(input_invoice[[#This Row],[concept/supplier]],'sel-invoice'!D:E,2,0)</f>
        <v>Proco</v>
      </c>
      <c r="O731" t="str">
        <f>VLOOKUP(input_invoice[[#This Row],[concept/supplier]],'sel-invoice'!D:F,3,0)</f>
        <v>Ltd</v>
      </c>
      <c r="P731" t="str">
        <f>IF(input_invoice[[#This Row],[entity]]="SL","EUR",IF(input_invoice[[#This Row],[entity]]="Ltd","GBP",IF(input_invoice[[#This Row],[entity]]="Inc","USD","XXX")))</f>
        <v>GBP</v>
      </c>
      <c r="Q731" s="199" t="s">
        <v>1105</v>
      </c>
      <c r="R731" s="259" t="b">
        <v>1</v>
      </c>
    </row>
    <row r="732" spans="1:18" hidden="1" x14ac:dyDescent="0.3">
      <c r="A732">
        <v>202511</v>
      </c>
      <c r="B732" s="22" t="s">
        <v>917</v>
      </c>
      <c r="C732">
        <v>6031033</v>
      </c>
      <c r="D732" s="43">
        <v>45991</v>
      </c>
      <c r="E732" s="43">
        <f>input_invoice[[#This Row],[date]]+30</f>
        <v>46021</v>
      </c>
      <c r="F732" t="s">
        <v>182</v>
      </c>
      <c r="G732" s="47">
        <f>MAX(+input_invoice[[#This Row],[net]]+input_invoice[[#This Row],[tax_iva]],input_invoice[[#This Row],[net]])</f>
        <v>2849.9159999999997</v>
      </c>
      <c r="H732" s="47">
        <f>input_invoice[[#This Row],[net]]*(MAX(input_invoice[[#This Row],[tax_rate_iva]],0)/100)</f>
        <v>474.98599999999999</v>
      </c>
      <c r="I732" s="47">
        <f>-input_invoice[[#This Row],[net]]*input_invoice[[#This Row],[tax_rate_irpf]]/100</f>
        <v>0</v>
      </c>
      <c r="J732">
        <v>2374.9299999999998</v>
      </c>
      <c r="K732" t="str">
        <f t="shared" si="17"/>
        <v>manufacturing</v>
      </c>
      <c r="L732">
        <v>20</v>
      </c>
      <c r="N732" t="str">
        <f>VLOOKUP(input_invoice[[#This Row],[concept/supplier]],'sel-invoice'!D:E,2,0)</f>
        <v>Proco</v>
      </c>
      <c r="O732" t="str">
        <f>VLOOKUP(input_invoice[[#This Row],[concept/supplier]],'sel-invoice'!D:F,3,0)</f>
        <v>Ltd</v>
      </c>
      <c r="P732" t="str">
        <f>IF(input_invoice[[#This Row],[entity]]="SL","EUR",IF(input_invoice[[#This Row],[entity]]="Ltd","GBP",IF(input_invoice[[#This Row],[entity]]="Inc","USD","XXX")))</f>
        <v>GBP</v>
      </c>
      <c r="Q732" s="199" t="s">
        <v>1104</v>
      </c>
      <c r="R732" s="259" t="b">
        <v>1</v>
      </c>
    </row>
    <row r="733" spans="1:18" hidden="1" x14ac:dyDescent="0.3">
      <c r="A733">
        <v>202511</v>
      </c>
      <c r="B733" s="22" t="s">
        <v>917</v>
      </c>
      <c r="C733">
        <v>6031034</v>
      </c>
      <c r="D733" s="43">
        <v>45991</v>
      </c>
      <c r="E733" s="43">
        <f>input_invoice[[#This Row],[date]]+30</f>
        <v>46021</v>
      </c>
      <c r="F733" t="s">
        <v>182</v>
      </c>
      <c r="G733" s="47">
        <f>MAX(+input_invoice[[#This Row],[net]]+input_invoice[[#This Row],[tax_iva]],input_invoice[[#This Row],[net]])</f>
        <v>7398.8879999999999</v>
      </c>
      <c r="H733" s="47">
        <f>input_invoice[[#This Row],[net]]*(MAX(input_invoice[[#This Row],[tax_rate_iva]],0)/100)</f>
        <v>1233.1480000000001</v>
      </c>
      <c r="I733" s="47">
        <f>-input_invoice[[#This Row],[net]]*input_invoice[[#This Row],[tax_rate_irpf]]/100</f>
        <v>0</v>
      </c>
      <c r="J733">
        <v>6165.74</v>
      </c>
      <c r="K733" t="str">
        <f t="shared" si="17"/>
        <v>manufacturing</v>
      </c>
      <c r="L733">
        <v>20</v>
      </c>
      <c r="N733" t="str">
        <f>VLOOKUP(input_invoice[[#This Row],[concept/supplier]],'sel-invoice'!D:E,2,0)</f>
        <v>Proco</v>
      </c>
      <c r="O733" t="str">
        <f>VLOOKUP(input_invoice[[#This Row],[concept/supplier]],'sel-invoice'!D:F,3,0)</f>
        <v>Ltd</v>
      </c>
      <c r="P733" t="str">
        <f>IF(input_invoice[[#This Row],[entity]]="SL","EUR",IF(input_invoice[[#This Row],[entity]]="Ltd","GBP",IF(input_invoice[[#This Row],[entity]]="Inc","USD","XXX")))</f>
        <v>GBP</v>
      </c>
      <c r="Q733" s="199" t="s">
        <v>1105</v>
      </c>
      <c r="R733" s="259" t="b">
        <v>1</v>
      </c>
    </row>
    <row r="734" spans="1:18" hidden="1" x14ac:dyDescent="0.3">
      <c r="A734">
        <v>202511</v>
      </c>
      <c r="B734" s="22" t="s">
        <v>917</v>
      </c>
      <c r="C734">
        <v>6031033</v>
      </c>
      <c r="D734" s="43">
        <v>45991</v>
      </c>
      <c r="E734" s="43">
        <f>input_invoice[[#This Row],[date]]+30</f>
        <v>46021</v>
      </c>
      <c r="F734" t="s">
        <v>186</v>
      </c>
      <c r="G734" s="47">
        <f>MAX(+input_invoice[[#This Row],[net]]+input_invoice[[#This Row],[tax_iva]],input_invoice[[#This Row],[net]])</f>
        <v>384</v>
      </c>
      <c r="H734" s="47">
        <f>input_invoice[[#This Row],[net]]*(MAX(input_invoice[[#This Row],[tax_rate_iva]],0)/100)</f>
        <v>64</v>
      </c>
      <c r="I734" s="47">
        <f>-input_invoice[[#This Row],[net]]*input_invoice[[#This Row],[tax_rate_irpf]]/100</f>
        <v>0</v>
      </c>
      <c r="J734" s="47">
        <v>320</v>
      </c>
      <c r="K734" t="str">
        <f t="shared" si="17"/>
        <v>manufacturing</v>
      </c>
      <c r="L734">
        <v>20</v>
      </c>
      <c r="N734" t="str">
        <f>VLOOKUP(input_invoice[[#This Row],[concept/supplier]],'sel-invoice'!D:E,2,0)</f>
        <v>Proco</v>
      </c>
      <c r="O734" t="str">
        <f>VLOOKUP(input_invoice[[#This Row],[concept/supplier]],'sel-invoice'!D:F,3,0)</f>
        <v>Ltd</v>
      </c>
      <c r="P734" t="str">
        <f>IF(input_invoice[[#This Row],[entity]]="SL","EUR",IF(input_invoice[[#This Row],[entity]]="Ltd","GBP",IF(input_invoice[[#This Row],[entity]]="Inc","USD","XXX")))</f>
        <v>GBP</v>
      </c>
      <c r="Q734" s="199" t="s">
        <v>1104</v>
      </c>
      <c r="R734" s="259" t="b">
        <v>1</v>
      </c>
    </row>
    <row r="735" spans="1:18" hidden="1" x14ac:dyDescent="0.3">
      <c r="A735">
        <v>202511</v>
      </c>
      <c r="B735" s="22" t="s">
        <v>917</v>
      </c>
      <c r="C735">
        <v>6031034</v>
      </c>
      <c r="D735" s="43">
        <v>45991</v>
      </c>
      <c r="E735" s="43">
        <f>input_invoice[[#This Row],[date]]+30</f>
        <v>46021</v>
      </c>
      <c r="F735" t="s">
        <v>186</v>
      </c>
      <c r="G735" s="47">
        <f>MAX(+input_invoice[[#This Row],[net]]+input_invoice[[#This Row],[tax_iva]],input_invoice[[#This Row],[net]])</f>
        <v>564</v>
      </c>
      <c r="H735" s="47">
        <f>input_invoice[[#This Row],[net]]*(MAX(input_invoice[[#This Row],[tax_rate_iva]],0)/100)</f>
        <v>94</v>
      </c>
      <c r="I735" s="47">
        <f>-input_invoice[[#This Row],[net]]*input_invoice[[#This Row],[tax_rate_irpf]]/100</f>
        <v>0</v>
      </c>
      <c r="J735" s="47">
        <v>470</v>
      </c>
      <c r="K735" t="str">
        <f t="shared" si="17"/>
        <v>manufacturing</v>
      </c>
      <c r="L735">
        <v>20</v>
      </c>
      <c r="N735" t="str">
        <f>VLOOKUP(input_invoice[[#This Row],[concept/supplier]],'sel-invoice'!D:E,2,0)</f>
        <v>Proco</v>
      </c>
      <c r="O735" t="str">
        <f>VLOOKUP(input_invoice[[#This Row],[concept/supplier]],'sel-invoice'!D:F,3,0)</f>
        <v>Ltd</v>
      </c>
      <c r="P735" t="str">
        <f>IF(input_invoice[[#This Row],[entity]]="SL","EUR",IF(input_invoice[[#This Row],[entity]]="Ltd","GBP",IF(input_invoice[[#This Row],[entity]]="Inc","USD","XXX")))</f>
        <v>GBP</v>
      </c>
      <c r="Q735" s="199" t="s">
        <v>1105</v>
      </c>
      <c r="R735" s="259" t="b">
        <v>1</v>
      </c>
    </row>
    <row r="736" spans="1:18" hidden="1" x14ac:dyDescent="0.3">
      <c r="A736">
        <v>202511</v>
      </c>
      <c r="B736" s="22" t="s">
        <v>917</v>
      </c>
      <c r="C736" s="48">
        <v>4004528403</v>
      </c>
      <c r="D736" s="43">
        <v>45991</v>
      </c>
      <c r="E736" s="43">
        <v>46022</v>
      </c>
      <c r="F736" t="s">
        <v>52</v>
      </c>
      <c r="G736" s="47">
        <f>MAX(+input_invoice[[#This Row],[net]]+input_invoice[[#This Row],[tax_iva]],input_invoice[[#This Row],[net]])</f>
        <v>17.194900000000001</v>
      </c>
      <c r="H736" s="47">
        <f>input_invoice[[#This Row],[net]]*(MAX(input_invoice[[#This Row],[tax_rate_iva]],0)/100)</f>
        <v>1.1249000000000002</v>
      </c>
      <c r="I736" s="47">
        <f>-input_invoice[[#This Row],[net]]*input_invoice[[#This Row],[tax_rate_irpf]]/100</f>
        <v>0</v>
      </c>
      <c r="J736" s="47">
        <v>16.07</v>
      </c>
      <c r="K736" t="str">
        <f t="shared" si="17"/>
        <v>logistics</v>
      </c>
      <c r="L736">
        <v>7</v>
      </c>
      <c r="N736" t="str">
        <f>VLOOKUP(input_invoice[[#This Row],[concept/supplier]],'sel-invoice'!D:E,2,0)</f>
        <v>Correos</v>
      </c>
      <c r="O736" t="str">
        <f>VLOOKUP(input_invoice[[#This Row],[concept/supplier]],'sel-invoice'!D:F,3,0)</f>
        <v>SL</v>
      </c>
      <c r="P736" t="str">
        <f>IF(input_invoice[[#This Row],[entity]]="SL","EUR",IF(input_invoice[[#This Row],[entity]]="Ltd","GBP",IF(input_invoice[[#This Row],[entity]]="Inc","USD","XXX")))</f>
        <v>EUR</v>
      </c>
      <c r="Q736" s="199" t="s">
        <v>1106</v>
      </c>
    </row>
    <row r="737" spans="1:17" hidden="1" x14ac:dyDescent="0.3">
      <c r="A737">
        <v>202511</v>
      </c>
      <c r="B737" s="22" t="s">
        <v>917</v>
      </c>
      <c r="C737" s="48">
        <v>4004528402</v>
      </c>
      <c r="D737" s="43">
        <v>45991</v>
      </c>
      <c r="E737" s="43">
        <v>46022</v>
      </c>
      <c r="F737" t="s">
        <v>52</v>
      </c>
      <c r="G737" s="47">
        <f>MAX(+input_invoice[[#This Row],[net]]+input_invoice[[#This Row],[tax_iva]],input_invoice[[#This Row],[net]])</f>
        <v>154.23869999999999</v>
      </c>
      <c r="H737" s="47">
        <f>input_invoice[[#This Row],[net]]*(MAX(input_invoice[[#This Row],[tax_rate_iva]],0)/100)</f>
        <v>26.768699999999999</v>
      </c>
      <c r="I737" s="47">
        <f>-input_invoice[[#This Row],[net]]*input_invoice[[#This Row],[tax_rate_irpf]]/100</f>
        <v>0</v>
      </c>
      <c r="J737" s="47">
        <v>127.47</v>
      </c>
      <c r="K737" t="str">
        <f t="shared" si="17"/>
        <v>logistics</v>
      </c>
      <c r="L737">
        <v>21</v>
      </c>
      <c r="N737" t="str">
        <f>VLOOKUP(input_invoice[[#This Row],[concept/supplier]],'sel-invoice'!D:E,2,0)</f>
        <v>Correos</v>
      </c>
      <c r="O737" t="str">
        <f>VLOOKUP(input_invoice[[#This Row],[concept/supplier]],'sel-invoice'!D:F,3,0)</f>
        <v>SL</v>
      </c>
      <c r="P737" t="str">
        <f>IF(input_invoice[[#This Row],[entity]]="SL","EUR",IF(input_invoice[[#This Row],[entity]]="Ltd","GBP",IF(input_invoice[[#This Row],[entity]]="Inc","USD","XXX")))</f>
        <v>EUR</v>
      </c>
      <c r="Q737" s="199" t="s">
        <v>1107</v>
      </c>
    </row>
    <row r="738" spans="1:17" hidden="1" x14ac:dyDescent="0.3">
      <c r="A738">
        <v>202511</v>
      </c>
      <c r="B738" s="22" t="s">
        <v>917</v>
      </c>
      <c r="C738" s="48">
        <v>25011229</v>
      </c>
      <c r="D738" s="43">
        <v>45991</v>
      </c>
      <c r="E738" s="43">
        <v>45991</v>
      </c>
      <c r="F738" t="s">
        <v>41</v>
      </c>
      <c r="G738" s="47">
        <f>MAX(+input_invoice[[#This Row],[net]]+input_invoice[[#This Row],[tax_iva]],input_invoice[[#This Row],[net]])</f>
        <v>22653.547399999999</v>
      </c>
      <c r="H738" s="47">
        <f>input_invoice[[#This Row],[net]]*(MAX(input_invoice[[#This Row],[tax_rate_iva]],0)/100)</f>
        <v>3931.6073999999994</v>
      </c>
      <c r="I738" s="47">
        <f>-input_invoice[[#This Row],[net]]*input_invoice[[#This Row],[tax_rate_irpf]]/100</f>
        <v>0</v>
      </c>
      <c r="J738" s="55">
        <v>18721.939999999999</v>
      </c>
      <c r="K738" t="str">
        <f t="shared" si="17"/>
        <v>manufacturing</v>
      </c>
      <c r="L738">
        <v>21</v>
      </c>
      <c r="N738" t="str">
        <f>VLOOKUP(input_invoice[[#This Row],[concept/supplier]],'sel-invoice'!D:E,2,0)</f>
        <v>Pressing</v>
      </c>
      <c r="O738" t="str">
        <f>VLOOKUP(input_invoice[[#This Row],[concept/supplier]],'sel-invoice'!D:F,3,0)</f>
        <v>SL</v>
      </c>
      <c r="P738" t="str">
        <f>IF(input_invoice[[#This Row],[entity]]="SL","EUR",IF(input_invoice[[#This Row],[entity]]="Ltd","GBP",IF(input_invoice[[#This Row],[entity]]="Inc","USD","XXX")))</f>
        <v>EUR</v>
      </c>
      <c r="Q738" s="199" t="s">
        <v>1108</v>
      </c>
    </row>
    <row r="739" spans="1:17" hidden="1" x14ac:dyDescent="0.3">
      <c r="A739">
        <v>202511</v>
      </c>
      <c r="B739" s="22" t="s">
        <v>917</v>
      </c>
      <c r="C739">
        <v>3050010538</v>
      </c>
      <c r="D739" s="43">
        <v>45991</v>
      </c>
      <c r="E739" s="43">
        <v>45998</v>
      </c>
      <c r="F739" t="s">
        <v>53</v>
      </c>
      <c r="G739" s="47">
        <f>MAX(+input_invoice[[#This Row],[net]]+input_invoice[[#This Row],[tax_iva]],input_invoice[[#This Row],[net]])</f>
        <v>3038.4189000000001</v>
      </c>
      <c r="H739" s="47">
        <f>input_invoice[[#This Row],[net]]*(MAX(input_invoice[[#This Row],[tax_rate_iva]],0)/100)</f>
        <v>527.32889999999998</v>
      </c>
      <c r="I739" s="47">
        <f>-input_invoice[[#This Row],[net]]*input_invoice[[#This Row],[tax_rate_irpf]]/100</f>
        <v>0</v>
      </c>
      <c r="J739" s="47">
        <v>2511.09</v>
      </c>
      <c r="K739" t="str">
        <f t="shared" si="17"/>
        <v>logistics</v>
      </c>
      <c r="L739">
        <v>21</v>
      </c>
      <c r="N739" t="str">
        <f>VLOOKUP(input_invoice[[#This Row],[concept/supplier]],'sel-invoice'!D:E,2,0)</f>
        <v>Asendia</v>
      </c>
      <c r="O739" t="str">
        <f>VLOOKUP(input_invoice[[#This Row],[concept/supplier]],'sel-invoice'!D:F,3,0)</f>
        <v>SL</v>
      </c>
      <c r="P739" t="str">
        <f>IF(input_invoice[[#This Row],[entity]]="SL","EUR",IF(input_invoice[[#This Row],[entity]]="Ltd","GBP",IF(input_invoice[[#This Row],[entity]]="Inc","USD","XXX")))</f>
        <v>EUR</v>
      </c>
      <c r="Q739" s="199" t="s">
        <v>1109</v>
      </c>
    </row>
    <row r="740" spans="1:17" hidden="1" x14ac:dyDescent="0.3">
      <c r="A740">
        <v>202511</v>
      </c>
      <c r="B740" s="22" t="s">
        <v>917</v>
      </c>
      <c r="C740" s="48" t="s">
        <v>1110</v>
      </c>
      <c r="D740" s="43">
        <v>45968</v>
      </c>
      <c r="E740" s="43">
        <f>input_invoice[[#This Row],[date]]</f>
        <v>45968</v>
      </c>
      <c r="F740" t="s">
        <v>924</v>
      </c>
      <c r="G740" s="47">
        <f>MAX(+input_invoice[[#This Row],[net]]+input_invoice[[#This Row],[tax_iva]],input_invoice[[#This Row],[net]])</f>
        <v>171.93</v>
      </c>
      <c r="H740" s="47">
        <f>input_invoice[[#This Row],[net]]*(MAX(input_invoice[[#This Row],[tax_rate_iva]],0)/100)</f>
        <v>0</v>
      </c>
      <c r="I740" s="47">
        <f>-input_invoice[[#This Row],[net]]*input_invoice[[#This Row],[tax_rate_irpf]]/100</f>
        <v>0</v>
      </c>
      <c r="J740" s="47">
        <v>171.93</v>
      </c>
      <c r="K740" t="str">
        <f t="shared" si="17"/>
        <v>it</v>
      </c>
      <c r="L740">
        <v>0</v>
      </c>
      <c r="N740" t="str">
        <f>VLOOKUP(input_invoice[[#This Row],[concept/supplier]],'sel-invoice'!D:E,2,0)</f>
        <v>Konvo</v>
      </c>
      <c r="O740" t="str">
        <f>VLOOKUP(input_invoice[[#This Row],[concept/supplier]],'sel-invoice'!D:F,3,0)</f>
        <v>SL</v>
      </c>
      <c r="P740" t="str">
        <f>IF(input_invoice[[#This Row],[entity]]="SL","EUR",IF(input_invoice[[#This Row],[entity]]="Ltd","GBP",IF(input_invoice[[#This Row],[entity]]="Inc","USD","XXX")))</f>
        <v>EUR</v>
      </c>
      <c r="Q740" s="199" t="s">
        <v>927</v>
      </c>
    </row>
    <row r="741" spans="1:17" hidden="1" x14ac:dyDescent="0.3">
      <c r="A741">
        <v>202511</v>
      </c>
      <c r="B741" s="22" t="s">
        <v>917</v>
      </c>
      <c r="C741" s="48" t="s">
        <v>1111</v>
      </c>
      <c r="D741" s="43">
        <v>45963</v>
      </c>
      <c r="E741" s="43">
        <f>input_invoice[[#This Row],[date]]</f>
        <v>45963</v>
      </c>
      <c r="F741" t="s">
        <v>924</v>
      </c>
      <c r="G741" s="47">
        <f>MAX(+input_invoice[[#This Row],[net]]+input_invoice[[#This Row],[tax_iva]],input_invoice[[#This Row],[net]])</f>
        <v>13.59</v>
      </c>
      <c r="H741" s="47">
        <f>input_invoice[[#This Row],[net]]*(MAX(input_invoice[[#This Row],[tax_rate_iva]],0)/100)</f>
        <v>0</v>
      </c>
      <c r="I741" s="47">
        <f>-input_invoice[[#This Row],[net]]*input_invoice[[#This Row],[tax_rate_irpf]]/100</f>
        <v>0</v>
      </c>
      <c r="J741" s="47">
        <v>13.59</v>
      </c>
      <c r="K741" t="str">
        <f t="shared" si="17"/>
        <v>it</v>
      </c>
      <c r="L741">
        <v>0</v>
      </c>
      <c r="N741" t="str">
        <f>VLOOKUP(input_invoice[[#This Row],[concept/supplier]],'sel-invoice'!D:E,2,0)</f>
        <v>Konvo</v>
      </c>
      <c r="O741" t="str">
        <f>VLOOKUP(input_invoice[[#This Row],[concept/supplier]],'sel-invoice'!D:F,3,0)</f>
        <v>SL</v>
      </c>
      <c r="P741" t="str">
        <f>IF(input_invoice[[#This Row],[entity]]="SL","EUR",IF(input_invoice[[#This Row],[entity]]="Ltd","GBP",IF(input_invoice[[#This Row],[entity]]="Inc","USD","XXX")))</f>
        <v>EUR</v>
      </c>
      <c r="Q741" s="199" t="s">
        <v>927</v>
      </c>
    </row>
    <row r="742" spans="1:17" hidden="1" x14ac:dyDescent="0.3">
      <c r="A742">
        <v>202511</v>
      </c>
      <c r="B742" s="22" t="s">
        <v>917</v>
      </c>
      <c r="C742" s="48" t="s">
        <v>1112</v>
      </c>
      <c r="D742" s="43">
        <v>45963</v>
      </c>
      <c r="E742" s="43">
        <f>input_invoice[[#This Row],[date]]</f>
        <v>45963</v>
      </c>
      <c r="F742" t="s">
        <v>924</v>
      </c>
      <c r="G742" s="47">
        <f>MAX(+input_invoice[[#This Row],[net]]+input_invoice[[#This Row],[tax_iva]],input_invoice[[#This Row],[net]])</f>
        <v>0.81</v>
      </c>
      <c r="H742" s="47">
        <f>input_invoice[[#This Row],[net]]*(MAX(input_invoice[[#This Row],[tax_rate_iva]],0)/100)</f>
        <v>0</v>
      </c>
      <c r="I742" s="47">
        <f>-input_invoice[[#This Row],[net]]*input_invoice[[#This Row],[tax_rate_irpf]]/100</f>
        <v>0</v>
      </c>
      <c r="J742" s="47">
        <v>0.81</v>
      </c>
      <c r="K742" t="str">
        <f t="shared" si="17"/>
        <v>it</v>
      </c>
      <c r="L742">
        <v>0</v>
      </c>
      <c r="N742" t="str">
        <f>VLOOKUP(input_invoice[[#This Row],[concept/supplier]],'sel-invoice'!D:E,2,0)</f>
        <v>Konvo</v>
      </c>
      <c r="O742" t="str">
        <f>VLOOKUP(input_invoice[[#This Row],[concept/supplier]],'sel-invoice'!D:F,3,0)</f>
        <v>SL</v>
      </c>
      <c r="P742" t="str">
        <f>IF(input_invoice[[#This Row],[entity]]="SL","EUR",IF(input_invoice[[#This Row],[entity]]="Ltd","GBP",IF(input_invoice[[#This Row],[entity]]="Inc","USD","XXX")))</f>
        <v>EUR</v>
      </c>
      <c r="Q742" s="199" t="s">
        <v>927</v>
      </c>
    </row>
    <row r="743" spans="1:17" hidden="1" x14ac:dyDescent="0.3">
      <c r="A743">
        <v>202511</v>
      </c>
      <c r="B743" s="22" t="s">
        <v>917</v>
      </c>
      <c r="C743" s="48" t="s">
        <v>1113</v>
      </c>
      <c r="D743" s="43">
        <v>45975</v>
      </c>
      <c r="E743" s="43">
        <v>45975</v>
      </c>
      <c r="F743" t="s">
        <v>924</v>
      </c>
      <c r="G743" s="47">
        <f>MAX(+input_invoice[[#This Row],[net]]+input_invoice[[#This Row],[tax_iva]],input_invoice[[#This Row],[net]])</f>
        <v>284</v>
      </c>
      <c r="H743" s="47">
        <f>input_invoice[[#This Row],[net]]*(MAX(input_invoice[[#This Row],[tax_rate_iva]],0)/100)</f>
        <v>0</v>
      </c>
      <c r="I743" s="47">
        <f>-input_invoice[[#This Row],[net]]*input_invoice[[#This Row],[tax_rate_irpf]]/100</f>
        <v>0</v>
      </c>
      <c r="J743" s="47">
        <v>284</v>
      </c>
      <c r="K743" t="str">
        <f t="shared" si="17"/>
        <v>it</v>
      </c>
      <c r="L743">
        <v>0</v>
      </c>
      <c r="N743" t="str">
        <f>VLOOKUP(input_invoice[[#This Row],[concept/supplier]],'sel-invoice'!D:E,2,0)</f>
        <v>Konvo</v>
      </c>
      <c r="O743" t="str">
        <f>VLOOKUP(input_invoice[[#This Row],[concept/supplier]],'sel-invoice'!D:F,3,0)</f>
        <v>SL</v>
      </c>
      <c r="P743" t="str">
        <f>IF(input_invoice[[#This Row],[entity]]="SL","EUR",IF(input_invoice[[#This Row],[entity]]="Ltd","GBP",IF(input_invoice[[#This Row],[entity]]="Inc","USD","XXX")))</f>
        <v>EUR</v>
      </c>
      <c r="Q743" s="199" t="s">
        <v>927</v>
      </c>
    </row>
    <row r="744" spans="1:17" hidden="1" x14ac:dyDescent="0.3">
      <c r="A744">
        <v>202511</v>
      </c>
      <c r="B744" s="22" t="s">
        <v>917</v>
      </c>
      <c r="C744" s="48">
        <v>5420805103</v>
      </c>
      <c r="D744" s="43">
        <v>45991</v>
      </c>
      <c r="E744" s="43">
        <v>45991</v>
      </c>
      <c r="F744" t="s">
        <v>133</v>
      </c>
      <c r="G744" s="47">
        <f>MAX(+input_invoice[[#This Row],[net]]+input_invoice[[#This Row],[tax_iva]],input_invoice[[#This Row],[net]])</f>
        <v>194.4</v>
      </c>
      <c r="H744" s="47">
        <f>input_invoice[[#This Row],[net]]*(MAX(input_invoice[[#This Row],[tax_rate_iva]],0)/100)</f>
        <v>0</v>
      </c>
      <c r="I744" s="47">
        <f>-input_invoice[[#This Row],[net]]*input_invoice[[#This Row],[tax_rate_irpf]]/100</f>
        <v>0</v>
      </c>
      <c r="J744" s="47">
        <v>194.4</v>
      </c>
      <c r="K744" t="str">
        <f t="shared" si="17"/>
        <v>it</v>
      </c>
      <c r="L744">
        <v>0</v>
      </c>
      <c r="N744" t="str">
        <f>VLOOKUP(input_invoice[[#This Row],[concept/supplier]],'sel-invoice'!D:E,2,0)</f>
        <v>Gsuite</v>
      </c>
      <c r="O744" t="str">
        <f>VLOOKUP(input_invoice[[#This Row],[concept/supplier]],'sel-invoice'!D:F,3,0)</f>
        <v>SL</v>
      </c>
      <c r="P744" t="str">
        <f>IF(input_invoice[[#This Row],[entity]]="SL","EUR",IF(input_invoice[[#This Row],[entity]]="Ltd","GBP",IF(input_invoice[[#This Row],[entity]]="Inc","USD","XXX")))</f>
        <v>EUR</v>
      </c>
      <c r="Q744" s="199" t="s">
        <v>1114</v>
      </c>
    </row>
    <row r="745" spans="1:17" hidden="1" x14ac:dyDescent="0.3">
      <c r="A745">
        <v>202511</v>
      </c>
      <c r="B745" s="22" t="s">
        <v>917</v>
      </c>
      <c r="C745" s="48">
        <v>326566263</v>
      </c>
      <c r="D745" s="43">
        <v>45987</v>
      </c>
      <c r="E745" s="43">
        <f>input_invoice[[#This Row],[date]]+30</f>
        <v>46017</v>
      </c>
      <c r="F745" t="s">
        <v>55</v>
      </c>
      <c r="G745" s="47">
        <f>MAX(+input_invoice[[#This Row],[net]]+input_invoice[[#This Row],[tax_iva]],input_invoice[[#This Row],[net]])</f>
        <v>1231.19</v>
      </c>
      <c r="H745" s="47">
        <f>input_invoice[[#This Row],[net]]*(MAX(input_invoice[[#This Row],[tax_rate_iva]],0)/100)</f>
        <v>0</v>
      </c>
      <c r="I745" s="47">
        <f>-input_invoice[[#This Row],[net]]*input_invoice[[#This Row],[tax_rate_irpf]]/100</f>
        <v>0</v>
      </c>
      <c r="J745" s="47">
        <v>1231.19</v>
      </c>
      <c r="K745" t="str">
        <f t="shared" si="17"/>
        <v>logistics</v>
      </c>
      <c r="L745">
        <v>0</v>
      </c>
      <c r="N745" t="str">
        <f>VLOOKUP(input_invoice[[#This Row],[concept/supplier]],'sel-invoice'!D:E,2,0)</f>
        <v>UPS DE</v>
      </c>
      <c r="O745" t="str">
        <f>VLOOKUP(input_invoice[[#This Row],[concept/supplier]],'sel-invoice'!D:F,3,0)</f>
        <v>SL</v>
      </c>
      <c r="P745" t="str">
        <f>IF(input_invoice[[#This Row],[entity]]="SL","EUR",IF(input_invoice[[#This Row],[entity]]="Ltd","GBP",IF(input_invoice[[#This Row],[entity]]="Inc","USD","XXX")))</f>
        <v>EUR</v>
      </c>
      <c r="Q745" s="199" t="s">
        <v>1032</v>
      </c>
    </row>
    <row r="746" spans="1:17" hidden="1" x14ac:dyDescent="0.3">
      <c r="A746">
        <v>202511</v>
      </c>
      <c r="B746" s="22" t="s">
        <v>917</v>
      </c>
      <c r="C746" s="48">
        <v>837613044</v>
      </c>
      <c r="D746" s="43">
        <v>45985</v>
      </c>
      <c r="E746" s="43">
        <f>input_invoice[[#This Row],[date]]+30</f>
        <v>46015</v>
      </c>
      <c r="F746" t="s">
        <v>55</v>
      </c>
      <c r="G746" s="47">
        <f>MAX(+input_invoice[[#This Row],[net]]+input_invoice[[#This Row],[tax_iva]],input_invoice[[#This Row],[net]])</f>
        <v>37.18</v>
      </c>
      <c r="H746" s="47">
        <f>input_invoice[[#This Row],[net]]*(MAX(input_invoice[[#This Row],[tax_rate_iva]],0)/100)</f>
        <v>0</v>
      </c>
      <c r="I746" s="47">
        <f>-input_invoice[[#This Row],[net]]*input_invoice[[#This Row],[tax_rate_irpf]]/100</f>
        <v>0</v>
      </c>
      <c r="J746" s="47">
        <v>37.18</v>
      </c>
      <c r="K746" t="str">
        <f t="shared" si="17"/>
        <v>logistics</v>
      </c>
      <c r="L746">
        <v>0</v>
      </c>
      <c r="N746" t="str">
        <f>VLOOKUP(input_invoice[[#This Row],[concept/supplier]],'sel-invoice'!D:E,2,0)</f>
        <v>UPS DE</v>
      </c>
      <c r="O746" t="str">
        <f>VLOOKUP(input_invoice[[#This Row],[concept/supplier]],'sel-invoice'!D:F,3,0)</f>
        <v>SL</v>
      </c>
      <c r="P746" t="str">
        <f>IF(input_invoice[[#This Row],[entity]]="SL","EUR",IF(input_invoice[[#This Row],[entity]]="Ltd","GBP",IF(input_invoice[[#This Row],[entity]]="Inc","USD","XXX")))</f>
        <v>EUR</v>
      </c>
      <c r="Q746" s="199" t="s">
        <v>1032</v>
      </c>
    </row>
    <row r="747" spans="1:17" hidden="1" x14ac:dyDescent="0.3">
      <c r="A747">
        <v>202511</v>
      </c>
      <c r="B747" s="22" t="s">
        <v>917</v>
      </c>
      <c r="C747" s="48">
        <v>326531293</v>
      </c>
      <c r="D747" s="43">
        <v>45980</v>
      </c>
      <c r="E747" s="43">
        <f>input_invoice[[#This Row],[date]]+30</f>
        <v>46010</v>
      </c>
      <c r="F747" t="s">
        <v>55</v>
      </c>
      <c r="G747" s="47">
        <f>MAX(+input_invoice[[#This Row],[net]]+input_invoice[[#This Row],[tax_iva]],input_invoice[[#This Row],[net]])</f>
        <v>2883.07</v>
      </c>
      <c r="H747" s="47">
        <f>input_invoice[[#This Row],[net]]*(MAX(input_invoice[[#This Row],[tax_rate_iva]],0)/100)</f>
        <v>0</v>
      </c>
      <c r="I747" s="47">
        <f>-input_invoice[[#This Row],[net]]*input_invoice[[#This Row],[tax_rate_irpf]]/100</f>
        <v>0</v>
      </c>
      <c r="J747" s="47">
        <v>2883.07</v>
      </c>
      <c r="K747" t="str">
        <f t="shared" si="17"/>
        <v>logistics</v>
      </c>
      <c r="L747">
        <v>0</v>
      </c>
      <c r="N747" t="str">
        <f>VLOOKUP(input_invoice[[#This Row],[concept/supplier]],'sel-invoice'!D:E,2,0)</f>
        <v>UPS DE</v>
      </c>
      <c r="O747" t="str">
        <f>VLOOKUP(input_invoice[[#This Row],[concept/supplier]],'sel-invoice'!D:F,3,0)</f>
        <v>SL</v>
      </c>
      <c r="P747" t="str">
        <f>IF(input_invoice[[#This Row],[entity]]="SL","EUR",IF(input_invoice[[#This Row],[entity]]="Ltd","GBP",IF(input_invoice[[#This Row],[entity]]="Inc","USD","XXX")))</f>
        <v>EUR</v>
      </c>
      <c r="Q747" s="199" t="s">
        <v>1032</v>
      </c>
    </row>
    <row r="748" spans="1:17" hidden="1" x14ac:dyDescent="0.3">
      <c r="A748">
        <v>202511</v>
      </c>
      <c r="B748" s="22" t="s">
        <v>917</v>
      </c>
      <c r="C748" s="48">
        <v>837571524</v>
      </c>
      <c r="D748" s="43">
        <v>45978</v>
      </c>
      <c r="E748" s="43">
        <f>input_invoice[[#This Row],[date]]+30</f>
        <v>46008</v>
      </c>
      <c r="F748" t="s">
        <v>55</v>
      </c>
      <c r="G748" s="47">
        <f>MAX(+input_invoice[[#This Row],[net]]+input_invoice[[#This Row],[tax_iva]],input_invoice[[#This Row],[net]])</f>
        <v>62.7</v>
      </c>
      <c r="H748" s="47">
        <f>input_invoice[[#This Row],[net]]*(MAX(input_invoice[[#This Row],[tax_rate_iva]],0)/100)</f>
        <v>0</v>
      </c>
      <c r="I748" s="47">
        <f>-input_invoice[[#This Row],[net]]*input_invoice[[#This Row],[tax_rate_irpf]]/100</f>
        <v>0</v>
      </c>
      <c r="J748" s="47">
        <v>62.7</v>
      </c>
      <c r="K748" t="str">
        <f t="shared" si="17"/>
        <v>logistics</v>
      </c>
      <c r="L748">
        <v>0</v>
      </c>
      <c r="N748" t="str">
        <f>VLOOKUP(input_invoice[[#This Row],[concept/supplier]],'sel-invoice'!D:E,2,0)</f>
        <v>UPS DE</v>
      </c>
      <c r="O748" t="str">
        <f>VLOOKUP(input_invoice[[#This Row],[concept/supplier]],'sel-invoice'!D:F,3,0)</f>
        <v>SL</v>
      </c>
      <c r="P748" t="str">
        <f>IF(input_invoice[[#This Row],[entity]]="SL","EUR",IF(input_invoice[[#This Row],[entity]]="Ltd","GBP",IF(input_invoice[[#This Row],[entity]]="Inc","USD","XXX")))</f>
        <v>EUR</v>
      </c>
      <c r="Q748" s="199" t="s">
        <v>1032</v>
      </c>
    </row>
    <row r="749" spans="1:17" hidden="1" x14ac:dyDescent="0.3">
      <c r="A749">
        <v>202511</v>
      </c>
      <c r="B749" s="22" t="s">
        <v>917</v>
      </c>
      <c r="C749" s="48">
        <v>326502197</v>
      </c>
      <c r="D749" s="43">
        <v>45971</v>
      </c>
      <c r="E749" s="43">
        <f>input_invoice[[#This Row],[date]]+30</f>
        <v>46001</v>
      </c>
      <c r="F749" t="s">
        <v>55</v>
      </c>
      <c r="G749" s="47">
        <f>MAX(+input_invoice[[#This Row],[net]]+input_invoice[[#This Row],[tax_iva]],input_invoice[[#This Row],[net]])</f>
        <v>923.48</v>
      </c>
      <c r="H749" s="47">
        <f>input_invoice[[#This Row],[net]]*(MAX(input_invoice[[#This Row],[tax_rate_iva]],0)/100)</f>
        <v>0</v>
      </c>
      <c r="I749" s="47">
        <f>-input_invoice[[#This Row],[net]]*input_invoice[[#This Row],[tax_rate_irpf]]/100</f>
        <v>0</v>
      </c>
      <c r="J749" s="47">
        <v>923.48</v>
      </c>
      <c r="K749" t="str">
        <f t="shared" si="17"/>
        <v>logistics</v>
      </c>
      <c r="L749">
        <v>0</v>
      </c>
      <c r="N749" t="str">
        <f>VLOOKUP(input_invoice[[#This Row],[concept/supplier]],'sel-invoice'!D:E,2,0)</f>
        <v>UPS DE</v>
      </c>
      <c r="O749" t="str">
        <f>VLOOKUP(input_invoice[[#This Row],[concept/supplier]],'sel-invoice'!D:F,3,0)</f>
        <v>SL</v>
      </c>
      <c r="P749" t="str">
        <f>IF(input_invoice[[#This Row],[entity]]="SL","EUR",IF(input_invoice[[#This Row],[entity]]="Ltd","GBP",IF(input_invoice[[#This Row],[entity]]="Inc","USD","XXX")))</f>
        <v>EUR</v>
      </c>
      <c r="Q749" s="199" t="s">
        <v>1032</v>
      </c>
    </row>
    <row r="750" spans="1:17" hidden="1" x14ac:dyDescent="0.3">
      <c r="A750">
        <v>202511</v>
      </c>
      <c r="B750" s="22" t="s">
        <v>917</v>
      </c>
      <c r="C750" s="48">
        <v>837531375</v>
      </c>
      <c r="D750" s="43">
        <v>45971</v>
      </c>
      <c r="E750" s="43">
        <f>input_invoice[[#This Row],[date]]+30</f>
        <v>46001</v>
      </c>
      <c r="F750" t="s">
        <v>55</v>
      </c>
      <c r="G750" s="47">
        <f>MAX(+input_invoice[[#This Row],[net]]+input_invoice[[#This Row],[tax_iva]],input_invoice[[#This Row],[net]])</f>
        <v>17.329999999999998</v>
      </c>
      <c r="H750" s="47">
        <f>input_invoice[[#This Row],[net]]*(MAX(input_invoice[[#This Row],[tax_rate_iva]],0)/100)</f>
        <v>0</v>
      </c>
      <c r="I750" s="47">
        <f>-input_invoice[[#This Row],[net]]*input_invoice[[#This Row],[tax_rate_irpf]]/100</f>
        <v>0</v>
      </c>
      <c r="J750" s="47">
        <v>17.329999999999998</v>
      </c>
      <c r="K750" t="str">
        <f t="shared" si="17"/>
        <v>logistics</v>
      </c>
      <c r="L750">
        <v>0</v>
      </c>
      <c r="N750" t="str">
        <f>VLOOKUP(input_invoice[[#This Row],[concept/supplier]],'sel-invoice'!D:E,2,0)</f>
        <v>UPS DE</v>
      </c>
      <c r="O750" t="str">
        <f>VLOOKUP(input_invoice[[#This Row],[concept/supplier]],'sel-invoice'!D:F,3,0)</f>
        <v>SL</v>
      </c>
      <c r="P750" t="str">
        <f>IF(input_invoice[[#This Row],[entity]]="SL","EUR",IF(input_invoice[[#This Row],[entity]]="Ltd","GBP",IF(input_invoice[[#This Row],[entity]]="Inc","USD","XXX")))</f>
        <v>EUR</v>
      </c>
      <c r="Q750" s="199" t="s">
        <v>1032</v>
      </c>
    </row>
    <row r="751" spans="1:17" hidden="1" x14ac:dyDescent="0.3">
      <c r="A751">
        <v>202511</v>
      </c>
      <c r="B751" s="22" t="s">
        <v>917</v>
      </c>
      <c r="C751" s="48">
        <v>326471021</v>
      </c>
      <c r="D751" s="43">
        <v>45966</v>
      </c>
      <c r="E751" s="43">
        <f>input_invoice[[#This Row],[date]]+30</f>
        <v>45996</v>
      </c>
      <c r="F751" t="s">
        <v>55</v>
      </c>
      <c r="G751" s="47">
        <f>MAX(+input_invoice[[#This Row],[net]]+input_invoice[[#This Row],[tax_iva]],input_invoice[[#This Row],[net]])</f>
        <v>1163.45</v>
      </c>
      <c r="H751" s="47">
        <f>input_invoice[[#This Row],[net]]*(MAX(input_invoice[[#This Row],[tax_rate_iva]],0)/100)</f>
        <v>0</v>
      </c>
      <c r="I751" s="47">
        <f>-input_invoice[[#This Row],[net]]*input_invoice[[#This Row],[tax_rate_irpf]]/100</f>
        <v>0</v>
      </c>
      <c r="J751" s="47">
        <v>1163.45</v>
      </c>
      <c r="K751" t="str">
        <f t="shared" si="17"/>
        <v>logistics</v>
      </c>
      <c r="L751">
        <v>0</v>
      </c>
      <c r="N751" t="str">
        <f>VLOOKUP(input_invoice[[#This Row],[concept/supplier]],'sel-invoice'!D:E,2,0)</f>
        <v>UPS DE</v>
      </c>
      <c r="O751" t="str">
        <f>VLOOKUP(input_invoice[[#This Row],[concept/supplier]],'sel-invoice'!D:F,3,0)</f>
        <v>SL</v>
      </c>
      <c r="P751" t="str">
        <f>IF(input_invoice[[#This Row],[entity]]="SL","EUR",IF(input_invoice[[#This Row],[entity]]="Ltd","GBP",IF(input_invoice[[#This Row],[entity]]="Inc","USD","XXX")))</f>
        <v>EUR</v>
      </c>
      <c r="Q751" s="199" t="s">
        <v>1032</v>
      </c>
    </row>
    <row r="752" spans="1:17" hidden="1" x14ac:dyDescent="0.3">
      <c r="A752">
        <v>202511</v>
      </c>
      <c r="B752" s="22" t="s">
        <v>917</v>
      </c>
      <c r="C752" s="48">
        <v>837491462</v>
      </c>
      <c r="D752" s="43">
        <v>45964</v>
      </c>
      <c r="E752" s="43">
        <f>input_invoice[[#This Row],[date]]+30</f>
        <v>45994</v>
      </c>
      <c r="F752" t="s">
        <v>55</v>
      </c>
      <c r="G752" s="47">
        <f>MAX(+input_invoice[[#This Row],[net]]+input_invoice[[#This Row],[tax_iva]],input_invoice[[#This Row],[net]])</f>
        <v>88.82</v>
      </c>
      <c r="H752" s="47">
        <f>input_invoice[[#This Row],[net]]*(MAX(input_invoice[[#This Row],[tax_rate_iva]],0)/100)</f>
        <v>0</v>
      </c>
      <c r="I752" s="47">
        <f>-input_invoice[[#This Row],[net]]*input_invoice[[#This Row],[tax_rate_irpf]]/100</f>
        <v>0</v>
      </c>
      <c r="J752" s="47">
        <v>88.82</v>
      </c>
      <c r="K752" t="str">
        <f t="shared" si="17"/>
        <v>logistics</v>
      </c>
      <c r="L752">
        <v>0</v>
      </c>
      <c r="N752" t="str">
        <f>VLOOKUP(input_invoice[[#This Row],[concept/supplier]],'sel-invoice'!D:E,2,0)</f>
        <v>UPS DE</v>
      </c>
      <c r="O752" t="str">
        <f>VLOOKUP(input_invoice[[#This Row],[concept/supplier]],'sel-invoice'!D:F,3,0)</f>
        <v>SL</v>
      </c>
      <c r="P752" t="str">
        <f>IF(input_invoice[[#This Row],[entity]]="SL","EUR",IF(input_invoice[[#This Row],[entity]]="Ltd","GBP",IF(input_invoice[[#This Row],[entity]]="Inc","USD","XXX")))</f>
        <v>EUR</v>
      </c>
      <c r="Q752" s="199" t="s">
        <v>1032</v>
      </c>
    </row>
    <row r="753" spans="1:18" hidden="1" x14ac:dyDescent="0.3">
      <c r="A753">
        <v>202511</v>
      </c>
      <c r="B753" s="22" t="s">
        <v>917</v>
      </c>
      <c r="C753" s="48">
        <v>20250696</v>
      </c>
      <c r="D753" s="43">
        <v>45991</v>
      </c>
      <c r="E753" s="43">
        <f>input_invoice[[#This Row],[date]]+30</f>
        <v>46021</v>
      </c>
      <c r="F753" t="s">
        <v>51</v>
      </c>
      <c r="G753" s="47">
        <f>MAX(+input_invoice[[#This Row],[net]]+input_invoice[[#This Row],[tax_iva]],input_invoice[[#This Row],[net]])</f>
        <v>9211.9236000000001</v>
      </c>
      <c r="H753" s="47">
        <f>input_invoice[[#This Row],[net]]*(MAX(input_invoice[[#This Row],[tax_rate_iva]],0)/100)</f>
        <v>1598.7636</v>
      </c>
      <c r="I753" s="47">
        <f>-input_invoice[[#This Row],[net]]*input_invoice[[#This Row],[tax_rate_irpf]]/100</f>
        <v>0</v>
      </c>
      <c r="J753" s="47">
        <v>7613.16</v>
      </c>
      <c r="K753" t="str">
        <f t="shared" si="17"/>
        <v>logistics</v>
      </c>
      <c r="L753">
        <v>21</v>
      </c>
      <c r="N753" t="str">
        <f>VLOOKUP(input_invoice[[#This Row],[concept/supplier]],'sel-invoice'!D:E,2,0)</f>
        <v>GLS</v>
      </c>
      <c r="O753" t="str">
        <f>VLOOKUP(input_invoice[[#This Row],[concept/supplier]],'sel-invoice'!D:F,3,0)</f>
        <v>SL</v>
      </c>
      <c r="P753" t="str">
        <f>IF(input_invoice[[#This Row],[entity]]="SL","EUR",IF(input_invoice[[#This Row],[entity]]="Ltd","GBP",IF(input_invoice[[#This Row],[entity]]="Inc","USD","XXX")))</f>
        <v>EUR</v>
      </c>
      <c r="Q753" s="199" t="s">
        <v>1115</v>
      </c>
      <c r="R753" s="267" t="b">
        <v>1</v>
      </c>
    </row>
    <row r="754" spans="1:18" hidden="1" x14ac:dyDescent="0.3">
      <c r="A754">
        <v>202512</v>
      </c>
      <c r="B754" s="22" t="s">
        <v>917</v>
      </c>
      <c r="C754" s="48" t="s">
        <v>1095</v>
      </c>
      <c r="D754" s="43">
        <v>45992</v>
      </c>
      <c r="E754" s="43">
        <v>45992</v>
      </c>
      <c r="F754" t="s">
        <v>137</v>
      </c>
      <c r="G754" s="47">
        <f>MAX(+input_invoice[[#This Row],[net]]+input_invoice[[#This Row],[tax_iva]],input_invoice[[#This Row],[net]])</f>
        <v>20.86</v>
      </c>
      <c r="H754" s="47">
        <f>input_invoice[[#This Row],[net]]*(MAX(input_invoice[[#This Row],[tax_rate_iva]],0)/100)</f>
        <v>0</v>
      </c>
      <c r="I754" s="47">
        <v>0</v>
      </c>
      <c r="J754" s="47">
        <v>20.86</v>
      </c>
      <c r="K754" t="str">
        <f t="shared" si="17"/>
        <v>it</v>
      </c>
      <c r="L754" s="47">
        <v>0</v>
      </c>
      <c r="N754" t="str">
        <f>VLOOKUP(input_invoice[[#This Row],[concept/supplier]],'sel-invoice'!D:E,2,0)</f>
        <v>Railway</v>
      </c>
      <c r="O754" t="str">
        <f>VLOOKUP(input_invoice[[#This Row],[concept/supplier]],'sel-invoice'!D:F,3,0)</f>
        <v>SL</v>
      </c>
      <c r="P754" t="str">
        <f>IF(input_invoice[[#This Row],[entity]]="SL","EUR",IF(input_invoice[[#This Row],[entity]]="Ltd","GBP",IF(input_invoice[[#This Row],[entity]]="Inc","USD","XXX")))</f>
        <v>EUR</v>
      </c>
      <c r="Q754" s="199" t="s">
        <v>1116</v>
      </c>
      <c r="R754" s="267" t="b">
        <v>1</v>
      </c>
    </row>
    <row r="755" spans="1:18" hidden="1" x14ac:dyDescent="0.3">
      <c r="A755">
        <v>202509</v>
      </c>
      <c r="B755" s="22" t="s">
        <v>917</v>
      </c>
      <c r="F755" t="s">
        <v>224</v>
      </c>
      <c r="G755" s="47">
        <f ca="1">MAX(+input_invoice[[#This Row],[net]]+input_invoice[[#This Row],[tax_iva]],input_invoice[[#This Row],[net]])</f>
        <v>0</v>
      </c>
      <c r="H755" s="47">
        <f ca="1">input_invoice[[#This Row],[net]]*(MAX(input_invoice[[#This Row],[tax_rate_iva]],0)/100)</f>
        <v>0</v>
      </c>
      <c r="I755" s="47">
        <f>-input_invoice[[#This Row],[net]]*input_invoice[[#This Row],[tax_rate_irpf]]/100</f>
        <v>0</v>
      </c>
      <c r="K755" t="str">
        <f t="shared" si="17"/>
        <v>payment-suppliers</v>
      </c>
      <c r="L755">
        <f ca="1">+input_invoice[[#This Row],[gross]]-input_invoice[[#This Row],[net]]</f>
        <v>0</v>
      </c>
      <c r="N755" t="str">
        <f>VLOOKUP(input_invoice[[#This Row],[concept/supplier]],'sel-invoice'!D:E,2,0)</f>
        <v>Paypal</v>
      </c>
      <c r="O755" t="str">
        <f>VLOOKUP(input_invoice[[#This Row],[concept/supplier]],'sel-invoice'!D:F,3,0)</f>
        <v>Inc</v>
      </c>
      <c r="P755" t="str">
        <f>IF(input_invoice[[#This Row],[entity]]="SL","EUR",IF(input_invoice[[#This Row],[entity]]="Ltd","GBP",IF(input_invoice[[#This Row],[entity]]="Inc","USD","XXX")))</f>
        <v>USD</v>
      </c>
      <c r="Q755" s="240"/>
    </row>
    <row r="756" spans="1:18" hidden="1" x14ac:dyDescent="0.3">
      <c r="A756">
        <v>202512</v>
      </c>
      <c r="B756" s="22" t="s">
        <v>917</v>
      </c>
      <c r="C756" s="48" t="s">
        <v>1155</v>
      </c>
      <c r="D756" s="43">
        <v>46023</v>
      </c>
      <c r="E756" s="43">
        <v>46023</v>
      </c>
      <c r="F756" t="s">
        <v>137</v>
      </c>
      <c r="G756" s="47">
        <f>MAX(+input_invoice[[#This Row],[net]]+input_invoice[[#This Row],[tax_iva]],input_invoice[[#This Row],[net]])</f>
        <v>21.47</v>
      </c>
      <c r="H756" s="47">
        <f>input_invoice[[#This Row],[net]]*(MAX(input_invoice[[#This Row],[tax_rate_iva]],0)/100)</f>
        <v>0</v>
      </c>
      <c r="I756" s="47">
        <f>-input_invoice[[#This Row],[net]]*input_invoice[[#This Row],[tax_rate_irpf]]/100</f>
        <v>0</v>
      </c>
      <c r="J756" s="47">
        <v>21.47</v>
      </c>
      <c r="K756" t="str">
        <f t="shared" si="17"/>
        <v>it</v>
      </c>
      <c r="L756">
        <v>0</v>
      </c>
      <c r="N756" t="str">
        <f>VLOOKUP(input_invoice[[#This Row],[concept/supplier]],'sel-invoice'!D:E,2,0)</f>
        <v>Railway</v>
      </c>
      <c r="O756" t="str">
        <f>VLOOKUP(input_invoice[[#This Row],[concept/supplier]],'sel-invoice'!D:F,3,0)</f>
        <v>SL</v>
      </c>
      <c r="P756" t="str">
        <f>IF(input_invoice[[#This Row],[entity]]="SL","EUR",IF(input_invoice[[#This Row],[entity]]="Ltd","GBP",IF(input_invoice[[#This Row],[entity]]="Inc","USD","XXX")))</f>
        <v>EUR</v>
      </c>
      <c r="Q756" s="199" t="s">
        <v>1156</v>
      </c>
      <c r="R756" s="267" t="b">
        <v>1</v>
      </c>
    </row>
    <row r="757" spans="1:18" hidden="1" x14ac:dyDescent="0.3">
      <c r="A757">
        <v>202512</v>
      </c>
      <c r="B757" s="22" t="s">
        <v>917</v>
      </c>
      <c r="C757" s="48" t="s">
        <v>1119</v>
      </c>
      <c r="D757" s="43">
        <v>45992</v>
      </c>
      <c r="E757" s="43">
        <v>45992</v>
      </c>
      <c r="F757" t="s">
        <v>81</v>
      </c>
      <c r="G757" s="47">
        <f>MAX(+input_invoice[[#This Row],[net]]+input_invoice[[#This Row],[tax_iva]],input_invoice[[#This Row],[net]])</f>
        <v>299.36610000000002</v>
      </c>
      <c r="H757" s="47">
        <f>input_invoice[[#This Row],[net]]*(MAX(input_invoice[[#This Row],[tax_rate_iva]],0)/100)</f>
        <v>51.956099999999999</v>
      </c>
      <c r="I757" s="47">
        <f>-input_invoice[[#This Row],[net]]*input_invoice[[#This Row],[tax_rate_irpf]]/100</f>
        <v>0</v>
      </c>
      <c r="J757" s="47">
        <v>247.41</v>
      </c>
      <c r="K757" t="str">
        <f t="shared" si="17"/>
        <v>returns</v>
      </c>
      <c r="L757">
        <v>21</v>
      </c>
      <c r="N757" t="str">
        <f>VLOOKUP(input_invoice[[#This Row],[concept/supplier]],'sel-invoice'!D:E,2,0)</f>
        <v>rever</v>
      </c>
      <c r="O757" t="str">
        <f>VLOOKUP(input_invoice[[#This Row],[concept/supplier]],'sel-invoice'!D:F,3,0)</f>
        <v>SL</v>
      </c>
      <c r="P757" t="str">
        <f>IF(input_invoice[[#This Row],[entity]]="SL","EUR",IF(input_invoice[[#This Row],[entity]]="Ltd","GBP",IF(input_invoice[[#This Row],[entity]]="Inc","USD","XXX")))</f>
        <v>EUR</v>
      </c>
      <c r="Q757" s="199" t="s">
        <v>1120</v>
      </c>
      <c r="R757" s="267" t="b">
        <v>1</v>
      </c>
    </row>
    <row r="758" spans="1:18" hidden="1" x14ac:dyDescent="0.3">
      <c r="A758">
        <v>202512</v>
      </c>
      <c r="B758" s="22" t="s">
        <v>917</v>
      </c>
      <c r="C758" s="48" t="s">
        <v>1122</v>
      </c>
      <c r="D758" s="43">
        <v>45992</v>
      </c>
      <c r="E758" s="43">
        <v>45992</v>
      </c>
      <c r="F758" t="s">
        <v>81</v>
      </c>
      <c r="G758" s="47">
        <f>MAX(+input_invoice[[#This Row],[net]]+input_invoice[[#This Row],[tax_iva]],input_invoice[[#This Row],[net]])</f>
        <v>273.39</v>
      </c>
      <c r="H758" s="47">
        <f>input_invoice[[#This Row],[net]]*(MAX(input_invoice[[#This Row],[tax_rate_iva]],0)/100)</f>
        <v>0</v>
      </c>
      <c r="I758" s="47">
        <f>-input_invoice[[#This Row],[net]]*input_invoice[[#This Row],[tax_rate_irpf]]/100</f>
        <v>0</v>
      </c>
      <c r="J758" s="47">
        <v>273.39</v>
      </c>
      <c r="K758" t="str">
        <f t="shared" si="17"/>
        <v>returns</v>
      </c>
      <c r="L758">
        <v>0</v>
      </c>
      <c r="N758" t="str">
        <f>VLOOKUP(input_invoice[[#This Row],[concept/supplier]],'sel-invoice'!D:E,2,0)</f>
        <v>rever</v>
      </c>
      <c r="O758" t="str">
        <f>VLOOKUP(input_invoice[[#This Row],[concept/supplier]],'sel-invoice'!D:F,3,0)</f>
        <v>SL</v>
      </c>
      <c r="P758" t="str">
        <f>IF(input_invoice[[#This Row],[entity]]="SL","EUR",IF(input_invoice[[#This Row],[entity]]="Ltd","GBP",IF(input_invoice[[#This Row],[entity]]="Inc","USD","XXX")))</f>
        <v>EUR</v>
      </c>
      <c r="Q758" s="199" t="s">
        <v>1121</v>
      </c>
      <c r="R758" s="267" t="b">
        <v>1</v>
      </c>
    </row>
    <row r="759" spans="1:18" hidden="1" x14ac:dyDescent="0.3">
      <c r="A759">
        <v>202512</v>
      </c>
      <c r="B759" s="22" t="s">
        <v>917</v>
      </c>
      <c r="C759" s="261" t="s">
        <v>1123</v>
      </c>
      <c r="D759" s="43">
        <v>45993</v>
      </c>
      <c r="E759" s="43">
        <v>45994</v>
      </c>
      <c r="F759" t="s">
        <v>113</v>
      </c>
      <c r="G759" s="47">
        <f>MAX(+input_invoice[[#This Row],[net]]+input_invoice[[#This Row],[tax_iva]],input_invoice[[#This Row],[net]])</f>
        <v>18.149999999999999</v>
      </c>
      <c r="H759" s="47">
        <f>input_invoice[[#This Row],[net]]*(MAX(input_invoice[[#This Row],[tax_rate_iva]],0)/100)</f>
        <v>3.15</v>
      </c>
      <c r="I759" s="47">
        <f>-input_invoice[[#This Row],[net]]*input_invoice[[#This Row],[tax_rate_irpf]]/100</f>
        <v>0</v>
      </c>
      <c r="J759" s="47">
        <v>15</v>
      </c>
      <c r="K759" t="str">
        <f t="shared" si="17"/>
        <v>administrative</v>
      </c>
      <c r="L759">
        <v>21</v>
      </c>
      <c r="N759" t="str">
        <f>VLOOKUP(input_invoice[[#This Row],[concept/supplier]],'sel-invoice'!D:E,2,0)</f>
        <v>Torras y asociados</v>
      </c>
      <c r="O759" t="str">
        <f>VLOOKUP(input_invoice[[#This Row],[concept/supplier]],'sel-invoice'!D:F,3,0)</f>
        <v>SL</v>
      </c>
      <c r="P759" t="str">
        <f>IF(input_invoice[[#This Row],[entity]]="SL","EUR",IF(input_invoice[[#This Row],[entity]]="Ltd","GBP",IF(input_invoice[[#This Row],[entity]]="Inc","USD","XXX")))</f>
        <v>EUR</v>
      </c>
      <c r="Q759" s="199" t="s">
        <v>1124</v>
      </c>
      <c r="R759" s="267" t="b">
        <v>1</v>
      </c>
    </row>
    <row r="760" spans="1:18" hidden="1" x14ac:dyDescent="0.3">
      <c r="A760">
        <v>202509</v>
      </c>
      <c r="B760" s="22" t="s">
        <v>917</v>
      </c>
      <c r="C760">
        <v>4004462885</v>
      </c>
      <c r="D760" s="43">
        <v>45930</v>
      </c>
      <c r="E760" s="43">
        <v>45961</v>
      </c>
      <c r="F760" t="s">
        <v>52</v>
      </c>
      <c r="G760" s="47">
        <f>MAX(+input_invoice[[#This Row],[net]]+input_invoice[[#This Row],[tax_iva]],input_invoice[[#This Row],[net]])</f>
        <v>32.035800000000002</v>
      </c>
      <c r="H760" s="47">
        <f>input_invoice[[#This Row],[net]]*(MAX(input_invoice[[#This Row],[tax_rate_iva]],0)/100)</f>
        <v>2.0958000000000001</v>
      </c>
      <c r="I760" s="47">
        <f>-input_invoice[[#This Row],[net]]*input_invoice[[#This Row],[tax_rate_irpf]]/100</f>
        <v>0</v>
      </c>
      <c r="J760">
        <v>29.94</v>
      </c>
      <c r="K760" t="str">
        <f t="shared" si="17"/>
        <v>logistics</v>
      </c>
      <c r="L760">
        <v>7</v>
      </c>
      <c r="N760" t="str">
        <f>VLOOKUP(input_invoice[[#This Row],[concept/supplier]],'sel-invoice'!D:E,2,0)</f>
        <v>Correos</v>
      </c>
      <c r="O760" t="str">
        <f>VLOOKUP(input_invoice[[#This Row],[concept/supplier]],'sel-invoice'!D:F,3,0)</f>
        <v>SL</v>
      </c>
      <c r="P760" t="str">
        <f>IF(input_invoice[[#This Row],[entity]]="SL","EUR",IF(input_invoice[[#This Row],[entity]]="Ltd","GBP",IF(input_invoice[[#This Row],[entity]]="Inc","USD","XXX")))</f>
        <v>EUR</v>
      </c>
      <c r="R760" s="259" t="b">
        <v>1</v>
      </c>
    </row>
    <row r="761" spans="1:18" hidden="1" x14ac:dyDescent="0.3">
      <c r="A761">
        <v>202512</v>
      </c>
      <c r="B761" s="22" t="s">
        <v>917</v>
      </c>
      <c r="C761" s="48" t="s">
        <v>1127</v>
      </c>
      <c r="D761" s="43">
        <v>45996</v>
      </c>
      <c r="E761" s="43">
        <v>46003</v>
      </c>
      <c r="F761" t="s">
        <v>111</v>
      </c>
      <c r="G761" s="47">
        <f>MAX(+input_invoice[[#This Row],[net]]+input_invoice[[#This Row],[tax_iva]],input_invoice[[#This Row],[net]])</f>
        <v>888.87810000000002</v>
      </c>
      <c r="H761" s="47">
        <f>input_invoice[[#This Row],[net]]*(MAX(input_invoice[[#This Row],[tax_rate_iva]],0)/100)</f>
        <v>154.2681</v>
      </c>
      <c r="I761" s="47">
        <f>-input_invoice[[#This Row],[net]]*input_invoice[[#This Row],[tax_rate_irpf]]/100</f>
        <v>0</v>
      </c>
      <c r="J761" s="47">
        <v>734.61</v>
      </c>
      <c r="K761" t="str">
        <f t="shared" si="17"/>
        <v>administrative</v>
      </c>
      <c r="L761">
        <v>21</v>
      </c>
      <c r="N761" t="str">
        <f>VLOOKUP(input_invoice[[#This Row],[concept/supplier]],'sel-invoice'!D:E,2,0)</f>
        <v>Claris Gestio</v>
      </c>
      <c r="O761" t="str">
        <f>VLOOKUP(input_invoice[[#This Row],[concept/supplier]],'sel-invoice'!D:F,3,0)</f>
        <v>SL</v>
      </c>
      <c r="P761" t="str">
        <f>IF(input_invoice[[#This Row],[entity]]="SL","EUR",IF(input_invoice[[#This Row],[entity]]="Ltd","GBP",IF(input_invoice[[#This Row],[entity]]="Inc","USD","XXX")))</f>
        <v>EUR</v>
      </c>
      <c r="Q761" s="199" t="s">
        <v>1128</v>
      </c>
      <c r="R761" s="267" t="b">
        <v>1</v>
      </c>
    </row>
    <row r="762" spans="1:18" hidden="1" x14ac:dyDescent="0.3">
      <c r="A762">
        <v>202512</v>
      </c>
      <c r="B762" s="22" t="s">
        <v>917</v>
      </c>
      <c r="C762" s="48" t="s">
        <v>1125</v>
      </c>
      <c r="D762" s="43">
        <v>46000</v>
      </c>
      <c r="E762" s="43">
        <v>46015</v>
      </c>
      <c r="F762" t="s">
        <v>37</v>
      </c>
      <c r="G762" s="47">
        <f>MAX(+input_invoice[[#This Row],[net]]+input_invoice[[#This Row],[tax_iva]],input_invoice[[#This Row],[net]])</f>
        <v>6741.2003999999997</v>
      </c>
      <c r="H762" s="47">
        <f>input_invoice[[#This Row],[net]]*(MAX(input_invoice[[#This Row],[tax_rate_iva]],0)/100)</f>
        <v>1169.9603999999999</v>
      </c>
      <c r="I762" s="47">
        <f>-input_invoice[[#This Row],[net]]*input_invoice[[#This Row],[tax_rate_irpf]]/100</f>
        <v>0</v>
      </c>
      <c r="J762" s="47">
        <v>5571.24</v>
      </c>
      <c r="K762" t="str">
        <f t="shared" si="17"/>
        <v>manufacturing</v>
      </c>
      <c r="L762">
        <v>21</v>
      </c>
      <c r="N762" t="str">
        <f>VLOOKUP(input_invoice[[#This Row],[concept/supplier]],'sel-invoice'!D:E,2,0)</f>
        <v>Apphoto España</v>
      </c>
      <c r="O762" t="str">
        <f>VLOOKUP(input_invoice[[#This Row],[concept/supplier]],'sel-invoice'!D:F,3,0)</f>
        <v>SL</v>
      </c>
      <c r="P762" t="str">
        <f>IF(input_invoice[[#This Row],[entity]]="SL","EUR",IF(input_invoice[[#This Row],[entity]]="Ltd","GBP",IF(input_invoice[[#This Row],[entity]]="Inc","USD","XXX")))</f>
        <v>EUR</v>
      </c>
      <c r="Q762" s="199" t="s">
        <v>1126</v>
      </c>
      <c r="R762" s="259" t="b">
        <v>1</v>
      </c>
    </row>
    <row r="763" spans="1:18" hidden="1" x14ac:dyDescent="0.3">
      <c r="A763">
        <v>202512</v>
      </c>
      <c r="B763" s="22" t="s">
        <v>917</v>
      </c>
      <c r="C763" s="48" t="s">
        <v>1131</v>
      </c>
      <c r="D763" s="43">
        <v>46004</v>
      </c>
      <c r="E763" s="43">
        <v>46004</v>
      </c>
      <c r="F763" t="s">
        <v>148</v>
      </c>
      <c r="G763" s="47">
        <f>MAX(+input_invoice[[#This Row],[net]]+input_invoice[[#This Row],[tax_iva]],input_invoice[[#This Row],[net]])</f>
        <v>440</v>
      </c>
      <c r="H763" s="47">
        <f>input_invoice[[#This Row],[net]]*(MAX(input_invoice[[#This Row],[tax_rate_iva]],0)/100)</f>
        <v>0</v>
      </c>
      <c r="I763" s="47">
        <f>-input_invoice[[#This Row],[net]]*input_invoice[[#This Row],[tax_rate_irpf]]/100</f>
        <v>0</v>
      </c>
      <c r="J763" s="47">
        <v>440</v>
      </c>
      <c r="K763" t="str">
        <f t="shared" si="17"/>
        <v>it</v>
      </c>
      <c r="L763">
        <v>0</v>
      </c>
      <c r="N763" t="str">
        <f>VLOOKUP(input_invoice[[#This Row],[concept/supplier]],'sel-invoice'!D:E,2,0)</f>
        <v>Yuma</v>
      </c>
      <c r="O763" t="str">
        <f>VLOOKUP(input_invoice[[#This Row],[concept/supplier]],'sel-invoice'!D:F,3,0)</f>
        <v>SL</v>
      </c>
      <c r="P763" t="str">
        <f>IF(input_invoice[[#This Row],[entity]]="SL","EUR",IF(input_invoice[[#This Row],[entity]]="Ltd","GBP",IF(input_invoice[[#This Row],[entity]]="Inc","USD","XXX")))</f>
        <v>EUR</v>
      </c>
      <c r="Q763" s="199" t="s">
        <v>1132</v>
      </c>
      <c r="R763" s="267" t="b">
        <v>1</v>
      </c>
    </row>
    <row r="764" spans="1:18" hidden="1" x14ac:dyDescent="0.3">
      <c r="A764">
        <v>202512</v>
      </c>
      <c r="B764" s="22" t="s">
        <v>917</v>
      </c>
      <c r="C764" s="48" t="s">
        <v>1129</v>
      </c>
      <c r="D764" s="43">
        <v>46002</v>
      </c>
      <c r="E764" s="43">
        <v>46017</v>
      </c>
      <c r="F764" t="s">
        <v>37</v>
      </c>
      <c r="G764" s="47">
        <f>MAX(+input_invoice[[#This Row],[net]]+input_invoice[[#This Row],[tax_iva]],input_invoice[[#This Row],[net]])</f>
        <v>1620.0932</v>
      </c>
      <c r="H764" s="47">
        <f>input_invoice[[#This Row],[net]]*(MAX(input_invoice[[#This Row],[tax_rate_iva]],0)/100)</f>
        <v>281.17320000000001</v>
      </c>
      <c r="I764" s="47">
        <f>-input_invoice[[#This Row],[net]]*input_invoice[[#This Row],[tax_rate_irpf]]/100</f>
        <v>0</v>
      </c>
      <c r="J764" s="47">
        <v>1338.92</v>
      </c>
      <c r="K764" t="str">
        <f t="shared" si="17"/>
        <v>manufacturing</v>
      </c>
      <c r="L764">
        <v>21</v>
      </c>
      <c r="N764" t="str">
        <f>VLOOKUP(input_invoice[[#This Row],[concept/supplier]],'sel-invoice'!D:E,2,0)</f>
        <v>Apphoto España</v>
      </c>
      <c r="O764" t="str">
        <f>VLOOKUP(input_invoice[[#This Row],[concept/supplier]],'sel-invoice'!D:F,3,0)</f>
        <v>SL</v>
      </c>
      <c r="P764" t="str">
        <f>IF(input_invoice[[#This Row],[entity]]="SL","EUR",IF(input_invoice[[#This Row],[entity]]="Ltd","GBP",IF(input_invoice[[#This Row],[entity]]="Inc","USD","XXX")))</f>
        <v>EUR</v>
      </c>
      <c r="Q764" s="199" t="s">
        <v>1130</v>
      </c>
      <c r="R764" s="259" t="b">
        <v>1</v>
      </c>
    </row>
    <row r="765" spans="1:18" hidden="1" x14ac:dyDescent="0.3">
      <c r="A765">
        <v>202512</v>
      </c>
      <c r="B765" s="22" t="s">
        <v>917</v>
      </c>
      <c r="C765" s="48" t="s">
        <v>1135</v>
      </c>
      <c r="D765" s="43">
        <v>46002</v>
      </c>
      <c r="E765" s="43">
        <v>46004</v>
      </c>
      <c r="F765" t="s">
        <v>206</v>
      </c>
      <c r="G765" s="47">
        <f>MAX(+input_invoice[[#This Row],[net]]+input_invoice[[#This Row],[tax_iva]],input_invoice[[#This Row],[net]])</f>
        <v>1020</v>
      </c>
      <c r="H765" s="47">
        <f>input_invoice[[#This Row],[net]]*(MAX(input_invoice[[#This Row],[tax_rate_iva]],0)/100)</f>
        <v>170</v>
      </c>
      <c r="I765" s="47">
        <f>-input_invoice[[#This Row],[net]]*input_invoice[[#This Row],[tax_rate_irpf]]/100</f>
        <v>0</v>
      </c>
      <c r="J765" s="47">
        <v>850</v>
      </c>
      <c r="K765" t="str">
        <f t="shared" si="17"/>
        <v>administrative</v>
      </c>
      <c r="L765">
        <v>20</v>
      </c>
      <c r="N765" t="str">
        <f>VLOOKUP(input_invoice[[#This Row],[concept/supplier]],'sel-invoice'!D:E,2,0)</f>
        <v>youraccountsntaxes</v>
      </c>
      <c r="O765" t="str">
        <f>VLOOKUP(input_invoice[[#This Row],[concept/supplier]],'sel-invoice'!D:F,3,0)</f>
        <v>Ltd</v>
      </c>
      <c r="P765" t="str">
        <f>IF(input_invoice[[#This Row],[entity]]="SL","EUR",IF(input_invoice[[#This Row],[entity]]="Ltd","GBP",IF(input_invoice[[#This Row],[entity]]="Inc","USD","XXX")))</f>
        <v>GBP</v>
      </c>
      <c r="Q765" s="199" t="s">
        <v>1136</v>
      </c>
      <c r="R765" s="267" t="b">
        <v>1</v>
      </c>
    </row>
    <row r="766" spans="1:18" hidden="1" x14ac:dyDescent="0.3">
      <c r="A766">
        <v>202512</v>
      </c>
      <c r="B766" s="22" t="s">
        <v>917</v>
      </c>
      <c r="C766" s="48">
        <v>84000585231</v>
      </c>
      <c r="D766" s="43">
        <v>46007</v>
      </c>
      <c r="E766" s="43">
        <v>46008</v>
      </c>
      <c r="F766" t="s">
        <v>127</v>
      </c>
      <c r="G766" s="47">
        <f>MAX(+input_invoice[[#This Row],[net]]+input_invoice[[#This Row],[tax_iva]],input_invoice[[#This Row],[net]])</f>
        <v>13.189</v>
      </c>
      <c r="H766" s="47">
        <f>input_invoice[[#This Row],[net]]*(MAX(input_invoice[[#This Row],[tax_rate_iva]],0)/100)</f>
        <v>2.2890000000000001</v>
      </c>
      <c r="I766" s="47">
        <f>-input_invoice[[#This Row],[net]]*input_invoice[[#This Row],[tax_rate_irpf]]/100</f>
        <v>0</v>
      </c>
      <c r="J766" s="47">
        <v>10.9</v>
      </c>
      <c r="K766" t="str">
        <f t="shared" si="17"/>
        <v>it</v>
      </c>
      <c r="L766">
        <v>21</v>
      </c>
      <c r="N766" t="str">
        <f>VLOOKUP(input_invoice[[#This Row],[concept/supplier]],'sel-invoice'!D:E,2,0)</f>
        <v>Hetzner</v>
      </c>
      <c r="O766" t="str">
        <f>VLOOKUP(input_invoice[[#This Row],[concept/supplier]],'sel-invoice'!D:F,3,0)</f>
        <v>SL</v>
      </c>
      <c r="P766" t="str">
        <f>IF(input_invoice[[#This Row],[entity]]="SL","EUR",IF(input_invoice[[#This Row],[entity]]="Ltd","GBP",IF(input_invoice[[#This Row],[entity]]="Inc","USD","XXX")))</f>
        <v>EUR</v>
      </c>
      <c r="Q766" s="199" t="s">
        <v>1137</v>
      </c>
      <c r="R766" s="267" t="b">
        <v>1</v>
      </c>
    </row>
    <row r="767" spans="1:18" hidden="1" x14ac:dyDescent="0.3">
      <c r="A767">
        <v>202512</v>
      </c>
      <c r="B767" s="22" t="s">
        <v>917</v>
      </c>
      <c r="C767" s="48" t="s">
        <v>1133</v>
      </c>
      <c r="D767" s="43">
        <v>46006</v>
      </c>
      <c r="E767" s="43">
        <f>input_invoice[[#This Row],[date]]+14</f>
        <v>46020</v>
      </c>
      <c r="F767" t="s">
        <v>43</v>
      </c>
      <c r="G767" s="47">
        <f>MAX(+input_invoice[[#This Row],[net]]+input_invoice[[#This Row],[tax_iva]],input_invoice[[#This Row],[net]])</f>
        <v>7427.6468000000004</v>
      </c>
      <c r="H767" s="47">
        <f>input_invoice[[#This Row],[net]]*(MAX(input_invoice[[#This Row],[tax_rate_iva]],0)/100)</f>
        <v>1185.9268</v>
      </c>
      <c r="I767" s="47">
        <f>-input_invoice[[#This Row],[net]]*input_invoice[[#This Row],[tax_rate_irpf]]/100</f>
        <v>0</v>
      </c>
      <c r="J767" s="47">
        <v>6241.72</v>
      </c>
      <c r="K767" t="str">
        <f t="shared" si="17"/>
        <v>manufacturing</v>
      </c>
      <c r="L767">
        <v>19</v>
      </c>
      <c r="N767" t="str">
        <f>VLOOKUP(input_invoice[[#This Row],[concept/supplier]],'sel-invoice'!D:E,2,0)</f>
        <v>DCT</v>
      </c>
      <c r="O767" t="str">
        <f>VLOOKUP(input_invoice[[#This Row],[concept/supplier]],'sel-invoice'!D:F,3,0)</f>
        <v>SL</v>
      </c>
      <c r="P767" t="str">
        <f>IF(input_invoice[[#This Row],[entity]]="SL","EUR",IF(input_invoice[[#This Row],[entity]]="Ltd","GBP",IF(input_invoice[[#This Row],[entity]]="Inc","USD","XXX")))</f>
        <v>EUR</v>
      </c>
      <c r="Q767" s="199" t="s">
        <v>1134</v>
      </c>
      <c r="R767" s="259" t="b">
        <v>1</v>
      </c>
    </row>
    <row r="768" spans="1:18" hidden="1" x14ac:dyDescent="0.3">
      <c r="A768">
        <v>202512</v>
      </c>
      <c r="B768" s="22" t="s">
        <v>917</v>
      </c>
      <c r="C768" t="s">
        <v>1141</v>
      </c>
      <c r="D768" s="43">
        <v>46019</v>
      </c>
      <c r="E768" s="43">
        <v>46019</v>
      </c>
      <c r="F768" t="s">
        <v>81</v>
      </c>
      <c r="G768" s="47">
        <f>MAX(+input_invoice[[#This Row],[net]]+input_invoice[[#This Row],[tax_iva]],input_invoice[[#This Row],[net]])</f>
        <v>95.59</v>
      </c>
      <c r="H768" s="47">
        <f>input_invoice[[#This Row],[net]]*(MAX(input_invoice[[#This Row],[tax_rate_iva]],0)/100)</f>
        <v>16.59</v>
      </c>
      <c r="I768" s="47">
        <f>-input_invoice[[#This Row],[net]]*input_invoice[[#This Row],[tax_rate_irpf]]/100</f>
        <v>0</v>
      </c>
      <c r="J768" s="47">
        <v>79</v>
      </c>
      <c r="K768" t="str">
        <f t="shared" si="17"/>
        <v>returns</v>
      </c>
      <c r="L768">
        <v>21</v>
      </c>
      <c r="N768" t="str">
        <f>VLOOKUP(input_invoice[[#This Row],[concept/supplier]],'sel-invoice'!D:E,2,0)</f>
        <v>rever</v>
      </c>
      <c r="O768" t="str">
        <f>VLOOKUP(input_invoice[[#This Row],[concept/supplier]],'sel-invoice'!D:F,3,0)</f>
        <v>SL</v>
      </c>
      <c r="P768" t="str">
        <f>IF(input_invoice[[#This Row],[entity]]="SL","EUR",IF(input_invoice[[#This Row],[entity]]="Ltd","GBP",IF(input_invoice[[#This Row],[entity]]="Inc","USD","XXX")))</f>
        <v>EUR</v>
      </c>
      <c r="Q768" s="199" t="s">
        <v>1140</v>
      </c>
      <c r="R768" s="267" t="b">
        <v>1</v>
      </c>
    </row>
    <row r="769" spans="1:18" hidden="1" x14ac:dyDescent="0.3">
      <c r="A769">
        <v>202512</v>
      </c>
      <c r="B769" s="22" t="s">
        <v>917</v>
      </c>
      <c r="C769" s="48" t="s">
        <v>1122</v>
      </c>
      <c r="D769" s="43">
        <v>46022</v>
      </c>
      <c r="E769" s="43">
        <v>46022</v>
      </c>
      <c r="F769" t="s">
        <v>81</v>
      </c>
      <c r="G769" s="47">
        <f>MAX(+input_invoice[[#This Row],[net]]+input_invoice[[#This Row],[tax_iva]],input_invoice[[#This Row],[net]])</f>
        <v>1753.49</v>
      </c>
      <c r="H769" s="47">
        <f>input_invoice[[#This Row],[net]]*(MAX(input_invoice[[#This Row],[tax_rate_iva]],0)/100)</f>
        <v>0</v>
      </c>
      <c r="I769" s="47">
        <f>-input_invoice[[#This Row],[net]]*input_invoice[[#This Row],[tax_rate_irpf]]/100</f>
        <v>0</v>
      </c>
      <c r="J769" s="47">
        <v>1753.49</v>
      </c>
      <c r="K769" t="str">
        <f t="shared" si="17"/>
        <v>returns</v>
      </c>
      <c r="L769">
        <v>0</v>
      </c>
      <c r="N769" t="str">
        <f>VLOOKUP(input_invoice[[#This Row],[concept/supplier]],'sel-invoice'!D:E,2,0)</f>
        <v>rever</v>
      </c>
      <c r="O769" t="str">
        <f>VLOOKUP(input_invoice[[#This Row],[concept/supplier]],'sel-invoice'!D:F,3,0)</f>
        <v>SL</v>
      </c>
      <c r="P769" t="str">
        <f>IF(input_invoice[[#This Row],[entity]]="SL","EUR",IF(input_invoice[[#This Row],[entity]]="Ltd","GBP",IF(input_invoice[[#This Row],[entity]]="Inc","USD","XXX")))</f>
        <v>EUR</v>
      </c>
      <c r="Q769" s="199" t="s">
        <v>1159</v>
      </c>
      <c r="R769" s="267" t="b">
        <v>1</v>
      </c>
    </row>
    <row r="770" spans="1:18" hidden="1" x14ac:dyDescent="0.3">
      <c r="A770">
        <v>202601</v>
      </c>
      <c r="B770" s="22" t="s">
        <v>917</v>
      </c>
      <c r="C770" s="48" t="s">
        <v>1157</v>
      </c>
      <c r="D770" s="43">
        <v>46023</v>
      </c>
      <c r="E770" s="43">
        <v>46023</v>
      </c>
      <c r="F770" t="s">
        <v>81</v>
      </c>
      <c r="G770" s="47">
        <f>MAX(+input_invoice[[#This Row],[net]]+input_invoice[[#This Row],[tax_iva]],input_invoice[[#This Row],[net]])</f>
        <v>826.32109999999989</v>
      </c>
      <c r="H770" s="47">
        <f>input_invoice[[#This Row],[net]]*(MAX(input_invoice[[#This Row],[tax_rate_iva]],0)/100)</f>
        <v>143.41109999999998</v>
      </c>
      <c r="I770" s="47">
        <f>-input_invoice[[#This Row],[net]]*input_invoice[[#This Row],[tax_rate_irpf]]/100</f>
        <v>0</v>
      </c>
      <c r="J770" s="47">
        <v>682.91</v>
      </c>
      <c r="K770" t="str">
        <f t="shared" si="17"/>
        <v>returns</v>
      </c>
      <c r="L770">
        <v>21</v>
      </c>
      <c r="N770" t="str">
        <f>VLOOKUP(input_invoice[[#This Row],[concept/supplier]],'sel-invoice'!D:E,2,0)</f>
        <v>rever</v>
      </c>
      <c r="O770" t="str">
        <f>VLOOKUP(input_invoice[[#This Row],[concept/supplier]],'sel-invoice'!D:F,3,0)</f>
        <v>SL</v>
      </c>
      <c r="P770" t="str">
        <f>IF(input_invoice[[#This Row],[entity]]="SL","EUR",IF(input_invoice[[#This Row],[entity]]="Ltd","GBP",IF(input_invoice[[#This Row],[entity]]="Inc","USD","XXX")))</f>
        <v>EUR</v>
      </c>
      <c r="Q770" s="199" t="s">
        <v>1158</v>
      </c>
      <c r="R770" s="267" t="b">
        <v>1</v>
      </c>
    </row>
    <row r="771" spans="1:18" hidden="1" x14ac:dyDescent="0.3">
      <c r="A771">
        <v>202509</v>
      </c>
      <c r="B771" s="22" t="s">
        <v>917</v>
      </c>
      <c r="F771" t="s">
        <v>223</v>
      </c>
      <c r="G771" s="47">
        <f>MAX(+input_invoice[[#This Row],[net]]+input_invoice[[#This Row],[tax_iva]],input_invoice[[#This Row],[net]])</f>
        <v>427.64</v>
      </c>
      <c r="H771" s="47">
        <f>input_invoice[[#This Row],[net]]*(MAX(input_invoice[[#This Row],[tax_rate_iva]],0)/100)</f>
        <v>0</v>
      </c>
      <c r="I771" s="47">
        <f>-input_invoice[[#This Row],[net]]*input_invoice[[#This Row],[tax_rate_irpf]]/100</f>
        <v>0</v>
      </c>
      <c r="J771">
        <v>427.64</v>
      </c>
      <c r="K771" t="str">
        <f t="shared" si="17"/>
        <v>payment-suppliers</v>
      </c>
      <c r="L771">
        <v>0</v>
      </c>
      <c r="N771" t="str">
        <f>VLOOKUP(input_invoice[[#This Row],[concept/supplier]],'sel-invoice'!D:E,2,0)</f>
        <v>Shopify</v>
      </c>
      <c r="O771" t="str">
        <f>VLOOKUP(input_invoice[[#This Row],[concept/supplier]],'sel-invoice'!D:F,3,0)</f>
        <v>Inc</v>
      </c>
      <c r="P771" t="str">
        <f>IF(input_invoice[[#This Row],[entity]]="SL","EUR",IF(input_invoice[[#This Row],[entity]]="Ltd","GBP",IF(input_invoice[[#This Row],[entity]]="Inc","USD","XXX")))</f>
        <v>USD</v>
      </c>
      <c r="Q771" s="199" t="s">
        <v>918</v>
      </c>
    </row>
    <row r="772" spans="1:18" hidden="1" x14ac:dyDescent="0.3">
      <c r="A772">
        <v>202510</v>
      </c>
      <c r="B772" s="22" t="s">
        <v>917</v>
      </c>
      <c r="F772" t="s">
        <v>224</v>
      </c>
      <c r="G772" s="47">
        <f>MAX(+input_invoice[[#This Row],[net]]+input_invoice[[#This Row],[tax_iva]],input_invoice[[#This Row],[net]])</f>
        <v>0</v>
      </c>
      <c r="H772" s="47">
        <f>input_invoice[[#This Row],[net]]*(MAX(input_invoice[[#This Row],[tax_rate_iva]],0)/100)</f>
        <v>0</v>
      </c>
      <c r="I772" s="47">
        <f>-input_invoice[[#This Row],[net]]*input_invoice[[#This Row],[tax_rate_irpf]]/100</f>
        <v>0</v>
      </c>
      <c r="J772" s="47">
        <v>0</v>
      </c>
      <c r="K772" t="str">
        <f t="shared" si="17"/>
        <v>payment-suppliers</v>
      </c>
      <c r="L772">
        <v>0</v>
      </c>
      <c r="N772" t="str">
        <f>VLOOKUP(input_invoice[[#This Row],[concept/supplier]],'sel-invoice'!D:E,2,0)</f>
        <v>Paypal</v>
      </c>
      <c r="O772" t="str">
        <f>VLOOKUP(input_invoice[[#This Row],[concept/supplier]],'sel-invoice'!D:F,3,0)</f>
        <v>Inc</v>
      </c>
      <c r="P772" t="str">
        <f>IF(input_invoice[[#This Row],[entity]]="SL","EUR",IF(input_invoice[[#This Row],[entity]]="Ltd","GBP",IF(input_invoice[[#This Row],[entity]]="Inc","USD","XXX")))</f>
        <v>USD</v>
      </c>
      <c r="Q772" s="199" t="s">
        <v>1023</v>
      </c>
    </row>
    <row r="773" spans="1:18" hidden="1" x14ac:dyDescent="0.3">
      <c r="A773">
        <v>202512</v>
      </c>
      <c r="B773" s="22" t="s">
        <v>917</v>
      </c>
      <c r="C773">
        <v>326598098</v>
      </c>
      <c r="D773" s="43">
        <v>45994</v>
      </c>
      <c r="E773" s="43">
        <f>input_invoice[[#This Row],[date]]+30</f>
        <v>46024</v>
      </c>
      <c r="F773" t="s">
        <v>55</v>
      </c>
      <c r="G773" s="47">
        <f>MAX(+input_invoice[[#This Row],[net]]+input_invoice[[#This Row],[tax_iva]],input_invoice[[#This Row],[net]])</f>
        <v>607.66999999999996</v>
      </c>
      <c r="H773" s="47">
        <f>input_invoice[[#This Row],[net]]*(MAX(input_invoice[[#This Row],[tax_rate_iva]],0)/100)</f>
        <v>0</v>
      </c>
      <c r="I773" s="47">
        <f>-input_invoice[[#This Row],[net]]*input_invoice[[#This Row],[tax_rate_irpf]]/100</f>
        <v>0</v>
      </c>
      <c r="J773">
        <v>607.66999999999996</v>
      </c>
      <c r="K773" t="str">
        <f t="shared" si="17"/>
        <v>logistics</v>
      </c>
      <c r="L773">
        <v>0</v>
      </c>
      <c r="N773" t="str">
        <f>VLOOKUP(input_invoice[[#This Row],[concept/supplier]],'sel-invoice'!D:E,2,0)</f>
        <v>UPS DE</v>
      </c>
      <c r="O773" t="str">
        <f>VLOOKUP(input_invoice[[#This Row],[concept/supplier]],'sel-invoice'!D:F,3,0)</f>
        <v>SL</v>
      </c>
      <c r="P773" t="str">
        <f>IF(input_invoice[[#This Row],[entity]]="SL","EUR",IF(input_invoice[[#This Row],[entity]]="Ltd","GBP",IF(input_invoice[[#This Row],[entity]]="Inc","USD","XXX")))</f>
        <v>EUR</v>
      </c>
      <c r="Q773" s="199" t="s">
        <v>1160</v>
      </c>
      <c r="R773" s="267" t="b">
        <v>1</v>
      </c>
    </row>
    <row r="774" spans="1:18" hidden="1" x14ac:dyDescent="0.3">
      <c r="A774">
        <v>202512</v>
      </c>
      <c r="B774" s="22" t="s">
        <v>917</v>
      </c>
      <c r="C774" s="48" t="s">
        <v>1148</v>
      </c>
      <c r="D774" s="43">
        <v>46021</v>
      </c>
      <c r="E774" s="43">
        <v>46021</v>
      </c>
      <c r="F774" t="s">
        <v>145</v>
      </c>
      <c r="G774" s="47">
        <f>MAX(+input_invoice[[#This Row],[net]]+input_invoice[[#This Row],[tax_iva]],input_invoice[[#This Row],[net]])</f>
        <v>25.62</v>
      </c>
      <c r="H774" s="47">
        <f>input_invoice[[#This Row],[net]]*(MAX(input_invoice[[#This Row],[tax_rate_iva]],0)/100)</f>
        <v>0</v>
      </c>
      <c r="I774" s="47">
        <f>-input_invoice[[#This Row],[net]]*input_invoice[[#This Row],[tax_rate_irpf]]/100</f>
        <v>0</v>
      </c>
      <c r="J774" s="47">
        <v>25.62</v>
      </c>
      <c r="K774" t="str">
        <f t="shared" si="17"/>
        <v>it</v>
      </c>
      <c r="L774">
        <v>0</v>
      </c>
      <c r="N774" t="str">
        <f>VLOOKUP(input_invoice[[#This Row],[concept/supplier]],'sel-invoice'!D:E,2,0)</f>
        <v>Gorgias</v>
      </c>
      <c r="O774" t="str">
        <f>VLOOKUP(input_invoice[[#This Row],[concept/supplier]],'sel-invoice'!D:F,3,0)</f>
        <v>SL</v>
      </c>
      <c r="P774" t="str">
        <f>IF(input_invoice[[#This Row],[entity]]="SL","EUR",IF(input_invoice[[#This Row],[entity]]="Ltd","GBP",IF(input_invoice[[#This Row],[entity]]="Inc","USD","XXX")))</f>
        <v>EUR</v>
      </c>
      <c r="Q774" s="199" t="s">
        <v>1149</v>
      </c>
      <c r="R774" s="267" t="b">
        <v>1</v>
      </c>
    </row>
    <row r="775" spans="1:18" hidden="1" x14ac:dyDescent="0.3">
      <c r="A775">
        <v>202512</v>
      </c>
      <c r="B775" s="22" t="s">
        <v>917</v>
      </c>
      <c r="C775" s="48" t="s">
        <v>1142</v>
      </c>
      <c r="D775" s="43">
        <v>46014</v>
      </c>
      <c r="E775" s="43">
        <v>46029</v>
      </c>
      <c r="F775" t="s">
        <v>37</v>
      </c>
      <c r="G775" s="47">
        <f>MAX(+input_invoice[[#This Row],[net]]+input_invoice[[#This Row],[tax_iva]],input_invoice[[#This Row],[net]])</f>
        <v>8202.8683000000001</v>
      </c>
      <c r="H775" s="47">
        <f>input_invoice[[#This Row],[net]]*(MAX(input_invoice[[#This Row],[tax_rate_iva]],0)/100)</f>
        <v>1423.6382999999998</v>
      </c>
      <c r="I775" s="47">
        <f>-input_invoice[[#This Row],[net]]*input_invoice[[#This Row],[tax_rate_irpf]]/100</f>
        <v>0</v>
      </c>
      <c r="J775" s="47">
        <v>6779.23</v>
      </c>
      <c r="K775" t="str">
        <f t="shared" si="17"/>
        <v>manufacturing</v>
      </c>
      <c r="L775">
        <v>21</v>
      </c>
      <c r="N775" t="str">
        <f>VLOOKUP(input_invoice[[#This Row],[concept/supplier]],'sel-invoice'!D:E,2,0)</f>
        <v>Apphoto España</v>
      </c>
      <c r="O775" t="str">
        <f>VLOOKUP(input_invoice[[#This Row],[concept/supplier]],'sel-invoice'!D:F,3,0)</f>
        <v>SL</v>
      </c>
      <c r="P775" t="str">
        <f>IF(input_invoice[[#This Row],[entity]]="SL","EUR",IF(input_invoice[[#This Row],[entity]]="Ltd","GBP",IF(input_invoice[[#This Row],[entity]]="Inc","USD","XXX")))</f>
        <v>EUR</v>
      </c>
      <c r="Q775" s="199" t="s">
        <v>1143</v>
      </c>
      <c r="R775" s="267" t="b">
        <v>1</v>
      </c>
    </row>
    <row r="776" spans="1:18" hidden="1" x14ac:dyDescent="0.3">
      <c r="A776">
        <v>202512</v>
      </c>
      <c r="B776" s="22" t="s">
        <v>917</v>
      </c>
      <c r="C776">
        <v>837697358</v>
      </c>
      <c r="D776" s="43">
        <v>45999</v>
      </c>
      <c r="E776" s="43">
        <f>input_invoice[[#This Row],[date]]+30</f>
        <v>46029</v>
      </c>
      <c r="F776" t="s">
        <v>55</v>
      </c>
      <c r="G776" s="47">
        <f>MAX(+input_invoice[[#This Row],[net]]+input_invoice[[#This Row],[tax_iva]],input_invoice[[#This Row],[net]])</f>
        <v>73.95</v>
      </c>
      <c r="H776" s="47">
        <f>input_invoice[[#This Row],[net]]*(MAX(input_invoice[[#This Row],[tax_rate_iva]],0)/100)</f>
        <v>0</v>
      </c>
      <c r="I776" s="47">
        <f>-input_invoice[[#This Row],[net]]*input_invoice[[#This Row],[tax_rate_irpf]]/100</f>
        <v>0</v>
      </c>
      <c r="J776">
        <v>73.95</v>
      </c>
      <c r="K776" t="str">
        <f t="shared" si="17"/>
        <v>logistics</v>
      </c>
      <c r="L776">
        <v>0</v>
      </c>
      <c r="N776" t="str">
        <f>VLOOKUP(input_invoice[[#This Row],[concept/supplier]],'sel-invoice'!D:E,2,0)</f>
        <v>UPS DE</v>
      </c>
      <c r="O776" t="str">
        <f>VLOOKUP(input_invoice[[#This Row],[concept/supplier]],'sel-invoice'!D:F,3,0)</f>
        <v>SL</v>
      </c>
      <c r="P776" t="str">
        <f>IF(input_invoice[[#This Row],[entity]]="SL","EUR",IF(input_invoice[[#This Row],[entity]]="Ltd","GBP",IF(input_invoice[[#This Row],[entity]]="Inc","USD","XXX")))</f>
        <v>EUR</v>
      </c>
      <c r="Q776" s="199" t="s">
        <v>1166</v>
      </c>
      <c r="R776" s="267" t="b">
        <v>1</v>
      </c>
    </row>
    <row r="777" spans="1:18" hidden="1" x14ac:dyDescent="0.3">
      <c r="A777">
        <v>202512</v>
      </c>
      <c r="B777" s="22" t="s">
        <v>917</v>
      </c>
      <c r="C777" s="48" t="s">
        <v>1182</v>
      </c>
      <c r="D777" s="43">
        <v>46024</v>
      </c>
      <c r="E777" s="43">
        <v>46029</v>
      </c>
      <c r="F777" t="s">
        <v>208</v>
      </c>
      <c r="G777" s="47">
        <f>MAX(+input_invoice[[#This Row],[net]]+input_invoice[[#This Row],[tax_iva]],input_invoice[[#This Row],[net]])</f>
        <v>52</v>
      </c>
      <c r="H777" s="47">
        <f>input_invoice[[#This Row],[net]]*(MAX(input_invoice[[#This Row],[tax_rate_iva]],0)/100)</f>
        <v>0</v>
      </c>
      <c r="I777" s="47">
        <f>-input_invoice[[#This Row],[net]]*input_invoice[[#This Row],[tax_rate_irpf]]/100</f>
        <v>0</v>
      </c>
      <c r="J777" s="47">
        <v>52</v>
      </c>
      <c r="K777" t="str">
        <f t="shared" si="17"/>
        <v>administrative</v>
      </c>
      <c r="L777">
        <v>0</v>
      </c>
      <c r="N777" t="str">
        <f>VLOOKUP(input_invoice[[#This Row],[concept/supplier]],'sel-invoice'!D:E,2,0)</f>
        <v>otros</v>
      </c>
      <c r="O777" t="str">
        <f>VLOOKUP(input_invoice[[#This Row],[concept/supplier]],'sel-invoice'!D:F,3,0)</f>
        <v>Ltd</v>
      </c>
      <c r="P777" t="str">
        <f>IF(input_invoice[[#This Row],[entity]]="SL","EUR",IF(input_invoice[[#This Row],[entity]]="Ltd","GBP",IF(input_invoice[[#This Row],[entity]]="Inc","USD","XXX")))</f>
        <v>GBP</v>
      </c>
      <c r="Q777" s="199" t="s">
        <v>1183</v>
      </c>
      <c r="R777" s="267" t="b">
        <v>1</v>
      </c>
    </row>
    <row r="778" spans="1:18" hidden="1" x14ac:dyDescent="0.3">
      <c r="A778">
        <v>202512</v>
      </c>
      <c r="B778" s="22" t="s">
        <v>917</v>
      </c>
      <c r="C778" s="48">
        <v>3050010784</v>
      </c>
      <c r="D778" s="43">
        <v>46022</v>
      </c>
      <c r="E778" s="43">
        <v>46029</v>
      </c>
      <c r="F778" t="s">
        <v>53</v>
      </c>
      <c r="G778" s="47">
        <f>MAX(+input_invoice[[#This Row],[net]]+input_invoice[[#This Row],[tax_iva]],input_invoice[[#This Row],[net]])</f>
        <v>147.68049999999999</v>
      </c>
      <c r="H778" s="47">
        <f>input_invoice[[#This Row],[net]]*(MAX(input_invoice[[#This Row],[tax_rate_iva]],0)/100)</f>
        <v>25.630499999999998</v>
      </c>
      <c r="I778" s="47">
        <f>-input_invoice[[#This Row],[net]]*input_invoice[[#This Row],[tax_rate_irpf]]/100</f>
        <v>0</v>
      </c>
      <c r="J778" s="47">
        <v>122.05</v>
      </c>
      <c r="K778" t="str">
        <f t="shared" si="17"/>
        <v>logistics</v>
      </c>
      <c r="L778">
        <v>21</v>
      </c>
      <c r="N778" t="str">
        <f>VLOOKUP(input_invoice[[#This Row],[concept/supplier]],'sel-invoice'!D:E,2,0)</f>
        <v>Asendia</v>
      </c>
      <c r="O778" t="str">
        <f>VLOOKUP(input_invoice[[#This Row],[concept/supplier]],'sel-invoice'!D:F,3,0)</f>
        <v>SL</v>
      </c>
      <c r="P778" t="str">
        <f>IF(input_invoice[[#This Row],[entity]]="SL","EUR",IF(input_invoice[[#This Row],[entity]]="Ltd","GBP",IF(input_invoice[[#This Row],[entity]]="Inc","USD","XXX")))</f>
        <v>EUR</v>
      </c>
      <c r="Q778" s="199" t="s">
        <v>1187</v>
      </c>
      <c r="R778" s="267" t="b">
        <v>1</v>
      </c>
    </row>
    <row r="779" spans="1:18" hidden="1" x14ac:dyDescent="0.3">
      <c r="A779">
        <v>202512</v>
      </c>
      <c r="B779" s="22" t="s">
        <v>917</v>
      </c>
      <c r="C779" s="48" t="s">
        <v>1138</v>
      </c>
      <c r="D779" s="43">
        <v>46007</v>
      </c>
      <c r="E779" s="43">
        <v>46022</v>
      </c>
      <c r="F779" t="s">
        <v>37</v>
      </c>
      <c r="G779" s="47">
        <f>MAX(+input_invoice[[#This Row],[net]]+input_invoice[[#This Row],[tax_iva]],input_invoice[[#This Row],[net]])</f>
        <v>2684.0461999999998</v>
      </c>
      <c r="H779" s="47">
        <f>input_invoice[[#This Row],[net]]*(MAX(input_invoice[[#This Row],[tax_rate_iva]],0)/100)</f>
        <v>465.82619999999991</v>
      </c>
      <c r="I779" s="47">
        <f>-input_invoice[[#This Row],[net]]*input_invoice[[#This Row],[tax_rate_irpf]]/100</f>
        <v>0</v>
      </c>
      <c r="J779" s="47">
        <v>2218.2199999999998</v>
      </c>
      <c r="K779" t="str">
        <f t="shared" si="17"/>
        <v>manufacturing</v>
      </c>
      <c r="L779">
        <v>21</v>
      </c>
      <c r="N779" t="str">
        <f>VLOOKUP(input_invoice[[#This Row],[concept/supplier]],'sel-invoice'!D:E,2,0)</f>
        <v>Apphoto España</v>
      </c>
      <c r="O779" t="str">
        <f>VLOOKUP(input_invoice[[#This Row],[concept/supplier]],'sel-invoice'!D:F,3,0)</f>
        <v>SL</v>
      </c>
      <c r="P779" t="str">
        <f>IF(input_invoice[[#This Row],[entity]]="SL","EUR",IF(input_invoice[[#This Row],[entity]]="Ltd","GBP",IF(input_invoice[[#This Row],[entity]]="Inc","USD","XXX")))</f>
        <v>EUR</v>
      </c>
      <c r="Q779" s="199" t="s">
        <v>1139</v>
      </c>
      <c r="R779" s="259" t="b">
        <v>1</v>
      </c>
    </row>
    <row r="780" spans="1:18" hidden="1" x14ac:dyDescent="0.3">
      <c r="A780">
        <v>202512</v>
      </c>
      <c r="B780" s="22" t="s">
        <v>917</v>
      </c>
      <c r="C780" s="48" t="s">
        <v>1146</v>
      </c>
      <c r="D780" s="43">
        <v>46021</v>
      </c>
      <c r="E780" s="43">
        <v>46036</v>
      </c>
      <c r="F780" t="s">
        <v>37</v>
      </c>
      <c r="G780" s="47">
        <f>MAX(+input_invoice[[#This Row],[net]]+input_invoice[[#This Row],[tax_iva]],input_invoice[[#This Row],[net]])</f>
        <v>1627.9340000000002</v>
      </c>
      <c r="H780" s="47">
        <f>input_invoice[[#This Row],[net]]*(MAX(input_invoice[[#This Row],[tax_rate_iva]],0)/100)</f>
        <v>282.53399999999999</v>
      </c>
      <c r="I780" s="47">
        <f>-input_invoice[[#This Row],[net]]*input_invoice[[#This Row],[tax_rate_irpf]]/100</f>
        <v>0</v>
      </c>
      <c r="J780" s="47">
        <v>1345.4</v>
      </c>
      <c r="K780" t="str">
        <f t="shared" si="17"/>
        <v>manufacturing</v>
      </c>
      <c r="L780">
        <v>21</v>
      </c>
      <c r="N780" t="str">
        <f>VLOOKUP(input_invoice[[#This Row],[concept/supplier]],'sel-invoice'!D:E,2,0)</f>
        <v>Apphoto España</v>
      </c>
      <c r="O780" t="str">
        <f>VLOOKUP(input_invoice[[#This Row],[concept/supplier]],'sel-invoice'!D:F,3,0)</f>
        <v>SL</v>
      </c>
      <c r="P780" t="str">
        <f>IF(input_invoice[[#This Row],[entity]]="SL","EUR",IF(input_invoice[[#This Row],[entity]]="Ltd","GBP",IF(input_invoice[[#This Row],[entity]]="Inc","USD","XXX")))</f>
        <v>EUR</v>
      </c>
      <c r="Q780" s="199" t="s">
        <v>1147</v>
      </c>
      <c r="R780" s="267" t="b">
        <v>1</v>
      </c>
    </row>
    <row r="781" spans="1:18" hidden="1" x14ac:dyDescent="0.3">
      <c r="A781">
        <v>202601</v>
      </c>
      <c r="B781" s="22" t="s">
        <v>917</v>
      </c>
      <c r="C781" s="48" t="s">
        <v>1157</v>
      </c>
      <c r="D781" s="43">
        <v>46023</v>
      </c>
      <c r="E781" s="43">
        <v>46023</v>
      </c>
      <c r="F781" t="s">
        <v>81</v>
      </c>
      <c r="G781" s="47">
        <f>MAX(+input_invoice[[#This Row],[net]]+input_invoice[[#This Row],[tax_iva]],input_invoice[[#This Row],[net]])</f>
        <v>-248.11</v>
      </c>
      <c r="H781" s="47">
        <f>input_invoice[[#This Row],[net]]*(MAX(input_invoice[[#This Row],[tax_rate_iva]],0)/100)</f>
        <v>0</v>
      </c>
      <c r="I781" s="47">
        <f>-input_invoice[[#This Row],[net]]*input_invoice[[#This Row],[tax_rate_irpf]]/100</f>
        <v>0</v>
      </c>
      <c r="J781" s="47">
        <v>-248.11</v>
      </c>
      <c r="K781" t="str">
        <f t="shared" si="17"/>
        <v>returns</v>
      </c>
      <c r="L781">
        <v>0</v>
      </c>
      <c r="N781" t="str">
        <f>VLOOKUP(input_invoice[[#This Row],[concept/supplier]],'sel-invoice'!D:E,2,0)</f>
        <v>rever</v>
      </c>
      <c r="O781" t="str">
        <f>VLOOKUP(input_invoice[[#This Row],[concept/supplier]],'sel-invoice'!D:F,3,0)</f>
        <v>SL</v>
      </c>
      <c r="P781" t="str">
        <f>IF(input_invoice[[#This Row],[entity]]="SL","EUR",IF(input_invoice[[#This Row],[entity]]="Ltd","GBP",IF(input_invoice[[#This Row],[entity]]="Inc","USD","XXX")))</f>
        <v>EUR</v>
      </c>
      <c r="Q781" s="199" t="s">
        <v>1158</v>
      </c>
      <c r="R781" s="267" t="b">
        <v>1</v>
      </c>
    </row>
    <row r="782" spans="1:18" hidden="1" x14ac:dyDescent="0.3">
      <c r="A782">
        <v>202512</v>
      </c>
      <c r="B782" s="22" t="s">
        <v>917</v>
      </c>
      <c r="C782">
        <v>326665982</v>
      </c>
      <c r="D782" s="43">
        <v>46001</v>
      </c>
      <c r="E782" s="43">
        <f>input_invoice[[#This Row],[date]]+30</f>
        <v>46031</v>
      </c>
      <c r="F782" t="s">
        <v>55</v>
      </c>
      <c r="G782" s="47">
        <f>MAX(+input_invoice[[#This Row],[net]]+input_invoice[[#This Row],[tax_iva]],input_invoice[[#This Row],[net]])</f>
        <v>1343.07</v>
      </c>
      <c r="H782" s="47">
        <f>input_invoice[[#This Row],[net]]*(MAX(input_invoice[[#This Row],[tax_rate_iva]],0)/100)</f>
        <v>0</v>
      </c>
      <c r="I782" s="47">
        <f>-input_invoice[[#This Row],[net]]*input_invoice[[#This Row],[tax_rate_irpf]]/100</f>
        <v>0</v>
      </c>
      <c r="J782" s="55">
        <v>1343.07</v>
      </c>
      <c r="K782" t="str">
        <f t="shared" si="17"/>
        <v>logistics</v>
      </c>
      <c r="L782">
        <v>0</v>
      </c>
      <c r="N782" t="str">
        <f>VLOOKUP(input_invoice[[#This Row],[concept/supplier]],'sel-invoice'!D:E,2,0)</f>
        <v>UPS DE</v>
      </c>
      <c r="O782" t="str">
        <f>VLOOKUP(input_invoice[[#This Row],[concept/supplier]],'sel-invoice'!D:F,3,0)</f>
        <v>SL</v>
      </c>
      <c r="P782" t="str">
        <f>IF(input_invoice[[#This Row],[entity]]="SL","EUR",IF(input_invoice[[#This Row],[entity]]="Ltd","GBP",IF(input_invoice[[#This Row],[entity]]="Inc","USD","XXX")))</f>
        <v>EUR</v>
      </c>
      <c r="Q782" s="199" t="s">
        <v>1161</v>
      </c>
      <c r="R782" s="267" t="b">
        <v>1</v>
      </c>
    </row>
    <row r="783" spans="1:18" hidden="1" x14ac:dyDescent="0.3">
      <c r="A783">
        <v>202512</v>
      </c>
      <c r="B783" s="22" t="s">
        <v>917</v>
      </c>
      <c r="C783" s="48" t="s">
        <v>1180</v>
      </c>
      <c r="D783" s="43">
        <v>46022</v>
      </c>
      <c r="E783" s="43">
        <f>input_invoice[[#This Row],[date]]+14</f>
        <v>46036</v>
      </c>
      <c r="F783" t="s">
        <v>43</v>
      </c>
      <c r="G783" s="47">
        <f>MAX(+input_invoice[[#This Row],[net]]+input_invoice[[#This Row],[tax_iva]],input_invoice[[#This Row],[net]])</f>
        <v>3550.9719000000005</v>
      </c>
      <c r="H783" s="47">
        <f>input_invoice[[#This Row],[net]]*(MAX(input_invoice[[#This Row],[tax_rate_iva]],0)/100)</f>
        <v>566.96190000000001</v>
      </c>
      <c r="I783" s="47">
        <f>-input_invoice[[#This Row],[net]]*input_invoice[[#This Row],[tax_rate_irpf]]/100</f>
        <v>0</v>
      </c>
      <c r="J783" s="47">
        <v>2984.01</v>
      </c>
      <c r="K783" t="str">
        <f t="shared" si="17"/>
        <v>manufacturing</v>
      </c>
      <c r="L783">
        <v>19</v>
      </c>
      <c r="N783" t="str">
        <f>VLOOKUP(input_invoice[[#This Row],[concept/supplier]],'sel-invoice'!D:E,2,0)</f>
        <v>DCT</v>
      </c>
      <c r="O783" t="str">
        <f>VLOOKUP(input_invoice[[#This Row],[concept/supplier]],'sel-invoice'!D:F,3,0)</f>
        <v>SL</v>
      </c>
      <c r="P783" t="str">
        <f>IF(input_invoice[[#This Row],[entity]]="SL","EUR",IF(input_invoice[[#This Row],[entity]]="Ltd","GBP",IF(input_invoice[[#This Row],[entity]]="Inc","USD","XXX")))</f>
        <v>EUR</v>
      </c>
      <c r="Q783" s="199" t="s">
        <v>1181</v>
      </c>
      <c r="R783" s="267" t="b">
        <v>1</v>
      </c>
    </row>
    <row r="784" spans="1:18" hidden="1" x14ac:dyDescent="0.3">
      <c r="A784">
        <v>202512</v>
      </c>
      <c r="B784" s="22" t="s">
        <v>917</v>
      </c>
      <c r="C784" s="48" t="s">
        <v>1184</v>
      </c>
      <c r="D784" s="43">
        <v>46022</v>
      </c>
      <c r="E784" s="43">
        <f>input_invoice[[#This Row],[date]]+14</f>
        <v>46036</v>
      </c>
      <c r="F784" t="s">
        <v>43</v>
      </c>
      <c r="G784" s="47">
        <f>MAX(+input_invoice[[#This Row],[net]]+input_invoice[[#This Row],[tax_iva]],input_invoice[[#This Row],[net]])</f>
        <v>92.224999999999994</v>
      </c>
      <c r="H784" s="47">
        <f>input_invoice[[#This Row],[net]]*(MAX(input_invoice[[#This Row],[tax_rate_iva]],0)/100)</f>
        <v>14.725</v>
      </c>
      <c r="I784" s="47">
        <f>-input_invoice[[#This Row],[net]]*input_invoice[[#This Row],[tax_rate_irpf]]/100</f>
        <v>0</v>
      </c>
      <c r="J784">
        <v>77.5</v>
      </c>
      <c r="K784" t="str">
        <f t="shared" si="17"/>
        <v>manufacturing</v>
      </c>
      <c r="L784">
        <v>19</v>
      </c>
      <c r="N784" t="str">
        <f>VLOOKUP(input_invoice[[#This Row],[concept/supplier]],'sel-invoice'!D:E,2,0)</f>
        <v>DCT</v>
      </c>
      <c r="O784" t="str">
        <f>VLOOKUP(input_invoice[[#This Row],[concept/supplier]],'sel-invoice'!D:F,3,0)</f>
        <v>SL</v>
      </c>
      <c r="P784" t="str">
        <f>IF(input_invoice[[#This Row],[entity]]="SL","EUR",IF(input_invoice[[#This Row],[entity]]="Ltd","GBP",IF(input_invoice[[#This Row],[entity]]="Inc","USD","XXX")))</f>
        <v>EUR</v>
      </c>
      <c r="Q784" s="199" t="s">
        <v>1185</v>
      </c>
      <c r="R784" s="267" t="b">
        <v>1</v>
      </c>
    </row>
    <row r="785" spans="1:18" hidden="1" x14ac:dyDescent="0.3">
      <c r="A785">
        <v>202512</v>
      </c>
      <c r="B785" s="22" t="s">
        <v>917</v>
      </c>
      <c r="C785" s="48" t="s">
        <v>1150</v>
      </c>
      <c r="D785" s="43">
        <v>46022</v>
      </c>
      <c r="E785" s="43">
        <v>46037</v>
      </c>
      <c r="F785" t="s">
        <v>39</v>
      </c>
      <c r="G785" s="47">
        <f>MAX(+input_invoice[[#This Row],[net]]+input_invoice[[#This Row],[tax_iva]],input_invoice[[#This Row],[net]])</f>
        <v>688.5557</v>
      </c>
      <c r="H785" s="47">
        <f>input_invoice[[#This Row],[net]]*(MAX(input_invoice[[#This Row],[tax_rate_iva]],0)/100)</f>
        <v>45.045700000000004</v>
      </c>
      <c r="I785" s="47">
        <f>-input_invoice[[#This Row],[net]]*input_invoice[[#This Row],[tax_rate_irpf]]/100</f>
        <v>0</v>
      </c>
      <c r="J785" s="47">
        <v>643.51</v>
      </c>
      <c r="K785" t="str">
        <f t="shared" si="17"/>
        <v>manufacturing</v>
      </c>
      <c r="L785">
        <v>7</v>
      </c>
      <c r="N785" t="str">
        <f>VLOOKUP(input_invoice[[#This Row],[concept/supplier]],'sel-invoice'!D:E,2,0)</f>
        <v>Apphoto Canarias</v>
      </c>
      <c r="O785" t="str">
        <f>VLOOKUP(input_invoice[[#This Row],[concept/supplier]],'sel-invoice'!D:F,3,0)</f>
        <v>SL</v>
      </c>
      <c r="P785" t="str">
        <f>IF(input_invoice[[#This Row],[entity]]="SL","EUR",IF(input_invoice[[#This Row],[entity]]="Ltd","GBP",IF(input_invoice[[#This Row],[entity]]="Inc","USD","XXX")))</f>
        <v>EUR</v>
      </c>
      <c r="Q785" s="199" t="s">
        <v>1151</v>
      </c>
      <c r="R785" s="267" t="b">
        <v>1</v>
      </c>
    </row>
    <row r="786" spans="1:18" hidden="1" x14ac:dyDescent="0.3">
      <c r="A786">
        <v>202512</v>
      </c>
      <c r="B786" s="22" t="s">
        <v>917</v>
      </c>
      <c r="C786" s="48" t="s">
        <v>1153</v>
      </c>
      <c r="D786" s="43">
        <v>46022</v>
      </c>
      <c r="E786" s="43">
        <v>46037</v>
      </c>
      <c r="F786" t="s">
        <v>37</v>
      </c>
      <c r="G786" s="47">
        <f>MAX(+input_invoice[[#This Row],[net]]+input_invoice[[#This Row],[tax_iva]],input_invoice[[#This Row],[net]])</f>
        <v>7139.5565999999999</v>
      </c>
      <c r="H786" s="47">
        <f>input_invoice[[#This Row],[net]]*(MAX(input_invoice[[#This Row],[tax_rate_iva]],0)/100)</f>
        <v>1239.0965999999999</v>
      </c>
      <c r="I786" s="47">
        <f>-input_invoice[[#This Row],[net]]*input_invoice[[#This Row],[tax_rate_irpf]]/100</f>
        <v>0</v>
      </c>
      <c r="J786" s="47">
        <v>5900.46</v>
      </c>
      <c r="K786" t="str">
        <f t="shared" si="17"/>
        <v>manufacturing</v>
      </c>
      <c r="L786">
        <v>21</v>
      </c>
      <c r="N786" t="str">
        <f>VLOOKUP(input_invoice[[#This Row],[concept/supplier]],'sel-invoice'!D:E,2,0)</f>
        <v>Apphoto España</v>
      </c>
      <c r="O786" t="str">
        <f>VLOOKUP(input_invoice[[#This Row],[concept/supplier]],'sel-invoice'!D:F,3,0)</f>
        <v>SL</v>
      </c>
      <c r="P786" t="str">
        <f>IF(input_invoice[[#This Row],[entity]]="SL","EUR",IF(input_invoice[[#This Row],[entity]]="Ltd","GBP",IF(input_invoice[[#This Row],[entity]]="Inc","USD","XXX")))</f>
        <v>EUR</v>
      </c>
      <c r="Q786" s="199" t="s">
        <v>1154</v>
      </c>
      <c r="R786" s="267" t="b">
        <v>1</v>
      </c>
    </row>
    <row r="787" spans="1:18" hidden="1" x14ac:dyDescent="0.3">
      <c r="A787">
        <v>202512</v>
      </c>
      <c r="B787" s="22" t="s">
        <v>917</v>
      </c>
      <c r="C787">
        <v>837653663</v>
      </c>
      <c r="D787" s="43">
        <v>45992</v>
      </c>
      <c r="E787" s="43">
        <f>input_invoice[[#This Row],[date]]+30</f>
        <v>46022</v>
      </c>
      <c r="F787" t="s">
        <v>55</v>
      </c>
      <c r="G787" s="47">
        <f>MAX(+input_invoice[[#This Row],[net]]+input_invoice[[#This Row],[tax_iva]],input_invoice[[#This Row],[net]])</f>
        <v>106.17</v>
      </c>
      <c r="H787" s="47">
        <f>input_invoice[[#This Row],[net]]*(MAX(input_invoice[[#This Row],[tax_rate_iva]],0)/100)</f>
        <v>0</v>
      </c>
      <c r="I787" s="47">
        <f>-input_invoice[[#This Row],[net]]*input_invoice[[#This Row],[tax_rate_irpf]]/100</f>
        <v>0</v>
      </c>
      <c r="J787">
        <v>106.17</v>
      </c>
      <c r="K787" t="str">
        <f t="shared" si="17"/>
        <v>logistics</v>
      </c>
      <c r="L787">
        <v>0</v>
      </c>
      <c r="N787" t="str">
        <f>VLOOKUP(input_invoice[[#This Row],[concept/supplier]],'sel-invoice'!D:E,2,0)</f>
        <v>UPS DE</v>
      </c>
      <c r="O787" t="str">
        <f>VLOOKUP(input_invoice[[#This Row],[concept/supplier]],'sel-invoice'!D:F,3,0)</f>
        <v>SL</v>
      </c>
      <c r="P787" t="str">
        <f>IF(input_invoice[[#This Row],[entity]]="SL","EUR",IF(input_invoice[[#This Row],[entity]]="Ltd","GBP",IF(input_invoice[[#This Row],[entity]]="Inc","USD","XXX")))</f>
        <v>EUR</v>
      </c>
      <c r="Q787" s="199" t="s">
        <v>1165</v>
      </c>
      <c r="R787" s="267" t="b">
        <v>1</v>
      </c>
    </row>
    <row r="788" spans="1:18" hidden="1" x14ac:dyDescent="0.3">
      <c r="A788">
        <v>202512</v>
      </c>
      <c r="B788" s="22" t="s">
        <v>917</v>
      </c>
      <c r="C788">
        <v>837741365</v>
      </c>
      <c r="D788" s="43">
        <v>46006</v>
      </c>
      <c r="E788" s="43">
        <f>input_invoice[[#This Row],[date]]+30</f>
        <v>46036</v>
      </c>
      <c r="F788" t="s">
        <v>55</v>
      </c>
      <c r="G788" s="47">
        <f>MAX(+input_invoice[[#This Row],[net]]+input_invoice[[#This Row],[tax_iva]],input_invoice[[#This Row],[net]])</f>
        <v>27.8</v>
      </c>
      <c r="H788" s="47">
        <f>input_invoice[[#This Row],[net]]*(MAX(input_invoice[[#This Row],[tax_rate_iva]],0)/100)</f>
        <v>0</v>
      </c>
      <c r="I788" s="47">
        <f>-input_invoice[[#This Row],[net]]*input_invoice[[#This Row],[tax_rate_irpf]]/100</f>
        <v>0</v>
      </c>
      <c r="J788">
        <v>27.8</v>
      </c>
      <c r="K788" t="str">
        <f t="shared" si="17"/>
        <v>logistics</v>
      </c>
      <c r="L788">
        <v>0</v>
      </c>
      <c r="N788" t="str">
        <f>VLOOKUP(input_invoice[[#This Row],[concept/supplier]],'sel-invoice'!D:E,2,0)</f>
        <v>UPS DE</v>
      </c>
      <c r="O788" t="str">
        <f>VLOOKUP(input_invoice[[#This Row],[concept/supplier]],'sel-invoice'!D:F,3,0)</f>
        <v>SL</v>
      </c>
      <c r="P788" t="str">
        <f>IF(input_invoice[[#This Row],[entity]]="SL","EUR",IF(input_invoice[[#This Row],[entity]]="Ltd","GBP",IF(input_invoice[[#This Row],[entity]]="Inc","USD","XXX")))</f>
        <v>EUR</v>
      </c>
      <c r="Q788" s="199" t="s">
        <v>1167</v>
      </c>
      <c r="R788" s="267" t="b">
        <v>1</v>
      </c>
    </row>
    <row r="789" spans="1:18" hidden="1" x14ac:dyDescent="0.3">
      <c r="A789">
        <v>202512</v>
      </c>
      <c r="B789" s="22" t="s">
        <v>917</v>
      </c>
      <c r="C789">
        <v>326698238</v>
      </c>
      <c r="D789" s="43">
        <v>46008</v>
      </c>
      <c r="E789" s="43">
        <f>input_invoice[[#This Row],[date]]+30</f>
        <v>46038</v>
      </c>
      <c r="F789" t="s">
        <v>55</v>
      </c>
      <c r="G789" s="47">
        <f>MAX(+input_invoice[[#This Row],[net]]+input_invoice[[#This Row],[tax_iva]],input_invoice[[#This Row],[net]])</f>
        <v>633.09</v>
      </c>
      <c r="H789" s="47">
        <f>input_invoice[[#This Row],[net]]*(MAX(input_invoice[[#This Row],[tax_rate_iva]],0)/100)</f>
        <v>0</v>
      </c>
      <c r="I789" s="47">
        <f>-input_invoice[[#This Row],[net]]*input_invoice[[#This Row],[tax_rate_irpf]]/100</f>
        <v>0</v>
      </c>
      <c r="J789">
        <v>633.09</v>
      </c>
      <c r="K789" t="str">
        <f t="shared" si="17"/>
        <v>logistics</v>
      </c>
      <c r="L789">
        <v>0</v>
      </c>
      <c r="N789" t="str">
        <f>VLOOKUP(input_invoice[[#This Row],[concept/supplier]],'sel-invoice'!D:E,2,0)</f>
        <v>UPS DE</v>
      </c>
      <c r="O789" t="str">
        <f>VLOOKUP(input_invoice[[#This Row],[concept/supplier]],'sel-invoice'!D:F,3,0)</f>
        <v>SL</v>
      </c>
      <c r="P789" t="str">
        <f>IF(input_invoice[[#This Row],[entity]]="SL","EUR",IF(input_invoice[[#This Row],[entity]]="Ltd","GBP",IF(input_invoice[[#This Row],[entity]]="Inc","USD","XXX")))</f>
        <v>EUR</v>
      </c>
      <c r="Q789" s="199" t="s">
        <v>1162</v>
      </c>
      <c r="R789" s="267" t="b">
        <v>1</v>
      </c>
    </row>
    <row r="790" spans="1:18" hidden="1" x14ac:dyDescent="0.3">
      <c r="A790">
        <v>202512</v>
      </c>
      <c r="B790" s="22" t="s">
        <v>917</v>
      </c>
      <c r="C790">
        <v>837785830</v>
      </c>
      <c r="D790" s="43">
        <v>46378</v>
      </c>
      <c r="E790" s="43">
        <f>input_invoice[[#This Row],[date]]+30</f>
        <v>46408</v>
      </c>
      <c r="F790" t="s">
        <v>55</v>
      </c>
      <c r="G790" s="47">
        <f>MAX(+input_invoice[[#This Row],[net]]+input_invoice[[#This Row],[tax_iva]],input_invoice[[#This Row],[net]])</f>
        <v>42.55</v>
      </c>
      <c r="H790" s="47">
        <f>input_invoice[[#This Row],[net]]*(MAX(input_invoice[[#This Row],[tax_rate_iva]],0)/100)</f>
        <v>0</v>
      </c>
      <c r="I790" s="47">
        <f>-input_invoice[[#This Row],[net]]*input_invoice[[#This Row],[tax_rate_irpf]]/100</f>
        <v>0</v>
      </c>
      <c r="J790">
        <v>42.55</v>
      </c>
      <c r="K790" t="str">
        <f t="shared" si="17"/>
        <v>logistics</v>
      </c>
      <c r="L790">
        <v>0</v>
      </c>
      <c r="N790" t="str">
        <f>VLOOKUP(input_invoice[[#This Row],[concept/supplier]],'sel-invoice'!D:E,2,0)</f>
        <v>UPS DE</v>
      </c>
      <c r="O790" t="str">
        <f>VLOOKUP(input_invoice[[#This Row],[concept/supplier]],'sel-invoice'!D:F,3,0)</f>
        <v>SL</v>
      </c>
      <c r="P790" t="str">
        <f>IF(input_invoice[[#This Row],[entity]]="SL","EUR",IF(input_invoice[[#This Row],[entity]]="Ltd","GBP",IF(input_invoice[[#This Row],[entity]]="Inc","USD","XXX")))</f>
        <v>EUR</v>
      </c>
      <c r="Q790" s="199" t="s">
        <v>1168</v>
      </c>
      <c r="R790" s="267" t="b">
        <v>1</v>
      </c>
    </row>
    <row r="791" spans="1:18" hidden="1" x14ac:dyDescent="0.3">
      <c r="A791">
        <v>202512</v>
      </c>
      <c r="B791" s="22" t="s">
        <v>917</v>
      </c>
      <c r="C791">
        <v>326731824</v>
      </c>
      <c r="D791" s="43">
        <v>46015</v>
      </c>
      <c r="E791" s="43">
        <f>input_invoice[[#This Row],[date]]+30</f>
        <v>46045</v>
      </c>
      <c r="F791" t="s">
        <v>55</v>
      </c>
      <c r="G791" s="47">
        <f>MAX(+input_invoice[[#This Row],[net]]+input_invoice[[#This Row],[tax_iva]],input_invoice[[#This Row],[net]])</f>
        <v>611.95000000000005</v>
      </c>
      <c r="H791" s="47">
        <f>input_invoice[[#This Row],[net]]*(MAX(input_invoice[[#This Row],[tax_rate_iva]],0)/100)</f>
        <v>0</v>
      </c>
      <c r="I791" s="47">
        <f>-input_invoice[[#This Row],[net]]*input_invoice[[#This Row],[tax_rate_irpf]]/100</f>
        <v>0</v>
      </c>
      <c r="J791">
        <v>611.95000000000005</v>
      </c>
      <c r="K791" t="str">
        <f t="shared" ref="K791:K818" si="18">_xlfn.TEXTBEFORE(F791," - ")</f>
        <v>logistics</v>
      </c>
      <c r="L791">
        <v>0</v>
      </c>
      <c r="N791" t="str">
        <f>VLOOKUP(input_invoice[[#This Row],[concept/supplier]],'sel-invoice'!D:E,2,0)</f>
        <v>UPS DE</v>
      </c>
      <c r="O791" t="str">
        <f>VLOOKUP(input_invoice[[#This Row],[concept/supplier]],'sel-invoice'!D:F,3,0)</f>
        <v>SL</v>
      </c>
      <c r="P791" t="str">
        <f>IF(input_invoice[[#This Row],[entity]]="SL","EUR",IF(input_invoice[[#This Row],[entity]]="Ltd","GBP",IF(input_invoice[[#This Row],[entity]]="Inc","USD","XXX")))</f>
        <v>EUR</v>
      </c>
      <c r="Q791" s="199" t="s">
        <v>1163</v>
      </c>
      <c r="R791" s="267" t="b">
        <v>1</v>
      </c>
    </row>
    <row r="792" spans="1:18" hidden="1" x14ac:dyDescent="0.3">
      <c r="A792">
        <v>202507</v>
      </c>
      <c r="B792" s="22" t="s">
        <v>917</v>
      </c>
      <c r="F792" t="s">
        <v>348</v>
      </c>
      <c r="G792" s="47">
        <f>MAX(+input_invoice[[#This Row],[net]]+input_invoice[[#This Row],[tax_iva]]+input_invoice[[#This Row],[tax_irpf]],input_invoice[[#This Row],[net]])</f>
        <v>211.53</v>
      </c>
      <c r="H792" s="47">
        <f>input_invoice[[#This Row],[net]]*(MAX(input_invoice[[#This Row],[tax_rate_iva]],0)/100)</f>
        <v>0</v>
      </c>
      <c r="I792" s="47">
        <f>-input_invoice[[#This Row],[net]]*input_invoice[[#This Row],[tax_rate_irpf]]/100</f>
        <v>0</v>
      </c>
      <c r="J792" s="47">
        <v>211.53</v>
      </c>
      <c r="K792" t="str">
        <f t="shared" si="18"/>
        <v>manufacturing</v>
      </c>
      <c r="L792">
        <v>0</v>
      </c>
      <c r="N792" t="str">
        <f>VLOOKUP(input_invoice[[#This Row],[concept/supplier]],'sel-invoice'!D:E,2,0)</f>
        <v>artlink</v>
      </c>
      <c r="O792" t="str">
        <f>VLOOKUP(input_invoice[[#This Row],[concept/supplier]],'sel-invoice'!D:F,3,0)</f>
        <v>SL</v>
      </c>
      <c r="P792" t="str">
        <f>IF(input_invoice[[#This Row],[entity]]="SL","EUR",IF(input_invoice[[#This Row],[entity]]="Ltd","GBP",IF(input_invoice[[#This Row],[entity]]="Inc","USD","XXX")))</f>
        <v>EUR</v>
      </c>
      <c r="R792" s="259" t="b">
        <v>1</v>
      </c>
    </row>
    <row r="793" spans="1:18" hidden="1" x14ac:dyDescent="0.3">
      <c r="A793">
        <v>202510</v>
      </c>
      <c r="B793" s="22" t="s">
        <v>917</v>
      </c>
      <c r="C793" s="48">
        <v>248728448</v>
      </c>
      <c r="D793" s="43">
        <v>45962</v>
      </c>
      <c r="E793" s="43">
        <f>input_invoice[[#This Row],[date]]+60</f>
        <v>46022</v>
      </c>
      <c r="F793" t="s">
        <v>90</v>
      </c>
      <c r="G793" s="47">
        <f>MAX(+input_invoice[[#This Row],[net]]+input_invoice[[#This Row],[tax_iva]],input_invoice[[#This Row],[net]])</f>
        <v>26547.82</v>
      </c>
      <c r="H793" s="47">
        <f>input_invoice[[#This Row],[net]]*(MAX(input_invoice[[#This Row],[tax_rate_iva]],0)/100)</f>
        <v>0</v>
      </c>
      <c r="I793" s="47">
        <f>-input_invoice[[#This Row],[net]]*input_invoice[[#This Row],[tax_rate_irpf]]/100</f>
        <v>0</v>
      </c>
      <c r="J793" s="47">
        <v>26547.82</v>
      </c>
      <c r="K793" t="str">
        <f t="shared" si="18"/>
        <v>marketing</v>
      </c>
      <c r="L793" s="47">
        <v>0</v>
      </c>
      <c r="N793" t="str">
        <f>VLOOKUP(input_invoice[[#This Row],[concept/supplier]],'sel-invoice'!D:E,2,0)</f>
        <v>meta</v>
      </c>
      <c r="O793" t="str">
        <f>VLOOKUP(input_invoice[[#This Row],[concept/supplier]],'sel-invoice'!D:F,3,0)</f>
        <v>SL</v>
      </c>
      <c r="P793" t="str">
        <f>IF(input_invoice[[#This Row],[entity]]="SL","EUR",IF(input_invoice[[#This Row],[entity]]="Ltd","GBP",IF(input_invoice[[#This Row],[entity]]="Inc","USD","XXX")))</f>
        <v>EUR</v>
      </c>
      <c r="Q793" s="199" t="s">
        <v>1037</v>
      </c>
      <c r="R793" s="259" t="b">
        <v>1</v>
      </c>
    </row>
    <row r="794" spans="1:18" hidden="1" x14ac:dyDescent="0.3">
      <c r="A794">
        <v>202512</v>
      </c>
      <c r="B794" s="22" t="s">
        <v>917</v>
      </c>
      <c r="C794">
        <v>837832560</v>
      </c>
      <c r="D794" s="43">
        <v>46020</v>
      </c>
      <c r="E794" s="43">
        <f>input_invoice[[#This Row],[date]]+30</f>
        <v>46050</v>
      </c>
      <c r="F794" t="s">
        <v>55</v>
      </c>
      <c r="G794" s="47">
        <f>MAX(+input_invoice[[#This Row],[net]]+input_invoice[[#This Row],[tax_iva]],input_invoice[[#This Row],[net]])</f>
        <v>96.36</v>
      </c>
      <c r="H794" s="47">
        <f>input_invoice[[#This Row],[net]]*(MAX(input_invoice[[#This Row],[tax_rate_iva]],0)/100)</f>
        <v>0</v>
      </c>
      <c r="I794" s="47">
        <f>-input_invoice[[#This Row],[net]]*input_invoice[[#This Row],[tax_rate_irpf]]/100</f>
        <v>0</v>
      </c>
      <c r="J794">
        <v>96.36</v>
      </c>
      <c r="K794" t="str">
        <f t="shared" si="18"/>
        <v>logistics</v>
      </c>
      <c r="L794">
        <v>0</v>
      </c>
      <c r="N794" t="str">
        <f>VLOOKUP(input_invoice[[#This Row],[concept/supplier]],'sel-invoice'!D:E,2,0)</f>
        <v>UPS DE</v>
      </c>
      <c r="O794" t="str">
        <f>VLOOKUP(input_invoice[[#This Row],[concept/supplier]],'sel-invoice'!D:F,3,0)</f>
        <v>SL</v>
      </c>
      <c r="P794" t="str">
        <f>IF(input_invoice[[#This Row],[entity]]="SL","EUR",IF(input_invoice[[#This Row],[entity]]="Ltd","GBP",IF(input_invoice[[#This Row],[entity]]="Inc","USD","XXX")))</f>
        <v>EUR</v>
      </c>
      <c r="Q794" s="199" t="s">
        <v>1169</v>
      </c>
      <c r="R794" s="267" t="b">
        <v>1</v>
      </c>
    </row>
    <row r="795" spans="1:18" x14ac:dyDescent="0.3">
      <c r="A795">
        <v>202601</v>
      </c>
      <c r="B795" s="22" t="s">
        <v>917</v>
      </c>
      <c r="C795" s="48">
        <v>1220</v>
      </c>
      <c r="D795" s="43">
        <v>46023</v>
      </c>
      <c r="E795" s="43">
        <v>46023</v>
      </c>
      <c r="F795" t="s">
        <v>517</v>
      </c>
      <c r="G795" s="47">
        <f>MAX(+input_invoice[[#This Row],[net]]+input_invoice[[#This Row],[tax_iva]],input_invoice[[#This Row],[net]])</f>
        <v>1150</v>
      </c>
      <c r="H795" s="47">
        <f>input_invoice[[#This Row],[net]]*(MAX(input_invoice[[#This Row],[tax_rate_iva]],0)/100)</f>
        <v>0</v>
      </c>
      <c r="I795" s="47">
        <f>-input_invoice[[#This Row],[net]]*input_invoice[[#This Row],[tax_rate_irpf]]/100</f>
        <v>0</v>
      </c>
      <c r="J795" s="47">
        <v>1150</v>
      </c>
      <c r="K795" t="str">
        <f t="shared" si="18"/>
        <v>administrative</v>
      </c>
      <c r="L795">
        <v>0</v>
      </c>
      <c r="N795" t="str">
        <f>VLOOKUP(input_invoice[[#This Row],[concept/supplier]],'sel-invoice'!D:E,2,0)</f>
        <v>Continuum</v>
      </c>
      <c r="O795" t="str">
        <f>VLOOKUP(input_invoice[[#This Row],[concept/supplier]],'sel-invoice'!D:F,3,0)</f>
        <v>Inc</v>
      </c>
      <c r="P795" t="str">
        <f>IF(input_invoice[[#This Row],[entity]]="SL","EUR",IF(input_invoice[[#This Row],[entity]]="Ltd","GBP",IF(input_invoice[[#This Row],[entity]]="Inc","USD","XXX")))</f>
        <v>USD</v>
      </c>
      <c r="Q795" s="199" t="s">
        <v>231</v>
      </c>
      <c r="R795" s="259" t="b">
        <v>1</v>
      </c>
    </row>
    <row r="796" spans="1:18" hidden="1" x14ac:dyDescent="0.3">
      <c r="A796">
        <v>202601</v>
      </c>
      <c r="B796" s="22" t="s">
        <v>917</v>
      </c>
      <c r="C796" s="48" t="s">
        <v>1203</v>
      </c>
      <c r="D796" s="43">
        <v>46037</v>
      </c>
      <c r="E796" s="43">
        <f>input_invoice[[#This Row],[date]]+14</f>
        <v>46051</v>
      </c>
      <c r="F796" t="s">
        <v>43</v>
      </c>
      <c r="G796" s="47">
        <f>MAX(+input_invoice[[#This Row],[net]]+input_invoice[[#This Row],[tax_iva]],input_invoice[[#This Row],[net]])</f>
        <v>6943.6738000000005</v>
      </c>
      <c r="H796" s="47">
        <f>input_invoice[[#This Row],[net]]*(MAX(input_invoice[[#This Row],[tax_rate_iva]],0)/100)</f>
        <v>1108.6538</v>
      </c>
      <c r="I796" s="47">
        <f>-input_invoice[[#This Row],[net]]*input_invoice[[#This Row],[tax_rate_irpf]]/100</f>
        <v>0</v>
      </c>
      <c r="J796" s="47">
        <v>5835.02</v>
      </c>
      <c r="K796" t="str">
        <f t="shared" si="18"/>
        <v>manufacturing</v>
      </c>
      <c r="L796">
        <v>19</v>
      </c>
      <c r="N796" t="str">
        <f>VLOOKUP(input_invoice[[#This Row],[concept/supplier]],'sel-invoice'!D:E,2,0)</f>
        <v>DCT</v>
      </c>
      <c r="O796" t="str">
        <f>VLOOKUP(input_invoice[[#This Row],[concept/supplier]],'sel-invoice'!D:F,3,0)</f>
        <v>SL</v>
      </c>
      <c r="P796" t="str">
        <f>IF(input_invoice[[#This Row],[entity]]="SL","EUR",IF(input_invoice[[#This Row],[entity]]="Ltd","GBP",IF(input_invoice[[#This Row],[entity]]="Inc","USD","XXX")))</f>
        <v>EUR</v>
      </c>
      <c r="Q796" s="199" t="s">
        <v>1204</v>
      </c>
      <c r="R796" s="259" t="b">
        <v>1</v>
      </c>
    </row>
    <row r="797" spans="1:18" hidden="1" x14ac:dyDescent="0.3">
      <c r="A797">
        <v>202511</v>
      </c>
      <c r="B797" s="22" t="s">
        <v>917</v>
      </c>
      <c r="C797" s="48">
        <v>5436437219</v>
      </c>
      <c r="D797" s="43">
        <v>45991</v>
      </c>
      <c r="E797" s="43">
        <v>46051</v>
      </c>
      <c r="F797" t="s">
        <v>88</v>
      </c>
      <c r="G797" s="47">
        <f>MAX(+input_invoice[[#This Row],[net]]+input_invoice[[#This Row],[tax_iva]],input_invoice[[#This Row],[net]])</f>
        <v>30672.880000000001</v>
      </c>
      <c r="H797" s="47">
        <f>input_invoice[[#This Row],[net]]*(MAX(input_invoice[[#This Row],[tax_rate_iva]],0)/100)</f>
        <v>0</v>
      </c>
      <c r="I797" s="47">
        <f>-input_invoice[[#This Row],[net]]*input_invoice[[#This Row],[tax_rate_irpf]]/100</f>
        <v>0</v>
      </c>
      <c r="J797" s="55">
        <v>30672.880000000001</v>
      </c>
      <c r="K797" t="str">
        <f t="shared" si="18"/>
        <v>marketing</v>
      </c>
      <c r="L797">
        <v>0</v>
      </c>
      <c r="N797" t="str">
        <f>VLOOKUP(input_invoice[[#This Row],[concept/supplier]],'sel-invoice'!D:E,2,0)</f>
        <v>google</v>
      </c>
      <c r="O797" t="str">
        <f>VLOOKUP(input_invoice[[#This Row],[concept/supplier]],'sel-invoice'!D:F,3,0)</f>
        <v>SL</v>
      </c>
      <c r="P797" t="str">
        <f>IF(input_invoice[[#This Row],[entity]]="SL","EUR",IF(input_invoice[[#This Row],[entity]]="Ltd","GBP",IF(input_invoice[[#This Row],[entity]]="Inc","USD","XXX")))</f>
        <v>EUR</v>
      </c>
      <c r="R797" s="259" t="b">
        <v>1</v>
      </c>
    </row>
    <row r="798" spans="1:18" hidden="1" x14ac:dyDescent="0.3">
      <c r="A798">
        <v>202507</v>
      </c>
      <c r="B798" s="22" t="s">
        <v>917</v>
      </c>
      <c r="C798" s="48" t="s">
        <v>349</v>
      </c>
      <c r="F798" t="s">
        <v>348</v>
      </c>
      <c r="G798" s="47">
        <f>MAX(+input_invoice[[#This Row],[net]]+input_invoice[[#This Row],[tax_iva]]+input_invoice[[#This Row],[tax_irpf]],input_invoice[[#This Row],[net]])</f>
        <v>6863.06</v>
      </c>
      <c r="H798" s="47">
        <f>input_invoice[[#This Row],[net]]*(MAX(input_invoice[[#This Row],[tax_rate_iva]],0)/100)</f>
        <v>0</v>
      </c>
      <c r="I798" s="47">
        <f>-input_invoice[[#This Row],[net]]*input_invoice[[#This Row],[tax_rate_irpf]]/100</f>
        <v>0</v>
      </c>
      <c r="J798" s="47">
        <v>6863.06</v>
      </c>
      <c r="K798" t="str">
        <f t="shared" si="18"/>
        <v>manufacturing</v>
      </c>
      <c r="L798">
        <v>0</v>
      </c>
      <c r="N798" t="str">
        <f>VLOOKUP(input_invoice[[#This Row],[concept/supplier]],'sel-invoice'!D:E,2,0)</f>
        <v>artlink</v>
      </c>
      <c r="O798" t="str">
        <f>VLOOKUP(input_invoice[[#This Row],[concept/supplier]],'sel-invoice'!D:F,3,0)</f>
        <v>SL</v>
      </c>
      <c r="P798" t="str">
        <f>IF(input_invoice[[#This Row],[entity]]="SL","EUR",IF(input_invoice[[#This Row],[entity]]="Ltd","GBP",IF(input_invoice[[#This Row],[entity]]="Inc","USD","XXX")))</f>
        <v>EUR</v>
      </c>
      <c r="R798" s="259" t="b">
        <v>1</v>
      </c>
    </row>
    <row r="799" spans="1:18" hidden="1" x14ac:dyDescent="0.3">
      <c r="A799">
        <v>202512</v>
      </c>
      <c r="B799" s="22" t="s">
        <v>917</v>
      </c>
      <c r="C799">
        <v>326764766</v>
      </c>
      <c r="D799" s="43">
        <v>46022</v>
      </c>
      <c r="E799" s="43">
        <f>input_invoice[[#This Row],[date]]+30</f>
        <v>46052</v>
      </c>
      <c r="F799" t="s">
        <v>55</v>
      </c>
      <c r="G799" s="47">
        <f>MAX(+input_invoice[[#This Row],[net]]+input_invoice[[#This Row],[tax_iva]],input_invoice[[#This Row],[net]])</f>
        <v>229.29</v>
      </c>
      <c r="H799" s="47">
        <f>input_invoice[[#This Row],[net]]*(MAX(input_invoice[[#This Row],[tax_rate_iva]],0)/100)</f>
        <v>0</v>
      </c>
      <c r="I799" s="47">
        <f>-input_invoice[[#This Row],[net]]*input_invoice[[#This Row],[tax_rate_irpf]]/100</f>
        <v>0</v>
      </c>
      <c r="J799">
        <v>229.29</v>
      </c>
      <c r="K799" t="str">
        <f t="shared" si="18"/>
        <v>logistics</v>
      </c>
      <c r="L799">
        <v>0</v>
      </c>
      <c r="N799" t="str">
        <f>VLOOKUP(input_invoice[[#This Row],[concept/supplier]],'sel-invoice'!D:E,2,0)</f>
        <v>UPS DE</v>
      </c>
      <c r="O799" t="str">
        <f>VLOOKUP(input_invoice[[#This Row],[concept/supplier]],'sel-invoice'!D:F,3,0)</f>
        <v>SL</v>
      </c>
      <c r="P799" t="str">
        <f>IF(input_invoice[[#This Row],[entity]]="SL","EUR",IF(input_invoice[[#This Row],[entity]]="Ltd","GBP",IF(input_invoice[[#This Row],[entity]]="Inc","USD","XXX")))</f>
        <v>EUR</v>
      </c>
      <c r="Q799" s="199" t="s">
        <v>1164</v>
      </c>
      <c r="R799" s="267" t="b">
        <v>1</v>
      </c>
    </row>
    <row r="800" spans="1:18" hidden="1" x14ac:dyDescent="0.3">
      <c r="A800">
        <v>202601</v>
      </c>
      <c r="B800" s="22" t="s">
        <v>917</v>
      </c>
      <c r="C800" s="48" t="s">
        <v>1205</v>
      </c>
      <c r="D800" s="43">
        <v>46037</v>
      </c>
      <c r="E800" s="43">
        <f>input_invoice[[#This Row],[date]]+14</f>
        <v>46051</v>
      </c>
      <c r="F800" t="s">
        <v>37</v>
      </c>
      <c r="G800" s="47">
        <f>MAX(+input_invoice[[#This Row],[net]]+input_invoice[[#This Row],[tax_iva]],input_invoice[[#This Row],[net]])</f>
        <v>3126.1680999999999</v>
      </c>
      <c r="H800" s="47">
        <f>input_invoice[[#This Row],[net]]*(MAX(input_invoice[[#This Row],[tax_rate_iva]],0)/100)</f>
        <v>542.55809999999997</v>
      </c>
      <c r="I800" s="47">
        <f>-input_invoice[[#This Row],[net]]*input_invoice[[#This Row],[tax_rate_irpf]]/100</f>
        <v>0</v>
      </c>
      <c r="J800" s="47">
        <v>2583.61</v>
      </c>
      <c r="K800" t="str">
        <f t="shared" si="18"/>
        <v>manufacturing</v>
      </c>
      <c r="L800">
        <v>21</v>
      </c>
      <c r="N800" t="str">
        <f>VLOOKUP(input_invoice[[#This Row],[concept/supplier]],'sel-invoice'!D:E,2,0)</f>
        <v>Apphoto España</v>
      </c>
      <c r="O800" t="str">
        <f>VLOOKUP(input_invoice[[#This Row],[concept/supplier]],'sel-invoice'!D:F,3,0)</f>
        <v>SL</v>
      </c>
      <c r="P800" t="str">
        <f>IF(input_invoice[[#This Row],[entity]]="SL","EUR",IF(input_invoice[[#This Row],[entity]]="Ltd","GBP",IF(input_invoice[[#This Row],[entity]]="Inc","USD","XXX")))</f>
        <v>EUR</v>
      </c>
      <c r="Q800" s="199" t="s">
        <v>1206</v>
      </c>
      <c r="R800" s="259" t="b">
        <v>1</v>
      </c>
    </row>
    <row r="801" spans="1:19" hidden="1" x14ac:dyDescent="0.3">
      <c r="A801">
        <v>202512</v>
      </c>
      <c r="B801" s="22" t="s">
        <v>917</v>
      </c>
      <c r="C801">
        <v>25012040</v>
      </c>
      <c r="D801" s="43">
        <v>46022</v>
      </c>
      <c r="E801" s="43">
        <f>input_invoice[[#This Row],[date]]+30</f>
        <v>46052</v>
      </c>
      <c r="F801" t="s">
        <v>41</v>
      </c>
      <c r="G801" s="47">
        <f>MAX(+input_invoice[[#This Row],[net]]+input_invoice[[#This Row],[tax_iva]],input_invoice[[#This Row],[net]])</f>
        <v>43533.864000000001</v>
      </c>
      <c r="H801" s="47">
        <f>input_invoice[[#This Row],[net]]*(MAX(input_invoice[[#This Row],[tax_rate_iva]],0)/100)</f>
        <v>7555.4639999999999</v>
      </c>
      <c r="I801" s="47">
        <f>-input_invoice[[#This Row],[net]]*input_invoice[[#This Row],[tax_rate_irpf]]/100</f>
        <v>0</v>
      </c>
      <c r="J801" s="55">
        <v>35978.400000000001</v>
      </c>
      <c r="K801" t="str">
        <f t="shared" si="18"/>
        <v>manufacturing</v>
      </c>
      <c r="L801">
        <v>21</v>
      </c>
      <c r="N801" t="str">
        <f>VLOOKUP(input_invoice[[#This Row],[concept/supplier]],'sel-invoice'!D:E,2,0)</f>
        <v>Pressing</v>
      </c>
      <c r="O801" t="str">
        <f>VLOOKUP(input_invoice[[#This Row],[concept/supplier]],'sel-invoice'!D:F,3,0)</f>
        <v>SL</v>
      </c>
      <c r="P801" t="str">
        <f>IF(input_invoice[[#This Row],[entity]]="SL","EUR",IF(input_invoice[[#This Row],[entity]]="Ltd","GBP",IF(input_invoice[[#This Row],[entity]]="Inc","USD","XXX")))</f>
        <v>EUR</v>
      </c>
      <c r="Q801" s="199" t="s">
        <v>1170</v>
      </c>
      <c r="R801" s="259" t="b">
        <v>1</v>
      </c>
    </row>
    <row r="802" spans="1:19" hidden="1" x14ac:dyDescent="0.3">
      <c r="A802">
        <v>202512</v>
      </c>
      <c r="B802" s="22" t="s">
        <v>917</v>
      </c>
      <c r="C802" s="48">
        <v>4004550726</v>
      </c>
      <c r="D802" s="43">
        <v>46022</v>
      </c>
      <c r="E802" s="43">
        <f>input_invoice[[#This Row],[date]]+30</f>
        <v>46052</v>
      </c>
      <c r="F802" t="s">
        <v>52</v>
      </c>
      <c r="G802" s="47">
        <f>MAX(+input_invoice[[#This Row],[net]]+input_invoice[[#This Row],[tax_iva]],input_invoice[[#This Row],[net]])</f>
        <v>39.140599999999999</v>
      </c>
      <c r="H802" s="47">
        <f>input_invoice[[#This Row],[net]]*(MAX(input_invoice[[#This Row],[tax_rate_iva]],0)/100)</f>
        <v>2.5606</v>
      </c>
      <c r="I802" s="47">
        <f>-input_invoice[[#This Row],[net]]*input_invoice[[#This Row],[tax_rate_irpf]]/100</f>
        <v>0</v>
      </c>
      <c r="J802" s="47">
        <v>36.58</v>
      </c>
      <c r="K802" t="str">
        <f t="shared" si="18"/>
        <v>logistics</v>
      </c>
      <c r="L802">
        <v>7</v>
      </c>
      <c r="N802" t="str">
        <f>VLOOKUP(input_invoice[[#This Row],[concept/supplier]],'sel-invoice'!D:E,2,0)</f>
        <v>Correos</v>
      </c>
      <c r="O802" t="str">
        <f>VLOOKUP(input_invoice[[#This Row],[concept/supplier]],'sel-invoice'!D:F,3,0)</f>
        <v>SL</v>
      </c>
      <c r="P802" t="str">
        <f>IF(input_invoice[[#This Row],[entity]]="SL","EUR",IF(input_invoice[[#This Row],[entity]]="Ltd","GBP",IF(input_invoice[[#This Row],[entity]]="Inc","USD","XXX")))</f>
        <v>EUR</v>
      </c>
      <c r="Q802" s="199" t="s">
        <v>1173</v>
      </c>
      <c r="R802" s="259" t="b">
        <v>1</v>
      </c>
    </row>
    <row r="803" spans="1:19" hidden="1" x14ac:dyDescent="0.3">
      <c r="A803">
        <v>202512</v>
      </c>
      <c r="B803" s="22" t="s">
        <v>917</v>
      </c>
      <c r="C803" s="48">
        <v>4004550726</v>
      </c>
      <c r="D803" s="43">
        <v>46022</v>
      </c>
      <c r="E803" s="43">
        <f>input_invoice[[#This Row],[date]]+30</f>
        <v>46052</v>
      </c>
      <c r="F803" t="s">
        <v>52</v>
      </c>
      <c r="G803" s="47">
        <f>MAX(+input_invoice[[#This Row],[net]]+input_invoice[[#This Row],[tax_iva]],input_invoice[[#This Row],[net]])</f>
        <v>40.15</v>
      </c>
      <c r="H803" s="47">
        <f>input_invoice[[#This Row],[net]]*(MAX(input_invoice[[#This Row],[tax_rate_iva]],0)/100)</f>
        <v>0</v>
      </c>
      <c r="I803" s="47">
        <f>-input_invoice[[#This Row],[net]]*input_invoice[[#This Row],[tax_rate_irpf]]/100</f>
        <v>0</v>
      </c>
      <c r="J803" s="47">
        <v>40.15</v>
      </c>
      <c r="K803" t="str">
        <f t="shared" si="18"/>
        <v>logistics</v>
      </c>
      <c r="L803">
        <v>0</v>
      </c>
      <c r="N803" t="str">
        <f>VLOOKUP(input_invoice[[#This Row],[concept/supplier]],'sel-invoice'!D:E,2,0)</f>
        <v>Correos</v>
      </c>
      <c r="O803" t="str">
        <f>VLOOKUP(input_invoice[[#This Row],[concept/supplier]],'sel-invoice'!D:F,3,0)</f>
        <v>SL</v>
      </c>
      <c r="P803" t="str">
        <f>IF(input_invoice[[#This Row],[entity]]="SL","EUR",IF(input_invoice[[#This Row],[entity]]="Ltd","GBP",IF(input_invoice[[#This Row],[entity]]="Inc","USD","XXX")))</f>
        <v>EUR</v>
      </c>
      <c r="Q803" s="199" t="s">
        <v>1173</v>
      </c>
      <c r="R803" s="259" t="b">
        <v>1</v>
      </c>
    </row>
    <row r="804" spans="1:19" hidden="1" x14ac:dyDescent="0.3">
      <c r="A804">
        <v>202512</v>
      </c>
      <c r="B804" s="22" t="s">
        <v>917</v>
      </c>
      <c r="C804">
        <v>6031746</v>
      </c>
      <c r="D804" s="43">
        <v>46022</v>
      </c>
      <c r="E804" s="43">
        <f>input_invoice[[#This Row],[date]]+30</f>
        <v>46052</v>
      </c>
      <c r="F804" t="s">
        <v>182</v>
      </c>
      <c r="G804" s="47">
        <f>MAX(+input_invoice[[#This Row],[net]]+input_invoice[[#This Row],[tax_iva]],input_invoice[[#This Row],[net]])</f>
        <v>2283.9120000000003</v>
      </c>
      <c r="H804" s="47">
        <f>input_invoice[[#This Row],[net]]*(MAX(input_invoice[[#This Row],[tax_rate_iva]],0)/100)</f>
        <v>380.65200000000004</v>
      </c>
      <c r="I804" s="47">
        <f>-input_invoice[[#This Row],[net]]*input_invoice[[#This Row],[tax_rate_irpf]]/100</f>
        <v>0</v>
      </c>
      <c r="J804" s="47">
        <v>1903.26</v>
      </c>
      <c r="K804" t="str">
        <f t="shared" si="18"/>
        <v>manufacturing</v>
      </c>
      <c r="L804">
        <v>20</v>
      </c>
      <c r="N804" t="str">
        <f>VLOOKUP(input_invoice[[#This Row],[concept/supplier]],'sel-invoice'!D:E,2,0)</f>
        <v>Proco</v>
      </c>
      <c r="O804" t="str">
        <f>VLOOKUP(input_invoice[[#This Row],[concept/supplier]],'sel-invoice'!D:F,3,0)</f>
        <v>Ltd</v>
      </c>
      <c r="P804" t="str">
        <f>IF(input_invoice[[#This Row],[entity]]="SL","EUR",IF(input_invoice[[#This Row],[entity]]="Ltd","GBP",IF(input_invoice[[#This Row],[entity]]="Inc","USD","XXX")))</f>
        <v>GBP</v>
      </c>
      <c r="Q804" s="199" t="s">
        <v>1179</v>
      </c>
      <c r="R804" s="259" t="b">
        <v>1</v>
      </c>
      <c r="S804" t="s">
        <v>1244</v>
      </c>
    </row>
    <row r="805" spans="1:19" hidden="1" x14ac:dyDescent="0.3">
      <c r="A805">
        <v>202512</v>
      </c>
      <c r="B805" s="22" t="s">
        <v>917</v>
      </c>
      <c r="C805" s="48">
        <v>3979089777</v>
      </c>
      <c r="D805" s="43">
        <v>46018</v>
      </c>
      <c r="E805" s="43">
        <v>46019</v>
      </c>
      <c r="F805" t="s">
        <v>125</v>
      </c>
      <c r="G805" s="47">
        <f>MAX(+input_invoice[[#This Row],[net]]+input_invoice[[#This Row],[tax_iva]],input_invoice[[#This Row],[net]])</f>
        <v>15.7179</v>
      </c>
      <c r="H805" s="47">
        <f>input_invoice[[#This Row],[net]]*(MAX(input_invoice[[#This Row],[tax_rate_iva]],0)/100)</f>
        <v>2.7279</v>
      </c>
      <c r="I805" s="47">
        <f>-input_invoice[[#This Row],[net]]*input_invoice[[#This Row],[tax_rate_irpf]]/100</f>
        <v>0</v>
      </c>
      <c r="J805" s="47">
        <v>12.99</v>
      </c>
      <c r="K805" t="str">
        <f t="shared" si="18"/>
        <v>it</v>
      </c>
      <c r="L805">
        <v>21</v>
      </c>
      <c r="N805" t="str">
        <f>VLOOKUP(input_invoice[[#This Row],[concept/supplier]],'sel-invoice'!D:E,2,0)</f>
        <v>Godaddy</v>
      </c>
      <c r="O805" t="str">
        <f>VLOOKUP(input_invoice[[#This Row],[concept/supplier]],'sel-invoice'!D:F,3,0)</f>
        <v>SL</v>
      </c>
      <c r="P805" t="str">
        <f>IF(input_invoice[[#This Row],[entity]]="SL","EUR",IF(input_invoice[[#This Row],[entity]]="Ltd","GBP",IF(input_invoice[[#This Row],[entity]]="Inc","USD","XXX")))</f>
        <v>EUR</v>
      </c>
      <c r="Q805" s="199" t="s">
        <v>1188</v>
      </c>
      <c r="R805" s="259" t="b">
        <v>1</v>
      </c>
    </row>
    <row r="806" spans="1:19" hidden="1" x14ac:dyDescent="0.3">
      <c r="A806">
        <v>202512</v>
      </c>
      <c r="B806" s="22" t="s">
        <v>917</v>
      </c>
      <c r="C806" s="48" t="s">
        <v>1189</v>
      </c>
      <c r="D806" s="43">
        <v>46019</v>
      </c>
      <c r="E806" s="43">
        <v>46020</v>
      </c>
      <c r="F806" t="s">
        <v>150</v>
      </c>
      <c r="G806" s="47">
        <f>MAX(+input_invoice[[#This Row],[net]]+input_invoice[[#This Row],[tax_iva]],input_invoice[[#This Row],[net]])</f>
        <v>40.5229</v>
      </c>
      <c r="H806" s="47">
        <f>input_invoice[[#This Row],[net]]*(MAX(input_invoice[[#This Row],[tax_rate_iva]],0)/100)</f>
        <v>7.0329000000000006</v>
      </c>
      <c r="I806" s="47">
        <f>-input_invoice[[#This Row],[net]]*input_invoice[[#This Row],[tax_rate_irpf]]/100</f>
        <v>0</v>
      </c>
      <c r="J806" s="47">
        <v>33.49</v>
      </c>
      <c r="K806" t="str">
        <f t="shared" si="18"/>
        <v>it</v>
      </c>
      <c r="L806">
        <v>21</v>
      </c>
      <c r="N806" t="str">
        <f>VLOOKUP(input_invoice[[#This Row],[concept/supplier]],'sel-invoice'!D:E,2,0)</f>
        <v>adobe</v>
      </c>
      <c r="O806" t="str">
        <f>VLOOKUP(input_invoice[[#This Row],[concept/supplier]],'sel-invoice'!D:F,3,0)</f>
        <v>SL</v>
      </c>
      <c r="P806" t="str">
        <f>IF(input_invoice[[#This Row],[entity]]="SL","EUR",IF(input_invoice[[#This Row],[entity]]="Ltd","GBP",IF(input_invoice[[#This Row],[entity]]="Inc","USD","XXX")))</f>
        <v>EUR</v>
      </c>
      <c r="Q806" s="199" t="s">
        <v>1190</v>
      </c>
      <c r="R806" s="259" t="b">
        <v>1</v>
      </c>
    </row>
    <row r="807" spans="1:19" hidden="1" x14ac:dyDescent="0.3">
      <c r="A807">
        <v>202510</v>
      </c>
      <c r="B807" s="22" t="s">
        <v>917</v>
      </c>
      <c r="F807" t="s">
        <v>223</v>
      </c>
      <c r="G807" s="47">
        <f>MAX(+input_invoice[[#This Row],[net]]+input_invoice[[#This Row],[tax_iva]],input_invoice[[#This Row],[net]])</f>
        <v>422.19</v>
      </c>
      <c r="H807" s="47">
        <f>input_invoice[[#This Row],[net]]*(MAX(input_invoice[[#This Row],[tax_rate_iva]],0)/100)</f>
        <v>0</v>
      </c>
      <c r="I807" s="47">
        <f>-input_invoice[[#This Row],[net]]*input_invoice[[#This Row],[tax_rate_irpf]]/100</f>
        <v>0</v>
      </c>
      <c r="J807" s="47">
        <v>422.19</v>
      </c>
      <c r="K807" t="str">
        <f t="shared" si="18"/>
        <v>payment-suppliers</v>
      </c>
      <c r="L807">
        <v>0</v>
      </c>
      <c r="N807" t="str">
        <f>VLOOKUP(input_invoice[[#This Row],[concept/supplier]],'sel-invoice'!D:E,2,0)</f>
        <v>Shopify</v>
      </c>
      <c r="O807" t="str">
        <f>VLOOKUP(input_invoice[[#This Row],[concept/supplier]],'sel-invoice'!D:F,3,0)</f>
        <v>Inc</v>
      </c>
      <c r="P807" t="str">
        <f>IF(input_invoice[[#This Row],[entity]]="SL","EUR",IF(input_invoice[[#This Row],[entity]]="Ltd","GBP",IF(input_invoice[[#This Row],[entity]]="Inc","USD","XXX")))</f>
        <v>USD</v>
      </c>
      <c r="Q807" s="199" t="s">
        <v>1025</v>
      </c>
    </row>
    <row r="808" spans="1:19" hidden="1" x14ac:dyDescent="0.3">
      <c r="A808">
        <v>202512</v>
      </c>
      <c r="B808" s="22" t="s">
        <v>917</v>
      </c>
      <c r="C808" s="48" t="s">
        <v>1193</v>
      </c>
      <c r="D808" s="43">
        <v>46009</v>
      </c>
      <c r="E808" s="43">
        <v>46010</v>
      </c>
      <c r="F808" t="s">
        <v>143</v>
      </c>
      <c r="G808" s="47">
        <f>MAX(+input_invoice[[#This Row],[net]]+input_invoice[[#This Row],[tax_iva]],input_invoice[[#This Row],[net]])</f>
        <v>11.99</v>
      </c>
      <c r="H808" s="47">
        <f>input_invoice[[#This Row],[net]]*(MAX(input_invoice[[#This Row],[tax_rate_iva]],0)/100)</f>
        <v>0</v>
      </c>
      <c r="I808" s="47">
        <f>-input_invoice[[#This Row],[net]]*input_invoice[[#This Row],[tax_rate_irpf]]/100</f>
        <v>0</v>
      </c>
      <c r="J808" s="47">
        <v>11.99</v>
      </c>
      <c r="K808" t="str">
        <f t="shared" si="18"/>
        <v>it</v>
      </c>
      <c r="L808">
        <v>0</v>
      </c>
      <c r="N808" t="str">
        <f>VLOOKUP(input_invoice[[#This Row],[concept/supplier]],'sel-invoice'!D:E,2,0)</f>
        <v>Canva</v>
      </c>
      <c r="O808" t="str">
        <f>VLOOKUP(input_invoice[[#This Row],[concept/supplier]],'sel-invoice'!D:F,3,0)</f>
        <v>SL</v>
      </c>
      <c r="P808" t="str">
        <f>IF(input_invoice[[#This Row],[entity]]="SL","EUR",IF(input_invoice[[#This Row],[entity]]="Ltd","GBP",IF(input_invoice[[#This Row],[entity]]="Inc","USD","XXX")))</f>
        <v>EUR</v>
      </c>
      <c r="Q808" s="199" t="s">
        <v>1194</v>
      </c>
      <c r="R808" s="259" t="b">
        <v>1</v>
      </c>
    </row>
    <row r="809" spans="1:19" hidden="1" x14ac:dyDescent="0.3">
      <c r="A809">
        <v>202512</v>
      </c>
      <c r="B809" s="22" t="s">
        <v>917</v>
      </c>
      <c r="C809">
        <v>6031746</v>
      </c>
      <c r="D809" s="43">
        <v>46022</v>
      </c>
      <c r="E809" s="43">
        <f>input_invoice[[#This Row],[date]]+30</f>
        <v>46052</v>
      </c>
      <c r="F809" t="s">
        <v>194</v>
      </c>
      <c r="G809" s="47">
        <f>MAX(+input_invoice[[#This Row],[net]]+input_invoice[[#This Row],[tax_iva]],input_invoice[[#This Row],[net]])</f>
        <v>1978.56</v>
      </c>
      <c r="H809" s="47">
        <f>input_invoice[[#This Row],[net]]*(MAX(input_invoice[[#This Row],[tax_rate_iva]],0)/100)</f>
        <v>329.76</v>
      </c>
      <c r="I809" s="47">
        <f>-input_invoice[[#This Row],[net]]*input_invoice[[#This Row],[tax_rate_irpf]]/100</f>
        <v>0</v>
      </c>
      <c r="J809" s="47">
        <v>1648.8</v>
      </c>
      <c r="K809" t="str">
        <f t="shared" si="18"/>
        <v>logistics</v>
      </c>
      <c r="L809">
        <v>20</v>
      </c>
      <c r="N809" t="str">
        <f>VLOOKUP(input_invoice[[#This Row],[concept/supplier]],'sel-invoice'!D:E,2,0)</f>
        <v>Proco</v>
      </c>
      <c r="O809" t="str">
        <f>VLOOKUP(input_invoice[[#This Row],[concept/supplier]],'sel-invoice'!D:F,3,0)</f>
        <v>Ltd</v>
      </c>
      <c r="P809" t="str">
        <f>IF(input_invoice[[#This Row],[entity]]="SL","EUR",IF(input_invoice[[#This Row],[entity]]="Ltd","GBP",IF(input_invoice[[#This Row],[entity]]="Inc","USD","XXX")))</f>
        <v>GBP</v>
      </c>
      <c r="Q809" s="199" t="s">
        <v>1179</v>
      </c>
      <c r="R809" s="259" t="b">
        <v>1</v>
      </c>
      <c r="S809" t="s">
        <v>1244</v>
      </c>
    </row>
    <row r="810" spans="1:19" hidden="1" x14ac:dyDescent="0.3">
      <c r="A810">
        <v>202512</v>
      </c>
      <c r="B810" s="22" t="s">
        <v>917</v>
      </c>
      <c r="C810">
        <v>6031746</v>
      </c>
      <c r="D810" s="43">
        <v>46022</v>
      </c>
      <c r="E810" s="43">
        <f>input_invoice[[#This Row],[date]]+30</f>
        <v>46052</v>
      </c>
      <c r="F810" t="s">
        <v>196</v>
      </c>
      <c r="G810" s="47">
        <f>MAX(+input_invoice[[#This Row],[net]]+input_invoice[[#This Row],[tax_iva]],input_invoice[[#This Row],[net]])</f>
        <v>1484.0520000000001</v>
      </c>
      <c r="H810" s="47">
        <f>input_invoice[[#This Row],[net]]*(MAX(input_invoice[[#This Row],[tax_rate_iva]],0)/100)</f>
        <v>247.34200000000001</v>
      </c>
      <c r="I810" s="47">
        <f>-input_invoice[[#This Row],[net]]*input_invoice[[#This Row],[tax_rate_irpf]]/100</f>
        <v>0</v>
      </c>
      <c r="J810" s="47">
        <v>1236.71</v>
      </c>
      <c r="K810" t="str">
        <f t="shared" si="18"/>
        <v>logistics</v>
      </c>
      <c r="L810">
        <v>20</v>
      </c>
      <c r="N810" t="str">
        <f>VLOOKUP(input_invoice[[#This Row],[concept/supplier]],'sel-invoice'!D:E,2,0)</f>
        <v>Proco</v>
      </c>
      <c r="O810" t="str">
        <f>VLOOKUP(input_invoice[[#This Row],[concept/supplier]],'sel-invoice'!D:F,3,0)</f>
        <v>Ltd</v>
      </c>
      <c r="P810" t="str">
        <f>IF(input_invoice[[#This Row],[entity]]="SL","EUR",IF(input_invoice[[#This Row],[entity]]="Ltd","GBP",IF(input_invoice[[#This Row],[entity]]="Inc","USD","XXX")))</f>
        <v>GBP</v>
      </c>
      <c r="Q810" s="199" t="s">
        <v>1179</v>
      </c>
      <c r="R810" s="259" t="b">
        <v>1</v>
      </c>
      <c r="S810" t="s">
        <v>1244</v>
      </c>
    </row>
    <row r="811" spans="1:19" x14ac:dyDescent="0.3">
      <c r="A811">
        <v>202601</v>
      </c>
      <c r="B811" s="22" t="s">
        <v>917</v>
      </c>
      <c r="C811" s="48" t="s">
        <v>1197</v>
      </c>
      <c r="D811" s="43">
        <v>46024</v>
      </c>
      <c r="E811" s="43">
        <v>46025</v>
      </c>
      <c r="F811" t="s">
        <v>113</v>
      </c>
      <c r="G811" s="47">
        <f>MAX(+input_invoice[[#This Row],[net]]+input_invoice[[#This Row],[tax_iva]],input_invoice[[#This Row],[net]])</f>
        <v>18.149999999999999</v>
      </c>
      <c r="H811" s="47">
        <f>input_invoice[[#This Row],[net]]*(MAX(input_invoice[[#This Row],[tax_rate_iva]],0)/100)</f>
        <v>3.15</v>
      </c>
      <c r="I811" s="47">
        <f>-input_invoice[[#This Row],[net]]*input_invoice[[#This Row],[tax_rate_irpf]]/100</f>
        <v>0</v>
      </c>
      <c r="J811" s="47">
        <v>15</v>
      </c>
      <c r="K811" t="str">
        <f t="shared" si="18"/>
        <v>administrative</v>
      </c>
      <c r="L811">
        <v>21</v>
      </c>
      <c r="N811" t="str">
        <f>VLOOKUP(input_invoice[[#This Row],[concept/supplier]],'sel-invoice'!D:E,2,0)</f>
        <v>Torras y asociados</v>
      </c>
      <c r="O811" t="str">
        <f>VLOOKUP(input_invoice[[#This Row],[concept/supplier]],'sel-invoice'!D:F,3,0)</f>
        <v>SL</v>
      </c>
      <c r="P811" t="str">
        <f>IF(input_invoice[[#This Row],[entity]]="SL","EUR",IF(input_invoice[[#This Row],[entity]]="Ltd","GBP",IF(input_invoice[[#This Row],[entity]]="Inc","USD","XXX")))</f>
        <v>EUR</v>
      </c>
      <c r="Q811" s="199" t="s">
        <v>1198</v>
      </c>
      <c r="R811" s="267" t="b">
        <v>1</v>
      </c>
    </row>
    <row r="812" spans="1:19" hidden="1" x14ac:dyDescent="0.3">
      <c r="A812">
        <v>202601</v>
      </c>
      <c r="B812" s="22" t="s">
        <v>917</v>
      </c>
      <c r="C812" s="48" t="s">
        <v>1199</v>
      </c>
      <c r="D812" s="43">
        <v>46035</v>
      </c>
      <c r="E812" s="43">
        <v>46035</v>
      </c>
      <c r="F812" t="s">
        <v>148</v>
      </c>
      <c r="G812" s="47">
        <f>MAX(+input_invoice[[#This Row],[net]]+input_invoice[[#This Row],[tax_iva]],input_invoice[[#This Row],[net]])</f>
        <v>507.2</v>
      </c>
      <c r="H812" s="47">
        <f>input_invoice[[#This Row],[net]]*(MAX(input_invoice[[#This Row],[tax_rate_iva]],0)/100)</f>
        <v>0</v>
      </c>
      <c r="I812" s="47">
        <f>-input_invoice[[#This Row],[net]]*input_invoice[[#This Row],[tax_rate_irpf]]/100</f>
        <v>0</v>
      </c>
      <c r="J812" s="47">
        <v>507.2</v>
      </c>
      <c r="K812" t="str">
        <f t="shared" si="18"/>
        <v>it</v>
      </c>
      <c r="L812">
        <v>0</v>
      </c>
      <c r="N812" t="str">
        <f>VLOOKUP(input_invoice[[#This Row],[concept/supplier]],'sel-invoice'!D:E,2,0)</f>
        <v>Yuma</v>
      </c>
      <c r="O812" t="str">
        <f>VLOOKUP(input_invoice[[#This Row],[concept/supplier]],'sel-invoice'!D:F,3,0)</f>
        <v>SL</v>
      </c>
      <c r="P812" t="str">
        <f>IF(input_invoice[[#This Row],[entity]]="SL","EUR",IF(input_invoice[[#This Row],[entity]]="Ltd","GBP",IF(input_invoice[[#This Row],[entity]]="Inc","USD","XXX")))</f>
        <v>EUR</v>
      </c>
      <c r="Q812" s="199" t="s">
        <v>1200</v>
      </c>
      <c r="R812" s="267" t="b">
        <v>1</v>
      </c>
    </row>
    <row r="813" spans="1:19" hidden="1" x14ac:dyDescent="0.3">
      <c r="A813">
        <v>202512</v>
      </c>
      <c r="B813" s="22" t="s">
        <v>917</v>
      </c>
      <c r="C813">
        <v>6031746</v>
      </c>
      <c r="D813" s="43">
        <v>46022</v>
      </c>
      <c r="E813" s="43">
        <f>input_invoice[[#This Row],[date]]+30</f>
        <v>46052</v>
      </c>
      <c r="F813" t="s">
        <v>184</v>
      </c>
      <c r="G813" s="47">
        <f>MAX(+input_invoice[[#This Row],[net]]+input_invoice[[#This Row],[tax_iva]],input_invoice[[#This Row],[net]])</f>
        <v>5372.4120000000003</v>
      </c>
      <c r="H813" s="47">
        <f>input_invoice[[#This Row],[net]]*(MAX(input_invoice[[#This Row],[tax_rate_iva]],0)/100)</f>
        <v>895.40200000000004</v>
      </c>
      <c r="I813" s="47">
        <f>-input_invoice[[#This Row],[net]]*input_invoice[[#This Row],[tax_rate_irpf]]/100</f>
        <v>0</v>
      </c>
      <c r="J813" s="47">
        <v>4477.01</v>
      </c>
      <c r="K813" t="str">
        <f t="shared" si="18"/>
        <v>manufacturing</v>
      </c>
      <c r="L813">
        <v>20</v>
      </c>
      <c r="N813" t="str">
        <f>VLOOKUP(input_invoice[[#This Row],[concept/supplier]],'sel-invoice'!D:E,2,0)</f>
        <v>Proco</v>
      </c>
      <c r="O813" t="str">
        <f>VLOOKUP(input_invoice[[#This Row],[concept/supplier]],'sel-invoice'!D:F,3,0)</f>
        <v>Ltd</v>
      </c>
      <c r="P813" t="str">
        <f>IF(input_invoice[[#This Row],[entity]]="SL","EUR",IF(input_invoice[[#This Row],[entity]]="Ltd","GBP",IF(input_invoice[[#This Row],[entity]]="Inc","USD","XXX")))</f>
        <v>GBP</v>
      </c>
      <c r="Q813" s="199" t="s">
        <v>1179</v>
      </c>
      <c r="R813" s="259" t="b">
        <v>1</v>
      </c>
      <c r="S813" t="s">
        <v>1244</v>
      </c>
    </row>
    <row r="814" spans="1:19" hidden="1" x14ac:dyDescent="0.3">
      <c r="A814">
        <v>202512</v>
      </c>
      <c r="B814" s="22" t="s">
        <v>917</v>
      </c>
      <c r="C814">
        <v>6031746</v>
      </c>
      <c r="D814" s="43">
        <v>46022</v>
      </c>
      <c r="E814" s="43">
        <f>input_invoice[[#This Row],[date]]+30</f>
        <v>46052</v>
      </c>
      <c r="F814" t="s">
        <v>186</v>
      </c>
      <c r="G814" s="47">
        <f>MAX(+input_invoice[[#This Row],[net]]+input_invoice[[#This Row],[tax_iva]],input_invoice[[#This Row],[net]])</f>
        <v>918</v>
      </c>
      <c r="H814" s="47">
        <f>input_invoice[[#This Row],[net]]*(MAX(input_invoice[[#This Row],[tax_rate_iva]],0)/100)</f>
        <v>153</v>
      </c>
      <c r="I814" s="47">
        <f>-input_invoice[[#This Row],[net]]*input_invoice[[#This Row],[tax_rate_irpf]]/100</f>
        <v>0</v>
      </c>
      <c r="J814" s="47">
        <v>765</v>
      </c>
      <c r="K814" t="str">
        <f t="shared" si="18"/>
        <v>manufacturing</v>
      </c>
      <c r="L814">
        <v>20</v>
      </c>
      <c r="N814" t="str">
        <f>VLOOKUP(input_invoice[[#This Row],[concept/supplier]],'sel-invoice'!D:E,2,0)</f>
        <v>Proco</v>
      </c>
      <c r="O814" t="str">
        <f>VLOOKUP(input_invoice[[#This Row],[concept/supplier]],'sel-invoice'!D:F,3,0)</f>
        <v>Ltd</v>
      </c>
      <c r="P814" t="str">
        <f>IF(input_invoice[[#This Row],[entity]]="SL","EUR",IF(input_invoice[[#This Row],[entity]]="Ltd","GBP",IF(input_invoice[[#This Row],[entity]]="Inc","USD","XXX")))</f>
        <v>GBP</v>
      </c>
      <c r="Q814" s="199" t="s">
        <v>1179</v>
      </c>
      <c r="R814" s="259" t="b">
        <v>1</v>
      </c>
      <c r="S814" t="s">
        <v>1244</v>
      </c>
    </row>
    <row r="815" spans="1:19" hidden="1" x14ac:dyDescent="0.3">
      <c r="A815">
        <v>202512</v>
      </c>
      <c r="B815" s="22" t="s">
        <v>917</v>
      </c>
      <c r="C815" s="48">
        <v>20250766</v>
      </c>
      <c r="D815" s="43">
        <v>46022</v>
      </c>
      <c r="E815" s="43">
        <v>46052</v>
      </c>
      <c r="F815" t="s">
        <v>51</v>
      </c>
      <c r="G815" s="47">
        <f>MAX(+input_invoice[[#This Row],[net]]+input_invoice[[#This Row],[tax_iva]],input_invoice[[#This Row],[net]])</f>
        <v>20694.992999999999</v>
      </c>
      <c r="H815" s="47">
        <f>input_invoice[[#This Row],[net]]*(MAX(input_invoice[[#This Row],[tax_rate_iva]],0)/100)</f>
        <v>3591.6929999999998</v>
      </c>
      <c r="I815" s="47">
        <f>-input_invoice[[#This Row],[net]]*input_invoice[[#This Row],[tax_rate_irpf]]/100</f>
        <v>0</v>
      </c>
      <c r="J815" s="47">
        <v>17103.3</v>
      </c>
      <c r="K815" t="str">
        <f t="shared" si="18"/>
        <v>logistics</v>
      </c>
      <c r="L815">
        <v>21</v>
      </c>
      <c r="N815" t="str">
        <f>VLOOKUP(input_invoice[[#This Row],[concept/supplier]],'sel-invoice'!D:E,2,0)</f>
        <v>GLS</v>
      </c>
      <c r="O815" t="str">
        <f>VLOOKUP(input_invoice[[#This Row],[concept/supplier]],'sel-invoice'!D:F,3,0)</f>
        <v>SL</v>
      </c>
      <c r="P815" t="str">
        <f>IF(input_invoice[[#This Row],[entity]]="SL","EUR",IF(input_invoice[[#This Row],[entity]]="Ltd","GBP",IF(input_invoice[[#This Row],[entity]]="Inc","USD","XXX")))</f>
        <v>EUR</v>
      </c>
      <c r="Q815" s="199" t="s">
        <v>1196</v>
      </c>
      <c r="R815" s="267" t="b">
        <v>1</v>
      </c>
    </row>
    <row r="816" spans="1:19" hidden="1" x14ac:dyDescent="0.3">
      <c r="A816">
        <v>202512</v>
      </c>
      <c r="B816" s="22" t="s">
        <v>917</v>
      </c>
      <c r="C816" s="48">
        <v>4004550727</v>
      </c>
      <c r="D816" s="43">
        <v>46022</v>
      </c>
      <c r="E816" s="43">
        <f>input_invoice[[#This Row],[date]]+30</f>
        <v>46052</v>
      </c>
      <c r="F816" t="s">
        <v>52</v>
      </c>
      <c r="G816" s="47">
        <f>MAX(+input_invoice[[#This Row],[net]]+input_invoice[[#This Row],[tax_iva]],input_invoice[[#This Row],[net]])</f>
        <v>188.51800000000003</v>
      </c>
      <c r="H816" s="47">
        <f>input_invoice[[#This Row],[net]]*(MAX(input_invoice[[#This Row],[tax_rate_iva]],0)/100)</f>
        <v>32.718000000000004</v>
      </c>
      <c r="I816" s="47">
        <f>-input_invoice[[#This Row],[net]]*input_invoice[[#This Row],[tax_rate_irpf]]/100</f>
        <v>0</v>
      </c>
      <c r="J816" s="47">
        <v>155.80000000000001</v>
      </c>
      <c r="K816" t="str">
        <f t="shared" si="18"/>
        <v>logistics</v>
      </c>
      <c r="L816">
        <v>21</v>
      </c>
      <c r="N816" t="str">
        <f>VLOOKUP(input_invoice[[#This Row],[concept/supplier]],'sel-invoice'!D:E,2,0)</f>
        <v>Correos</v>
      </c>
      <c r="O816" t="str">
        <f>VLOOKUP(input_invoice[[#This Row],[concept/supplier]],'sel-invoice'!D:F,3,0)</f>
        <v>SL</v>
      </c>
      <c r="P816" t="str">
        <f>IF(input_invoice[[#This Row],[entity]]="SL","EUR",IF(input_invoice[[#This Row],[entity]]="Ltd","GBP",IF(input_invoice[[#This Row],[entity]]="Inc","USD","XXX")))</f>
        <v>EUR</v>
      </c>
      <c r="Q816" s="199" t="s">
        <v>1174</v>
      </c>
      <c r="R816" s="259" t="b">
        <v>1</v>
      </c>
    </row>
    <row r="817" spans="1:18" hidden="1" x14ac:dyDescent="0.3">
      <c r="A817">
        <v>202601</v>
      </c>
      <c r="B817" s="22" t="s">
        <v>917</v>
      </c>
      <c r="C817">
        <v>84000638408</v>
      </c>
      <c r="D817" s="43">
        <v>46038</v>
      </c>
      <c r="E817" s="43">
        <v>46047</v>
      </c>
      <c r="F817" t="s">
        <v>127</v>
      </c>
      <c r="G817" s="47">
        <f>MAX(+input_invoice[[#This Row],[net]]+input_invoice[[#This Row],[tax_iva]],input_invoice[[#This Row],[net]])</f>
        <v>13.19</v>
      </c>
      <c r="H817" s="47">
        <f>input_invoice[[#This Row],[net]]*(MAX(input_invoice[[#This Row],[tax_rate_iva]],0)/100)</f>
        <v>0</v>
      </c>
      <c r="I817" s="47">
        <f>-input_invoice[[#This Row],[net]]*input_invoice[[#This Row],[tax_rate_irpf]]/100</f>
        <v>0</v>
      </c>
      <c r="J817" s="47">
        <v>13.19</v>
      </c>
      <c r="K817" t="str">
        <f t="shared" si="18"/>
        <v>it</v>
      </c>
      <c r="L817">
        <v>0</v>
      </c>
      <c r="N817" t="str">
        <f>VLOOKUP(input_invoice[[#This Row],[concept/supplier]],'sel-invoice'!D:E,2,0)</f>
        <v>Hetzner</v>
      </c>
      <c r="O817" t="str">
        <f>VLOOKUP(input_invoice[[#This Row],[concept/supplier]],'sel-invoice'!D:F,3,0)</f>
        <v>SL</v>
      </c>
      <c r="P817" t="str">
        <f>IF(input_invoice[[#This Row],[entity]]="SL","EUR",IF(input_invoice[[#This Row],[entity]]="Ltd","GBP",IF(input_invoice[[#This Row],[entity]]="Inc","USD","XXX")))</f>
        <v>EUR</v>
      </c>
      <c r="Q817" s="199" t="s">
        <v>1239</v>
      </c>
      <c r="R817" s="267" t="b">
        <v>1</v>
      </c>
    </row>
    <row r="818" spans="1:18" x14ac:dyDescent="0.3">
      <c r="A818">
        <v>202601</v>
      </c>
      <c r="B818" s="22" t="s">
        <v>917</v>
      </c>
      <c r="C818" s="48" t="s">
        <v>1240</v>
      </c>
      <c r="D818" s="43">
        <v>46042</v>
      </c>
      <c r="E818" s="43">
        <v>46043</v>
      </c>
      <c r="F818" t="s">
        <v>119</v>
      </c>
      <c r="G818" s="47">
        <f>MAX(+input_invoice[[#This Row],[net]]+input_invoice[[#This Row],[tax_iva]],input_invoice[[#This Row],[net]])</f>
        <v>181.9</v>
      </c>
      <c r="H818" s="47">
        <f>input_invoice[[#This Row],[net]]*(MAX(input_invoice[[#This Row],[tax_rate_iva]],0)/100)</f>
        <v>11.9</v>
      </c>
      <c r="I818" s="47">
        <f>-input_invoice[[#This Row],[net]]*input_invoice[[#This Row],[tax_rate_irpf]]/100</f>
        <v>0</v>
      </c>
      <c r="J818" s="47">
        <v>170</v>
      </c>
      <c r="K818" t="str">
        <f t="shared" si="18"/>
        <v>administrative</v>
      </c>
      <c r="L818">
        <v>7</v>
      </c>
      <c r="N818" t="str">
        <f>VLOOKUP(input_invoice[[#This Row],[concept/supplier]],'sel-invoice'!D:E,2,0)</f>
        <v>otros</v>
      </c>
      <c r="O818" t="str">
        <f>VLOOKUP(input_invoice[[#This Row],[concept/supplier]],'sel-invoice'!D:F,3,0)</f>
        <v>SL</v>
      </c>
      <c r="P818" t="str">
        <f>IF(input_invoice[[#This Row],[entity]]="SL","EUR",IF(input_invoice[[#This Row],[entity]]="Ltd","GBP",IF(input_invoice[[#This Row],[entity]]="Inc","USD","XXX")))</f>
        <v>EUR</v>
      </c>
      <c r="Q818" s="199" t="s">
        <v>1241</v>
      </c>
      <c r="R818" s="267" t="b">
        <v>1</v>
      </c>
    </row>
    <row r="819" spans="1:18" hidden="1" x14ac:dyDescent="0.3">
      <c r="A819">
        <v>202601</v>
      </c>
      <c r="B819" s="22" t="s">
        <v>917</v>
      </c>
      <c r="C819">
        <v>837917747</v>
      </c>
      <c r="D819" s="43">
        <v>46041</v>
      </c>
      <c r="E819" s="43">
        <f>input_invoice[[#This Row],[date]]+14</f>
        <v>46055</v>
      </c>
      <c r="F819" t="s">
        <v>55</v>
      </c>
      <c r="G819" s="47">
        <f>MAX(+input_invoice[[#This Row],[net]]+input_invoice[[#This Row],[tax_iva]],input_invoice[[#This Row],[net]])</f>
        <v>5.04</v>
      </c>
      <c r="H819" s="47">
        <f>input_invoice[[#This Row],[net]]*(MAX(input_invoice[[#This Row],[tax_rate_iva]],0)/100)</f>
        <v>0</v>
      </c>
      <c r="I819" s="47">
        <f>-input_invoice[[#This Row],[net]]*input_invoice[[#This Row],[tax_rate_irpf]]/100</f>
        <v>0</v>
      </c>
      <c r="J819" s="47">
        <v>5.04</v>
      </c>
      <c r="K819" t="str">
        <f t="shared" ref="K819:K836" si="19">_xlfn.TEXTBEFORE(F819," - ")</f>
        <v>logistics</v>
      </c>
      <c r="L819">
        <v>0</v>
      </c>
      <c r="N819" t="str">
        <f>VLOOKUP(input_invoice[[#This Row],[concept/supplier]],'sel-invoice'!D:E,2,0)</f>
        <v>UPS DE</v>
      </c>
      <c r="O819" t="str">
        <f>VLOOKUP(input_invoice[[#This Row],[concept/supplier]],'sel-invoice'!D:F,3,0)</f>
        <v>SL</v>
      </c>
      <c r="P819" t="str">
        <f>IF(input_invoice[[#This Row],[entity]]="SL","EUR",IF(input_invoice[[#This Row],[entity]]="Ltd","GBP",IF(input_invoice[[#This Row],[entity]]="Inc","USD","XXX")))</f>
        <v>EUR</v>
      </c>
      <c r="Q819" s="199" t="s">
        <v>1281</v>
      </c>
      <c r="R819" s="259" t="b">
        <v>1</v>
      </c>
    </row>
    <row r="820" spans="1:18" x14ac:dyDescent="0.3">
      <c r="A820">
        <v>202601</v>
      </c>
      <c r="B820" s="22" t="s">
        <v>917</v>
      </c>
      <c r="C820" s="48" t="s">
        <v>1248</v>
      </c>
      <c r="D820" s="43">
        <v>46044</v>
      </c>
      <c r="E820" s="43">
        <v>46044</v>
      </c>
      <c r="F820" t="s">
        <v>119</v>
      </c>
      <c r="G820" s="47">
        <f>MAX(+input_invoice[[#This Row],[net]]+input_invoice[[#This Row],[tax_iva]],input_invoice[[#This Row],[net]])</f>
        <v>70.653000000000006</v>
      </c>
      <c r="H820" s="47">
        <f>input_invoice[[#This Row],[net]]*(MAX(input_invoice[[#This Row],[tax_rate_iva]],0)/100)</f>
        <v>6.4230000000000009</v>
      </c>
      <c r="I820" s="47">
        <f>-input_invoice[[#This Row],[net]]*input_invoice[[#This Row],[tax_rate_irpf]]/100</f>
        <v>0</v>
      </c>
      <c r="J820" s="47">
        <v>64.23</v>
      </c>
      <c r="K820" t="str">
        <f t="shared" si="19"/>
        <v>administrative</v>
      </c>
      <c r="L820">
        <v>10</v>
      </c>
      <c r="N820" t="str">
        <f>VLOOKUP(input_invoice[[#This Row],[concept/supplier]],'sel-invoice'!D:E,2,0)</f>
        <v>otros</v>
      </c>
      <c r="O820" t="str">
        <f>VLOOKUP(input_invoice[[#This Row],[concept/supplier]],'sel-invoice'!D:F,3,0)</f>
        <v>SL</v>
      </c>
      <c r="P820" t="str">
        <f>IF(input_invoice[[#This Row],[entity]]="SL","EUR",IF(input_invoice[[#This Row],[entity]]="Ltd","GBP",IF(input_invoice[[#This Row],[entity]]="Inc","USD","XXX")))</f>
        <v>EUR</v>
      </c>
      <c r="Q820" s="199" t="s">
        <v>1249</v>
      </c>
      <c r="R820" s="267" t="b">
        <v>1</v>
      </c>
    </row>
    <row r="821" spans="1:18" hidden="1" x14ac:dyDescent="0.3">
      <c r="A821">
        <v>202601</v>
      </c>
      <c r="B821" s="22" t="s">
        <v>917</v>
      </c>
      <c r="C821" s="48" t="s">
        <v>1250</v>
      </c>
      <c r="D821" s="43">
        <v>46047</v>
      </c>
      <c r="E821" s="43">
        <v>46048</v>
      </c>
      <c r="F821" t="s">
        <v>122</v>
      </c>
      <c r="G821" s="47">
        <f>MAX(+input_invoice[[#This Row],[net]]+input_invoice[[#This Row],[tax_iva]],input_invoice[[#This Row],[net]])</f>
        <v>2260.94</v>
      </c>
      <c r="H821" s="47">
        <f>input_invoice[[#This Row],[net]]*(MAX(input_invoice[[#This Row],[tax_rate_iva]],0)/100)</f>
        <v>0</v>
      </c>
      <c r="I821" s="47">
        <f>-input_invoice[[#This Row],[net]]*input_invoice[[#This Row],[tax_rate_irpf]]/100</f>
        <v>0</v>
      </c>
      <c r="J821" s="47">
        <v>2260.94</v>
      </c>
      <c r="K821" t="str">
        <f t="shared" si="19"/>
        <v>it</v>
      </c>
      <c r="L821">
        <v>0</v>
      </c>
      <c r="N821" t="str">
        <f>VLOOKUP(input_invoice[[#This Row],[concept/supplier]],'sel-invoice'!D:E,2,0)</f>
        <v>Shopify</v>
      </c>
      <c r="O821" t="str">
        <f>VLOOKUP(input_invoice[[#This Row],[concept/supplier]],'sel-invoice'!D:F,3,0)</f>
        <v>SL</v>
      </c>
      <c r="P821" t="str">
        <f>IF(input_invoice[[#This Row],[entity]]="SL","EUR",IF(input_invoice[[#This Row],[entity]]="Ltd","GBP",IF(input_invoice[[#This Row],[entity]]="Inc","USD","XXX")))</f>
        <v>EUR</v>
      </c>
      <c r="Q821" s="199" t="s">
        <v>1251</v>
      </c>
      <c r="R821" s="267" t="b">
        <v>1</v>
      </c>
    </row>
    <row r="822" spans="1:18" hidden="1" x14ac:dyDescent="0.3">
      <c r="A822">
        <v>202602</v>
      </c>
      <c r="B822" s="22" t="s">
        <v>917</v>
      </c>
      <c r="C822" s="48">
        <v>1236</v>
      </c>
      <c r="D822" s="43">
        <v>46054</v>
      </c>
      <c r="E822" s="43">
        <v>46055</v>
      </c>
      <c r="F822" t="s">
        <v>517</v>
      </c>
      <c r="G822" s="47">
        <f>MAX(+input_invoice[[#This Row],[net]]+input_invoice[[#This Row],[tax_iva]],input_invoice[[#This Row],[net]])</f>
        <v>1150</v>
      </c>
      <c r="H822" s="47">
        <f>input_invoice[[#This Row],[net]]*(MAX(input_invoice[[#This Row],[tax_rate_iva]],0)/100)</f>
        <v>0</v>
      </c>
      <c r="I822" s="47">
        <f>-input_invoice[[#This Row],[net]]*input_invoice[[#This Row],[tax_rate_irpf]]/100</f>
        <v>0</v>
      </c>
      <c r="J822" s="47">
        <v>1150</v>
      </c>
      <c r="K822" t="str">
        <f t="shared" si="19"/>
        <v>administrative</v>
      </c>
      <c r="L822">
        <v>0</v>
      </c>
      <c r="N822" t="str">
        <f>VLOOKUP(input_invoice[[#This Row],[concept/supplier]],'sel-invoice'!D:E,2,0)</f>
        <v>Continuum</v>
      </c>
      <c r="O822" t="str">
        <f>VLOOKUP(input_invoice[[#This Row],[concept/supplier]],'sel-invoice'!D:F,3,0)</f>
        <v>Inc</v>
      </c>
      <c r="P822" t="str">
        <f>IF(input_invoice[[#This Row],[entity]]="SL","EUR",IF(input_invoice[[#This Row],[entity]]="Ltd","GBP",IF(input_invoice[[#This Row],[entity]]="Inc","USD","XXX")))</f>
        <v>USD</v>
      </c>
      <c r="Q822" s="199" t="s">
        <v>1349</v>
      </c>
      <c r="R822" s="259" t="b">
        <v>1</v>
      </c>
    </row>
    <row r="823" spans="1:18" x14ac:dyDescent="0.3">
      <c r="A823">
        <v>202601</v>
      </c>
      <c r="B823" s="22" t="s">
        <v>917</v>
      </c>
      <c r="C823" s="48" t="s">
        <v>1254</v>
      </c>
      <c r="D823" s="43">
        <v>46050</v>
      </c>
      <c r="E823" s="43">
        <v>46050</v>
      </c>
      <c r="F823" t="s">
        <v>111</v>
      </c>
      <c r="G823" s="47">
        <f>MAX(+input_invoice[[#This Row],[net]]+input_invoice[[#This Row],[tax_iva]],input_invoice[[#This Row],[net]])</f>
        <v>977.77680000000009</v>
      </c>
      <c r="H823" s="47">
        <f>input_invoice[[#This Row],[net]]*(MAX(input_invoice[[#This Row],[tax_rate_iva]],0)/100)</f>
        <v>169.6968</v>
      </c>
      <c r="I823" s="47">
        <f>-input_invoice[[#This Row],[net]]*input_invoice[[#This Row],[tax_rate_irpf]]/100</f>
        <v>0</v>
      </c>
      <c r="J823" s="47">
        <v>808.08</v>
      </c>
      <c r="K823" t="str">
        <f t="shared" si="19"/>
        <v>administrative</v>
      </c>
      <c r="L823">
        <v>21</v>
      </c>
      <c r="N823" t="str">
        <f>VLOOKUP(input_invoice[[#This Row],[concept/supplier]],'sel-invoice'!D:E,2,0)</f>
        <v>Claris Gestio</v>
      </c>
      <c r="O823" t="str">
        <f>VLOOKUP(input_invoice[[#This Row],[concept/supplier]],'sel-invoice'!D:F,3,0)</f>
        <v>SL</v>
      </c>
      <c r="P823" t="str">
        <f>IF(input_invoice[[#This Row],[entity]]="SL","EUR",IF(input_invoice[[#This Row],[entity]]="Ltd","GBP",IF(input_invoice[[#This Row],[entity]]="Inc","USD","XXX")))</f>
        <v>EUR</v>
      </c>
      <c r="Q823" s="199" t="s">
        <v>1255</v>
      </c>
      <c r="R823" s="267" t="b">
        <v>1</v>
      </c>
    </row>
    <row r="824" spans="1:18" hidden="1" x14ac:dyDescent="0.3">
      <c r="A824">
        <v>202601</v>
      </c>
      <c r="B824" s="22" t="s">
        <v>917</v>
      </c>
      <c r="C824" s="48">
        <v>205588</v>
      </c>
      <c r="D824" s="43">
        <v>46050</v>
      </c>
      <c r="E824" s="43">
        <v>46050</v>
      </c>
      <c r="F824" t="s">
        <v>131</v>
      </c>
      <c r="G824" s="47">
        <f>MAX(+input_invoice[[#This Row],[net]]+input_invoice[[#This Row],[tax_iva]],input_invoice[[#This Row],[net]])</f>
        <v>134</v>
      </c>
      <c r="H824" s="47">
        <f>input_invoice[[#This Row],[net]]*(MAX(input_invoice[[#This Row],[tax_rate_iva]],0)/100)</f>
        <v>0</v>
      </c>
      <c r="I824" s="47">
        <f>-input_invoice[[#This Row],[net]]*input_invoice[[#This Row],[tax_rate_irpf]]/100</f>
        <v>0</v>
      </c>
      <c r="J824" s="47">
        <v>134</v>
      </c>
      <c r="K824" t="str">
        <f t="shared" si="19"/>
        <v>it</v>
      </c>
      <c r="L824">
        <v>0</v>
      </c>
      <c r="N824" t="str">
        <f>VLOOKUP(input_invoice[[#This Row],[concept/supplier]],'sel-invoice'!D:E,2,0)</f>
        <v>Product Hero</v>
      </c>
      <c r="O824" t="str">
        <f>VLOOKUP(input_invoice[[#This Row],[concept/supplier]],'sel-invoice'!D:F,3,0)</f>
        <v>SL</v>
      </c>
      <c r="P824" t="str">
        <f>IF(input_invoice[[#This Row],[entity]]="SL","EUR",IF(input_invoice[[#This Row],[entity]]="Ltd","GBP",IF(input_invoice[[#This Row],[entity]]="Inc","USD","XXX")))</f>
        <v>EUR</v>
      </c>
      <c r="Q824" s="199" t="s">
        <v>1256</v>
      </c>
      <c r="R824" s="267" t="b">
        <v>1</v>
      </c>
    </row>
    <row r="825" spans="1:18" hidden="1" x14ac:dyDescent="0.3">
      <c r="A825">
        <v>202602</v>
      </c>
      <c r="B825" s="22" t="s">
        <v>917</v>
      </c>
      <c r="C825" s="48" t="s">
        <v>1353</v>
      </c>
      <c r="D825" s="43">
        <v>46055</v>
      </c>
      <c r="E825" s="43">
        <v>46055</v>
      </c>
      <c r="F825" t="s">
        <v>113</v>
      </c>
      <c r="G825" s="47">
        <f>MAX(+input_invoice[[#This Row],[net]]+input_invoice[[#This Row],[tax_iva]],input_invoice[[#This Row],[net]])</f>
        <v>18.149999999999999</v>
      </c>
      <c r="H825" s="47">
        <f>input_invoice[[#This Row],[net]]*(MAX(input_invoice[[#This Row],[tax_rate_iva]],0)/100)</f>
        <v>3.15</v>
      </c>
      <c r="I825" s="47">
        <f>-input_invoice[[#This Row],[net]]*input_invoice[[#This Row],[tax_rate_irpf]]/100</f>
        <v>0</v>
      </c>
      <c r="J825" s="47">
        <v>15</v>
      </c>
      <c r="K825" t="str">
        <f t="shared" si="19"/>
        <v>administrative</v>
      </c>
      <c r="L825">
        <v>21</v>
      </c>
      <c r="N825" t="str">
        <f>VLOOKUP(input_invoice[[#This Row],[concept/supplier]],'sel-invoice'!D:E,2,0)</f>
        <v>Torras y asociados</v>
      </c>
      <c r="O825" t="str">
        <f>VLOOKUP(input_invoice[[#This Row],[concept/supplier]],'sel-invoice'!D:F,3,0)</f>
        <v>SL</v>
      </c>
      <c r="P825" t="str">
        <f>IF(input_invoice[[#This Row],[entity]]="SL","EUR",IF(input_invoice[[#This Row],[entity]]="Ltd","GBP",IF(input_invoice[[#This Row],[entity]]="Inc","USD","XXX")))</f>
        <v>EUR</v>
      </c>
      <c r="Q825" s="199" t="s">
        <v>1354</v>
      </c>
      <c r="R825" s="259" t="b">
        <v>1</v>
      </c>
    </row>
    <row r="826" spans="1:18" hidden="1" x14ac:dyDescent="0.3">
      <c r="A826">
        <v>202601</v>
      </c>
      <c r="B826" s="22" t="s">
        <v>917</v>
      </c>
      <c r="C826" s="48" t="s">
        <v>1259</v>
      </c>
      <c r="D826" s="43">
        <v>46050</v>
      </c>
      <c r="E826" s="43">
        <v>46050</v>
      </c>
      <c r="F826" t="s">
        <v>81</v>
      </c>
      <c r="G826" s="47">
        <f>MAX(+input_invoice[[#This Row],[net]]+input_invoice[[#This Row],[tax_iva]],input_invoice[[#This Row],[net]])</f>
        <v>95.59</v>
      </c>
      <c r="H826" s="47">
        <f>input_invoice[[#This Row],[net]]*(MAX(input_invoice[[#This Row],[tax_rate_iva]],0)/100)</f>
        <v>16.59</v>
      </c>
      <c r="I826" s="47">
        <f>-input_invoice[[#This Row],[net]]*input_invoice[[#This Row],[tax_rate_irpf]]/100</f>
        <v>0</v>
      </c>
      <c r="J826" s="47">
        <v>79</v>
      </c>
      <c r="K826" t="str">
        <f t="shared" si="19"/>
        <v>returns</v>
      </c>
      <c r="L826">
        <v>21</v>
      </c>
      <c r="N826" t="str">
        <f>VLOOKUP(input_invoice[[#This Row],[concept/supplier]],'sel-invoice'!D:E,2,0)</f>
        <v>rever</v>
      </c>
      <c r="O826" t="str">
        <f>VLOOKUP(input_invoice[[#This Row],[concept/supplier]],'sel-invoice'!D:F,3,0)</f>
        <v>SL</v>
      </c>
      <c r="P826" t="str">
        <f>IF(input_invoice[[#This Row],[entity]]="SL","EUR",IF(input_invoice[[#This Row],[entity]]="Ltd","GBP",IF(input_invoice[[#This Row],[entity]]="Inc","USD","XXX")))</f>
        <v>EUR</v>
      </c>
      <c r="Q826" s="199" t="s">
        <v>1260</v>
      </c>
      <c r="R826" s="267" t="b">
        <v>1</v>
      </c>
    </row>
    <row r="827" spans="1:18" hidden="1" x14ac:dyDescent="0.3">
      <c r="A827">
        <v>202601</v>
      </c>
      <c r="B827" s="22" t="s">
        <v>917</v>
      </c>
      <c r="C827" s="48" t="s">
        <v>1261</v>
      </c>
      <c r="D827" s="43">
        <v>46023</v>
      </c>
      <c r="E827" s="43">
        <v>46053</v>
      </c>
      <c r="F827" t="s">
        <v>81</v>
      </c>
      <c r="G827" s="47">
        <f>MAX(+input_invoice[[#This Row],[net]]+input_invoice[[#This Row],[tax_iva]],input_invoice[[#This Row],[net]])</f>
        <v>422.97</v>
      </c>
      <c r="H827" s="47">
        <f>input_invoice[[#This Row],[net]]*(MAX(input_invoice[[#This Row],[tax_rate_iva]],0)/100)</f>
        <v>0</v>
      </c>
      <c r="I827" s="47">
        <f>-input_invoice[[#This Row],[net]]*input_invoice[[#This Row],[tax_rate_irpf]]/100</f>
        <v>0</v>
      </c>
      <c r="J827" s="47">
        <v>422.97</v>
      </c>
      <c r="K827" t="str">
        <f t="shared" si="19"/>
        <v>returns</v>
      </c>
      <c r="L827">
        <v>0</v>
      </c>
      <c r="N827" t="str">
        <f>VLOOKUP(input_invoice[[#This Row],[concept/supplier]],'sel-invoice'!D:E,2,0)</f>
        <v>rever</v>
      </c>
      <c r="O827" t="str">
        <f>VLOOKUP(input_invoice[[#This Row],[concept/supplier]],'sel-invoice'!D:F,3,0)</f>
        <v>SL</v>
      </c>
      <c r="P827" t="str">
        <f>IF(input_invoice[[#This Row],[entity]]="SL","EUR",IF(input_invoice[[#This Row],[entity]]="Ltd","GBP",IF(input_invoice[[#This Row],[entity]]="Inc","USD","XXX")))</f>
        <v>EUR</v>
      </c>
      <c r="Q827" s="199" t="s">
        <v>1262</v>
      </c>
      <c r="R827" s="259" t="b">
        <v>1</v>
      </c>
    </row>
    <row r="828" spans="1:18" hidden="1" x14ac:dyDescent="0.3">
      <c r="A828">
        <v>202601</v>
      </c>
      <c r="B828" s="22" t="s">
        <v>917</v>
      </c>
      <c r="C828" s="48" t="s">
        <v>1252</v>
      </c>
      <c r="D828" s="43">
        <v>46049</v>
      </c>
      <c r="E828" s="43">
        <v>46056</v>
      </c>
      <c r="F828" t="s">
        <v>54</v>
      </c>
      <c r="G828" s="47">
        <f>MAX(+input_invoice[[#This Row],[net]]+input_invoice[[#This Row],[tax_iva]],input_invoice[[#This Row],[net]])</f>
        <v>3.9929999999999999</v>
      </c>
      <c r="H828" s="47">
        <f>input_invoice[[#This Row],[net]]*(MAX(input_invoice[[#This Row],[tax_rate_iva]],0)/100)</f>
        <v>0.69299999999999995</v>
      </c>
      <c r="I828" s="47">
        <f>-input_invoice[[#This Row],[net]]*input_invoice[[#This Row],[tax_rate_irpf]]/100</f>
        <v>0</v>
      </c>
      <c r="J828" s="47">
        <v>3.3</v>
      </c>
      <c r="K828" t="str">
        <f t="shared" si="19"/>
        <v>logistics</v>
      </c>
      <c r="L828">
        <v>21</v>
      </c>
      <c r="N828" t="str">
        <f>VLOOKUP(input_invoice[[#This Row],[concept/supplier]],'sel-invoice'!D:E,2,0)</f>
        <v>Spring</v>
      </c>
      <c r="O828" t="str">
        <f>VLOOKUP(input_invoice[[#This Row],[concept/supplier]],'sel-invoice'!D:F,3,0)</f>
        <v>SL</v>
      </c>
      <c r="P828" t="str">
        <f>IF(input_invoice[[#This Row],[entity]]="SL","EUR",IF(input_invoice[[#This Row],[entity]]="Ltd","GBP",IF(input_invoice[[#This Row],[entity]]="Inc","USD","XXX")))</f>
        <v>EUR</v>
      </c>
      <c r="Q828" s="199" t="s">
        <v>1253</v>
      </c>
      <c r="R828" s="259" t="b">
        <v>1</v>
      </c>
    </row>
    <row r="829" spans="1:18" hidden="1" x14ac:dyDescent="0.3">
      <c r="A829">
        <v>202601</v>
      </c>
      <c r="B829" s="22" t="s">
        <v>917</v>
      </c>
      <c r="C829">
        <v>326899416</v>
      </c>
      <c r="D829" s="43">
        <v>46050</v>
      </c>
      <c r="E829" s="43">
        <f>input_invoice[[#This Row],[date]]+7</f>
        <v>46057</v>
      </c>
      <c r="F829" t="s">
        <v>55</v>
      </c>
      <c r="G829" s="47">
        <f>MAX(+input_invoice[[#This Row],[net]]+input_invoice[[#This Row],[tax_iva]],input_invoice[[#This Row],[net]])</f>
        <v>602.88</v>
      </c>
      <c r="H829" s="47">
        <f>input_invoice[[#This Row],[net]]*(MAX(input_invoice[[#This Row],[tax_rate_iva]],0)/100)</f>
        <v>0</v>
      </c>
      <c r="I829" s="47">
        <f>-input_invoice[[#This Row],[net]]*input_invoice[[#This Row],[tax_rate_irpf]]/100</f>
        <v>0</v>
      </c>
      <c r="J829">
        <v>602.88</v>
      </c>
      <c r="K829" t="str">
        <f t="shared" si="19"/>
        <v>logistics</v>
      </c>
      <c r="L829">
        <v>0</v>
      </c>
      <c r="N829" t="str">
        <f>VLOOKUP(input_invoice[[#This Row],[concept/supplier]],'sel-invoice'!D:E,2,0)</f>
        <v>UPS DE</v>
      </c>
      <c r="O829" t="str">
        <f>VLOOKUP(input_invoice[[#This Row],[concept/supplier]],'sel-invoice'!D:F,3,0)</f>
        <v>SL</v>
      </c>
      <c r="P829" t="str">
        <f>IF(input_invoice[[#This Row],[entity]]="SL","EUR",IF(input_invoice[[#This Row],[entity]]="Ltd","GBP",IF(input_invoice[[#This Row],[entity]]="Inc","USD","XXX")))</f>
        <v>EUR</v>
      </c>
      <c r="Q829" s="199" t="s">
        <v>1278</v>
      </c>
      <c r="R829" s="259" t="b">
        <v>1</v>
      </c>
    </row>
    <row r="830" spans="1:18" hidden="1" x14ac:dyDescent="0.3">
      <c r="A830">
        <v>202601</v>
      </c>
      <c r="B830" s="22" t="s">
        <v>917</v>
      </c>
      <c r="C830">
        <v>326821409</v>
      </c>
      <c r="D830" s="43">
        <v>46029</v>
      </c>
      <c r="E830" s="43">
        <v>46038</v>
      </c>
      <c r="F830" t="s">
        <v>55</v>
      </c>
      <c r="G830" s="47">
        <f>MAX(+input_invoice[[#This Row],[net]]+input_invoice[[#This Row],[tax_iva]],input_invoice[[#This Row],[net]])</f>
        <v>204.42</v>
      </c>
      <c r="H830" s="47">
        <f>input_invoice[[#This Row],[net]]*(MAX(input_invoice[[#This Row],[tax_rate_iva]],0)/100)</f>
        <v>0</v>
      </c>
      <c r="I830" s="47">
        <f>-input_invoice[[#This Row],[net]]*input_invoice[[#This Row],[tax_rate_irpf]]/100</f>
        <v>0</v>
      </c>
      <c r="J830">
        <v>204.42</v>
      </c>
      <c r="K830" t="str">
        <f t="shared" si="19"/>
        <v>logistics</v>
      </c>
      <c r="L830">
        <v>0</v>
      </c>
      <c r="N830" t="str">
        <f>VLOOKUP(input_invoice[[#This Row],[concept/supplier]],'sel-invoice'!D:E,2,0)</f>
        <v>UPS DE</v>
      </c>
      <c r="O830" t="str">
        <f>VLOOKUP(input_invoice[[#This Row],[concept/supplier]],'sel-invoice'!D:F,3,0)</f>
        <v>SL</v>
      </c>
      <c r="P830" t="str">
        <f>IF(input_invoice[[#This Row],[entity]]="SL","EUR",IF(input_invoice[[#This Row],[entity]]="Ltd","GBP",IF(input_invoice[[#This Row],[entity]]="Inc","USD","XXX")))</f>
        <v>EUR</v>
      </c>
      <c r="Q830" s="199" t="s">
        <v>1275</v>
      </c>
      <c r="R830" s="267" t="b">
        <v>1</v>
      </c>
    </row>
    <row r="831" spans="1:18" hidden="1" x14ac:dyDescent="0.3">
      <c r="G831" s="47">
        <f ca="1">MAX(+input_invoice[[#This Row],[net]]+input_invoice[[#This Row],[tax_iva]],input_invoice[[#This Row],[net]])</f>
        <v>0</v>
      </c>
      <c r="H831" s="47">
        <f ca="1">input_invoice[[#This Row],[net]]*(MAX(input_invoice[[#This Row],[tax_rate_iva]],0)/100)</f>
        <v>0</v>
      </c>
      <c r="I831" s="47">
        <f>-input_invoice[[#This Row],[net]]*input_invoice[[#This Row],[tax_rate_irpf]]/100</f>
        <v>0</v>
      </c>
      <c r="K831" t="e">
        <f t="shared" si="19"/>
        <v>#N/A</v>
      </c>
      <c r="L831">
        <f ca="1">+input_invoice[[#This Row],[gross]]-input_invoice[[#This Row],[net]]</f>
        <v>0</v>
      </c>
      <c r="N831" t="e">
        <f>VLOOKUP(input_invoice[[#This Row],[concept/supplier]],'sel-invoice'!D:E,2,0)</f>
        <v>#N/A</v>
      </c>
      <c r="O831" t="e">
        <f>VLOOKUP(input_invoice[[#This Row],[concept/supplier]],'sel-invoice'!D:F,3,0)</f>
        <v>#N/A</v>
      </c>
      <c r="P831" t="e">
        <f>IF(input_invoice[[#This Row],[entity]]="SL","EUR",IF(input_invoice[[#This Row],[entity]]="Ltd","GBP",IF(input_invoice[[#This Row],[entity]]="Inc","USD","XXX")))</f>
        <v>#N/A</v>
      </c>
    </row>
    <row r="832" spans="1:18" hidden="1" x14ac:dyDescent="0.3">
      <c r="A832">
        <v>202511</v>
      </c>
      <c r="B832" s="22" t="s">
        <v>917</v>
      </c>
      <c r="C832" s="48">
        <v>249288007</v>
      </c>
      <c r="D832" s="43">
        <v>45992</v>
      </c>
      <c r="E832" s="43">
        <f>input_invoice[[#This Row],[date]]+60</f>
        <v>46052</v>
      </c>
      <c r="F832" t="s">
        <v>90</v>
      </c>
      <c r="G832" s="47">
        <f>MAX(+input_invoice[[#This Row],[net]]+input_invoice[[#This Row],[tax_iva]],input_invoice[[#This Row],[net]])</f>
        <v>26941.43</v>
      </c>
      <c r="H832" s="47">
        <f>input_invoice[[#This Row],[net]]*(MAX(input_invoice[[#This Row],[tax_rate_iva]],0)/100)</f>
        <v>0</v>
      </c>
      <c r="I832" s="47">
        <f>-input_invoice[[#This Row],[net]]*input_invoice[[#This Row],[tax_rate_irpf]]/100</f>
        <v>0</v>
      </c>
      <c r="J832" s="47">
        <v>26941.43</v>
      </c>
      <c r="K832" t="str">
        <f t="shared" si="19"/>
        <v>marketing</v>
      </c>
      <c r="L832">
        <v>0</v>
      </c>
      <c r="N832" t="str">
        <f>VLOOKUP(input_invoice[[#This Row],[concept/supplier]],'sel-invoice'!D:E,2,0)</f>
        <v>meta</v>
      </c>
      <c r="O832" t="str">
        <f>VLOOKUP(input_invoice[[#This Row],[concept/supplier]],'sel-invoice'!D:F,3,0)</f>
        <v>SL</v>
      </c>
      <c r="P832" t="str">
        <f>IF(input_invoice[[#This Row],[entity]]="SL","EUR",IF(input_invoice[[#This Row],[entity]]="Ltd","GBP",IF(input_invoice[[#This Row],[entity]]="Inc","USD","XXX")))</f>
        <v>EUR</v>
      </c>
      <c r="Q832" s="199" t="s">
        <v>1118</v>
      </c>
      <c r="R832" s="267" t="b">
        <v>1</v>
      </c>
    </row>
    <row r="833" spans="1:18" hidden="1" x14ac:dyDescent="0.3">
      <c r="A833">
        <v>202512</v>
      </c>
      <c r="B833" s="22" t="s">
        <v>917</v>
      </c>
      <c r="C833" s="48">
        <v>5456877870</v>
      </c>
      <c r="D833" s="43">
        <v>46022</v>
      </c>
      <c r="E833" s="43">
        <v>46082</v>
      </c>
      <c r="F833" t="s">
        <v>88</v>
      </c>
      <c r="G833" s="47">
        <f>MAX(+input_invoice[[#This Row],[net]]+input_invoice[[#This Row],[tax_iva]],input_invoice[[#This Row],[net]])</f>
        <v>29820.36</v>
      </c>
      <c r="H833" s="47">
        <f>input_invoice[[#This Row],[net]]*(MAX(input_invoice[[#This Row],[tax_rate_iva]],0)/100)</f>
        <v>0</v>
      </c>
      <c r="I833" s="47">
        <f>-input_invoice[[#This Row],[net]]*input_invoice[[#This Row],[tax_rate_irpf]]/100</f>
        <v>0</v>
      </c>
      <c r="J833" s="47">
        <v>29820.36</v>
      </c>
      <c r="K833" t="str">
        <f t="shared" si="19"/>
        <v>marketing</v>
      </c>
      <c r="L833">
        <v>0</v>
      </c>
      <c r="N833" t="str">
        <f>VLOOKUP(input_invoice[[#This Row],[concept/supplier]],'sel-invoice'!D:E,2,0)</f>
        <v>google</v>
      </c>
      <c r="O833" t="str">
        <f>VLOOKUP(input_invoice[[#This Row],[concept/supplier]],'sel-invoice'!D:F,3,0)</f>
        <v>SL</v>
      </c>
      <c r="P833" t="str">
        <f>IF(input_invoice[[#This Row],[entity]]="SL","EUR",IF(input_invoice[[#This Row],[entity]]="Ltd","GBP",IF(input_invoice[[#This Row],[entity]]="Inc","USD","XXX")))</f>
        <v>EUR</v>
      </c>
      <c r="Q833" s="199" t="s">
        <v>1245</v>
      </c>
      <c r="R833" s="267" t="b">
        <v>1</v>
      </c>
    </row>
    <row r="834" spans="1:18" hidden="1" x14ac:dyDescent="0.3">
      <c r="A834">
        <v>202512</v>
      </c>
      <c r="B834" s="22" t="s">
        <v>917</v>
      </c>
      <c r="C834" t="s">
        <v>1208</v>
      </c>
      <c r="D834" s="43">
        <v>46009</v>
      </c>
      <c r="E834" s="43">
        <v>46010</v>
      </c>
      <c r="F834" t="s">
        <v>129</v>
      </c>
      <c r="G834" s="47">
        <f>MAX(+input_invoice[[#This Row],[net]]+input_invoice[[#This Row],[tax_iva]],input_invoice[[#This Row],[net]])</f>
        <v>45.496000000000002</v>
      </c>
      <c r="H834" s="47">
        <f>input_invoice[[#This Row],[net]]*(MAX(input_invoice[[#This Row],[tax_rate_iva]],0)/100)</f>
        <v>7.8959999999999999</v>
      </c>
      <c r="I834" s="47">
        <f>-input_invoice[[#This Row],[net]]*input_invoice[[#This Row],[tax_rate_irpf]]/100</f>
        <v>0</v>
      </c>
      <c r="J834" s="47">
        <v>37.6</v>
      </c>
      <c r="K834" t="str">
        <f t="shared" si="19"/>
        <v>it</v>
      </c>
      <c r="L834">
        <v>21</v>
      </c>
      <c r="N834" t="str">
        <f>VLOOKUP(input_invoice[[#This Row],[concept/supplier]],'sel-invoice'!D:E,2,0)</f>
        <v>Microsoft</v>
      </c>
      <c r="O834" t="str">
        <f>VLOOKUP(input_invoice[[#This Row],[concept/supplier]],'sel-invoice'!D:F,3,0)</f>
        <v>SL</v>
      </c>
      <c r="P834" t="str">
        <f>IF(input_invoice[[#This Row],[entity]]="SL","EUR",IF(input_invoice[[#This Row],[entity]]="Ltd","GBP",IF(input_invoice[[#This Row],[entity]]="Inc","USD","XXX")))</f>
        <v>EUR</v>
      </c>
      <c r="Q834" s="199" t="s">
        <v>439</v>
      </c>
      <c r="R834" s="267" t="b">
        <v>1</v>
      </c>
    </row>
    <row r="835" spans="1:18" hidden="1" x14ac:dyDescent="0.3">
      <c r="A835">
        <v>202512</v>
      </c>
      <c r="B835" s="22" t="s">
        <v>917</v>
      </c>
      <c r="C835" t="s">
        <v>1209</v>
      </c>
      <c r="D835" s="43">
        <v>46004</v>
      </c>
      <c r="E835" s="43">
        <v>46005</v>
      </c>
      <c r="F835" t="s">
        <v>129</v>
      </c>
      <c r="G835" s="47">
        <f>MAX(+input_invoice[[#This Row],[net]]+input_invoice[[#This Row],[tax_iva]],input_invoice[[#This Row],[net]])</f>
        <v>37.352699999999999</v>
      </c>
      <c r="H835" s="47">
        <f>input_invoice[[#This Row],[net]]*(MAX(input_invoice[[#This Row],[tax_rate_iva]],0)/100)</f>
        <v>6.4827000000000004</v>
      </c>
      <c r="I835" s="47">
        <f>-input_invoice[[#This Row],[net]]*input_invoice[[#This Row],[tax_rate_irpf]]/100</f>
        <v>0</v>
      </c>
      <c r="J835" s="47">
        <v>30.87</v>
      </c>
      <c r="K835" t="str">
        <f t="shared" si="19"/>
        <v>it</v>
      </c>
      <c r="L835">
        <v>21</v>
      </c>
      <c r="N835" t="str">
        <f>VLOOKUP(input_invoice[[#This Row],[concept/supplier]],'sel-invoice'!D:E,2,0)</f>
        <v>Microsoft</v>
      </c>
      <c r="O835" t="str">
        <f>VLOOKUP(input_invoice[[#This Row],[concept/supplier]],'sel-invoice'!D:F,3,0)</f>
        <v>SL</v>
      </c>
      <c r="P835" t="str">
        <f>IF(input_invoice[[#This Row],[entity]]="SL","EUR",IF(input_invoice[[#This Row],[entity]]="Ltd","GBP",IF(input_invoice[[#This Row],[entity]]="Inc","USD","XXX")))</f>
        <v>EUR</v>
      </c>
      <c r="Q835" s="199" t="s">
        <v>439</v>
      </c>
      <c r="R835" s="267" t="b">
        <v>1</v>
      </c>
    </row>
    <row r="836" spans="1:18" hidden="1" x14ac:dyDescent="0.3">
      <c r="A836">
        <v>202512</v>
      </c>
      <c r="B836" s="22" t="s">
        <v>917</v>
      </c>
      <c r="C836" s="48" t="s">
        <v>1212</v>
      </c>
      <c r="D836" s="43">
        <v>46005</v>
      </c>
      <c r="E836" s="43">
        <v>46006</v>
      </c>
      <c r="F836" t="s">
        <v>145</v>
      </c>
      <c r="G836" s="47">
        <f>MAX(+input_invoice[[#This Row],[net]]+input_invoice[[#This Row],[tax_iva]],input_invoice[[#This Row],[net]])</f>
        <v>285.27</v>
      </c>
      <c r="H836" s="47">
        <f>input_invoice[[#This Row],[net]]*(MAX(input_invoice[[#This Row],[tax_rate_iva]],0)/100)</f>
        <v>0</v>
      </c>
      <c r="I836" s="47">
        <f>-input_invoice[[#This Row],[net]]*input_invoice[[#This Row],[tax_rate_irpf]]/100</f>
        <v>0</v>
      </c>
      <c r="J836" s="47">
        <v>285.27</v>
      </c>
      <c r="K836" t="str">
        <f t="shared" si="19"/>
        <v>it</v>
      </c>
      <c r="L836">
        <v>0</v>
      </c>
      <c r="N836" t="str">
        <f>VLOOKUP(input_invoice[[#This Row],[concept/supplier]],'sel-invoice'!D:E,2,0)</f>
        <v>Gorgias</v>
      </c>
      <c r="O836" t="str">
        <f>VLOOKUP(input_invoice[[#This Row],[concept/supplier]],'sel-invoice'!D:F,3,0)</f>
        <v>SL</v>
      </c>
      <c r="P836" t="str">
        <f>IF(input_invoice[[#This Row],[entity]]="SL","EUR",IF(input_invoice[[#This Row],[entity]]="Ltd","GBP",IF(input_invoice[[#This Row],[entity]]="Inc","USD","XXX")))</f>
        <v>EUR</v>
      </c>
      <c r="Q836" s="199" t="s">
        <v>1213</v>
      </c>
      <c r="R836" s="267" t="b">
        <v>1</v>
      </c>
    </row>
    <row r="837" spans="1:18" hidden="1" x14ac:dyDescent="0.3">
      <c r="A837">
        <v>202601</v>
      </c>
      <c r="B837" s="22" t="s">
        <v>917</v>
      </c>
      <c r="C837" s="48" t="s">
        <v>1214</v>
      </c>
      <c r="D837" s="43">
        <v>46044</v>
      </c>
      <c r="E837" s="43">
        <v>46051</v>
      </c>
      <c r="F837" t="s">
        <v>139</v>
      </c>
      <c r="G837" s="47">
        <f>MAX(+input_invoice[[#This Row],[net]]+input_invoice[[#This Row],[tax_iva]],input_invoice[[#This Row],[net]])</f>
        <v>6.05</v>
      </c>
      <c r="H837" s="47">
        <f>input_invoice[[#This Row],[net]]*(MAX(input_invoice[[#This Row],[tax_rate_iva]],0)/100)</f>
        <v>1.05</v>
      </c>
      <c r="I837" s="47">
        <f>-input_invoice[[#This Row],[net]]*input_invoice[[#This Row],[tax_rate_irpf]]/100</f>
        <v>0</v>
      </c>
      <c r="J837" s="47">
        <v>5</v>
      </c>
      <c r="K837" t="str">
        <f>_xlfn.TEXTBEFORE(F838," - ")</f>
        <v>it</v>
      </c>
      <c r="L837">
        <v>21</v>
      </c>
      <c r="N837" t="str">
        <f>VLOOKUP(input_invoice[[#This Row],[concept/supplier]],'sel-invoice'!D:E,2,0)</f>
        <v>Mas Movil</v>
      </c>
      <c r="O837" t="str">
        <f>VLOOKUP(input_invoice[[#This Row],[concept/supplier]],'sel-invoice'!D:F,3,0)</f>
        <v>SL</v>
      </c>
      <c r="P837" t="str">
        <f>IF(input_invoice[[#This Row],[entity]]="SL","EUR",IF(input_invoice[[#This Row],[entity]]="Ltd","GBP",IF(input_invoice[[#This Row],[entity]]="Inc","USD","XXX")))</f>
        <v>EUR</v>
      </c>
      <c r="Q837" s="199" t="s">
        <v>1215</v>
      </c>
      <c r="R837" s="267" t="b">
        <v>1</v>
      </c>
    </row>
    <row r="838" spans="1:18" hidden="1" x14ac:dyDescent="0.3">
      <c r="A838">
        <v>202512</v>
      </c>
      <c r="B838" s="22" t="s">
        <v>917</v>
      </c>
      <c r="C838" s="48" t="s">
        <v>1216</v>
      </c>
      <c r="D838" s="43">
        <v>46013</v>
      </c>
      <c r="E838" s="43">
        <v>46020</v>
      </c>
      <c r="F838" t="s">
        <v>139</v>
      </c>
      <c r="G838" s="47">
        <f>MAX(+input_invoice[[#This Row],[net]]+input_invoice[[#This Row],[tax_iva]],input_invoice[[#This Row],[net]])</f>
        <v>6.05</v>
      </c>
      <c r="H838" s="47">
        <f>input_invoice[[#This Row],[net]]*(MAX(input_invoice[[#This Row],[tax_rate_iva]],0)/100)</f>
        <v>1.05</v>
      </c>
      <c r="I838" s="47">
        <f>-input_invoice[[#This Row],[net]]*input_invoice[[#This Row],[tax_rate_irpf]]/100</f>
        <v>0</v>
      </c>
      <c r="J838" s="47">
        <v>5</v>
      </c>
      <c r="K838" t="str">
        <f t="shared" ref="K838:K869" si="20">_xlfn.TEXTBEFORE(F838," - ")</f>
        <v>it</v>
      </c>
      <c r="L838">
        <v>21</v>
      </c>
      <c r="N838" t="str">
        <f>VLOOKUP(input_invoice[[#This Row],[concept/supplier]],'sel-invoice'!D:E,2,0)</f>
        <v>Mas Movil</v>
      </c>
      <c r="O838" t="str">
        <f>VLOOKUP(input_invoice[[#This Row],[concept/supplier]],'sel-invoice'!D:F,3,0)</f>
        <v>SL</v>
      </c>
      <c r="P838" t="str">
        <f>IF(input_invoice[[#This Row],[entity]]="SL","EUR",IF(input_invoice[[#This Row],[entity]]="Ltd","GBP",IF(input_invoice[[#This Row],[entity]]="Inc","USD","XXX")))</f>
        <v>EUR</v>
      </c>
      <c r="Q838" s="199" t="s">
        <v>1217</v>
      </c>
      <c r="R838" s="267" t="b">
        <v>1</v>
      </c>
    </row>
    <row r="839" spans="1:18" hidden="1" x14ac:dyDescent="0.3">
      <c r="A839">
        <v>202510</v>
      </c>
      <c r="B839" s="22" t="s">
        <v>917</v>
      </c>
      <c r="C839" s="48" t="s">
        <v>1218</v>
      </c>
      <c r="D839" s="43">
        <v>45944</v>
      </c>
      <c r="E839" s="43">
        <f>input_invoice[[#This Row],[date]]+2</f>
        <v>45946</v>
      </c>
      <c r="F839" t="s">
        <v>924</v>
      </c>
      <c r="G839" s="47">
        <f>MAX(+input_invoice[[#This Row],[net]]+input_invoice[[#This Row],[tax_iva]],input_invoice[[#This Row],[net]])</f>
        <v>249</v>
      </c>
      <c r="H839" s="47">
        <f>input_invoice[[#This Row],[net]]*(MAX(input_invoice[[#This Row],[tax_rate_iva]],0)/100)</f>
        <v>0</v>
      </c>
      <c r="I839" s="47">
        <f>-input_invoice[[#This Row],[net]]*input_invoice[[#This Row],[tax_rate_irpf]]/100</f>
        <v>0</v>
      </c>
      <c r="J839" s="47">
        <v>249</v>
      </c>
      <c r="K839" t="str">
        <f t="shared" si="20"/>
        <v>it</v>
      </c>
      <c r="L839">
        <v>0</v>
      </c>
      <c r="N839" t="str">
        <f>VLOOKUP(input_invoice[[#This Row],[concept/supplier]],'sel-invoice'!D:E,2,0)</f>
        <v>Konvo</v>
      </c>
      <c r="O839" t="str">
        <f>VLOOKUP(input_invoice[[#This Row],[concept/supplier]],'sel-invoice'!D:F,3,0)</f>
        <v>SL</v>
      </c>
      <c r="P839" t="str">
        <f>IF(input_invoice[[#This Row],[entity]]="SL","EUR",IF(input_invoice[[#This Row],[entity]]="Ltd","GBP",IF(input_invoice[[#This Row],[entity]]="Inc","USD","XXX")))</f>
        <v>EUR</v>
      </c>
      <c r="Q839" s="199" t="s">
        <v>1219</v>
      </c>
      <c r="R839" s="267" t="b">
        <v>1</v>
      </c>
    </row>
    <row r="840" spans="1:18" hidden="1" x14ac:dyDescent="0.3">
      <c r="A840">
        <v>202512</v>
      </c>
      <c r="B840" s="22" t="s">
        <v>917</v>
      </c>
      <c r="C840" s="48" t="s">
        <v>1220</v>
      </c>
      <c r="D840" s="43">
        <v>45999</v>
      </c>
      <c r="E840" s="43">
        <f>input_invoice[[#This Row],[date]]+2</f>
        <v>46001</v>
      </c>
      <c r="F840" t="s">
        <v>924</v>
      </c>
      <c r="G840" s="47">
        <f>MAX(+input_invoice[[#This Row],[net]]+input_invoice[[#This Row],[tax_iva]],input_invoice[[#This Row],[net]])</f>
        <v>10.85</v>
      </c>
      <c r="H840" s="47">
        <f>input_invoice[[#This Row],[net]]*(MAX(input_invoice[[#This Row],[tax_rate_iva]],0)/100)</f>
        <v>0</v>
      </c>
      <c r="I840" s="47">
        <f>-input_invoice[[#This Row],[net]]*input_invoice[[#This Row],[tax_rate_irpf]]/100</f>
        <v>0</v>
      </c>
      <c r="J840" s="47">
        <v>10.85</v>
      </c>
      <c r="K840" t="str">
        <f t="shared" si="20"/>
        <v>it</v>
      </c>
      <c r="L840">
        <v>0</v>
      </c>
      <c r="N840" t="str">
        <f>VLOOKUP(input_invoice[[#This Row],[concept/supplier]],'sel-invoice'!D:E,2,0)</f>
        <v>Konvo</v>
      </c>
      <c r="O840" t="str">
        <f>VLOOKUP(input_invoice[[#This Row],[concept/supplier]],'sel-invoice'!D:F,3,0)</f>
        <v>SL</v>
      </c>
      <c r="P840" t="str">
        <f>IF(input_invoice[[#This Row],[entity]]="SL","EUR",IF(input_invoice[[#This Row],[entity]]="Ltd","GBP",IF(input_invoice[[#This Row],[entity]]="Inc","USD","XXX")))</f>
        <v>EUR</v>
      </c>
      <c r="Q840" s="199" t="s">
        <v>1221</v>
      </c>
      <c r="R840" s="267" t="b">
        <v>1</v>
      </c>
    </row>
    <row r="841" spans="1:18" hidden="1" x14ac:dyDescent="0.3">
      <c r="A841">
        <v>202512</v>
      </c>
      <c r="B841" s="22" t="s">
        <v>917</v>
      </c>
      <c r="C841" s="48" t="s">
        <v>1222</v>
      </c>
      <c r="D841" s="43">
        <v>46005</v>
      </c>
      <c r="E841" s="43">
        <f>input_invoice[[#This Row],[date]]+2</f>
        <v>46007</v>
      </c>
      <c r="F841" t="s">
        <v>924</v>
      </c>
      <c r="G841" s="47">
        <f>MAX(+input_invoice[[#This Row],[net]]+input_invoice[[#This Row],[tax_iva]],input_invoice[[#This Row],[net]])</f>
        <v>339</v>
      </c>
      <c r="H841" s="47">
        <f>input_invoice[[#This Row],[net]]*(MAX(input_invoice[[#This Row],[tax_rate_iva]],0)/100)</f>
        <v>0</v>
      </c>
      <c r="I841" s="47">
        <f>-input_invoice[[#This Row],[net]]*input_invoice[[#This Row],[tax_rate_irpf]]/100</f>
        <v>0</v>
      </c>
      <c r="J841" s="47">
        <v>339</v>
      </c>
      <c r="K841" t="str">
        <f t="shared" si="20"/>
        <v>it</v>
      </c>
      <c r="L841">
        <v>0</v>
      </c>
      <c r="N841" t="str">
        <f>VLOOKUP(input_invoice[[#This Row],[concept/supplier]],'sel-invoice'!D:E,2,0)</f>
        <v>Konvo</v>
      </c>
      <c r="O841" t="str">
        <f>VLOOKUP(input_invoice[[#This Row],[concept/supplier]],'sel-invoice'!D:F,3,0)</f>
        <v>SL</v>
      </c>
      <c r="P841" t="str">
        <f>IF(input_invoice[[#This Row],[entity]]="SL","EUR",IF(input_invoice[[#This Row],[entity]]="Ltd","GBP",IF(input_invoice[[#This Row],[entity]]="Inc","USD","XXX")))</f>
        <v>EUR</v>
      </c>
      <c r="Q841" s="199" t="s">
        <v>1223</v>
      </c>
      <c r="R841" s="267" t="b">
        <v>1</v>
      </c>
    </row>
    <row r="842" spans="1:18" hidden="1" x14ac:dyDescent="0.3">
      <c r="A842">
        <v>202512</v>
      </c>
      <c r="B842" s="22" t="s">
        <v>917</v>
      </c>
      <c r="C842" s="48" t="s">
        <v>1224</v>
      </c>
      <c r="D842" s="43">
        <v>45999</v>
      </c>
      <c r="E842" s="43">
        <f>input_invoice[[#This Row],[date]]+2</f>
        <v>46001</v>
      </c>
      <c r="F842" t="s">
        <v>924</v>
      </c>
      <c r="G842" s="47">
        <f>MAX(+input_invoice[[#This Row],[net]]+input_invoice[[#This Row],[tax_iva]],input_invoice[[#This Row],[net]])</f>
        <v>490.84</v>
      </c>
      <c r="H842" s="47">
        <f>input_invoice[[#This Row],[net]]*(MAX(input_invoice[[#This Row],[tax_rate_iva]],0)/100)</f>
        <v>0</v>
      </c>
      <c r="I842" s="47">
        <f>-input_invoice[[#This Row],[net]]*input_invoice[[#This Row],[tax_rate_irpf]]/100</f>
        <v>0</v>
      </c>
      <c r="J842" s="47">
        <v>490.84</v>
      </c>
      <c r="K842" t="str">
        <f t="shared" si="20"/>
        <v>it</v>
      </c>
      <c r="L842">
        <v>0</v>
      </c>
      <c r="N842" t="str">
        <f>VLOOKUP(input_invoice[[#This Row],[concept/supplier]],'sel-invoice'!D:E,2,0)</f>
        <v>Konvo</v>
      </c>
      <c r="O842" t="str">
        <f>VLOOKUP(input_invoice[[#This Row],[concept/supplier]],'sel-invoice'!D:F,3,0)</f>
        <v>SL</v>
      </c>
      <c r="P842" t="str">
        <f>IF(input_invoice[[#This Row],[entity]]="SL","EUR",IF(input_invoice[[#This Row],[entity]]="Ltd","GBP",IF(input_invoice[[#This Row],[entity]]="Inc","USD","XXX")))</f>
        <v>EUR</v>
      </c>
      <c r="Q842" s="199" t="s">
        <v>1225</v>
      </c>
      <c r="R842" s="267" t="b">
        <v>1</v>
      </c>
    </row>
    <row r="843" spans="1:18" hidden="1" x14ac:dyDescent="0.3">
      <c r="A843">
        <v>202512</v>
      </c>
      <c r="B843" s="22" t="s">
        <v>917</v>
      </c>
      <c r="C843" s="48" t="s">
        <v>1228</v>
      </c>
      <c r="D843" s="43">
        <v>46022</v>
      </c>
      <c r="E843" s="43">
        <v>46022</v>
      </c>
      <c r="F843" t="s">
        <v>119</v>
      </c>
      <c r="G843" s="47">
        <f>MAX(+input_invoice[[#This Row],[net]]+input_invoice[[#This Row],[tax_iva]],input_invoice[[#This Row],[net]])</f>
        <v>392.96</v>
      </c>
      <c r="H843" s="47">
        <f>input_invoice[[#This Row],[net]]*(MAX(input_invoice[[#This Row],[tax_rate_iva]],0)/100)</f>
        <v>0</v>
      </c>
      <c r="I843" s="47">
        <f>-input_invoice[[#This Row],[net]]*input_invoice[[#This Row],[tax_rate_irpf]]/100</f>
        <v>0</v>
      </c>
      <c r="J843" s="47">
        <v>392.96</v>
      </c>
      <c r="K843" t="str">
        <f t="shared" si="20"/>
        <v>administrative</v>
      </c>
      <c r="L843">
        <v>0</v>
      </c>
      <c r="N843" t="str">
        <f>VLOOKUP(input_invoice[[#This Row],[concept/supplier]],'sel-invoice'!D:E,2,0)</f>
        <v>otros</v>
      </c>
      <c r="O843" t="str">
        <f>VLOOKUP(input_invoice[[#This Row],[concept/supplier]],'sel-invoice'!D:F,3,0)</f>
        <v>SL</v>
      </c>
      <c r="P843" t="str">
        <f>IF(input_invoice[[#This Row],[entity]]="SL","EUR",IF(input_invoice[[#This Row],[entity]]="Ltd","GBP",IF(input_invoice[[#This Row],[entity]]="Inc","USD","XXX")))</f>
        <v>EUR</v>
      </c>
      <c r="Q843" s="199" t="s">
        <v>1227</v>
      </c>
      <c r="R843" s="267" t="b">
        <v>1</v>
      </c>
    </row>
    <row r="844" spans="1:18" hidden="1" x14ac:dyDescent="0.3">
      <c r="A844">
        <v>202512</v>
      </c>
      <c r="B844" s="22" t="s">
        <v>917</v>
      </c>
      <c r="C844" t="s">
        <v>1229</v>
      </c>
      <c r="D844" s="43">
        <v>46022</v>
      </c>
      <c r="E844" s="43">
        <v>46022</v>
      </c>
      <c r="F844" t="s">
        <v>123</v>
      </c>
      <c r="G844" s="47">
        <f>MAX(+input_invoice[[#This Row],[net]]+input_invoice[[#This Row],[tax_iva]],input_invoice[[#This Row],[net]])</f>
        <v>47.19</v>
      </c>
      <c r="H844" s="47">
        <f>input_invoice[[#This Row],[net]]*(MAX(input_invoice[[#This Row],[tax_rate_iva]],0)/100)</f>
        <v>8.19</v>
      </c>
      <c r="I844" s="47">
        <f>-input_invoice[[#This Row],[net]]*input_invoice[[#This Row],[tax_rate_irpf]]/100</f>
        <v>0</v>
      </c>
      <c r="J844" s="47">
        <v>39</v>
      </c>
      <c r="K844" t="str">
        <f t="shared" si="20"/>
        <v>it</v>
      </c>
      <c r="L844">
        <v>21</v>
      </c>
      <c r="N844" t="str">
        <f>VLOOKUP(input_invoice[[#This Row],[concept/supplier]],'sel-invoice'!D:E,2,0)</f>
        <v>Amazon Subscription</v>
      </c>
      <c r="O844" t="str">
        <f>VLOOKUP(input_invoice[[#This Row],[concept/supplier]],'sel-invoice'!D:F,3,0)</f>
        <v>SL</v>
      </c>
      <c r="P844" t="str">
        <f>IF(input_invoice[[#This Row],[entity]]="SL","EUR",IF(input_invoice[[#This Row],[entity]]="Ltd","GBP",IF(input_invoice[[#This Row],[entity]]="Inc","USD","XXX")))</f>
        <v>EUR</v>
      </c>
      <c r="Q844" s="199" t="s">
        <v>1230</v>
      </c>
      <c r="R844" s="267" t="b">
        <v>1</v>
      </c>
    </row>
    <row r="845" spans="1:18" hidden="1" x14ac:dyDescent="0.3">
      <c r="A845">
        <v>202512</v>
      </c>
      <c r="B845" s="22" t="s">
        <v>917</v>
      </c>
      <c r="C845">
        <v>5454860683</v>
      </c>
      <c r="D845" s="43">
        <v>46022</v>
      </c>
      <c r="E845" s="43">
        <v>46022</v>
      </c>
      <c r="F845" t="s">
        <v>133</v>
      </c>
      <c r="G845" s="47">
        <f>MAX(+input_invoice[[#This Row],[net]]+input_invoice[[#This Row],[tax_iva]],input_invoice[[#This Row],[net]])</f>
        <v>194.4</v>
      </c>
      <c r="H845" s="47">
        <f>input_invoice[[#This Row],[net]]*(MAX(input_invoice[[#This Row],[tax_rate_iva]],0)/100)</f>
        <v>0</v>
      </c>
      <c r="I845" s="47">
        <f>-input_invoice[[#This Row],[net]]*input_invoice[[#This Row],[tax_rate_irpf]]/100</f>
        <v>0</v>
      </c>
      <c r="J845" s="47">
        <v>194.4</v>
      </c>
      <c r="K845" t="str">
        <f t="shared" si="20"/>
        <v>it</v>
      </c>
      <c r="L845">
        <v>0</v>
      </c>
      <c r="N845" t="str">
        <f>VLOOKUP(input_invoice[[#This Row],[concept/supplier]],'sel-invoice'!D:E,2,0)</f>
        <v>Gsuite</v>
      </c>
      <c r="O845" t="str">
        <f>VLOOKUP(input_invoice[[#This Row],[concept/supplier]],'sel-invoice'!D:F,3,0)</f>
        <v>SL</v>
      </c>
      <c r="P845" t="str">
        <f>IF(input_invoice[[#This Row],[entity]]="SL","EUR",IF(input_invoice[[#This Row],[entity]]="Ltd","GBP",IF(input_invoice[[#This Row],[entity]]="Inc","USD","XXX")))</f>
        <v>EUR</v>
      </c>
      <c r="Q845" s="199" t="s">
        <v>1231</v>
      </c>
      <c r="R845" s="267" t="b">
        <v>1</v>
      </c>
    </row>
    <row r="846" spans="1:18" hidden="1" x14ac:dyDescent="0.3">
      <c r="A846">
        <v>202511</v>
      </c>
      <c r="B846" s="22" t="s">
        <v>917</v>
      </c>
      <c r="C846" t="s">
        <v>1232</v>
      </c>
      <c r="D846" s="43">
        <v>45989</v>
      </c>
      <c r="E846" s="43">
        <v>45990</v>
      </c>
      <c r="F846" t="s">
        <v>150</v>
      </c>
      <c r="G846" s="47">
        <f>MAX(+input_invoice[[#This Row],[net]]+input_invoice[[#This Row],[tax_iva]],input_invoice[[#This Row],[net]])</f>
        <v>33.49</v>
      </c>
      <c r="H846" s="47">
        <f>input_invoice[[#This Row],[net]]*(MAX(input_invoice[[#This Row],[tax_rate_iva]],0)/100)</f>
        <v>0</v>
      </c>
      <c r="I846" s="47">
        <f>-input_invoice[[#This Row],[net]]*input_invoice[[#This Row],[tax_rate_irpf]]/100</f>
        <v>0</v>
      </c>
      <c r="J846" s="47">
        <v>33.49</v>
      </c>
      <c r="K846" t="str">
        <f t="shared" si="20"/>
        <v>it</v>
      </c>
      <c r="L846">
        <v>0</v>
      </c>
      <c r="N846" t="str">
        <f>VLOOKUP(input_invoice[[#This Row],[concept/supplier]],'sel-invoice'!D:E,2,0)</f>
        <v>adobe</v>
      </c>
      <c r="O846" t="str">
        <f>VLOOKUP(input_invoice[[#This Row],[concept/supplier]],'sel-invoice'!D:F,3,0)</f>
        <v>SL</v>
      </c>
      <c r="P846" t="str">
        <f>IF(input_invoice[[#This Row],[entity]]="SL","EUR",IF(input_invoice[[#This Row],[entity]]="Ltd","GBP",IF(input_invoice[[#This Row],[entity]]="Inc","USD","XXX")))</f>
        <v>EUR</v>
      </c>
      <c r="Q846" s="199" t="s">
        <v>1233</v>
      </c>
      <c r="R846" s="267" t="b">
        <v>1</v>
      </c>
    </row>
    <row r="847" spans="1:18" hidden="1" x14ac:dyDescent="0.3">
      <c r="A847">
        <v>202511</v>
      </c>
      <c r="B847" s="22" t="s">
        <v>917</v>
      </c>
      <c r="C847">
        <v>15452195</v>
      </c>
      <c r="D847" s="43">
        <v>45962</v>
      </c>
      <c r="E847" s="43">
        <f>input_invoice[[#This Row],[date]]+14</f>
        <v>45976</v>
      </c>
      <c r="F847" t="s">
        <v>117</v>
      </c>
      <c r="G847" s="47">
        <f>MAX(+input_invoice[[#This Row],[net]]+input_invoice[[#This Row],[tax_iva]],input_invoice[[#This Row],[net]])</f>
        <v>89.8</v>
      </c>
      <c r="H847" s="47">
        <f>input_invoice[[#This Row],[net]]*(MAX(input_invoice[[#This Row],[tax_rate_iva]],0)/100)</f>
        <v>0</v>
      </c>
      <c r="I847" s="47">
        <f>-input_invoice[[#This Row],[net]]*input_invoice[[#This Row],[tax_rate_irpf]]/100</f>
        <v>0</v>
      </c>
      <c r="J847" s="47">
        <v>89.8</v>
      </c>
      <c r="K847" t="str">
        <f t="shared" si="20"/>
        <v>administrative</v>
      </c>
      <c r="L847">
        <v>0</v>
      </c>
      <c r="N847" t="str">
        <f>VLOOKUP(input_invoice[[#This Row],[concept/supplier]],'sel-invoice'!D:E,2,0)</f>
        <v>regus</v>
      </c>
      <c r="O847" t="str">
        <f>VLOOKUP(input_invoice[[#This Row],[concept/supplier]],'sel-invoice'!D:F,3,0)</f>
        <v>Inc</v>
      </c>
      <c r="P847" t="str">
        <f>IF(input_invoice[[#This Row],[entity]]="SL","EUR",IF(input_invoice[[#This Row],[entity]]="Ltd","GBP",IF(input_invoice[[#This Row],[entity]]="Inc","USD","XXX")))</f>
        <v>USD</v>
      </c>
      <c r="Q847" s="199" t="s">
        <v>1234</v>
      </c>
      <c r="R847" s="267" t="b">
        <v>1</v>
      </c>
    </row>
    <row r="848" spans="1:18" hidden="1" x14ac:dyDescent="0.3">
      <c r="A848">
        <v>202511</v>
      </c>
      <c r="B848" s="22" t="s">
        <v>917</v>
      </c>
      <c r="C848">
        <v>3943344610</v>
      </c>
      <c r="D848" s="43">
        <v>45971</v>
      </c>
      <c r="E848" s="43">
        <v>45972</v>
      </c>
      <c r="F848" t="s">
        <v>125</v>
      </c>
      <c r="G848" s="47">
        <f>MAX(+input_invoice[[#This Row],[net]]+input_invoice[[#This Row],[tax_iva]],input_invoice[[#This Row],[net]])</f>
        <v>60.487900000000003</v>
      </c>
      <c r="H848" s="47">
        <f>input_invoice[[#This Row],[net]]*(MAX(input_invoice[[#This Row],[tax_rate_iva]],0)/100)</f>
        <v>10.4979</v>
      </c>
      <c r="I848" s="47">
        <f>-input_invoice[[#This Row],[net]]*input_invoice[[#This Row],[tax_rate_irpf]]/100</f>
        <v>0</v>
      </c>
      <c r="J848" s="47">
        <v>49.99</v>
      </c>
      <c r="K848" t="str">
        <f t="shared" si="20"/>
        <v>it</v>
      </c>
      <c r="L848">
        <v>21</v>
      </c>
      <c r="N848" t="str">
        <f>VLOOKUP(input_invoice[[#This Row],[concept/supplier]],'sel-invoice'!D:E,2,0)</f>
        <v>Godaddy</v>
      </c>
      <c r="O848" t="str">
        <f>VLOOKUP(input_invoice[[#This Row],[concept/supplier]],'sel-invoice'!D:F,3,0)</f>
        <v>SL</v>
      </c>
      <c r="P848" t="str">
        <f>IF(input_invoice[[#This Row],[entity]]="SL","EUR",IF(input_invoice[[#This Row],[entity]]="Ltd","GBP",IF(input_invoice[[#This Row],[entity]]="Inc","USD","XXX")))</f>
        <v>EUR</v>
      </c>
      <c r="Q848" s="199" t="s">
        <v>1235</v>
      </c>
      <c r="R848" s="267" t="b">
        <v>1</v>
      </c>
    </row>
    <row r="849" spans="1:18" hidden="1" x14ac:dyDescent="0.3">
      <c r="A849">
        <v>202510</v>
      </c>
      <c r="B849" s="22" t="s">
        <v>917</v>
      </c>
      <c r="C849" t="s">
        <v>1236</v>
      </c>
      <c r="D849" s="43">
        <v>45957</v>
      </c>
      <c r="E849" s="43">
        <v>45986</v>
      </c>
      <c r="F849" t="s">
        <v>119</v>
      </c>
      <c r="G849" s="47">
        <f>MAX(+input_invoice[[#This Row],[net]]+input_invoice[[#This Row],[tax_iva]],input_invoice[[#This Row],[net]])</f>
        <v>210</v>
      </c>
      <c r="H849" s="47">
        <f>input_invoice[[#This Row],[net]]*(MAX(input_invoice[[#This Row],[tax_rate_iva]],0)/100)</f>
        <v>0</v>
      </c>
      <c r="I849" s="47">
        <f>-input_invoice[[#This Row],[net]]*input_invoice[[#This Row],[tax_rate_irpf]]/100</f>
        <v>0</v>
      </c>
      <c r="J849" s="47">
        <v>210</v>
      </c>
      <c r="K849" t="str">
        <f t="shared" si="20"/>
        <v>administrative</v>
      </c>
      <c r="L849">
        <v>0</v>
      </c>
      <c r="N849" t="str">
        <f>VLOOKUP(input_invoice[[#This Row],[concept/supplier]],'sel-invoice'!D:E,2,0)</f>
        <v>otros</v>
      </c>
      <c r="O849" t="str">
        <f>VLOOKUP(input_invoice[[#This Row],[concept/supplier]],'sel-invoice'!D:F,3,0)</f>
        <v>SL</v>
      </c>
      <c r="P849" t="str">
        <f>IF(input_invoice[[#This Row],[entity]]="SL","EUR",IF(input_invoice[[#This Row],[entity]]="Ltd","GBP",IF(input_invoice[[#This Row],[entity]]="Inc","USD","XXX")))</f>
        <v>EUR</v>
      </c>
      <c r="Q849" s="199" t="s">
        <v>1237</v>
      </c>
      <c r="R849" s="267" t="b">
        <v>1</v>
      </c>
    </row>
    <row r="850" spans="1:18" hidden="1" x14ac:dyDescent="0.3">
      <c r="G850" s="47">
        <f ca="1">MAX(+input_invoice[[#This Row],[net]]+input_invoice[[#This Row],[tax_iva]],input_invoice[[#This Row],[net]])</f>
        <v>0</v>
      </c>
      <c r="H850" s="47">
        <f ca="1">input_invoice[[#This Row],[net]]*(MAX(input_invoice[[#This Row],[tax_rate_iva]],0)/100)</f>
        <v>0</v>
      </c>
      <c r="I850" s="47">
        <f>-input_invoice[[#This Row],[net]]*input_invoice[[#This Row],[tax_rate_irpf]]/100</f>
        <v>0</v>
      </c>
      <c r="K850" t="e">
        <f t="shared" si="20"/>
        <v>#N/A</v>
      </c>
      <c r="L850">
        <f ca="1">+input_invoice[[#This Row],[gross]]-input_invoice[[#This Row],[net]]</f>
        <v>0</v>
      </c>
      <c r="N850" t="e">
        <f>VLOOKUP(input_invoice[[#This Row],[concept/supplier]],'sel-invoice'!D:E,2,0)</f>
        <v>#N/A</v>
      </c>
      <c r="O850" t="e">
        <f>VLOOKUP(input_invoice[[#This Row],[concept/supplier]],'sel-invoice'!D:F,3,0)</f>
        <v>#N/A</v>
      </c>
      <c r="P850" t="e">
        <f>IF(input_invoice[[#This Row],[entity]]="SL","EUR",IF(input_invoice[[#This Row],[entity]]="Ltd","GBP",IF(input_invoice[[#This Row],[entity]]="Inc","USD","XXX")))</f>
        <v>#N/A</v>
      </c>
    </row>
    <row r="851" spans="1:18" hidden="1" x14ac:dyDescent="0.3">
      <c r="G851" s="47">
        <f ca="1">MAX(+input_invoice[[#This Row],[net]]+input_invoice[[#This Row],[tax_iva]],input_invoice[[#This Row],[net]])</f>
        <v>0</v>
      </c>
      <c r="H851" s="47">
        <f ca="1">input_invoice[[#This Row],[net]]*(MAX(input_invoice[[#This Row],[tax_rate_iva]],0)/100)</f>
        <v>0</v>
      </c>
      <c r="I851" s="47">
        <f>-input_invoice[[#This Row],[net]]*input_invoice[[#This Row],[tax_rate_irpf]]/100</f>
        <v>0</v>
      </c>
      <c r="K851" t="e">
        <f t="shared" si="20"/>
        <v>#N/A</v>
      </c>
      <c r="L851">
        <f ca="1">+input_invoice[[#This Row],[gross]]-input_invoice[[#This Row],[net]]</f>
        <v>0</v>
      </c>
      <c r="N851" t="e">
        <f>VLOOKUP(input_invoice[[#This Row],[concept/supplier]],'sel-invoice'!D:E,2,0)</f>
        <v>#N/A</v>
      </c>
      <c r="O851" t="e">
        <f>VLOOKUP(input_invoice[[#This Row],[concept/supplier]],'sel-invoice'!D:F,3,0)</f>
        <v>#N/A</v>
      </c>
      <c r="P851" t="e">
        <f>IF(input_invoice[[#This Row],[entity]]="SL","EUR",IF(input_invoice[[#This Row],[entity]]="Ltd","GBP",IF(input_invoice[[#This Row],[entity]]="Inc","USD","XXX")))</f>
        <v>#N/A</v>
      </c>
    </row>
    <row r="852" spans="1:18" hidden="1" x14ac:dyDescent="0.3">
      <c r="G852" s="47">
        <f ca="1">MAX(+input_invoice[[#This Row],[net]]+input_invoice[[#This Row],[tax_iva]],input_invoice[[#This Row],[net]])</f>
        <v>0</v>
      </c>
      <c r="H852" s="47">
        <f ca="1">input_invoice[[#This Row],[net]]*(MAX(input_invoice[[#This Row],[tax_rate_iva]],0)/100)</f>
        <v>0</v>
      </c>
      <c r="I852" s="47">
        <f>-input_invoice[[#This Row],[net]]*input_invoice[[#This Row],[tax_rate_irpf]]/100</f>
        <v>0</v>
      </c>
      <c r="K852" t="e">
        <f t="shared" si="20"/>
        <v>#N/A</v>
      </c>
      <c r="L852">
        <f ca="1">+input_invoice[[#This Row],[gross]]-input_invoice[[#This Row],[net]]</f>
        <v>0</v>
      </c>
      <c r="N852" t="e">
        <f>VLOOKUP(input_invoice[[#This Row],[concept/supplier]],'sel-invoice'!D:E,2,0)</f>
        <v>#N/A</v>
      </c>
      <c r="O852" t="e">
        <f>VLOOKUP(input_invoice[[#This Row],[concept/supplier]],'sel-invoice'!D:F,3,0)</f>
        <v>#N/A</v>
      </c>
      <c r="P852" t="e">
        <f>IF(input_invoice[[#This Row],[entity]]="SL","EUR",IF(input_invoice[[#This Row],[entity]]="Ltd","GBP",IF(input_invoice[[#This Row],[entity]]="Inc","USD","XXX")))</f>
        <v>#N/A</v>
      </c>
    </row>
    <row r="853" spans="1:18" hidden="1" x14ac:dyDescent="0.3">
      <c r="G853" s="47">
        <f ca="1">MAX(+input_invoice[[#This Row],[net]]+input_invoice[[#This Row],[tax_iva]],input_invoice[[#This Row],[net]])</f>
        <v>0</v>
      </c>
      <c r="H853" s="47">
        <f ca="1">input_invoice[[#This Row],[net]]*(MAX(input_invoice[[#This Row],[tax_rate_iva]],0)/100)</f>
        <v>0</v>
      </c>
      <c r="I853" s="47">
        <f>-input_invoice[[#This Row],[net]]*input_invoice[[#This Row],[tax_rate_irpf]]/100</f>
        <v>0</v>
      </c>
      <c r="K853" t="e">
        <f t="shared" si="20"/>
        <v>#N/A</v>
      </c>
      <c r="L853">
        <f ca="1">+input_invoice[[#This Row],[gross]]-input_invoice[[#This Row],[net]]</f>
        <v>0</v>
      </c>
      <c r="N853" t="e">
        <f>VLOOKUP(input_invoice[[#This Row],[concept/supplier]],'sel-invoice'!D:E,2,0)</f>
        <v>#N/A</v>
      </c>
      <c r="O853" t="e">
        <f>VLOOKUP(input_invoice[[#This Row],[concept/supplier]],'sel-invoice'!D:F,3,0)</f>
        <v>#N/A</v>
      </c>
      <c r="P853" t="e">
        <f>IF(input_invoice[[#This Row],[entity]]="SL","EUR",IF(input_invoice[[#This Row],[entity]]="Ltd","GBP",IF(input_invoice[[#This Row],[entity]]="Inc","USD","XXX")))</f>
        <v>#N/A</v>
      </c>
    </row>
    <row r="854" spans="1:18" hidden="1" x14ac:dyDescent="0.3">
      <c r="A854">
        <v>202511</v>
      </c>
      <c r="B854" s="22" t="s">
        <v>917</v>
      </c>
      <c r="C854">
        <v>450279981</v>
      </c>
      <c r="D854" s="43">
        <v>45986</v>
      </c>
      <c r="E854" s="43">
        <v>45986</v>
      </c>
      <c r="F854" t="s">
        <v>122</v>
      </c>
      <c r="G854" s="47">
        <f>MAX(+input_invoice[[#This Row],[net]]+input_invoice[[#This Row],[tax_iva]],input_invoice[[#This Row],[net]])</f>
        <v>2442.4299999999998</v>
      </c>
      <c r="H854" s="47">
        <f>input_invoice[[#This Row],[net]]*(MAX(input_invoice[[#This Row],[tax_rate_iva]],0)/100)</f>
        <v>0</v>
      </c>
      <c r="I854" s="47">
        <f>-input_invoice[[#This Row],[net]]*input_invoice[[#This Row],[tax_rate_irpf]]/100</f>
        <v>0</v>
      </c>
      <c r="J854">
        <v>2442.4299999999998</v>
      </c>
      <c r="K854" t="str">
        <f t="shared" si="20"/>
        <v>it</v>
      </c>
      <c r="L854">
        <v>0</v>
      </c>
      <c r="N854" t="str">
        <f>VLOOKUP(input_invoice[[#This Row],[concept/supplier]],'sel-invoice'!D:E,2,0)</f>
        <v>Shopify</v>
      </c>
      <c r="O854" t="str">
        <f>VLOOKUP(input_invoice[[#This Row],[concept/supplier]],'sel-invoice'!D:F,3,0)</f>
        <v>SL</v>
      </c>
      <c r="P854" t="str">
        <f>IF(input_invoice[[#This Row],[entity]]="SL","EUR",IF(input_invoice[[#This Row],[entity]]="Ltd","GBP",IF(input_invoice[[#This Row],[entity]]="Inc","USD","XXX")))</f>
        <v>EUR</v>
      </c>
      <c r="Q854" s="199" t="s">
        <v>1077</v>
      </c>
      <c r="R854" s="259" t="b">
        <v>1</v>
      </c>
    </row>
    <row r="855" spans="1:18" hidden="1" x14ac:dyDescent="0.3">
      <c r="A855">
        <v>202512</v>
      </c>
      <c r="B855" s="22" t="s">
        <v>917</v>
      </c>
      <c r="C855">
        <v>464316001</v>
      </c>
      <c r="D855" s="43">
        <v>46016</v>
      </c>
      <c r="E855" s="43">
        <f>input_invoice[[#This Row],[date]]</f>
        <v>46016</v>
      </c>
      <c r="F855" t="s">
        <v>122</v>
      </c>
      <c r="G855" s="47">
        <f>MAX(+input_invoice[[#This Row],[net]]+input_invoice[[#This Row],[tax_iva]],input_invoice[[#This Row],[net]])</f>
        <v>2489.42</v>
      </c>
      <c r="H855" s="47">
        <f>input_invoice[[#This Row],[net]]*(MAX(input_invoice[[#This Row],[tax_rate_iva]],0)/100)</f>
        <v>0</v>
      </c>
      <c r="I855" s="47">
        <f>-input_invoice[[#This Row],[net]]*input_invoice[[#This Row],[tax_rate_irpf]]/100</f>
        <v>0</v>
      </c>
      <c r="J855">
        <v>2489.42</v>
      </c>
      <c r="K855" t="str">
        <f t="shared" si="20"/>
        <v>it</v>
      </c>
      <c r="L855">
        <v>0</v>
      </c>
      <c r="N855" t="str">
        <f>VLOOKUP(input_invoice[[#This Row],[concept/supplier]],'sel-invoice'!D:E,2,0)</f>
        <v>Shopify</v>
      </c>
      <c r="O855" t="str">
        <f>VLOOKUP(input_invoice[[#This Row],[concept/supplier]],'sel-invoice'!D:F,3,0)</f>
        <v>SL</v>
      </c>
      <c r="P855" t="str">
        <f>IF(input_invoice[[#This Row],[entity]]="SL","EUR",IF(input_invoice[[#This Row],[entity]]="Ltd","GBP",IF(input_invoice[[#This Row],[entity]]="Inc","USD","XXX")))</f>
        <v>EUR</v>
      </c>
      <c r="Q855" s="199" t="s">
        <v>1238</v>
      </c>
      <c r="R855" s="259" t="b">
        <v>1</v>
      </c>
    </row>
    <row r="856" spans="1:18" hidden="1" x14ac:dyDescent="0.3">
      <c r="A856">
        <v>202512</v>
      </c>
      <c r="B856" s="22" t="s">
        <v>917</v>
      </c>
      <c r="C856" s="48">
        <v>171048</v>
      </c>
      <c r="D856" s="43">
        <v>46022</v>
      </c>
      <c r="E856" s="43">
        <f>input_invoice[[#This Row],[date]]+45</f>
        <v>46067</v>
      </c>
      <c r="F856" t="s">
        <v>221</v>
      </c>
      <c r="G856" s="47">
        <f>MAX(+input_invoice[[#This Row],[net]]+input_invoice[[#This Row],[tax_iva]],input_invoice[[#This Row],[net]])</f>
        <v>3650.17</v>
      </c>
      <c r="H856" s="47">
        <f>input_invoice[[#This Row],[net]]*(MAX(input_invoice[[#This Row],[tax_rate_iva]],0)/100)</f>
        <v>0</v>
      </c>
      <c r="I856" s="47">
        <f>-input_invoice[[#This Row],[net]]*input_invoice[[#This Row],[tax_rate_irpf]]/100</f>
        <v>0</v>
      </c>
      <c r="J856" s="47">
        <v>3650.17</v>
      </c>
      <c r="K856" t="str">
        <f t="shared" si="20"/>
        <v>logistics</v>
      </c>
      <c r="L856">
        <v>0</v>
      </c>
      <c r="N856" t="str">
        <f>VLOOKUP(input_invoice[[#This Row],[concept/supplier]],'sel-invoice'!D:E,2,0)</f>
        <v>TGI Inc</v>
      </c>
      <c r="O856" t="str">
        <f>VLOOKUP(input_invoice[[#This Row],[concept/supplier]],'sel-invoice'!D:F,3,0)</f>
        <v>Inc</v>
      </c>
      <c r="P856" t="str">
        <f>IF(input_invoice[[#This Row],[entity]]="SL","EUR",IF(input_invoice[[#This Row],[entity]]="Ltd","GBP",IF(input_invoice[[#This Row],[entity]]="Inc","USD","XXX")))</f>
        <v>USD</v>
      </c>
      <c r="Q856" s="199" t="s">
        <v>1242</v>
      </c>
      <c r="R856" s="267" t="b">
        <v>1</v>
      </c>
    </row>
    <row r="857" spans="1:18" hidden="1" x14ac:dyDescent="0.3">
      <c r="A857">
        <v>202512</v>
      </c>
      <c r="B857" s="22" t="s">
        <v>917</v>
      </c>
      <c r="C857" s="48">
        <v>171047</v>
      </c>
      <c r="D857" s="43">
        <v>46022</v>
      </c>
      <c r="E857" s="43">
        <f>input_invoice[[#This Row],[date]]+45</f>
        <v>46067</v>
      </c>
      <c r="F857" t="s">
        <v>218</v>
      </c>
      <c r="G857" s="47">
        <f>MAX(+input_invoice[[#This Row],[net]]+input_invoice[[#This Row],[tax_iva]],input_invoice[[#This Row],[net]])</f>
        <v>5431.38</v>
      </c>
      <c r="H857" s="47">
        <f>input_invoice[[#This Row],[net]]*(MAX(input_invoice[[#This Row],[tax_rate_iva]],0)/100)</f>
        <v>0</v>
      </c>
      <c r="I857" s="47">
        <f>-input_invoice[[#This Row],[net]]*input_invoice[[#This Row],[tax_rate_irpf]]/100</f>
        <v>0</v>
      </c>
      <c r="J857" s="47">
        <v>5431.38</v>
      </c>
      <c r="K857" t="str">
        <f t="shared" si="20"/>
        <v>manufacturing</v>
      </c>
      <c r="L857">
        <v>0</v>
      </c>
      <c r="N857" t="str">
        <f>VLOOKUP(input_invoice[[#This Row],[concept/supplier]],'sel-invoice'!D:E,2,0)</f>
        <v>TGI Inc</v>
      </c>
      <c r="O857" t="str">
        <f>VLOOKUP(input_invoice[[#This Row],[concept/supplier]],'sel-invoice'!D:F,3,0)</f>
        <v>Inc</v>
      </c>
      <c r="P857" t="str">
        <f>IF(input_invoice[[#This Row],[entity]]="SL","EUR",IF(input_invoice[[#This Row],[entity]]="Ltd","GBP",IF(input_invoice[[#This Row],[entity]]="Inc","USD","XXX")))</f>
        <v>USD</v>
      </c>
      <c r="Q857" s="199" t="s">
        <v>1243</v>
      </c>
      <c r="R857" s="267" t="b">
        <v>1</v>
      </c>
    </row>
    <row r="858" spans="1:18" hidden="1" x14ac:dyDescent="0.3">
      <c r="A858">
        <v>202512</v>
      </c>
      <c r="B858" s="22" t="s">
        <v>917</v>
      </c>
      <c r="C858" s="48">
        <v>249902419</v>
      </c>
      <c r="D858" s="43">
        <v>46023</v>
      </c>
      <c r="E858" s="43">
        <f>input_invoice[[#This Row],[date]]+60</f>
        <v>46083</v>
      </c>
      <c r="F858" t="s">
        <v>90</v>
      </c>
      <c r="G858" s="47">
        <f>MAX(+input_invoice[[#This Row],[net]]+input_invoice[[#This Row],[tax_iva]],input_invoice[[#This Row],[net]])</f>
        <v>32295.51</v>
      </c>
      <c r="H858" s="47">
        <f>input_invoice[[#This Row],[net]]*(MAX(input_invoice[[#This Row],[tax_rate_iva]],0)/100)</f>
        <v>0</v>
      </c>
      <c r="I858" s="47">
        <f>-input_invoice[[#This Row],[net]]*input_invoice[[#This Row],[tax_rate_irpf]]/100</f>
        <v>0</v>
      </c>
      <c r="J858" s="47">
        <v>32295.51</v>
      </c>
      <c r="K858" t="str">
        <f t="shared" si="20"/>
        <v>marketing</v>
      </c>
      <c r="L858">
        <v>0</v>
      </c>
      <c r="N858" t="str">
        <f>VLOOKUP(input_invoice[[#This Row],[concept/supplier]],'sel-invoice'!D:E,2,0)</f>
        <v>meta</v>
      </c>
      <c r="O858" t="str">
        <f>VLOOKUP(input_invoice[[#This Row],[concept/supplier]],'sel-invoice'!D:F,3,0)</f>
        <v>SL</v>
      </c>
      <c r="P858" t="str">
        <f>IF(input_invoice[[#This Row],[entity]]="SL","EUR",IF(input_invoice[[#This Row],[entity]]="Ltd","GBP",IF(input_invoice[[#This Row],[entity]]="Inc","USD","XXX")))</f>
        <v>EUR</v>
      </c>
      <c r="Q858" s="199" t="s">
        <v>1207</v>
      </c>
      <c r="R858" s="267" t="b">
        <v>1</v>
      </c>
    </row>
    <row r="859" spans="1:18" hidden="1" x14ac:dyDescent="0.3">
      <c r="A859">
        <v>202507</v>
      </c>
      <c r="B859" s="22" t="s">
        <v>917</v>
      </c>
      <c r="C859" s="48" t="s">
        <v>350</v>
      </c>
      <c r="F859" t="s">
        <v>348</v>
      </c>
      <c r="G859" s="47">
        <f>MAX(+input_invoice[[#This Row],[net]]+input_invoice[[#This Row],[tax_iva]]+input_invoice[[#This Row],[tax_irpf]],input_invoice[[#This Row],[net]])</f>
        <v>-6863.06</v>
      </c>
      <c r="H859" s="47">
        <f>input_invoice[[#This Row],[net]]*(MAX(input_invoice[[#This Row],[tax_rate_iva]],0)/100)</f>
        <v>0</v>
      </c>
      <c r="I859" s="47">
        <f>-input_invoice[[#This Row],[net]]*input_invoice[[#This Row],[tax_rate_irpf]]/100</f>
        <v>0</v>
      </c>
      <c r="J859" s="47">
        <v>-6863.06</v>
      </c>
      <c r="K859" t="str">
        <f t="shared" si="20"/>
        <v>manufacturing</v>
      </c>
      <c r="L859">
        <v>0</v>
      </c>
      <c r="N859" t="str">
        <f>VLOOKUP(input_invoice[[#This Row],[concept/supplier]],'sel-invoice'!D:E,2,0)</f>
        <v>artlink</v>
      </c>
      <c r="O859" t="str">
        <f>VLOOKUP(input_invoice[[#This Row],[concept/supplier]],'sel-invoice'!D:F,3,0)</f>
        <v>SL</v>
      </c>
      <c r="P859" t="str">
        <f>IF(input_invoice[[#This Row],[entity]]="SL","EUR",IF(input_invoice[[#This Row],[entity]]="Ltd","GBP",IF(input_invoice[[#This Row],[entity]]="Inc","USD","XXX")))</f>
        <v>EUR</v>
      </c>
      <c r="R859" s="259" t="b">
        <v>1</v>
      </c>
    </row>
    <row r="860" spans="1:18" hidden="1" x14ac:dyDescent="0.3">
      <c r="A860">
        <v>202601</v>
      </c>
      <c r="B860" s="22" t="s">
        <v>917</v>
      </c>
      <c r="C860">
        <v>326838548</v>
      </c>
      <c r="D860" s="43">
        <v>46036</v>
      </c>
      <c r="E860" s="43">
        <v>46045</v>
      </c>
      <c r="F860" t="s">
        <v>55</v>
      </c>
      <c r="G860" s="47">
        <f>MAX(+input_invoice[[#This Row],[net]]+input_invoice[[#This Row],[tax_iva]],input_invoice[[#This Row],[net]])</f>
        <v>440.99</v>
      </c>
      <c r="H860" s="47">
        <f>input_invoice[[#This Row],[net]]*(MAX(input_invoice[[#This Row],[tax_rate_iva]],0)/100)</f>
        <v>0</v>
      </c>
      <c r="I860" s="47">
        <f>-input_invoice[[#This Row],[net]]*input_invoice[[#This Row],[tax_rate_irpf]]/100</f>
        <v>0</v>
      </c>
      <c r="J860">
        <v>440.99</v>
      </c>
      <c r="K860" t="str">
        <f t="shared" si="20"/>
        <v>logistics</v>
      </c>
      <c r="L860">
        <v>0</v>
      </c>
      <c r="N860" t="str">
        <f>VLOOKUP(input_invoice[[#This Row],[concept/supplier]],'sel-invoice'!D:E,2,0)</f>
        <v>UPS DE</v>
      </c>
      <c r="O860" t="str">
        <f>VLOOKUP(input_invoice[[#This Row],[concept/supplier]],'sel-invoice'!D:F,3,0)</f>
        <v>SL</v>
      </c>
      <c r="P860" t="str">
        <f>IF(input_invoice[[#This Row],[entity]]="SL","EUR",IF(input_invoice[[#This Row],[entity]]="Ltd","GBP",IF(input_invoice[[#This Row],[entity]]="Inc","USD","XXX")))</f>
        <v>EUR</v>
      </c>
      <c r="Q860" s="199" t="s">
        <v>1276</v>
      </c>
      <c r="R860" s="267" t="b">
        <v>1</v>
      </c>
    </row>
    <row r="861" spans="1:18" hidden="1" x14ac:dyDescent="0.3">
      <c r="A861">
        <v>202601</v>
      </c>
      <c r="B861" s="22" t="s">
        <v>917</v>
      </c>
      <c r="C861" s="48">
        <v>6032421</v>
      </c>
      <c r="D861" s="43">
        <f ca="1">input_invoice[[#This Row],[date]]+30</f>
        <v>46052</v>
      </c>
      <c r="E861" s="43">
        <v>46081</v>
      </c>
      <c r="F861" t="s">
        <v>182</v>
      </c>
      <c r="G861" s="47">
        <f>MAX(+input_invoice[[#This Row],[net]]+input_invoice[[#This Row],[tax_iva]],input_invoice[[#This Row],[net]])</f>
        <v>1157.376</v>
      </c>
      <c r="H861" s="47">
        <f>input_invoice[[#This Row],[net]]*(MAX(input_invoice[[#This Row],[tax_rate_iva]],0)/100)</f>
        <v>192.89600000000002</v>
      </c>
      <c r="I861" s="47">
        <f>-input_invoice[[#This Row],[net]]*input_invoice[[#This Row],[tax_rate_irpf]]/100</f>
        <v>0</v>
      </c>
      <c r="J861">
        <v>964.48</v>
      </c>
      <c r="K861" t="str">
        <f t="shared" si="20"/>
        <v>manufacturing</v>
      </c>
      <c r="L861">
        <v>20</v>
      </c>
      <c r="N861" t="str">
        <f>VLOOKUP(input_invoice[[#This Row],[concept/supplier]],'sel-invoice'!D:E,2,0)</f>
        <v>Proco</v>
      </c>
      <c r="O861" t="str">
        <f>VLOOKUP(input_invoice[[#This Row],[concept/supplier]],'sel-invoice'!D:F,3,0)</f>
        <v>Ltd</v>
      </c>
      <c r="P861" t="str">
        <f>IF(input_invoice[[#This Row],[entity]]="SL","EUR",IF(input_invoice[[#This Row],[entity]]="Ltd","GBP",IF(input_invoice[[#This Row],[entity]]="Inc","USD","XXX")))</f>
        <v>GBP</v>
      </c>
      <c r="Q861" s="199" t="s">
        <v>1274</v>
      </c>
      <c r="R861" s="267" t="b">
        <v>1</v>
      </c>
    </row>
    <row r="862" spans="1:18" hidden="1" x14ac:dyDescent="0.3">
      <c r="A862">
        <v>202601</v>
      </c>
      <c r="B862" s="22" t="s">
        <v>917</v>
      </c>
      <c r="C862" s="48">
        <v>6032421</v>
      </c>
      <c r="D862" s="43">
        <f ca="1">input_invoice[[#This Row],[date]]+30</f>
        <v>46052</v>
      </c>
      <c r="E862" s="43">
        <v>46081</v>
      </c>
      <c r="F862" t="s">
        <v>194</v>
      </c>
      <c r="G862" s="47">
        <f>MAX(+input_invoice[[#This Row],[net]]+input_invoice[[#This Row],[tax_iva]],input_invoice[[#This Row],[net]])</f>
        <v>829.44</v>
      </c>
      <c r="H862" s="47">
        <f>input_invoice[[#This Row],[net]]*(MAX(input_invoice[[#This Row],[tax_rate_iva]],0)/100)</f>
        <v>138.24</v>
      </c>
      <c r="I862" s="47">
        <f>-input_invoice[[#This Row],[net]]*input_invoice[[#This Row],[tax_rate_irpf]]/100</f>
        <v>0</v>
      </c>
      <c r="J862">
        <v>691.2</v>
      </c>
      <c r="K862" t="str">
        <f t="shared" si="20"/>
        <v>logistics</v>
      </c>
      <c r="L862">
        <v>20</v>
      </c>
      <c r="N862" t="str">
        <f>VLOOKUP(input_invoice[[#This Row],[concept/supplier]],'sel-invoice'!D:E,2,0)</f>
        <v>Proco</v>
      </c>
      <c r="O862" t="str">
        <f>VLOOKUP(input_invoice[[#This Row],[concept/supplier]],'sel-invoice'!D:F,3,0)</f>
        <v>Ltd</v>
      </c>
      <c r="P862" t="str">
        <f>IF(input_invoice[[#This Row],[entity]]="SL","EUR",IF(input_invoice[[#This Row],[entity]]="Ltd","GBP",IF(input_invoice[[#This Row],[entity]]="Inc","USD","XXX")))</f>
        <v>GBP</v>
      </c>
      <c r="Q862" s="199" t="s">
        <v>1274</v>
      </c>
      <c r="R862" s="267" t="b">
        <v>1</v>
      </c>
    </row>
    <row r="863" spans="1:18" hidden="1" x14ac:dyDescent="0.3">
      <c r="A863">
        <v>202601</v>
      </c>
      <c r="B863" s="22" t="s">
        <v>917</v>
      </c>
      <c r="C863" s="48">
        <v>6032421</v>
      </c>
      <c r="D863" s="43">
        <f ca="1">input_invoice[[#This Row],[date]]+30</f>
        <v>46052</v>
      </c>
      <c r="E863" s="43">
        <v>46081</v>
      </c>
      <c r="F863" t="s">
        <v>196</v>
      </c>
      <c r="G863" s="47">
        <f>MAX(+input_invoice[[#This Row],[net]]+input_invoice[[#This Row],[tax_iva]],input_invoice[[#This Row],[net]])</f>
        <v>676.62</v>
      </c>
      <c r="H863" s="47">
        <f>input_invoice[[#This Row],[net]]*(MAX(input_invoice[[#This Row],[tax_rate_iva]],0)/100)</f>
        <v>112.77000000000001</v>
      </c>
      <c r="I863" s="47">
        <f>-input_invoice[[#This Row],[net]]*input_invoice[[#This Row],[tax_rate_irpf]]/100</f>
        <v>0</v>
      </c>
      <c r="J863">
        <v>563.85</v>
      </c>
      <c r="K863" t="str">
        <f t="shared" si="20"/>
        <v>logistics</v>
      </c>
      <c r="L863">
        <v>20</v>
      </c>
      <c r="N863" t="str">
        <f>VLOOKUP(input_invoice[[#This Row],[concept/supplier]],'sel-invoice'!D:E,2,0)</f>
        <v>Proco</v>
      </c>
      <c r="O863" t="str">
        <f>VLOOKUP(input_invoice[[#This Row],[concept/supplier]],'sel-invoice'!D:F,3,0)</f>
        <v>Ltd</v>
      </c>
      <c r="P863" t="str">
        <f>IF(input_invoice[[#This Row],[entity]]="SL","EUR",IF(input_invoice[[#This Row],[entity]]="Ltd","GBP",IF(input_invoice[[#This Row],[entity]]="Inc","USD","XXX")))</f>
        <v>GBP</v>
      </c>
      <c r="Q863" s="199" t="s">
        <v>1274</v>
      </c>
      <c r="R863" s="267" t="b">
        <v>1</v>
      </c>
    </row>
    <row r="864" spans="1:18" hidden="1" x14ac:dyDescent="0.3">
      <c r="A864">
        <v>202601</v>
      </c>
      <c r="B864" s="22" t="s">
        <v>917</v>
      </c>
      <c r="C864" s="48">
        <v>6032421</v>
      </c>
      <c r="D864" s="43">
        <f ca="1">input_invoice[[#This Row],[date]]+30</f>
        <v>46052</v>
      </c>
      <c r="E864" s="43">
        <v>46081</v>
      </c>
      <c r="F864" t="s">
        <v>184</v>
      </c>
      <c r="G864" s="47">
        <f>MAX(+input_invoice[[#This Row],[net]]+input_invoice[[#This Row],[tax_iva]],input_invoice[[#This Row],[net]])</f>
        <v>3710.652</v>
      </c>
      <c r="H864" s="47">
        <f>input_invoice[[#This Row],[net]]*(MAX(input_invoice[[#This Row],[tax_rate_iva]],0)/100)</f>
        <v>618.44200000000001</v>
      </c>
      <c r="I864" s="47">
        <f>-input_invoice[[#This Row],[net]]*input_invoice[[#This Row],[tax_rate_irpf]]/100</f>
        <v>0</v>
      </c>
      <c r="J864">
        <v>3092.21</v>
      </c>
      <c r="K864" t="str">
        <f t="shared" si="20"/>
        <v>manufacturing</v>
      </c>
      <c r="L864">
        <v>20</v>
      </c>
      <c r="N864" t="str">
        <f>VLOOKUP(input_invoice[[#This Row],[concept/supplier]],'sel-invoice'!D:E,2,0)</f>
        <v>Proco</v>
      </c>
      <c r="O864" t="str">
        <f>VLOOKUP(input_invoice[[#This Row],[concept/supplier]],'sel-invoice'!D:F,3,0)</f>
        <v>Ltd</v>
      </c>
      <c r="P864" t="str">
        <f>IF(input_invoice[[#This Row],[entity]]="SL","EUR",IF(input_invoice[[#This Row],[entity]]="Ltd","GBP",IF(input_invoice[[#This Row],[entity]]="Inc","USD","XXX")))</f>
        <v>GBP</v>
      </c>
      <c r="Q864" s="199" t="s">
        <v>1274</v>
      </c>
      <c r="R864" s="267" t="b">
        <v>1</v>
      </c>
    </row>
    <row r="865" spans="1:18" hidden="1" x14ac:dyDescent="0.3">
      <c r="A865">
        <v>202601</v>
      </c>
      <c r="B865" s="22" t="s">
        <v>917</v>
      </c>
      <c r="C865" s="48">
        <v>6032421</v>
      </c>
      <c r="D865" s="43">
        <f ca="1">input_invoice[[#This Row],[date]]+30</f>
        <v>46052</v>
      </c>
      <c r="E865" s="43">
        <v>46081</v>
      </c>
      <c r="F865" t="s">
        <v>186</v>
      </c>
      <c r="G865" s="47">
        <f>MAX(+input_invoice[[#This Row],[net]]+input_invoice[[#This Row],[tax_iva]],input_invoice[[#This Row],[net]])</f>
        <v>837</v>
      </c>
      <c r="H865" s="47">
        <f>input_invoice[[#This Row],[net]]*(MAX(input_invoice[[#This Row],[tax_rate_iva]],0)/100)</f>
        <v>139.5</v>
      </c>
      <c r="I865" s="47">
        <f>-input_invoice[[#This Row],[net]]*input_invoice[[#This Row],[tax_rate_irpf]]/100</f>
        <v>0</v>
      </c>
      <c r="J865" s="47">
        <v>697.5</v>
      </c>
      <c r="K865" t="str">
        <f t="shared" si="20"/>
        <v>manufacturing</v>
      </c>
      <c r="L865">
        <v>20</v>
      </c>
      <c r="N865" t="str">
        <f>VLOOKUP(input_invoice[[#This Row],[concept/supplier]],'sel-invoice'!D:E,2,0)</f>
        <v>Proco</v>
      </c>
      <c r="O865" t="str">
        <f>VLOOKUP(input_invoice[[#This Row],[concept/supplier]],'sel-invoice'!D:F,3,0)</f>
        <v>Ltd</v>
      </c>
      <c r="P865" t="str">
        <f>IF(input_invoice[[#This Row],[entity]]="SL","EUR",IF(input_invoice[[#This Row],[entity]]="Ltd","GBP",IF(input_invoice[[#This Row],[entity]]="Inc","USD","XXX")))</f>
        <v>GBP</v>
      </c>
      <c r="Q865" s="199" t="s">
        <v>1274</v>
      </c>
      <c r="R865" s="267" t="b">
        <v>1</v>
      </c>
    </row>
    <row r="866" spans="1:18" hidden="1" x14ac:dyDescent="0.3">
      <c r="G866" s="47">
        <f ca="1">MAX(+input_invoice[[#This Row],[net]]+input_invoice[[#This Row],[tax_iva]],input_invoice[[#This Row],[net]])</f>
        <v>0</v>
      </c>
      <c r="H866" s="47">
        <f ca="1">input_invoice[[#This Row],[net]]*(MAX(input_invoice[[#This Row],[tax_rate_iva]],0)/100)</f>
        <v>0</v>
      </c>
      <c r="I866" s="47">
        <f>-input_invoice[[#This Row],[net]]*input_invoice[[#This Row],[tax_rate_irpf]]/100</f>
        <v>0</v>
      </c>
      <c r="K866" t="e">
        <f t="shared" si="20"/>
        <v>#N/A</v>
      </c>
      <c r="L866">
        <f ca="1">+input_invoice[[#This Row],[gross]]-input_invoice[[#This Row],[net]]</f>
        <v>0</v>
      </c>
      <c r="N866" t="e">
        <f>VLOOKUP(input_invoice[[#This Row],[concept/supplier]],'sel-invoice'!D:E,2,0)</f>
        <v>#N/A</v>
      </c>
      <c r="O866" t="e">
        <f>VLOOKUP(input_invoice[[#This Row],[concept/supplier]],'sel-invoice'!D:F,3,0)</f>
        <v>#N/A</v>
      </c>
      <c r="P866" t="e">
        <f>IF(input_invoice[[#This Row],[entity]]="SL","EUR",IF(input_invoice[[#This Row],[entity]]="Ltd","GBP",IF(input_invoice[[#This Row],[entity]]="Inc","USD","XXX")))</f>
        <v>#N/A</v>
      </c>
    </row>
    <row r="867" spans="1:18" hidden="1" x14ac:dyDescent="0.3">
      <c r="A867">
        <v>202601</v>
      </c>
      <c r="B867" s="22" t="s">
        <v>917</v>
      </c>
      <c r="C867">
        <v>326867966</v>
      </c>
      <c r="D867" s="43">
        <v>46043</v>
      </c>
      <c r="E867" s="43">
        <v>46054</v>
      </c>
      <c r="F867" t="s">
        <v>55</v>
      </c>
      <c r="G867" s="47">
        <f>MAX(+input_invoice[[#This Row],[net]]+input_invoice[[#This Row],[tax_iva]],input_invoice[[#This Row],[net]])</f>
        <v>2253.2800000000002</v>
      </c>
      <c r="H867" s="47">
        <f>input_invoice[[#This Row],[net]]*(MAX(input_invoice[[#This Row],[tax_rate_iva]],0)/100)</f>
        <v>0</v>
      </c>
      <c r="I867" s="47">
        <f>-input_invoice[[#This Row],[net]]*input_invoice[[#This Row],[tax_rate_irpf]]/100</f>
        <v>0</v>
      </c>
      <c r="J867">
        <v>2253.2800000000002</v>
      </c>
      <c r="K867" t="str">
        <f t="shared" si="20"/>
        <v>logistics</v>
      </c>
      <c r="L867">
        <v>0</v>
      </c>
      <c r="N867" t="str">
        <f>VLOOKUP(input_invoice[[#This Row],[concept/supplier]],'sel-invoice'!D:E,2,0)</f>
        <v>UPS DE</v>
      </c>
      <c r="O867" t="str">
        <f>VLOOKUP(input_invoice[[#This Row],[concept/supplier]],'sel-invoice'!D:F,3,0)</f>
        <v>SL</v>
      </c>
      <c r="P867" t="str">
        <f>IF(input_invoice[[#This Row],[entity]]="SL","EUR",IF(input_invoice[[#This Row],[entity]]="Ltd","GBP",IF(input_invoice[[#This Row],[entity]]="Inc","USD","XXX")))</f>
        <v>EUR</v>
      </c>
      <c r="Q867" s="199" t="s">
        <v>1277</v>
      </c>
      <c r="R867" s="267" t="b">
        <v>1</v>
      </c>
    </row>
    <row r="868" spans="1:18" hidden="1" x14ac:dyDescent="0.3">
      <c r="A868">
        <v>202601</v>
      </c>
      <c r="B868" s="22" t="s">
        <v>917</v>
      </c>
      <c r="C868">
        <v>837858124</v>
      </c>
      <c r="D868" s="43">
        <v>46027</v>
      </c>
      <c r="E868" s="43">
        <v>46036</v>
      </c>
      <c r="F868" t="s">
        <v>55</v>
      </c>
      <c r="G868" s="47">
        <f>MAX(+input_invoice[[#This Row],[net]]+input_invoice[[#This Row],[tax_iva]],input_invoice[[#This Row],[net]])</f>
        <v>57.25</v>
      </c>
      <c r="H868" s="47">
        <f>input_invoice[[#This Row],[net]]*(MAX(input_invoice[[#This Row],[tax_rate_iva]],0)/100)</f>
        <v>0</v>
      </c>
      <c r="I868" s="47">
        <f>-input_invoice[[#This Row],[net]]*input_invoice[[#This Row],[tax_rate_irpf]]/100</f>
        <v>0</v>
      </c>
      <c r="J868" s="47">
        <v>57.25</v>
      </c>
      <c r="K868" t="str">
        <f t="shared" si="20"/>
        <v>logistics</v>
      </c>
      <c r="L868">
        <v>0</v>
      </c>
      <c r="N868" t="str">
        <f>VLOOKUP(input_invoice[[#This Row],[concept/supplier]],'sel-invoice'!D:E,2,0)</f>
        <v>UPS DE</v>
      </c>
      <c r="O868" t="str">
        <f>VLOOKUP(input_invoice[[#This Row],[concept/supplier]],'sel-invoice'!D:F,3,0)</f>
        <v>SL</v>
      </c>
      <c r="P868" t="str">
        <f>IF(input_invoice[[#This Row],[entity]]="SL","EUR",IF(input_invoice[[#This Row],[entity]]="Ltd","GBP",IF(input_invoice[[#This Row],[entity]]="Inc","USD","XXX")))</f>
        <v>EUR</v>
      </c>
      <c r="Q868" s="199" t="s">
        <v>1279</v>
      </c>
      <c r="R868" s="267" t="b">
        <v>1</v>
      </c>
    </row>
    <row r="869" spans="1:18" hidden="1" x14ac:dyDescent="0.3">
      <c r="A869">
        <v>202601</v>
      </c>
      <c r="B869" s="22" t="s">
        <v>917</v>
      </c>
      <c r="C869">
        <v>837882632</v>
      </c>
      <c r="D869" s="43">
        <v>46034</v>
      </c>
      <c r="E869" s="43">
        <v>46043</v>
      </c>
      <c r="F869" t="s">
        <v>55</v>
      </c>
      <c r="G869" s="47">
        <f>MAX(+input_invoice[[#This Row],[net]]+input_invoice[[#This Row],[tax_iva]],input_invoice[[#This Row],[net]])</f>
        <v>14.96</v>
      </c>
      <c r="H869" s="47">
        <f>input_invoice[[#This Row],[net]]*(MAX(input_invoice[[#This Row],[tax_rate_iva]],0)/100)</f>
        <v>0</v>
      </c>
      <c r="I869" s="47">
        <f>-input_invoice[[#This Row],[net]]*input_invoice[[#This Row],[tax_rate_irpf]]/100</f>
        <v>0</v>
      </c>
      <c r="J869">
        <v>14.96</v>
      </c>
      <c r="K869" t="str">
        <f t="shared" si="20"/>
        <v>logistics</v>
      </c>
      <c r="L869">
        <v>0</v>
      </c>
      <c r="N869" t="str">
        <f>VLOOKUP(input_invoice[[#This Row],[concept/supplier]],'sel-invoice'!D:E,2,0)</f>
        <v>UPS DE</v>
      </c>
      <c r="O869" t="str">
        <f>VLOOKUP(input_invoice[[#This Row],[concept/supplier]],'sel-invoice'!D:F,3,0)</f>
        <v>SL</v>
      </c>
      <c r="P869" t="str">
        <f>IF(input_invoice[[#This Row],[entity]]="SL","EUR",IF(input_invoice[[#This Row],[entity]]="Ltd","GBP",IF(input_invoice[[#This Row],[entity]]="Inc","USD","XXX")))</f>
        <v>EUR</v>
      </c>
      <c r="Q869" s="199" t="s">
        <v>1280</v>
      </c>
      <c r="R869" s="267" t="b">
        <v>1</v>
      </c>
    </row>
    <row r="870" spans="1:18" hidden="1" x14ac:dyDescent="0.3">
      <c r="A870">
        <v>202601</v>
      </c>
      <c r="B870" s="22" t="s">
        <v>917</v>
      </c>
      <c r="C870" s="48" t="s">
        <v>1246</v>
      </c>
      <c r="D870" s="43">
        <v>45680</v>
      </c>
      <c r="E870" s="43">
        <v>46062</v>
      </c>
      <c r="F870" t="s">
        <v>37</v>
      </c>
      <c r="G870" s="47">
        <f>MAX(+input_invoice[[#This Row],[net]]+input_invoice[[#This Row],[tax_iva]],input_invoice[[#This Row],[net]])</f>
        <v>11807.893899999999</v>
      </c>
      <c r="H870" s="47">
        <f>input_invoice[[#This Row],[net]]*(MAX(input_invoice[[#This Row],[tax_rate_iva]],0)/100)</f>
        <v>2049.3038999999999</v>
      </c>
      <c r="I870" s="47">
        <f>-input_invoice[[#This Row],[net]]*input_invoice[[#This Row],[tax_rate_irpf]]/100</f>
        <v>0</v>
      </c>
      <c r="J870" s="47">
        <v>9758.59</v>
      </c>
      <c r="K870" t="str">
        <f t="shared" ref="K870:K901" si="21">_xlfn.TEXTBEFORE(F870," - ")</f>
        <v>manufacturing</v>
      </c>
      <c r="L870">
        <v>21</v>
      </c>
      <c r="N870" t="str">
        <f>VLOOKUP(input_invoice[[#This Row],[concept/supplier]],'sel-invoice'!D:E,2,0)</f>
        <v>Apphoto España</v>
      </c>
      <c r="O870" t="str">
        <f>VLOOKUP(input_invoice[[#This Row],[concept/supplier]],'sel-invoice'!D:F,3,0)</f>
        <v>SL</v>
      </c>
      <c r="P870" t="str">
        <f>IF(input_invoice[[#This Row],[entity]]="SL","EUR",IF(input_invoice[[#This Row],[entity]]="Ltd","GBP",IF(input_invoice[[#This Row],[entity]]="Inc","USD","XXX")))</f>
        <v>EUR</v>
      </c>
      <c r="Q870" s="199" t="s">
        <v>1247</v>
      </c>
      <c r="R870" s="259" t="b">
        <v>1</v>
      </c>
    </row>
    <row r="871" spans="1:18" hidden="1" x14ac:dyDescent="0.3">
      <c r="A871">
        <v>202601</v>
      </c>
      <c r="B871" s="22" t="s">
        <v>917</v>
      </c>
      <c r="C871">
        <v>837954641</v>
      </c>
      <c r="D871" s="43">
        <v>46048</v>
      </c>
      <c r="E871" s="43">
        <f>input_invoice[[#This Row],[date]]+14</f>
        <v>46062</v>
      </c>
      <c r="F871" t="s">
        <v>55</v>
      </c>
      <c r="G871" s="47">
        <f>MAX(+input_invoice[[#This Row],[net]]+input_invoice[[#This Row],[tax_iva]],input_invoice[[#This Row],[net]])</f>
        <v>12.81</v>
      </c>
      <c r="H871" s="47">
        <f>input_invoice[[#This Row],[net]]*(MAX(input_invoice[[#This Row],[tax_rate_iva]],0)/100)</f>
        <v>0</v>
      </c>
      <c r="I871" s="47">
        <f>-input_invoice[[#This Row],[net]]*input_invoice[[#This Row],[tax_rate_irpf]]/100</f>
        <v>0</v>
      </c>
      <c r="J871" s="47">
        <v>12.81</v>
      </c>
      <c r="K871" t="str">
        <f t="shared" si="21"/>
        <v>logistics</v>
      </c>
      <c r="L871">
        <v>0</v>
      </c>
      <c r="N871" t="str">
        <f>VLOOKUP(input_invoice[[#This Row],[concept/supplier]],'sel-invoice'!D:E,2,0)</f>
        <v>UPS DE</v>
      </c>
      <c r="O871" t="str">
        <f>VLOOKUP(input_invoice[[#This Row],[concept/supplier]],'sel-invoice'!D:F,3,0)</f>
        <v>SL</v>
      </c>
      <c r="P871" t="str">
        <f>IF(input_invoice[[#This Row],[entity]]="SL","EUR",IF(input_invoice[[#This Row],[entity]]="Ltd","GBP",IF(input_invoice[[#This Row],[entity]]="Inc","USD","XXX")))</f>
        <v>EUR</v>
      </c>
      <c r="Q871" s="199" t="s">
        <v>1282</v>
      </c>
      <c r="R871" s="259" t="b">
        <v>1</v>
      </c>
    </row>
    <row r="872" spans="1:18" hidden="1" x14ac:dyDescent="0.3">
      <c r="A872">
        <v>202601</v>
      </c>
      <c r="B872" s="22" t="s">
        <v>917</v>
      </c>
      <c r="C872" s="48">
        <v>4004566874</v>
      </c>
      <c r="D872" s="43">
        <v>46053</v>
      </c>
      <c r="E872" s="43">
        <v>46081</v>
      </c>
      <c r="F872" t="s">
        <v>52</v>
      </c>
      <c r="G872" s="47">
        <f>MAX(+input_invoice[[#This Row],[net]]+input_invoice[[#This Row],[tax_iva]],input_invoice[[#This Row],[net]])</f>
        <v>481.53159999999997</v>
      </c>
      <c r="H872" s="47">
        <f>input_invoice[[#This Row],[net]]*(MAX(input_invoice[[#This Row],[tax_rate_iva]],0)/100)</f>
        <v>83.571599999999989</v>
      </c>
      <c r="I872" s="47">
        <f>-input_invoice[[#This Row],[net]]*input_invoice[[#This Row],[tax_rate_irpf]]/100</f>
        <v>0</v>
      </c>
      <c r="J872" s="47">
        <v>397.96</v>
      </c>
      <c r="K872" t="str">
        <f t="shared" si="21"/>
        <v>logistics</v>
      </c>
      <c r="L872">
        <v>21</v>
      </c>
      <c r="N872" t="str">
        <f>VLOOKUP(input_invoice[[#This Row],[concept/supplier]],'sel-invoice'!D:E,2,0)</f>
        <v>Correos</v>
      </c>
      <c r="O872" t="str">
        <f>VLOOKUP(input_invoice[[#This Row],[concept/supplier]],'sel-invoice'!D:F,3,0)</f>
        <v>SL</v>
      </c>
      <c r="P872" t="str">
        <f>IF(input_invoice[[#This Row],[entity]]="SL","EUR",IF(input_invoice[[#This Row],[entity]]="Ltd","GBP",IF(input_invoice[[#This Row],[entity]]="Inc","USD","XXX")))</f>
        <v>EUR</v>
      </c>
      <c r="Q872" s="199" t="s">
        <v>1283</v>
      </c>
      <c r="R872" s="259" t="b">
        <v>1</v>
      </c>
    </row>
    <row r="873" spans="1:18" hidden="1" x14ac:dyDescent="0.3">
      <c r="A873">
        <v>202601</v>
      </c>
      <c r="B873" s="22" t="s">
        <v>917</v>
      </c>
      <c r="C873" s="48">
        <v>20260014</v>
      </c>
      <c r="D873" s="43">
        <v>46053</v>
      </c>
      <c r="E873" s="43">
        <v>46081</v>
      </c>
      <c r="F873" t="s">
        <v>51</v>
      </c>
      <c r="G873" s="47">
        <f>MAX(+input_invoice[[#This Row],[net]]+input_invoice[[#This Row],[tax_iva]],input_invoice[[#This Row],[net]])</f>
        <v>14906.304599999999</v>
      </c>
      <c r="H873" s="47">
        <f>input_invoice[[#This Row],[net]]*(MAX(input_invoice[[#This Row],[tax_rate_iva]],0)/100)</f>
        <v>2587.0446000000002</v>
      </c>
      <c r="I873" s="47">
        <f>-input_invoice[[#This Row],[net]]*input_invoice[[#This Row],[tax_rate_irpf]]/100</f>
        <v>0</v>
      </c>
      <c r="J873" s="47">
        <v>12319.26</v>
      </c>
      <c r="K873" t="str">
        <f t="shared" si="21"/>
        <v>logistics</v>
      </c>
      <c r="L873">
        <v>21</v>
      </c>
      <c r="N873" t="str">
        <f>VLOOKUP(input_invoice[[#This Row],[concept/supplier]],'sel-invoice'!D:E,2,0)</f>
        <v>GLS</v>
      </c>
      <c r="O873" t="str">
        <f>VLOOKUP(input_invoice[[#This Row],[concept/supplier]],'sel-invoice'!D:F,3,0)</f>
        <v>SL</v>
      </c>
      <c r="P873" t="str">
        <f>IF(input_invoice[[#This Row],[entity]]="SL","EUR",IF(input_invoice[[#This Row],[entity]]="Ltd","GBP",IF(input_invoice[[#This Row],[entity]]="Inc","USD","XXX")))</f>
        <v>EUR</v>
      </c>
      <c r="Q873" s="199" t="s">
        <v>1375</v>
      </c>
      <c r="R873" s="267" t="b">
        <v>1</v>
      </c>
    </row>
    <row r="874" spans="1:18" hidden="1" x14ac:dyDescent="0.3">
      <c r="A874">
        <v>202602</v>
      </c>
      <c r="B874" s="22" t="s">
        <v>917</v>
      </c>
      <c r="C874">
        <v>837993499</v>
      </c>
      <c r="D874" s="43">
        <v>46055</v>
      </c>
      <c r="E874" s="43">
        <v>46056</v>
      </c>
      <c r="F874" t="s">
        <v>55</v>
      </c>
      <c r="G874" s="47">
        <f>MAX(+input_invoice[[#This Row],[net]]+input_invoice[[#This Row],[tax_iva]],input_invoice[[#This Row],[net]])</f>
        <v>10.46</v>
      </c>
      <c r="H874" s="47">
        <f>input_invoice[[#This Row],[net]]*(MAX(input_invoice[[#This Row],[tax_rate_iva]],0)/100)</f>
        <v>0</v>
      </c>
      <c r="I874" s="47">
        <f>-input_invoice[[#This Row],[net]]*input_invoice[[#This Row],[tax_rate_irpf]]/100</f>
        <v>0</v>
      </c>
      <c r="J874">
        <v>10.46</v>
      </c>
      <c r="K874" t="str">
        <f t="shared" si="21"/>
        <v>logistics</v>
      </c>
      <c r="L874">
        <v>0</v>
      </c>
      <c r="N874" t="str">
        <f>VLOOKUP(input_invoice[[#This Row],[concept/supplier]],'sel-invoice'!D:E,2,0)</f>
        <v>UPS DE</v>
      </c>
      <c r="O874" t="str">
        <f>VLOOKUP(input_invoice[[#This Row],[concept/supplier]],'sel-invoice'!D:F,3,0)</f>
        <v>SL</v>
      </c>
      <c r="P874" t="str">
        <f>IF(input_invoice[[#This Row],[entity]]="SL","EUR",IF(input_invoice[[#This Row],[entity]]="Ltd","GBP",IF(input_invoice[[#This Row],[entity]]="Inc","USD","XXX")))</f>
        <v>EUR</v>
      </c>
      <c r="Q874" s="199" t="s">
        <v>1359</v>
      </c>
      <c r="R874" s="259" t="b">
        <v>1</v>
      </c>
    </row>
    <row r="875" spans="1:18" hidden="1" x14ac:dyDescent="0.3">
      <c r="A875">
        <v>202602</v>
      </c>
      <c r="B875" s="22" t="s">
        <v>917</v>
      </c>
      <c r="C875">
        <v>326966374</v>
      </c>
      <c r="D875" s="43">
        <v>46057</v>
      </c>
      <c r="E875" s="43">
        <v>46058</v>
      </c>
      <c r="F875" t="s">
        <v>55</v>
      </c>
      <c r="G875" s="47">
        <f>MAX(+input_invoice[[#This Row],[net]]+input_invoice[[#This Row],[tax_iva]],input_invoice[[#This Row],[net]])</f>
        <v>604.6</v>
      </c>
      <c r="H875" s="47">
        <f>input_invoice[[#This Row],[net]]*(MAX(input_invoice[[#This Row],[tax_rate_iva]],0)/100)</f>
        <v>0</v>
      </c>
      <c r="I875" s="47">
        <f>-input_invoice[[#This Row],[net]]*input_invoice[[#This Row],[tax_rate_irpf]]/100</f>
        <v>0</v>
      </c>
      <c r="J875">
        <v>604.6</v>
      </c>
      <c r="K875" t="str">
        <f t="shared" si="21"/>
        <v>logistics</v>
      </c>
      <c r="L875">
        <v>0</v>
      </c>
      <c r="N875" t="str">
        <f>VLOOKUP(input_invoice[[#This Row],[concept/supplier]],'sel-invoice'!D:E,2,0)</f>
        <v>UPS DE</v>
      </c>
      <c r="O875" t="str">
        <f>VLOOKUP(input_invoice[[#This Row],[concept/supplier]],'sel-invoice'!D:F,3,0)</f>
        <v>SL</v>
      </c>
      <c r="P875" t="str">
        <f>IF(input_invoice[[#This Row],[entity]]="SL","EUR",IF(input_invoice[[#This Row],[entity]]="Ltd","GBP",IF(input_invoice[[#This Row],[entity]]="Inc","USD","XXX")))</f>
        <v>EUR</v>
      </c>
      <c r="Q875" s="199" t="s">
        <v>1355</v>
      </c>
      <c r="R875" s="259" t="b">
        <v>1</v>
      </c>
    </row>
    <row r="876" spans="1:18" hidden="1" x14ac:dyDescent="0.3">
      <c r="A876">
        <v>202512</v>
      </c>
      <c r="B876" s="22" t="s">
        <v>917</v>
      </c>
      <c r="C876" s="270" t="s">
        <v>1284</v>
      </c>
      <c r="D876" s="43">
        <v>46016</v>
      </c>
      <c r="E876" s="43">
        <v>46016</v>
      </c>
      <c r="F876" t="s">
        <v>65</v>
      </c>
      <c r="G876" s="47">
        <f>MAX(+input_invoice[[#This Row],[net]]+input_invoice[[#This Row],[tax_iva]],input_invoice[[#This Row],[net]])</f>
        <v>2489.42</v>
      </c>
      <c r="H876" s="47">
        <f>input_invoice[[#This Row],[net]]*(MAX(input_invoice[[#This Row],[tax_rate_iva]],0)/100)</f>
        <v>0</v>
      </c>
      <c r="I876" s="47">
        <f>-input_invoice[[#This Row],[net]]*input_invoice[[#This Row],[tax_rate_irpf]]/100</f>
        <v>0</v>
      </c>
      <c r="J876">
        <v>2489.42</v>
      </c>
      <c r="K876" t="str">
        <f t="shared" si="21"/>
        <v>payment-suppliers</v>
      </c>
      <c r="L876">
        <v>0</v>
      </c>
      <c r="N876" t="str">
        <f>VLOOKUP(input_invoice[[#This Row],[concept/supplier]],'sel-invoice'!D:E,2,0)</f>
        <v>Shopify</v>
      </c>
      <c r="O876" t="str">
        <f>VLOOKUP(input_invoice[[#This Row],[concept/supplier]],'sel-invoice'!D:F,3,0)</f>
        <v>SL</v>
      </c>
      <c r="P876" t="str">
        <f>IF(input_invoice[[#This Row],[entity]]="SL","EUR",IF(input_invoice[[#This Row],[entity]]="Ltd","GBP",IF(input_invoice[[#This Row],[entity]]="Inc","USD","XXX")))</f>
        <v>EUR</v>
      </c>
      <c r="Q876" s="199" t="s">
        <v>1238</v>
      </c>
      <c r="R876" s="267" t="b">
        <v>1</v>
      </c>
    </row>
    <row r="877" spans="1:18" hidden="1" x14ac:dyDescent="0.3">
      <c r="A877">
        <v>202601</v>
      </c>
      <c r="B877" s="22" t="s">
        <v>917</v>
      </c>
      <c r="C877" t="s">
        <v>1285</v>
      </c>
      <c r="D877" s="43">
        <v>46027</v>
      </c>
      <c r="E877" s="43">
        <v>46028</v>
      </c>
      <c r="F877" t="s">
        <v>924</v>
      </c>
      <c r="G877" s="47">
        <f>MAX(+input_invoice[[#This Row],[net]]+input_invoice[[#This Row],[tax_iva]],input_invoice[[#This Row],[net]])</f>
        <v>114.89</v>
      </c>
      <c r="H877" s="47">
        <f>input_invoice[[#This Row],[net]]*(MAX(input_invoice[[#This Row],[tax_rate_iva]],0)/100)</f>
        <v>0</v>
      </c>
      <c r="I877" s="47">
        <f>-input_invoice[[#This Row],[net]]*input_invoice[[#This Row],[tax_rate_irpf]]/100</f>
        <v>0</v>
      </c>
      <c r="J877" s="47">
        <v>114.89</v>
      </c>
      <c r="K877" t="str">
        <f t="shared" si="21"/>
        <v>it</v>
      </c>
      <c r="L877">
        <v>0</v>
      </c>
      <c r="N877" t="str">
        <f>VLOOKUP(input_invoice[[#This Row],[concept/supplier]],'sel-invoice'!D:E,2,0)</f>
        <v>Konvo</v>
      </c>
      <c r="O877" t="str">
        <f>VLOOKUP(input_invoice[[#This Row],[concept/supplier]],'sel-invoice'!D:F,3,0)</f>
        <v>SL</v>
      </c>
      <c r="P877" t="str">
        <f>IF(input_invoice[[#This Row],[entity]]="SL","EUR",IF(input_invoice[[#This Row],[entity]]="Ltd","GBP",IF(input_invoice[[#This Row],[entity]]="Inc","USD","XXX")))</f>
        <v>EUR</v>
      </c>
      <c r="Q877" s="199" t="s">
        <v>1286</v>
      </c>
      <c r="R877" s="267" t="b">
        <v>1</v>
      </c>
    </row>
    <row r="878" spans="1:18" hidden="1" x14ac:dyDescent="0.3">
      <c r="A878">
        <v>202601</v>
      </c>
      <c r="B878" s="22" t="s">
        <v>917</v>
      </c>
      <c r="C878" t="s">
        <v>1287</v>
      </c>
      <c r="D878" s="43">
        <v>46036</v>
      </c>
      <c r="E878" s="43">
        <v>46037</v>
      </c>
      <c r="F878" t="s">
        <v>924</v>
      </c>
      <c r="G878" s="47">
        <f>MAX(+input_invoice[[#This Row],[net]]+input_invoice[[#This Row],[tax_iva]],input_invoice[[#This Row],[net]])</f>
        <v>339</v>
      </c>
      <c r="H878" s="47">
        <f>input_invoice[[#This Row],[net]]*(MAX(input_invoice[[#This Row],[tax_rate_iva]],0)/100)</f>
        <v>0</v>
      </c>
      <c r="I878" s="47">
        <f>-input_invoice[[#This Row],[net]]*input_invoice[[#This Row],[tax_rate_irpf]]/100</f>
        <v>0</v>
      </c>
      <c r="J878" s="47">
        <v>339</v>
      </c>
      <c r="K878" t="str">
        <f t="shared" si="21"/>
        <v>it</v>
      </c>
      <c r="L878">
        <v>0</v>
      </c>
      <c r="N878" t="str">
        <f>VLOOKUP(input_invoice[[#This Row],[concept/supplier]],'sel-invoice'!D:E,2,0)</f>
        <v>Konvo</v>
      </c>
      <c r="O878" t="str">
        <f>VLOOKUP(input_invoice[[#This Row],[concept/supplier]],'sel-invoice'!D:F,3,0)</f>
        <v>SL</v>
      </c>
      <c r="P878" t="str">
        <f>IF(input_invoice[[#This Row],[entity]]="SL","EUR",IF(input_invoice[[#This Row],[entity]]="Ltd","GBP",IF(input_invoice[[#This Row],[entity]]="Inc","USD","XXX")))</f>
        <v>EUR</v>
      </c>
      <c r="Q878" s="199" t="s">
        <v>1288</v>
      </c>
      <c r="R878" s="267" t="b">
        <v>1</v>
      </c>
    </row>
    <row r="879" spans="1:18" hidden="1" x14ac:dyDescent="0.3">
      <c r="A879">
        <v>202601</v>
      </c>
      <c r="B879" s="22" t="s">
        <v>917</v>
      </c>
      <c r="C879" s="271" t="s">
        <v>1290</v>
      </c>
      <c r="D879" s="43">
        <v>46040</v>
      </c>
      <c r="E879" s="43">
        <v>46041</v>
      </c>
      <c r="F879" t="s">
        <v>129</v>
      </c>
      <c r="G879" s="47">
        <f>MAX(+input_invoice[[#This Row],[net]]+input_invoice[[#This Row],[tax_iva]],input_invoice[[#This Row],[net]])</f>
        <v>45.496000000000002</v>
      </c>
      <c r="H879" s="47">
        <f>input_invoice[[#This Row],[net]]*(MAX(input_invoice[[#This Row],[tax_rate_iva]],0)/100)</f>
        <v>7.8959999999999999</v>
      </c>
      <c r="I879" s="47">
        <f>-input_invoice[[#This Row],[net]]*input_invoice[[#This Row],[tax_rate_irpf]]/100</f>
        <v>0</v>
      </c>
      <c r="J879">
        <v>37.6</v>
      </c>
      <c r="K879" t="str">
        <f t="shared" si="21"/>
        <v>it</v>
      </c>
      <c r="L879">
        <v>21</v>
      </c>
      <c r="N879" t="str">
        <f>VLOOKUP(input_invoice[[#This Row],[concept/supplier]],'sel-invoice'!D:E,2,0)</f>
        <v>Microsoft</v>
      </c>
      <c r="O879" t="str">
        <f>VLOOKUP(input_invoice[[#This Row],[concept/supplier]],'sel-invoice'!D:F,3,0)</f>
        <v>SL</v>
      </c>
      <c r="P879" t="str">
        <f>IF(input_invoice[[#This Row],[entity]]="SL","EUR",IF(input_invoice[[#This Row],[entity]]="Ltd","GBP",IF(input_invoice[[#This Row],[entity]]="Inc","USD","XXX")))</f>
        <v>EUR</v>
      </c>
      <c r="Q879" s="199" t="s">
        <v>1289</v>
      </c>
      <c r="R879" s="267" t="b">
        <v>1</v>
      </c>
    </row>
    <row r="880" spans="1:18" hidden="1" x14ac:dyDescent="0.3">
      <c r="A880">
        <v>202601</v>
      </c>
      <c r="B880" s="22" t="s">
        <v>917</v>
      </c>
      <c r="C880" t="s">
        <v>1292</v>
      </c>
      <c r="D880" s="43">
        <v>46035</v>
      </c>
      <c r="E880" s="43">
        <v>46036</v>
      </c>
      <c r="F880" t="s">
        <v>129</v>
      </c>
      <c r="G880" s="47">
        <f>MAX(+input_invoice[[#This Row],[net]]+input_invoice[[#This Row],[tax_iva]],input_invoice[[#This Row],[net]])</f>
        <v>37.352699999999999</v>
      </c>
      <c r="H880" s="47">
        <f>input_invoice[[#This Row],[net]]*(MAX(input_invoice[[#This Row],[tax_rate_iva]],0)/100)</f>
        <v>6.4827000000000004</v>
      </c>
      <c r="I880" s="47">
        <f>-input_invoice[[#This Row],[net]]*input_invoice[[#This Row],[tax_rate_irpf]]/100</f>
        <v>0</v>
      </c>
      <c r="J880" s="47">
        <v>30.87</v>
      </c>
      <c r="K880" t="str">
        <f t="shared" si="21"/>
        <v>it</v>
      </c>
      <c r="L880">
        <v>21</v>
      </c>
      <c r="N880" t="str">
        <f>VLOOKUP(input_invoice[[#This Row],[concept/supplier]],'sel-invoice'!D:E,2,0)</f>
        <v>Microsoft</v>
      </c>
      <c r="O880" t="str">
        <f>VLOOKUP(input_invoice[[#This Row],[concept/supplier]],'sel-invoice'!D:F,3,0)</f>
        <v>SL</v>
      </c>
      <c r="P880" t="str">
        <f>IF(input_invoice[[#This Row],[entity]]="SL","EUR",IF(input_invoice[[#This Row],[entity]]="Ltd","GBP",IF(input_invoice[[#This Row],[entity]]="Inc","USD","XXX")))</f>
        <v>EUR</v>
      </c>
      <c r="Q880" s="199" t="s">
        <v>1291</v>
      </c>
      <c r="R880" s="267" t="b">
        <v>1</v>
      </c>
    </row>
    <row r="881" spans="1:19" hidden="1" x14ac:dyDescent="0.3">
      <c r="A881">
        <v>202601</v>
      </c>
      <c r="B881" s="22" t="s">
        <v>917</v>
      </c>
      <c r="C881">
        <v>5472439457</v>
      </c>
      <c r="D881" s="43">
        <v>46053</v>
      </c>
      <c r="E881" s="43">
        <v>46029</v>
      </c>
      <c r="F881" t="s">
        <v>133</v>
      </c>
      <c r="G881" s="47">
        <f>MAX(+input_invoice[[#This Row],[net]]+input_invoice[[#This Row],[tax_iva]],input_invoice[[#This Row],[net]])</f>
        <v>194.4</v>
      </c>
      <c r="H881" s="47">
        <f>input_invoice[[#This Row],[net]]*(MAX(input_invoice[[#This Row],[tax_rate_iva]],0)/100)</f>
        <v>0</v>
      </c>
      <c r="I881" s="47">
        <f>-input_invoice[[#This Row],[net]]*input_invoice[[#This Row],[tax_rate_irpf]]/100</f>
        <v>0</v>
      </c>
      <c r="J881" s="47">
        <v>194.4</v>
      </c>
      <c r="K881" t="str">
        <f t="shared" si="21"/>
        <v>it</v>
      </c>
      <c r="L881">
        <v>0</v>
      </c>
      <c r="N881" t="str">
        <f>VLOOKUP(input_invoice[[#This Row],[concept/supplier]],'sel-invoice'!D:E,2,0)</f>
        <v>Gsuite</v>
      </c>
      <c r="O881" t="str">
        <f>VLOOKUP(input_invoice[[#This Row],[concept/supplier]],'sel-invoice'!D:F,3,0)</f>
        <v>SL</v>
      </c>
      <c r="P881" t="str">
        <f>IF(input_invoice[[#This Row],[entity]]="SL","EUR",IF(input_invoice[[#This Row],[entity]]="Ltd","GBP",IF(input_invoice[[#This Row],[entity]]="Inc","USD","XXX")))</f>
        <v>EUR</v>
      </c>
      <c r="Q881" s="199" t="s">
        <v>1293</v>
      </c>
      <c r="R881" s="267" t="b">
        <v>1</v>
      </c>
    </row>
    <row r="882" spans="1:19" hidden="1" x14ac:dyDescent="0.3">
      <c r="A882">
        <v>202601</v>
      </c>
      <c r="B882" s="22" t="s">
        <v>917</v>
      </c>
      <c r="C882" t="s">
        <v>1294</v>
      </c>
      <c r="D882" s="43">
        <v>46050</v>
      </c>
      <c r="E882" s="43">
        <v>46051</v>
      </c>
      <c r="F882" t="s">
        <v>150</v>
      </c>
      <c r="G882" s="47">
        <f>MAX(+input_invoice[[#This Row],[net]]+input_invoice[[#This Row],[tax_iva]],input_invoice[[#This Row],[net]])</f>
        <v>33.49</v>
      </c>
      <c r="H882" s="47">
        <f>input_invoice[[#This Row],[net]]*(MAX(input_invoice[[#This Row],[tax_rate_iva]],0)/100)</f>
        <v>0</v>
      </c>
      <c r="I882" s="47">
        <f>-input_invoice[[#This Row],[net]]*input_invoice[[#This Row],[tax_rate_irpf]]/100</f>
        <v>0</v>
      </c>
      <c r="J882" s="47">
        <v>33.49</v>
      </c>
      <c r="K882" t="str">
        <f t="shared" si="21"/>
        <v>it</v>
      </c>
      <c r="L882">
        <v>0</v>
      </c>
      <c r="N882" t="str">
        <f>VLOOKUP(input_invoice[[#This Row],[concept/supplier]],'sel-invoice'!D:E,2,0)</f>
        <v>adobe</v>
      </c>
      <c r="O882" t="str">
        <f>VLOOKUP(input_invoice[[#This Row],[concept/supplier]],'sel-invoice'!D:F,3,0)</f>
        <v>SL</v>
      </c>
      <c r="P882" t="str">
        <f>IF(input_invoice[[#This Row],[entity]]="SL","EUR",IF(input_invoice[[#This Row],[entity]]="Ltd","GBP",IF(input_invoice[[#This Row],[entity]]="Inc","USD","XXX")))</f>
        <v>EUR</v>
      </c>
      <c r="Q882" s="199" t="s">
        <v>1295</v>
      </c>
      <c r="R882" s="267" t="b">
        <v>1</v>
      </c>
    </row>
    <row r="883" spans="1:19" x14ac:dyDescent="0.3">
      <c r="A883">
        <v>202601</v>
      </c>
      <c r="B883" s="22" t="s">
        <v>917</v>
      </c>
      <c r="C883" t="s">
        <v>1296</v>
      </c>
      <c r="D883" s="43">
        <v>46023</v>
      </c>
      <c r="E883" s="43">
        <v>46037</v>
      </c>
      <c r="F883" t="s">
        <v>117</v>
      </c>
      <c r="G883" s="47">
        <f>MAX(+input_invoice[[#This Row],[net]]+input_invoice[[#This Row],[tax_iva]],input_invoice[[#This Row],[net]])</f>
        <v>28.53</v>
      </c>
      <c r="H883" s="47">
        <f>input_invoice[[#This Row],[net]]*(MAX(input_invoice[[#This Row],[tax_rate_iva]],0)/100)</f>
        <v>0</v>
      </c>
      <c r="I883" s="47">
        <f>-input_invoice[[#This Row],[net]]*input_invoice[[#This Row],[tax_rate_irpf]]/100</f>
        <v>0</v>
      </c>
      <c r="J883" s="47">
        <v>28.53</v>
      </c>
      <c r="K883" t="str">
        <f t="shared" si="21"/>
        <v>administrative</v>
      </c>
      <c r="L883">
        <v>0</v>
      </c>
      <c r="N883" t="str">
        <f>VLOOKUP(input_invoice[[#This Row],[concept/supplier]],'sel-invoice'!D:E,2,0)</f>
        <v>regus</v>
      </c>
      <c r="O883" t="str">
        <f>VLOOKUP(input_invoice[[#This Row],[concept/supplier]],'sel-invoice'!D:F,3,0)</f>
        <v>Inc</v>
      </c>
      <c r="P883" t="str">
        <f>IF(input_invoice[[#This Row],[entity]]="SL","EUR",IF(input_invoice[[#This Row],[entity]]="Ltd","GBP",IF(input_invoice[[#This Row],[entity]]="Inc","USD","XXX")))</f>
        <v>USD</v>
      </c>
      <c r="Q883" s="199" t="s">
        <v>1297</v>
      </c>
      <c r="R883" s="267" t="b">
        <v>1</v>
      </c>
    </row>
    <row r="884" spans="1:19" hidden="1" x14ac:dyDescent="0.3">
      <c r="A884">
        <v>202601</v>
      </c>
      <c r="B884" s="22" t="s">
        <v>917</v>
      </c>
      <c r="C884" t="s">
        <v>1302</v>
      </c>
      <c r="D884" s="43">
        <v>46042</v>
      </c>
      <c r="E884" s="43">
        <v>46043</v>
      </c>
      <c r="F884" t="s">
        <v>152</v>
      </c>
      <c r="G884" s="47">
        <f>MAX(+input_invoice[[#This Row],[net]]+input_invoice[[#This Row],[tax_iva]],input_invoice[[#This Row],[net]])</f>
        <v>23.002100000000002</v>
      </c>
      <c r="H884" s="47">
        <f>input_invoice[[#This Row],[net]]*(MAX(input_invoice[[#This Row],[tax_rate_iva]],0)/100)</f>
        <v>3.9921000000000002</v>
      </c>
      <c r="I884" s="47">
        <f>-input_invoice[[#This Row],[net]]*input_invoice[[#This Row],[tax_rate_irpf]]/100</f>
        <v>0</v>
      </c>
      <c r="J884" s="47">
        <v>19.010000000000002</v>
      </c>
      <c r="K884" t="str">
        <f t="shared" si="21"/>
        <v>it</v>
      </c>
      <c r="L884">
        <v>21</v>
      </c>
      <c r="N884" t="str">
        <f>VLOOKUP(input_invoice[[#This Row],[concept/supplier]],'sel-invoice'!D:E,2,0)</f>
        <v>epi</v>
      </c>
      <c r="O884" t="str">
        <f>VLOOKUP(input_invoice[[#This Row],[concept/supplier]],'sel-invoice'!D:F,3,0)</f>
        <v>SL</v>
      </c>
      <c r="P884" t="str">
        <f>IF(input_invoice[[#This Row],[entity]]="SL","EUR",IF(input_invoice[[#This Row],[entity]]="Ltd","GBP",IF(input_invoice[[#This Row],[entity]]="Inc","USD","XXX")))</f>
        <v>EUR</v>
      </c>
      <c r="Q884" s="199" t="s">
        <v>1303</v>
      </c>
      <c r="R884" s="267" t="b">
        <v>1</v>
      </c>
    </row>
    <row r="885" spans="1:19" hidden="1" x14ac:dyDescent="0.3">
      <c r="A885">
        <v>202601</v>
      </c>
      <c r="B885" s="22" t="s">
        <v>917</v>
      </c>
      <c r="C885" t="s">
        <v>1304</v>
      </c>
      <c r="D885" s="43">
        <v>46040</v>
      </c>
      <c r="E885" s="43">
        <v>46041</v>
      </c>
      <c r="F885" t="s">
        <v>143</v>
      </c>
      <c r="G885" s="47">
        <f>MAX(+input_invoice[[#This Row],[net]]+input_invoice[[#This Row],[tax_iva]],input_invoice[[#This Row],[net]])</f>
        <v>11.991099999999999</v>
      </c>
      <c r="H885" s="47">
        <f>input_invoice[[#This Row],[net]]*(MAX(input_invoice[[#This Row],[tax_rate_iva]],0)/100)</f>
        <v>2.0811000000000002</v>
      </c>
      <c r="I885" s="47">
        <f>-input_invoice[[#This Row],[net]]*input_invoice[[#This Row],[tax_rate_irpf]]/100</f>
        <v>0</v>
      </c>
      <c r="J885" s="47">
        <v>9.91</v>
      </c>
      <c r="K885" t="str">
        <f t="shared" si="21"/>
        <v>it</v>
      </c>
      <c r="L885">
        <v>21</v>
      </c>
      <c r="N885" t="str">
        <f>VLOOKUP(input_invoice[[#This Row],[concept/supplier]],'sel-invoice'!D:E,2,0)</f>
        <v>Canva</v>
      </c>
      <c r="O885" t="str">
        <f>VLOOKUP(input_invoice[[#This Row],[concept/supplier]],'sel-invoice'!D:F,3,0)</f>
        <v>SL</v>
      </c>
      <c r="P885" t="str">
        <f>IF(input_invoice[[#This Row],[entity]]="SL","EUR",IF(input_invoice[[#This Row],[entity]]="Ltd","GBP",IF(input_invoice[[#This Row],[entity]]="Inc","USD","XXX")))</f>
        <v>EUR</v>
      </c>
      <c r="Q885" s="199" t="s">
        <v>1305</v>
      </c>
      <c r="R885" s="267" t="b">
        <v>1</v>
      </c>
    </row>
    <row r="886" spans="1:19" hidden="1" x14ac:dyDescent="0.3">
      <c r="A886">
        <v>202601</v>
      </c>
      <c r="B886" s="22" t="s">
        <v>917</v>
      </c>
      <c r="C886" t="s">
        <v>1306</v>
      </c>
      <c r="D886" s="43">
        <v>46042</v>
      </c>
      <c r="E886" s="43">
        <v>46043</v>
      </c>
      <c r="F886" t="s">
        <v>152</v>
      </c>
      <c r="G886" s="47">
        <f>MAX(+input_invoice[[#This Row],[net]]+input_invoice[[#This Row],[tax_iva]],input_invoice[[#This Row],[net]])</f>
        <v>10.8658</v>
      </c>
      <c r="H886" s="47">
        <f>input_invoice[[#This Row],[net]]*(MAX(input_invoice[[#This Row],[tax_rate_iva]],0)/100)</f>
        <v>1.8857999999999999</v>
      </c>
      <c r="I886" s="47">
        <f>-input_invoice[[#This Row],[net]]*input_invoice[[#This Row],[tax_rate_irpf]]/100</f>
        <v>0</v>
      </c>
      <c r="J886" s="47">
        <v>8.98</v>
      </c>
      <c r="K886" t="str">
        <f t="shared" si="21"/>
        <v>it</v>
      </c>
      <c r="L886">
        <v>21</v>
      </c>
      <c r="N886" t="str">
        <f>VLOOKUP(input_invoice[[#This Row],[concept/supplier]],'sel-invoice'!D:E,2,0)</f>
        <v>epi</v>
      </c>
      <c r="O886" t="str">
        <f>VLOOKUP(input_invoice[[#This Row],[concept/supplier]],'sel-invoice'!D:F,3,0)</f>
        <v>SL</v>
      </c>
      <c r="P886" t="str">
        <f>IF(input_invoice[[#This Row],[entity]]="SL","EUR",IF(input_invoice[[#This Row],[entity]]="Ltd","GBP",IF(input_invoice[[#This Row],[entity]]="Inc","USD","XXX")))</f>
        <v>EUR</v>
      </c>
      <c r="Q886" s="199" t="s">
        <v>1307</v>
      </c>
      <c r="R886" s="267" t="b">
        <v>1</v>
      </c>
    </row>
    <row r="887" spans="1:19" hidden="1" x14ac:dyDescent="0.3">
      <c r="A887">
        <v>202601</v>
      </c>
      <c r="B887" s="22" t="s">
        <v>917</v>
      </c>
      <c r="C887">
        <v>3984999752</v>
      </c>
      <c r="D887" s="43">
        <v>46027</v>
      </c>
      <c r="E887" s="43">
        <v>46028</v>
      </c>
      <c r="F887" t="s">
        <v>125</v>
      </c>
      <c r="G887" s="47">
        <f>MAX(+input_invoice[[#This Row],[net]]+input_invoice[[#This Row],[tax_iva]],input_invoice[[#This Row],[net]])</f>
        <v>20.557899999999997</v>
      </c>
      <c r="H887" s="47">
        <f>input_invoice[[#This Row],[net]]*(MAX(input_invoice[[#This Row],[tax_rate_iva]],0)/100)</f>
        <v>3.5678999999999994</v>
      </c>
      <c r="I887" s="47">
        <f>-input_invoice[[#This Row],[net]]*input_invoice[[#This Row],[tax_rate_irpf]]/100</f>
        <v>0</v>
      </c>
      <c r="J887" s="47">
        <v>16.989999999999998</v>
      </c>
      <c r="K887" t="str">
        <f t="shared" si="21"/>
        <v>it</v>
      </c>
      <c r="L887">
        <v>21</v>
      </c>
      <c r="N887" t="str">
        <f>VLOOKUP(input_invoice[[#This Row],[concept/supplier]],'sel-invoice'!D:E,2,0)</f>
        <v>Godaddy</v>
      </c>
      <c r="O887" t="str">
        <f>VLOOKUP(input_invoice[[#This Row],[concept/supplier]],'sel-invoice'!D:F,3,0)</f>
        <v>SL</v>
      </c>
      <c r="P887" t="str">
        <f>IF(input_invoice[[#This Row],[entity]]="SL","EUR",IF(input_invoice[[#This Row],[entity]]="Ltd","GBP",IF(input_invoice[[#This Row],[entity]]="Inc","USD","XXX")))</f>
        <v>EUR</v>
      </c>
      <c r="Q887" s="199" t="s">
        <v>1308</v>
      </c>
      <c r="R887" s="267" t="b">
        <v>1</v>
      </c>
    </row>
    <row r="888" spans="1:19" hidden="1" x14ac:dyDescent="0.3">
      <c r="A888">
        <v>202601</v>
      </c>
      <c r="B888" s="22" t="s">
        <v>917</v>
      </c>
      <c r="C888">
        <v>3994794936</v>
      </c>
      <c r="D888" s="43">
        <v>46039</v>
      </c>
      <c r="E888" s="43">
        <v>46040</v>
      </c>
      <c r="F888" t="s">
        <v>125</v>
      </c>
      <c r="G888" s="47">
        <f>MAX(+input_invoice[[#This Row],[net]]+input_invoice[[#This Row],[tax_iva]],input_invoice[[#This Row],[net]])</f>
        <v>20.860399999999998</v>
      </c>
      <c r="H888" s="47">
        <f>input_invoice[[#This Row],[net]]*(MAX(input_invoice[[#This Row],[tax_rate_iva]],0)/100)</f>
        <v>3.6203999999999996</v>
      </c>
      <c r="I888" s="47">
        <f>-input_invoice[[#This Row],[net]]*input_invoice[[#This Row],[tax_rate_irpf]]/100</f>
        <v>0</v>
      </c>
      <c r="J888" s="47">
        <v>17.239999999999998</v>
      </c>
      <c r="K888" t="str">
        <f t="shared" si="21"/>
        <v>it</v>
      </c>
      <c r="L888">
        <v>21</v>
      </c>
      <c r="N888" t="str">
        <f>VLOOKUP(input_invoice[[#This Row],[concept/supplier]],'sel-invoice'!D:E,2,0)</f>
        <v>Godaddy</v>
      </c>
      <c r="O888" t="str">
        <f>VLOOKUP(input_invoice[[#This Row],[concept/supplier]],'sel-invoice'!D:F,3,0)</f>
        <v>SL</v>
      </c>
      <c r="P888" t="str">
        <f>IF(input_invoice[[#This Row],[entity]]="SL","EUR",IF(input_invoice[[#This Row],[entity]]="Ltd","GBP",IF(input_invoice[[#This Row],[entity]]="Inc","USD","XXX")))</f>
        <v>EUR</v>
      </c>
      <c r="Q888" s="199" t="s">
        <v>1309</v>
      </c>
      <c r="R888" s="267" t="b">
        <v>1</v>
      </c>
    </row>
    <row r="889" spans="1:19" hidden="1" x14ac:dyDescent="0.3">
      <c r="A889">
        <v>202601</v>
      </c>
      <c r="B889" s="22" t="s">
        <v>917</v>
      </c>
      <c r="C889" s="48" t="s">
        <v>1201</v>
      </c>
      <c r="D889" s="43">
        <v>46036</v>
      </c>
      <c r="E889" s="43">
        <v>46067</v>
      </c>
      <c r="F889" t="s">
        <v>145</v>
      </c>
      <c r="G889" s="47">
        <f>MAX(+input_invoice[[#This Row],[net]]+input_invoice[[#This Row],[tax_iva]],input_invoice[[#This Row],[net]])</f>
        <v>201.2</v>
      </c>
      <c r="H889" s="47">
        <f>input_invoice[[#This Row],[net]]*(MAX(input_invoice[[#This Row],[tax_rate_iva]],0)/100)</f>
        <v>0</v>
      </c>
      <c r="I889" s="47">
        <f>-input_invoice[[#This Row],[net]]*input_invoice[[#This Row],[tax_rate_irpf]]/100</f>
        <v>0</v>
      </c>
      <c r="J889" s="47">
        <v>201.2</v>
      </c>
      <c r="K889" t="str">
        <f t="shared" si="21"/>
        <v>it</v>
      </c>
      <c r="L889">
        <v>0</v>
      </c>
      <c r="N889" t="str">
        <f>VLOOKUP(input_invoice[[#This Row],[concept/supplier]],'sel-invoice'!D:E,2,0)</f>
        <v>Gorgias</v>
      </c>
      <c r="O889" t="str">
        <f>VLOOKUP(input_invoice[[#This Row],[concept/supplier]],'sel-invoice'!D:F,3,0)</f>
        <v>SL</v>
      </c>
      <c r="P889" t="str">
        <f>IF(input_invoice[[#This Row],[entity]]="SL","EUR",IF(input_invoice[[#This Row],[entity]]="Ltd","GBP",IF(input_invoice[[#This Row],[entity]]="Inc","USD","XXX")))</f>
        <v>EUR</v>
      </c>
      <c r="Q889" s="199" t="s">
        <v>1202</v>
      </c>
      <c r="R889" s="259" t="b">
        <v>1</v>
      </c>
    </row>
    <row r="890" spans="1:19" hidden="1" x14ac:dyDescent="0.3">
      <c r="A890">
        <v>202601</v>
      </c>
      <c r="B890" s="22" t="s">
        <v>917</v>
      </c>
      <c r="C890" s="48" t="s">
        <v>1263</v>
      </c>
      <c r="D890" s="43">
        <v>46053</v>
      </c>
      <c r="E890" s="43">
        <f>input_invoice[[#This Row],[date]]+14</f>
        <v>46067</v>
      </c>
      <c r="F890" t="s">
        <v>43</v>
      </c>
      <c r="G890" s="47">
        <f>MAX(+input_invoice[[#This Row],[net]]+input_invoice[[#This Row],[tax_iva]],input_invoice[[#This Row],[net]])</f>
        <v>4525.0821000000005</v>
      </c>
      <c r="H890" s="47">
        <f>input_invoice[[#This Row],[net]]*(MAX(input_invoice[[#This Row],[tax_rate_iva]],0)/100)</f>
        <v>722.49210000000005</v>
      </c>
      <c r="I890" s="47">
        <f>-input_invoice[[#This Row],[net]]*input_invoice[[#This Row],[tax_rate_irpf]]/100</f>
        <v>0</v>
      </c>
      <c r="J890" s="47">
        <v>3802.59</v>
      </c>
      <c r="K890" t="str">
        <f t="shared" si="21"/>
        <v>manufacturing</v>
      </c>
      <c r="L890">
        <v>19</v>
      </c>
      <c r="N890" t="str">
        <f>VLOOKUP(input_invoice[[#This Row],[concept/supplier]],'sel-invoice'!D:E,2,0)</f>
        <v>DCT</v>
      </c>
      <c r="O890" t="str">
        <f>VLOOKUP(input_invoice[[#This Row],[concept/supplier]],'sel-invoice'!D:F,3,0)</f>
        <v>SL</v>
      </c>
      <c r="P890" t="str">
        <f>IF(input_invoice[[#This Row],[entity]]="SL","EUR",IF(input_invoice[[#This Row],[entity]]="Ltd","GBP",IF(input_invoice[[#This Row],[entity]]="Inc","USD","XXX")))</f>
        <v>EUR</v>
      </c>
      <c r="Q890" s="199" t="s">
        <v>1264</v>
      </c>
      <c r="R890" s="259" t="b">
        <v>1</v>
      </c>
    </row>
    <row r="891" spans="1:19" hidden="1" x14ac:dyDescent="0.3">
      <c r="A891">
        <v>202512</v>
      </c>
      <c r="B891" s="22" t="s">
        <v>917</v>
      </c>
      <c r="C891" s="48" t="s">
        <v>1311</v>
      </c>
      <c r="D891" s="43">
        <v>46022</v>
      </c>
      <c r="E891" s="43">
        <v>46023</v>
      </c>
      <c r="F891" t="s">
        <v>1312</v>
      </c>
      <c r="G891" s="47">
        <f>MAX(+input_invoice[[#This Row],[net]]+input_invoice[[#This Row],[tax_iva]],input_invoice[[#This Row],[net]])</f>
        <v>52263.154900000001</v>
      </c>
      <c r="H891" s="47">
        <f>input_invoice[[#This Row],[net]]*(MAX(input_invoice[[#This Row],[tax_rate_iva]],0)/100)</f>
        <v>9070.4649000000009</v>
      </c>
      <c r="I891" s="47">
        <f>-input_invoice[[#This Row],[net]]*input_invoice[[#This Row],[tax_rate_irpf]]/100</f>
        <v>0</v>
      </c>
      <c r="J891" s="47">
        <v>43192.69</v>
      </c>
      <c r="K891" t="str">
        <f t="shared" si="21"/>
        <v>administrative</v>
      </c>
      <c r="L891">
        <v>21</v>
      </c>
      <c r="N891" t="str">
        <f>VLOOKUP(input_invoice[[#This Row],[concept/supplier]],'sel-invoice'!D:E,2,0)</f>
        <v>hannun</v>
      </c>
      <c r="O891" t="str">
        <f>VLOOKUP(input_invoice[[#This Row],[concept/supplier]],'sel-invoice'!D:F,3,0)</f>
        <v>SL</v>
      </c>
      <c r="P891" t="str">
        <f>IF(input_invoice[[#This Row],[entity]]="SL","EUR",IF(input_invoice[[#This Row],[entity]]="Ltd","GBP",IF(input_invoice[[#This Row],[entity]]="Inc","USD","XXX")))</f>
        <v>EUR</v>
      </c>
      <c r="R891" s="267" t="b">
        <v>1</v>
      </c>
      <c r="S891" t="s">
        <v>1313</v>
      </c>
    </row>
    <row r="892" spans="1:19" hidden="1" x14ac:dyDescent="0.3">
      <c r="A892">
        <v>202601</v>
      </c>
      <c r="B892" s="22" t="s">
        <v>917</v>
      </c>
      <c r="C892" s="48" t="s">
        <v>1265</v>
      </c>
      <c r="D892" s="43">
        <v>46053</v>
      </c>
      <c r="E892" s="43">
        <f>input_invoice[[#This Row],[date]]+14</f>
        <v>46067</v>
      </c>
      <c r="F892" t="s">
        <v>43</v>
      </c>
      <c r="G892" s="47">
        <f>MAX(+input_invoice[[#This Row],[net]]+input_invoice[[#This Row],[tax_iva]],input_invoice[[#This Row],[net]])</f>
        <v>110.075</v>
      </c>
      <c r="H892" s="47">
        <f>input_invoice[[#This Row],[net]]*(MAX(input_invoice[[#This Row],[tax_rate_iva]],0)/100)</f>
        <v>17.574999999999999</v>
      </c>
      <c r="I892" s="47">
        <f>-input_invoice[[#This Row],[net]]*input_invoice[[#This Row],[tax_rate_irpf]]/100</f>
        <v>0</v>
      </c>
      <c r="J892" s="47">
        <v>92.5</v>
      </c>
      <c r="K892" t="str">
        <f t="shared" si="21"/>
        <v>manufacturing</v>
      </c>
      <c r="L892">
        <v>19</v>
      </c>
      <c r="N892" t="str">
        <f>VLOOKUP(input_invoice[[#This Row],[concept/supplier]],'sel-invoice'!D:E,2,0)</f>
        <v>DCT</v>
      </c>
      <c r="O892" t="str">
        <f>VLOOKUP(input_invoice[[#This Row],[concept/supplier]],'sel-invoice'!D:F,3,0)</f>
        <v>SL</v>
      </c>
      <c r="P892" t="str">
        <f>IF(input_invoice[[#This Row],[entity]]="SL","EUR",IF(input_invoice[[#This Row],[entity]]="Ltd","GBP",IF(input_invoice[[#This Row],[entity]]="Inc","USD","XXX")))</f>
        <v>EUR</v>
      </c>
      <c r="Q892" s="199" t="s">
        <v>1266</v>
      </c>
      <c r="R892" s="259" t="b">
        <v>1</v>
      </c>
    </row>
    <row r="893" spans="1:19" hidden="1" x14ac:dyDescent="0.3">
      <c r="A893">
        <v>202602</v>
      </c>
      <c r="B893" s="22" t="s">
        <v>917</v>
      </c>
      <c r="C893" t="s">
        <v>1370</v>
      </c>
      <c r="D893" s="43">
        <v>46066</v>
      </c>
      <c r="E893" s="43">
        <v>46067</v>
      </c>
      <c r="F893" t="s">
        <v>129</v>
      </c>
      <c r="G893" s="47">
        <f>MAX(+input_invoice[[#This Row],[net]]+input_invoice[[#This Row],[tax_iva]],input_invoice[[#This Row],[net]])</f>
        <v>37.352699999999999</v>
      </c>
      <c r="H893" s="47">
        <f>input_invoice[[#This Row],[net]]*(MAX(input_invoice[[#This Row],[tax_rate_iva]],0)/100)</f>
        <v>6.4827000000000004</v>
      </c>
      <c r="I893" s="47">
        <f>-input_invoice[[#This Row],[net]]*input_invoice[[#This Row],[tax_rate_irpf]]/100</f>
        <v>0</v>
      </c>
      <c r="J893" s="47">
        <v>30.87</v>
      </c>
      <c r="K893" t="str">
        <f t="shared" si="21"/>
        <v>it</v>
      </c>
      <c r="L893">
        <v>21</v>
      </c>
      <c r="N893" t="str">
        <f>VLOOKUP(input_invoice[[#This Row],[concept/supplier]],'sel-invoice'!D:E,2,0)</f>
        <v>Microsoft</v>
      </c>
      <c r="O893" t="str">
        <f>VLOOKUP(input_invoice[[#This Row],[concept/supplier]],'sel-invoice'!D:F,3,0)</f>
        <v>SL</v>
      </c>
      <c r="P893" t="str">
        <f>IF(input_invoice[[#This Row],[entity]]="SL","EUR",IF(input_invoice[[#This Row],[entity]]="Ltd","GBP",IF(input_invoice[[#This Row],[entity]]="Inc","USD","XXX")))</f>
        <v>EUR</v>
      </c>
      <c r="Q893" s="199" t="s">
        <v>1371</v>
      </c>
      <c r="R893" s="259" t="b">
        <v>1</v>
      </c>
    </row>
    <row r="894" spans="1:19" hidden="1" x14ac:dyDescent="0.3">
      <c r="A894">
        <v>202601</v>
      </c>
      <c r="B894" s="22" t="s">
        <v>917</v>
      </c>
      <c r="C894" s="48" t="s">
        <v>1257</v>
      </c>
      <c r="D894" s="43">
        <v>46050</v>
      </c>
      <c r="E894" s="43">
        <v>46069</v>
      </c>
      <c r="F894" t="s">
        <v>39</v>
      </c>
      <c r="G894" s="47">
        <f>MAX(+input_invoice[[#This Row],[net]]+input_invoice[[#This Row],[tax_iva]],input_invoice[[#This Row],[net]])</f>
        <v>31.2654</v>
      </c>
      <c r="H894" s="47">
        <f>input_invoice[[#This Row],[net]]*(MAX(input_invoice[[#This Row],[tax_rate_iva]],0)/100)</f>
        <v>2.0454000000000003</v>
      </c>
      <c r="I894" s="47">
        <f>-input_invoice[[#This Row],[net]]*input_invoice[[#This Row],[tax_rate_irpf]]/100</f>
        <v>0</v>
      </c>
      <c r="J894" s="47">
        <v>29.22</v>
      </c>
      <c r="K894" t="str">
        <f t="shared" si="21"/>
        <v>manufacturing</v>
      </c>
      <c r="L894">
        <v>7</v>
      </c>
      <c r="N894" t="str">
        <f>VLOOKUP(input_invoice[[#This Row],[concept/supplier]],'sel-invoice'!D:E,2,0)</f>
        <v>Apphoto Canarias</v>
      </c>
      <c r="O894" t="str">
        <f>VLOOKUP(input_invoice[[#This Row],[concept/supplier]],'sel-invoice'!D:F,3,0)</f>
        <v>SL</v>
      </c>
      <c r="P894" t="str">
        <f>IF(input_invoice[[#This Row],[entity]]="SL","EUR",IF(input_invoice[[#This Row],[entity]]="Ltd","GBP",IF(input_invoice[[#This Row],[entity]]="Inc","USD","XXX")))</f>
        <v>EUR</v>
      </c>
      <c r="Q894" s="199" t="s">
        <v>1258</v>
      </c>
      <c r="R894" s="259" t="b">
        <v>1</v>
      </c>
    </row>
    <row r="895" spans="1:19" hidden="1" x14ac:dyDescent="0.3">
      <c r="A895">
        <v>202602</v>
      </c>
      <c r="B895" s="22" t="s">
        <v>917</v>
      </c>
      <c r="C895" t="s">
        <v>1348</v>
      </c>
      <c r="D895" s="43">
        <v>46061</v>
      </c>
      <c r="E895" s="43">
        <v>46069</v>
      </c>
      <c r="F895" t="s">
        <v>111</v>
      </c>
      <c r="G895" s="47">
        <f>MAX(+input_invoice[[#This Row],[net]]+input_invoice[[#This Row],[tax_iva]],input_invoice[[#This Row],[net]])</f>
        <v>977.77680000000009</v>
      </c>
      <c r="H895" s="47">
        <f>input_invoice[[#This Row],[net]]*(MAX(input_invoice[[#This Row],[tax_rate_iva]],0)/100)</f>
        <v>169.6968</v>
      </c>
      <c r="I895" s="47">
        <f>-input_invoice[[#This Row],[net]]*input_invoice[[#This Row],[tax_rate_irpf]]/100</f>
        <v>0</v>
      </c>
      <c r="J895" s="47">
        <v>808.08</v>
      </c>
      <c r="K895" t="str">
        <f t="shared" si="21"/>
        <v>administrative</v>
      </c>
      <c r="L895">
        <v>21</v>
      </c>
      <c r="N895" t="str">
        <f>VLOOKUP(input_invoice[[#This Row],[concept/supplier]],'sel-invoice'!D:E,2,0)</f>
        <v>Claris Gestio</v>
      </c>
      <c r="O895" t="str">
        <f>VLOOKUP(input_invoice[[#This Row],[concept/supplier]],'sel-invoice'!D:F,3,0)</f>
        <v>SL</v>
      </c>
      <c r="P895" t="str">
        <f>IF(input_invoice[[#This Row],[entity]]="SL","EUR",IF(input_invoice[[#This Row],[entity]]="Ltd","GBP",IF(input_invoice[[#This Row],[entity]]="Inc","USD","XXX")))</f>
        <v>EUR</v>
      </c>
      <c r="Q895" s="199" t="s">
        <v>1347</v>
      </c>
      <c r="R895" s="259" t="b">
        <v>1</v>
      </c>
    </row>
    <row r="896" spans="1:19" hidden="1" x14ac:dyDescent="0.3">
      <c r="A896">
        <v>202602</v>
      </c>
      <c r="B896" s="22" t="s">
        <v>917</v>
      </c>
      <c r="C896">
        <v>838043671</v>
      </c>
      <c r="D896" s="43">
        <v>46062</v>
      </c>
      <c r="E896" s="43">
        <v>46063</v>
      </c>
      <c r="F896" t="s">
        <v>55</v>
      </c>
      <c r="G896" s="47">
        <f>MAX(+input_invoice[[#This Row],[net]]+input_invoice[[#This Row],[tax_iva]],input_invoice[[#This Row],[net]])</f>
        <v>98.86</v>
      </c>
      <c r="H896" s="47">
        <f>input_invoice[[#This Row],[net]]*(MAX(input_invoice[[#This Row],[tax_rate_iva]],0)/100)</f>
        <v>0</v>
      </c>
      <c r="I896" s="47">
        <f>-input_invoice[[#This Row],[net]]*input_invoice[[#This Row],[tax_rate_irpf]]/100</f>
        <v>0</v>
      </c>
      <c r="J896">
        <v>98.86</v>
      </c>
      <c r="K896" t="str">
        <f t="shared" si="21"/>
        <v>logistics</v>
      </c>
      <c r="L896">
        <v>0</v>
      </c>
      <c r="N896" t="str">
        <f>VLOOKUP(input_invoice[[#This Row],[concept/supplier]],'sel-invoice'!D:E,2,0)</f>
        <v>UPS DE</v>
      </c>
      <c r="O896" t="str">
        <f>VLOOKUP(input_invoice[[#This Row],[concept/supplier]],'sel-invoice'!D:F,3,0)</f>
        <v>SL</v>
      </c>
      <c r="P896" t="str">
        <f>IF(input_invoice[[#This Row],[entity]]="SL","EUR",IF(input_invoice[[#This Row],[entity]]="Ltd","GBP",IF(input_invoice[[#This Row],[entity]]="Inc","USD","XXX")))</f>
        <v>EUR</v>
      </c>
      <c r="Q896" s="199" t="s">
        <v>1360</v>
      </c>
      <c r="R896" s="259" t="b">
        <v>1</v>
      </c>
    </row>
    <row r="897" spans="1:18" hidden="1" x14ac:dyDescent="0.3">
      <c r="A897">
        <v>202602</v>
      </c>
      <c r="B897" s="22" t="s">
        <v>917</v>
      </c>
      <c r="C897">
        <v>326997856</v>
      </c>
      <c r="D897" s="43">
        <v>46064</v>
      </c>
      <c r="E897" s="43">
        <v>46065</v>
      </c>
      <c r="F897" t="s">
        <v>55</v>
      </c>
      <c r="G897" s="47">
        <f>MAX(+input_invoice[[#This Row],[net]]+input_invoice[[#This Row],[tax_iva]],input_invoice[[#This Row],[net]])</f>
        <v>643.82000000000005</v>
      </c>
      <c r="H897" s="47">
        <f>input_invoice[[#This Row],[net]]*(MAX(input_invoice[[#This Row],[tax_rate_iva]],0)/100)</f>
        <v>0</v>
      </c>
      <c r="I897" s="47">
        <f>-input_invoice[[#This Row],[net]]*input_invoice[[#This Row],[tax_rate_irpf]]/100</f>
        <v>0</v>
      </c>
      <c r="J897">
        <v>643.82000000000005</v>
      </c>
      <c r="K897" t="str">
        <f t="shared" si="21"/>
        <v>logistics</v>
      </c>
      <c r="L897">
        <v>0</v>
      </c>
      <c r="N897" t="str">
        <f>VLOOKUP(input_invoice[[#This Row],[concept/supplier]],'sel-invoice'!D:E,2,0)</f>
        <v>UPS DE</v>
      </c>
      <c r="O897" t="str">
        <f>VLOOKUP(input_invoice[[#This Row],[concept/supplier]],'sel-invoice'!D:F,3,0)</f>
        <v>SL</v>
      </c>
      <c r="P897" t="str">
        <f>IF(input_invoice[[#This Row],[entity]]="SL","EUR",IF(input_invoice[[#This Row],[entity]]="Ltd","GBP",IF(input_invoice[[#This Row],[entity]]="Inc","USD","XXX")))</f>
        <v>EUR</v>
      </c>
      <c r="Q897" s="199" t="s">
        <v>1356</v>
      </c>
      <c r="R897" s="259" t="b">
        <v>1</v>
      </c>
    </row>
    <row r="898" spans="1:18" hidden="1" x14ac:dyDescent="0.3">
      <c r="A898">
        <v>202602</v>
      </c>
      <c r="B898" s="22" t="s">
        <v>917</v>
      </c>
      <c r="C898" s="48" t="s">
        <v>1362</v>
      </c>
      <c r="D898" s="43">
        <v>46057</v>
      </c>
      <c r="E898" s="43">
        <f>input_invoice[[#This Row],[date]]+15</f>
        <v>46072</v>
      </c>
      <c r="F898" t="s">
        <v>37</v>
      </c>
      <c r="G898" s="47">
        <f>MAX(+input_invoice[[#This Row],[net]]+input_invoice[[#This Row],[tax_iva]],input_invoice[[#This Row],[net]])</f>
        <v>921.46339999999998</v>
      </c>
      <c r="H898" s="47">
        <f>input_invoice[[#This Row],[net]]*(MAX(input_invoice[[#This Row],[tax_rate_iva]],0)/100)</f>
        <v>159.92339999999999</v>
      </c>
      <c r="I898" s="47">
        <f>-input_invoice[[#This Row],[net]]*input_invoice[[#This Row],[tax_rate_irpf]]/100</f>
        <v>0</v>
      </c>
      <c r="J898" s="47">
        <v>761.54</v>
      </c>
      <c r="K898" t="str">
        <f t="shared" si="21"/>
        <v>manufacturing</v>
      </c>
      <c r="L898">
        <v>21</v>
      </c>
      <c r="N898" t="str">
        <f>VLOOKUP(input_invoice[[#This Row],[concept/supplier]],'sel-invoice'!D:E,2,0)</f>
        <v>Apphoto España</v>
      </c>
      <c r="O898" t="str">
        <f>VLOOKUP(input_invoice[[#This Row],[concept/supplier]],'sel-invoice'!D:F,3,0)</f>
        <v>SL</v>
      </c>
      <c r="P898" t="str">
        <f>IF(input_invoice[[#This Row],[entity]]="SL","EUR",IF(input_invoice[[#This Row],[entity]]="Ltd","GBP",IF(input_invoice[[#This Row],[entity]]="Inc","USD","XXX")))</f>
        <v>EUR</v>
      </c>
      <c r="Q898" s="199" t="s">
        <v>1363</v>
      </c>
      <c r="R898" s="259" t="b">
        <v>1</v>
      </c>
    </row>
    <row r="899" spans="1:18" hidden="1" x14ac:dyDescent="0.3">
      <c r="A899">
        <v>202602</v>
      </c>
      <c r="B899" s="22" t="s">
        <v>917</v>
      </c>
      <c r="C899" t="s">
        <v>1372</v>
      </c>
      <c r="D899" s="43">
        <v>46071</v>
      </c>
      <c r="E899" s="43">
        <v>46072</v>
      </c>
      <c r="F899" t="s">
        <v>129</v>
      </c>
      <c r="G899" s="47">
        <f>MAX(+input_invoice[[#This Row],[net]]+input_invoice[[#This Row],[tax_iva]],input_invoice[[#This Row],[net]])</f>
        <v>56.87</v>
      </c>
      <c r="H899" s="47">
        <f>input_invoice[[#This Row],[net]]*(MAX(input_invoice[[#This Row],[tax_rate_iva]],0)/100)</f>
        <v>9.8699999999999992</v>
      </c>
      <c r="I899" s="47">
        <f>-input_invoice[[#This Row],[net]]*input_invoice[[#This Row],[tax_rate_irpf]]/100</f>
        <v>0</v>
      </c>
      <c r="J899" s="47">
        <v>47</v>
      </c>
      <c r="K899" t="str">
        <f t="shared" si="21"/>
        <v>it</v>
      </c>
      <c r="L899">
        <v>21</v>
      </c>
      <c r="N899" t="str">
        <f>VLOOKUP(input_invoice[[#This Row],[concept/supplier]],'sel-invoice'!D:E,2,0)</f>
        <v>Microsoft</v>
      </c>
      <c r="O899" t="str">
        <f>VLOOKUP(input_invoice[[#This Row],[concept/supplier]],'sel-invoice'!D:F,3,0)</f>
        <v>SL</v>
      </c>
      <c r="P899" t="str">
        <f>IF(input_invoice[[#This Row],[entity]]="SL","EUR",IF(input_invoice[[#This Row],[entity]]="Ltd","GBP",IF(input_invoice[[#This Row],[entity]]="Inc","USD","XXX")))</f>
        <v>EUR</v>
      </c>
      <c r="Q899" s="199" t="s">
        <v>1373</v>
      </c>
      <c r="R899" s="259" t="b">
        <v>1</v>
      </c>
    </row>
    <row r="900" spans="1:18" hidden="1" x14ac:dyDescent="0.3">
      <c r="A900">
        <v>202602</v>
      </c>
      <c r="B900" s="22" t="s">
        <v>917</v>
      </c>
      <c r="C900" s="48" t="s">
        <v>1337</v>
      </c>
      <c r="D900" s="43">
        <v>46078</v>
      </c>
      <c r="E900" s="43">
        <v>46078</v>
      </c>
      <c r="F900" t="s">
        <v>122</v>
      </c>
      <c r="G900" s="47">
        <f>MAX(+input_invoice[[#This Row],[net]]+input_invoice[[#This Row],[tax_iva]],input_invoice[[#This Row],[net]])</f>
        <v>2384.5100000000002</v>
      </c>
      <c r="H900" s="47">
        <f>input_invoice[[#This Row],[net]]*(MAX(input_invoice[[#This Row],[tax_rate_iva]],0)/100)</f>
        <v>0</v>
      </c>
      <c r="I900" s="47">
        <f>-input_invoice[[#This Row],[net]]*input_invoice[[#This Row],[tax_rate_irpf]]/100</f>
        <v>0</v>
      </c>
      <c r="J900" s="47">
        <v>2384.5100000000002</v>
      </c>
      <c r="K900" t="str">
        <f t="shared" si="21"/>
        <v>it</v>
      </c>
      <c r="L900">
        <v>0</v>
      </c>
      <c r="N900" t="str">
        <f>VLOOKUP(input_invoice[[#This Row],[concept/supplier]],'sel-invoice'!D:E,2,0)</f>
        <v>Shopify</v>
      </c>
      <c r="O900" t="str">
        <f>VLOOKUP(input_invoice[[#This Row],[concept/supplier]],'sel-invoice'!D:F,3,0)</f>
        <v>SL</v>
      </c>
      <c r="P900" t="str">
        <f>IF(input_invoice[[#This Row],[entity]]="SL","EUR",IF(input_invoice[[#This Row],[entity]]="Ltd","GBP",IF(input_invoice[[#This Row],[entity]]="Inc","USD","XXX")))</f>
        <v>EUR</v>
      </c>
      <c r="Q900" s="199" t="s">
        <v>1338</v>
      </c>
      <c r="R900" s="259" t="b">
        <v>1</v>
      </c>
    </row>
    <row r="901" spans="1:18" hidden="1" x14ac:dyDescent="0.3">
      <c r="A901">
        <v>202602</v>
      </c>
      <c r="B901" s="22" t="s">
        <v>917</v>
      </c>
      <c r="C901" s="48" t="s">
        <v>1368</v>
      </c>
      <c r="D901" s="43">
        <v>46063</v>
      </c>
      <c r="E901" s="43">
        <v>46078</v>
      </c>
      <c r="F901" t="s">
        <v>37</v>
      </c>
      <c r="G901" s="47">
        <f>MAX(+input_invoice[[#This Row],[net]]+input_invoice[[#This Row],[tax_iva]],input_invoice[[#This Row],[net]])</f>
        <v>5661.6021000000001</v>
      </c>
      <c r="H901" s="47">
        <f>input_invoice[[#This Row],[net]]*(MAX(input_invoice[[#This Row],[tax_rate_iva]],0)/100)</f>
        <v>982.59209999999996</v>
      </c>
      <c r="I901" s="47">
        <f>-input_invoice[[#This Row],[net]]*input_invoice[[#This Row],[tax_rate_irpf]]/100</f>
        <v>0</v>
      </c>
      <c r="J901" s="47">
        <v>4679.01</v>
      </c>
      <c r="K901" t="str">
        <f t="shared" si="21"/>
        <v>manufacturing</v>
      </c>
      <c r="L901">
        <v>21</v>
      </c>
      <c r="N901" t="str">
        <f>VLOOKUP(input_invoice[[#This Row],[concept/supplier]],'sel-invoice'!D:E,2,0)</f>
        <v>Apphoto España</v>
      </c>
      <c r="O901" t="str">
        <f>VLOOKUP(input_invoice[[#This Row],[concept/supplier]],'sel-invoice'!D:F,3,0)</f>
        <v>SL</v>
      </c>
      <c r="P901" t="str">
        <f>IF(input_invoice[[#This Row],[entity]]="SL","EUR",IF(input_invoice[[#This Row],[entity]]="Ltd","GBP",IF(input_invoice[[#This Row],[entity]]="Inc","USD","XXX")))</f>
        <v>EUR</v>
      </c>
      <c r="Q901" s="199" t="s">
        <v>1369</v>
      </c>
      <c r="R901" s="259" t="b">
        <v>1</v>
      </c>
    </row>
    <row r="902" spans="1:18" hidden="1" x14ac:dyDescent="0.3">
      <c r="A902">
        <v>202602</v>
      </c>
      <c r="B902" s="22" t="s">
        <v>917</v>
      </c>
      <c r="C902">
        <v>838088024</v>
      </c>
      <c r="D902" s="43">
        <v>46069</v>
      </c>
      <c r="E902" s="43">
        <v>46070</v>
      </c>
      <c r="F902" t="s">
        <v>55</v>
      </c>
      <c r="G902" s="47">
        <f ca="1">MAX(+input_invoice[[#This Row],[net]]+input_invoice[[#This Row],[tax_iva]],input_invoice[[#This Row],[net]])</f>
        <v>0</v>
      </c>
      <c r="H902" s="47">
        <f ca="1">input_invoice[[#This Row],[net]]*(MAX(input_invoice[[#This Row],[tax_rate_iva]],0)/100)</f>
        <v>0</v>
      </c>
      <c r="I902" s="47">
        <f>-input_invoice[[#This Row],[net]]*input_invoice[[#This Row],[tax_rate_irpf]]/100</f>
        <v>0</v>
      </c>
      <c r="J902" s="47">
        <v>40.32</v>
      </c>
      <c r="K902" t="str">
        <f t="shared" ref="K902:K933" si="22">_xlfn.TEXTBEFORE(F902," - ")</f>
        <v>logistics</v>
      </c>
      <c r="L902">
        <f ca="1">+input_invoice[[#This Row],[gross]]-input_invoice[[#This Row],[net]]</f>
        <v>0</v>
      </c>
      <c r="N902" t="str">
        <f>VLOOKUP(input_invoice[[#This Row],[concept/supplier]],'sel-invoice'!D:E,2,0)</f>
        <v>UPS DE</v>
      </c>
      <c r="O902" t="str">
        <f>VLOOKUP(input_invoice[[#This Row],[concept/supplier]],'sel-invoice'!D:F,3,0)</f>
        <v>SL</v>
      </c>
      <c r="P902" t="str">
        <f>IF(input_invoice[[#This Row],[entity]]="SL","EUR",IF(input_invoice[[#This Row],[entity]]="Ltd","GBP",IF(input_invoice[[#This Row],[entity]]="Inc","USD","XXX")))</f>
        <v>EUR</v>
      </c>
      <c r="Q902" s="199" t="s">
        <v>1361</v>
      </c>
      <c r="R902" s="259" t="b">
        <v>1</v>
      </c>
    </row>
    <row r="903" spans="1:18" hidden="1" x14ac:dyDescent="0.3">
      <c r="A903">
        <v>202601</v>
      </c>
      <c r="B903" s="22" t="s">
        <v>917</v>
      </c>
      <c r="C903" s="48" t="s">
        <v>1267</v>
      </c>
      <c r="D903" s="43">
        <v>46053</v>
      </c>
      <c r="E903" s="43">
        <v>46081</v>
      </c>
      <c r="F903" t="s">
        <v>41</v>
      </c>
      <c r="G903" s="47">
        <f>MAX(+input_invoice[[#This Row],[net]]+input_invoice[[#This Row],[tax_iva]],input_invoice[[#This Row],[net]])</f>
        <v>35064.965100000001</v>
      </c>
      <c r="H903" s="47">
        <f>input_invoice[[#This Row],[net]]*(MAX(input_invoice[[#This Row],[tax_rate_iva]],0)/100)</f>
        <v>6085.6550999999999</v>
      </c>
      <c r="I903" s="47">
        <f>-input_invoice[[#This Row],[net]]*input_invoice[[#This Row],[tax_rate_irpf]]/100</f>
        <v>0</v>
      </c>
      <c r="J903" s="47">
        <v>28979.31</v>
      </c>
      <c r="K903" t="str">
        <f t="shared" si="22"/>
        <v>manufacturing</v>
      </c>
      <c r="L903">
        <v>21</v>
      </c>
      <c r="N903" t="str">
        <f>VLOOKUP(input_invoice[[#This Row],[concept/supplier]],'sel-invoice'!D:E,2,0)</f>
        <v>Pressing</v>
      </c>
      <c r="O903" t="str">
        <f>VLOOKUP(input_invoice[[#This Row],[concept/supplier]],'sel-invoice'!D:F,3,0)</f>
        <v>SL</v>
      </c>
      <c r="P903" t="str">
        <f>IF(input_invoice[[#This Row],[entity]]="SL","EUR",IF(input_invoice[[#This Row],[entity]]="Ltd","GBP",IF(input_invoice[[#This Row],[entity]]="Inc","USD","XXX")))</f>
        <v>EUR</v>
      </c>
      <c r="Q903" s="199" t="s">
        <v>1269</v>
      </c>
      <c r="R903" s="259" t="b">
        <v>1</v>
      </c>
    </row>
    <row r="904" spans="1:18" hidden="1" x14ac:dyDescent="0.3">
      <c r="A904">
        <v>202602</v>
      </c>
      <c r="B904" s="22" t="s">
        <v>917</v>
      </c>
      <c r="C904">
        <v>327030108</v>
      </c>
      <c r="D904" s="43">
        <v>46071</v>
      </c>
      <c r="E904" s="43">
        <v>46072</v>
      </c>
      <c r="F904" t="s">
        <v>55</v>
      </c>
      <c r="G904" s="47">
        <f>MAX(+input_invoice[[#This Row],[net]]+input_invoice[[#This Row],[tax_iva]],input_invoice[[#This Row],[net]])</f>
        <v>629.73</v>
      </c>
      <c r="H904" s="47">
        <f>input_invoice[[#This Row],[net]]*(MAX(input_invoice[[#This Row],[tax_rate_iva]],0)/100)</f>
        <v>0</v>
      </c>
      <c r="I904" s="47">
        <f>-input_invoice[[#This Row],[net]]*input_invoice[[#This Row],[tax_rate_irpf]]/100</f>
        <v>0</v>
      </c>
      <c r="J904">
        <v>629.73</v>
      </c>
      <c r="K904" t="str">
        <f t="shared" si="22"/>
        <v>logistics</v>
      </c>
      <c r="L904">
        <v>0</v>
      </c>
      <c r="N904" t="str">
        <f>VLOOKUP(input_invoice[[#This Row],[concept/supplier]],'sel-invoice'!D:E,2,0)</f>
        <v>UPS DE</v>
      </c>
      <c r="O904" t="str">
        <f>VLOOKUP(input_invoice[[#This Row],[concept/supplier]],'sel-invoice'!D:F,3,0)</f>
        <v>SL</v>
      </c>
      <c r="P904" t="str">
        <f>IF(input_invoice[[#This Row],[entity]]="SL","EUR",IF(input_invoice[[#This Row],[entity]]="Ltd","GBP",IF(input_invoice[[#This Row],[entity]]="Inc","USD","XXX")))</f>
        <v>EUR</v>
      </c>
      <c r="Q904" s="199" t="s">
        <v>1357</v>
      </c>
      <c r="R904" s="259" t="b">
        <v>1</v>
      </c>
    </row>
    <row r="905" spans="1:18" hidden="1" x14ac:dyDescent="0.3">
      <c r="A905">
        <v>202602</v>
      </c>
      <c r="B905" s="22" t="s">
        <v>917</v>
      </c>
      <c r="C905" s="48" t="s">
        <v>1122</v>
      </c>
      <c r="D905" s="43">
        <v>46054</v>
      </c>
      <c r="E905" s="43">
        <v>46081</v>
      </c>
      <c r="F905" t="s">
        <v>81</v>
      </c>
      <c r="G905" s="47">
        <f>MAX(+input_invoice[[#This Row],[net]]+input_invoice[[#This Row],[tax_iva]],input_invoice[[#This Row],[net]])</f>
        <v>522.54</v>
      </c>
      <c r="H905" s="47">
        <f>input_invoice[[#This Row],[net]]*(MAX(input_invoice[[#This Row],[tax_rate_iva]],0)/100)</f>
        <v>0</v>
      </c>
      <c r="I905" s="47">
        <f>-input_invoice[[#This Row],[net]]*input_invoice[[#This Row],[tax_rate_irpf]]/100</f>
        <v>0</v>
      </c>
      <c r="J905" s="47">
        <v>522.54</v>
      </c>
      <c r="K905" t="str">
        <f t="shared" si="22"/>
        <v>returns</v>
      </c>
      <c r="L905">
        <v>0</v>
      </c>
      <c r="N905" t="str">
        <f>VLOOKUP(input_invoice[[#This Row],[concept/supplier]],'sel-invoice'!D:E,2,0)</f>
        <v>rever</v>
      </c>
      <c r="O905" t="str">
        <f>VLOOKUP(input_invoice[[#This Row],[concept/supplier]],'sel-invoice'!D:F,3,0)</f>
        <v>SL</v>
      </c>
      <c r="P905" t="str">
        <f>IF(input_invoice[[#This Row],[entity]]="SL","EUR",IF(input_invoice[[#This Row],[entity]]="Ltd","GBP",IF(input_invoice[[#This Row],[entity]]="Inc","USD","XXX")))</f>
        <v>EUR</v>
      </c>
      <c r="Q905" s="199" t="s">
        <v>1326</v>
      </c>
      <c r="R905" s="259" t="b">
        <v>1</v>
      </c>
    </row>
    <row r="906" spans="1:18" hidden="1" x14ac:dyDescent="0.3">
      <c r="A906">
        <v>202602</v>
      </c>
      <c r="B906" s="22" t="s">
        <v>917</v>
      </c>
      <c r="C906" s="48">
        <v>211723</v>
      </c>
      <c r="D906" s="43">
        <v>46081</v>
      </c>
      <c r="E906" s="43">
        <v>46081</v>
      </c>
      <c r="F906" t="s">
        <v>131</v>
      </c>
      <c r="G906" s="47">
        <f>MAX(+input_invoice[[#This Row],[net]]+input_invoice[[#This Row],[tax_iva]],input_invoice[[#This Row],[net]])</f>
        <v>134</v>
      </c>
      <c r="H906" s="47">
        <f>input_invoice[[#This Row],[net]]*(MAX(input_invoice[[#This Row],[tax_rate_iva]],0)/100)</f>
        <v>0</v>
      </c>
      <c r="I906" s="47">
        <f>-input_invoice[[#This Row],[net]]*input_invoice[[#This Row],[tax_rate_irpf]]/100</f>
        <v>0</v>
      </c>
      <c r="J906" s="47">
        <v>134</v>
      </c>
      <c r="K906" t="str">
        <f t="shared" si="22"/>
        <v>it</v>
      </c>
      <c r="L906">
        <v>0</v>
      </c>
      <c r="N906" t="str">
        <f>VLOOKUP(input_invoice[[#This Row],[concept/supplier]],'sel-invoice'!D:E,2,0)</f>
        <v>Product Hero</v>
      </c>
      <c r="O906" t="str">
        <f>VLOOKUP(input_invoice[[#This Row],[concept/supplier]],'sel-invoice'!D:F,3,0)</f>
        <v>SL</v>
      </c>
      <c r="P906" t="str">
        <f>IF(input_invoice[[#This Row],[entity]]="SL","EUR",IF(input_invoice[[#This Row],[entity]]="Ltd","GBP",IF(input_invoice[[#This Row],[entity]]="Inc","USD","XXX")))</f>
        <v>EUR</v>
      </c>
      <c r="Q906" s="199" t="s">
        <v>1343</v>
      </c>
      <c r="R906" s="259" t="b">
        <v>1</v>
      </c>
    </row>
    <row r="907" spans="1:18" hidden="1" x14ac:dyDescent="0.3">
      <c r="A907">
        <v>202602</v>
      </c>
      <c r="B907" s="22" t="s">
        <v>917</v>
      </c>
      <c r="C907" s="48">
        <v>5505030303</v>
      </c>
      <c r="D907" s="43">
        <v>46081</v>
      </c>
      <c r="E907" s="43">
        <v>46081</v>
      </c>
      <c r="F907" t="s">
        <v>133</v>
      </c>
      <c r="G907" s="47">
        <f>MAX(+input_invoice[[#This Row],[net]]+input_invoice[[#This Row],[tax_iva]],input_invoice[[#This Row],[net]])</f>
        <v>201.91</v>
      </c>
      <c r="H907" s="47">
        <f>input_invoice[[#This Row],[net]]*(MAX(input_invoice[[#This Row],[tax_rate_iva]],0)/100)</f>
        <v>0</v>
      </c>
      <c r="I907" s="47">
        <f>-input_invoice[[#This Row],[net]]*input_invoice[[#This Row],[tax_rate_irpf]]/100</f>
        <v>0</v>
      </c>
      <c r="J907" s="47">
        <v>201.91</v>
      </c>
      <c r="K907" t="str">
        <f t="shared" si="22"/>
        <v>it</v>
      </c>
      <c r="L907">
        <v>0</v>
      </c>
      <c r="N907" t="str">
        <f>VLOOKUP(input_invoice[[#This Row],[concept/supplier]],'sel-invoice'!D:E,2,0)</f>
        <v>Gsuite</v>
      </c>
      <c r="O907" t="str">
        <f>VLOOKUP(input_invoice[[#This Row],[concept/supplier]],'sel-invoice'!D:F,3,0)</f>
        <v>SL</v>
      </c>
      <c r="P907" t="str">
        <f>IF(input_invoice[[#This Row],[entity]]="SL","EUR",IF(input_invoice[[#This Row],[entity]]="Ltd","GBP",IF(input_invoice[[#This Row],[entity]]="Inc","USD","XXX")))</f>
        <v>EUR</v>
      </c>
      <c r="Q907" s="199" t="s">
        <v>1352</v>
      </c>
      <c r="R907" s="259" t="b">
        <v>1</v>
      </c>
    </row>
    <row r="908" spans="1:18" hidden="1" x14ac:dyDescent="0.3">
      <c r="A908">
        <v>202602</v>
      </c>
      <c r="B908" s="22" t="s">
        <v>917</v>
      </c>
      <c r="C908" s="277" t="s">
        <v>1389</v>
      </c>
      <c r="D908" s="43">
        <v>46081</v>
      </c>
      <c r="E908" s="43">
        <v>46081</v>
      </c>
      <c r="F908" t="s">
        <v>150</v>
      </c>
      <c r="G908" s="47">
        <f>MAX(+input_invoice[[#This Row],[net]]+input_invoice[[#This Row],[tax_iva]],input_invoice[[#This Row],[net]])</f>
        <v>33.49</v>
      </c>
      <c r="H908" s="47">
        <f>input_invoice[[#This Row],[net]]*(MAX(input_invoice[[#This Row],[tax_rate_iva]],0)/100)</f>
        <v>0</v>
      </c>
      <c r="I908" s="47">
        <f>-input_invoice[[#This Row],[net]]*input_invoice[[#This Row],[tax_rate_irpf]]/100</f>
        <v>0</v>
      </c>
      <c r="J908" s="47">
        <v>33.49</v>
      </c>
      <c r="K908" t="str">
        <f t="shared" si="22"/>
        <v>it</v>
      </c>
      <c r="L908">
        <v>0</v>
      </c>
      <c r="N908" t="str">
        <f>VLOOKUP(input_invoice[[#This Row],[concept/supplier]],'sel-invoice'!D:E,2,0)</f>
        <v>adobe</v>
      </c>
      <c r="O908" t="str">
        <f>VLOOKUP(input_invoice[[#This Row],[concept/supplier]],'sel-invoice'!D:F,3,0)</f>
        <v>SL</v>
      </c>
      <c r="P908" t="str">
        <f>IF(input_invoice[[#This Row],[entity]]="SL","EUR",IF(input_invoice[[#This Row],[entity]]="Ltd","GBP",IF(input_invoice[[#This Row],[entity]]="Inc","USD","XXX")))</f>
        <v>EUR</v>
      </c>
      <c r="R908" s="259" t="b">
        <v>1</v>
      </c>
    </row>
    <row r="909" spans="1:18" hidden="1" x14ac:dyDescent="0.3">
      <c r="A909">
        <v>202602</v>
      </c>
      <c r="B909" s="22" t="s">
        <v>917</v>
      </c>
      <c r="C909" s="48" t="s">
        <v>1327</v>
      </c>
      <c r="D909" s="43">
        <v>46081</v>
      </c>
      <c r="E909" s="43">
        <v>46082</v>
      </c>
      <c r="F909" t="s">
        <v>81</v>
      </c>
      <c r="G909" s="47">
        <f>MAX(+input_invoice[[#This Row],[net]]+input_invoice[[#This Row],[tax_iva]],input_invoice[[#This Row],[net]])</f>
        <v>95.59</v>
      </c>
      <c r="H909" s="47">
        <f>input_invoice[[#This Row],[net]]*(MAX(input_invoice[[#This Row],[tax_rate_iva]],0)/100)</f>
        <v>16.59</v>
      </c>
      <c r="I909" s="47">
        <f>-input_invoice[[#This Row],[net]]*input_invoice[[#This Row],[tax_rate_irpf]]/100</f>
        <v>0</v>
      </c>
      <c r="J909" s="47">
        <v>79</v>
      </c>
      <c r="K909" t="str">
        <f t="shared" si="22"/>
        <v>returns</v>
      </c>
      <c r="L909">
        <v>21</v>
      </c>
      <c r="N909" t="str">
        <f>VLOOKUP(input_invoice[[#This Row],[concept/supplier]],'sel-invoice'!D:E,2,0)</f>
        <v>rever</v>
      </c>
      <c r="O909" t="str">
        <f>VLOOKUP(input_invoice[[#This Row],[concept/supplier]],'sel-invoice'!D:F,3,0)</f>
        <v>SL</v>
      </c>
      <c r="P909" t="str">
        <f>IF(input_invoice[[#This Row],[entity]]="SL","EUR",IF(input_invoice[[#This Row],[entity]]="Ltd","GBP",IF(input_invoice[[#This Row],[entity]]="Inc","USD","XXX")))</f>
        <v>EUR</v>
      </c>
      <c r="Q909" s="199" t="s">
        <v>1328</v>
      </c>
      <c r="R909" s="267" t="b">
        <v>1</v>
      </c>
    </row>
    <row r="910" spans="1:18" hidden="1" x14ac:dyDescent="0.3">
      <c r="A910">
        <v>202603</v>
      </c>
      <c r="B910" s="22" t="s">
        <v>917</v>
      </c>
      <c r="C910" s="48" t="s">
        <v>1324</v>
      </c>
      <c r="D910" s="43">
        <v>46083</v>
      </c>
      <c r="E910" s="43">
        <v>46083</v>
      </c>
      <c r="F910" t="s">
        <v>81</v>
      </c>
      <c r="G910" s="47">
        <f>MAX(+input_invoice[[#This Row],[net]]+input_invoice[[#This Row],[tax_iva]],input_invoice[[#This Row],[net]])</f>
        <v>504.4006</v>
      </c>
      <c r="H910" s="47">
        <f>input_invoice[[#This Row],[net]]*(MAX(input_invoice[[#This Row],[tax_rate_iva]],0)/100)</f>
        <v>87.540599999999998</v>
      </c>
      <c r="I910" s="47">
        <f>-input_invoice[[#This Row],[net]]*input_invoice[[#This Row],[tax_rate_irpf]]/100</f>
        <v>0</v>
      </c>
      <c r="J910" s="47">
        <v>416.86</v>
      </c>
      <c r="K910" t="str">
        <f t="shared" si="22"/>
        <v>returns</v>
      </c>
      <c r="L910">
        <v>21</v>
      </c>
      <c r="N910" t="str">
        <f>VLOOKUP(input_invoice[[#This Row],[concept/supplier]],'sel-invoice'!D:E,2,0)</f>
        <v>rever</v>
      </c>
      <c r="O910" t="str">
        <f>VLOOKUP(input_invoice[[#This Row],[concept/supplier]],'sel-invoice'!D:F,3,0)</f>
        <v>SL</v>
      </c>
      <c r="P910" t="str">
        <f>IF(input_invoice[[#This Row],[entity]]="SL","EUR",IF(input_invoice[[#This Row],[entity]]="Ltd","GBP",IF(input_invoice[[#This Row],[entity]]="Inc","USD","XXX")))</f>
        <v>EUR</v>
      </c>
      <c r="Q910" s="199" t="s">
        <v>1325</v>
      </c>
      <c r="R910" s="267" t="b">
        <v>1</v>
      </c>
    </row>
    <row r="911" spans="1:18" hidden="1" x14ac:dyDescent="0.3">
      <c r="A911">
        <v>202603</v>
      </c>
      <c r="B911" s="22" t="s">
        <v>917</v>
      </c>
      <c r="C911" s="48" t="s">
        <v>1324</v>
      </c>
      <c r="D911" s="43">
        <v>46083</v>
      </c>
      <c r="E911" s="43">
        <v>46083</v>
      </c>
      <c r="F911" t="s">
        <v>81</v>
      </c>
      <c r="G911" s="47">
        <f>MAX(+input_invoice[[#This Row],[net]]+input_invoice[[#This Row],[tax_iva]],input_invoice[[#This Row],[net]])</f>
        <v>-116.97</v>
      </c>
      <c r="H911" s="47">
        <f>input_invoice[[#This Row],[net]]*(MAX(input_invoice[[#This Row],[tax_rate_iva]],0)/100)</f>
        <v>0</v>
      </c>
      <c r="I911" s="47">
        <f>-input_invoice[[#This Row],[net]]*input_invoice[[#This Row],[tax_rate_irpf]]/100</f>
        <v>0</v>
      </c>
      <c r="J911" s="47">
        <v>-116.97</v>
      </c>
      <c r="K911" t="str">
        <f t="shared" si="22"/>
        <v>returns</v>
      </c>
      <c r="L911">
        <v>0</v>
      </c>
      <c r="N911" t="str">
        <f>VLOOKUP(input_invoice[[#This Row],[concept/supplier]],'sel-invoice'!D:E,2,0)</f>
        <v>rever</v>
      </c>
      <c r="O911" t="str">
        <f>VLOOKUP(input_invoice[[#This Row],[concept/supplier]],'sel-invoice'!D:F,3,0)</f>
        <v>SL</v>
      </c>
      <c r="P911" t="str">
        <f>IF(input_invoice[[#This Row],[entity]]="SL","EUR",IF(input_invoice[[#This Row],[entity]]="Ltd","GBP",IF(input_invoice[[#This Row],[entity]]="Inc","USD","XXX")))</f>
        <v>EUR</v>
      </c>
      <c r="Q911" s="199" t="s">
        <v>1325</v>
      </c>
      <c r="R911" s="267" t="b">
        <v>1</v>
      </c>
    </row>
    <row r="912" spans="1:18" hidden="1" x14ac:dyDescent="0.3">
      <c r="A912">
        <v>202602</v>
      </c>
      <c r="B912" s="22" t="s">
        <v>917</v>
      </c>
      <c r="C912" s="48" t="s">
        <v>1366</v>
      </c>
      <c r="D912" s="43">
        <v>46070</v>
      </c>
      <c r="E912" s="43">
        <v>46085</v>
      </c>
      <c r="F912" t="s">
        <v>37</v>
      </c>
      <c r="G912" s="47">
        <f>MAX(+input_invoice[[#This Row],[net]]+input_invoice[[#This Row],[tax_iva]],input_invoice[[#This Row],[net]])</f>
        <v>5309.0685999999996</v>
      </c>
      <c r="H912" s="47">
        <f>input_invoice[[#This Row],[net]]*(MAX(input_invoice[[#This Row],[tax_rate_iva]],0)/100)</f>
        <v>921.40859999999998</v>
      </c>
      <c r="I912" s="47">
        <f>-input_invoice[[#This Row],[net]]*input_invoice[[#This Row],[tax_rate_irpf]]/100</f>
        <v>0</v>
      </c>
      <c r="J912" s="47">
        <v>4387.66</v>
      </c>
      <c r="K912" t="str">
        <f t="shared" si="22"/>
        <v>manufacturing</v>
      </c>
      <c r="L912">
        <v>21</v>
      </c>
      <c r="N912" t="str">
        <f>VLOOKUP(input_invoice[[#This Row],[concept/supplier]],'sel-invoice'!D:E,2,0)</f>
        <v>Apphoto España</v>
      </c>
      <c r="O912" t="str">
        <f>VLOOKUP(input_invoice[[#This Row],[concept/supplier]],'sel-invoice'!D:F,3,0)</f>
        <v>SL</v>
      </c>
      <c r="P912" t="str">
        <f>IF(input_invoice[[#This Row],[entity]]="SL","EUR",IF(input_invoice[[#This Row],[entity]]="Ltd","GBP",IF(input_invoice[[#This Row],[entity]]="Inc","USD","XXX")))</f>
        <v>EUR</v>
      </c>
      <c r="Q912" s="199" t="s">
        <v>1367</v>
      </c>
      <c r="R912" s="267" t="b">
        <v>1</v>
      </c>
    </row>
    <row r="913" spans="1:18" hidden="1" x14ac:dyDescent="0.3">
      <c r="A913">
        <v>202602</v>
      </c>
      <c r="B913" s="22" t="s">
        <v>917</v>
      </c>
      <c r="C913" s="48" t="s">
        <v>1339</v>
      </c>
      <c r="D913" s="43">
        <v>46077</v>
      </c>
      <c r="E913" s="43">
        <v>46092</v>
      </c>
      <c r="F913" t="s">
        <v>37</v>
      </c>
      <c r="G913" s="47">
        <f>MAX(+input_invoice[[#This Row],[net]]+input_invoice[[#This Row],[tax_iva]],input_invoice[[#This Row],[net]])</f>
        <v>1843.9916000000001</v>
      </c>
      <c r="H913" s="47">
        <f>input_invoice[[#This Row],[net]]*(MAX(input_invoice[[#This Row],[tax_rate_iva]],0)/100)</f>
        <v>320.03159999999997</v>
      </c>
      <c r="I913" s="47">
        <f>-input_invoice[[#This Row],[net]]*input_invoice[[#This Row],[tax_rate_irpf]]/100</f>
        <v>0</v>
      </c>
      <c r="J913" s="47">
        <v>1523.96</v>
      </c>
      <c r="K913" t="str">
        <f t="shared" si="22"/>
        <v>manufacturing</v>
      </c>
      <c r="L913">
        <v>21</v>
      </c>
      <c r="N913" t="str">
        <f>VLOOKUP(input_invoice[[#This Row],[concept/supplier]],'sel-invoice'!D:E,2,0)</f>
        <v>Apphoto España</v>
      </c>
      <c r="O913" t="str">
        <f>VLOOKUP(input_invoice[[#This Row],[concept/supplier]],'sel-invoice'!D:F,3,0)</f>
        <v>SL</v>
      </c>
      <c r="P913" t="str">
        <f>IF(input_invoice[[#This Row],[entity]]="SL","EUR",IF(input_invoice[[#This Row],[entity]]="Ltd","GBP",IF(input_invoice[[#This Row],[entity]]="Inc","USD","XXX")))</f>
        <v>EUR</v>
      </c>
      <c r="Q913" s="199" t="s">
        <v>1340</v>
      </c>
      <c r="R913" s="267" t="b">
        <v>1</v>
      </c>
    </row>
    <row r="914" spans="1:18" hidden="1" x14ac:dyDescent="0.3">
      <c r="A914">
        <v>202602</v>
      </c>
      <c r="B914" s="22" t="s">
        <v>917</v>
      </c>
      <c r="C914" s="48" t="s">
        <v>1335</v>
      </c>
      <c r="D914" s="43">
        <v>46079</v>
      </c>
      <c r="E914" s="43">
        <v>46094</v>
      </c>
      <c r="F914" t="s">
        <v>37</v>
      </c>
      <c r="G914" s="47">
        <f>MAX(+input_invoice[[#This Row],[net]]+input_invoice[[#This Row],[tax_iva]],input_invoice[[#This Row],[net]])</f>
        <v>5926.9551000000001</v>
      </c>
      <c r="H914" s="47">
        <f>input_invoice[[#This Row],[net]]*(MAX(input_invoice[[#This Row],[tax_rate_iva]],0)/100)</f>
        <v>1028.6451</v>
      </c>
      <c r="I914" s="47">
        <f>-input_invoice[[#This Row],[net]]*input_invoice[[#This Row],[tax_rate_irpf]]/100</f>
        <v>0</v>
      </c>
      <c r="J914" s="47">
        <v>4898.3100000000004</v>
      </c>
      <c r="K914" t="str">
        <f t="shared" si="22"/>
        <v>manufacturing</v>
      </c>
      <c r="L914">
        <v>21</v>
      </c>
      <c r="N914" t="str">
        <f>VLOOKUP(input_invoice[[#This Row],[concept/supplier]],'sel-invoice'!D:E,2,0)</f>
        <v>Apphoto España</v>
      </c>
      <c r="O914" t="str">
        <f>VLOOKUP(input_invoice[[#This Row],[concept/supplier]],'sel-invoice'!D:F,3,0)</f>
        <v>SL</v>
      </c>
      <c r="P914" t="str">
        <f>IF(input_invoice[[#This Row],[entity]]="SL","EUR",IF(input_invoice[[#This Row],[entity]]="Ltd","GBP",IF(input_invoice[[#This Row],[entity]]="Inc","USD","XXX")))</f>
        <v>EUR</v>
      </c>
      <c r="Q914" s="199" t="s">
        <v>1336</v>
      </c>
      <c r="R914" s="267" t="b">
        <v>1</v>
      </c>
    </row>
    <row r="915" spans="1:18" hidden="1" x14ac:dyDescent="0.3">
      <c r="A915">
        <v>202602</v>
      </c>
      <c r="B915" s="22" t="s">
        <v>917</v>
      </c>
      <c r="C915" s="48" t="s">
        <v>1314</v>
      </c>
      <c r="D915" s="43">
        <v>46081</v>
      </c>
      <c r="E915" s="43">
        <f>input_invoice[[#This Row],[date]]+14</f>
        <v>46095</v>
      </c>
      <c r="F915" t="s">
        <v>43</v>
      </c>
      <c r="G915" s="47">
        <f>MAX(+input_invoice[[#This Row],[net]]+input_invoice[[#This Row],[tax_iva]],input_invoice[[#This Row],[net]])</f>
        <v>50.575000000000003</v>
      </c>
      <c r="H915" s="47">
        <f>input_invoice[[#This Row],[net]]*(MAX(input_invoice[[#This Row],[tax_rate_iva]],0)/100)</f>
        <v>8.0749999999999993</v>
      </c>
      <c r="I915" s="47">
        <f>-input_invoice[[#This Row],[net]]*input_invoice[[#This Row],[tax_rate_irpf]]/100</f>
        <v>0</v>
      </c>
      <c r="J915" s="47">
        <v>42.5</v>
      </c>
      <c r="K915" t="str">
        <f t="shared" si="22"/>
        <v>manufacturing</v>
      </c>
      <c r="L915">
        <v>19</v>
      </c>
      <c r="N915" t="str">
        <f>VLOOKUP(input_invoice[[#This Row],[concept/supplier]],'sel-invoice'!D:E,2,0)</f>
        <v>DCT</v>
      </c>
      <c r="O915" t="str">
        <f>VLOOKUP(input_invoice[[#This Row],[concept/supplier]],'sel-invoice'!D:F,3,0)</f>
        <v>SL</v>
      </c>
      <c r="P915" t="str">
        <f>IF(input_invoice[[#This Row],[entity]]="SL","EUR",IF(input_invoice[[#This Row],[entity]]="Ltd","GBP",IF(input_invoice[[#This Row],[entity]]="Inc","USD","XXX")))</f>
        <v>EUR</v>
      </c>
      <c r="Q915" s="199" t="s">
        <v>1315</v>
      </c>
      <c r="R915" s="267" t="b">
        <v>1</v>
      </c>
    </row>
    <row r="916" spans="1:18" hidden="1" x14ac:dyDescent="0.3">
      <c r="A916">
        <v>202602</v>
      </c>
      <c r="B916" s="22" t="s">
        <v>917</v>
      </c>
      <c r="C916" s="48" t="s">
        <v>1318</v>
      </c>
      <c r="D916" s="43">
        <v>46081</v>
      </c>
      <c r="E916" s="43">
        <f>input_invoice[[#This Row],[date]]+14</f>
        <v>46095</v>
      </c>
      <c r="F916" t="s">
        <v>43</v>
      </c>
      <c r="G916" s="47">
        <f>MAX(+input_invoice[[#This Row],[net]]+input_invoice[[#This Row],[tax_iva]],input_invoice[[#This Row],[net]])</f>
        <v>4092.3980999999999</v>
      </c>
      <c r="H916" s="47">
        <f>input_invoice[[#This Row],[net]]*(MAX(input_invoice[[#This Row],[tax_rate_iva]],0)/100)</f>
        <v>653.40809999999999</v>
      </c>
      <c r="I916" s="47">
        <f>-input_invoice[[#This Row],[net]]*input_invoice[[#This Row],[tax_rate_irpf]]/100</f>
        <v>0</v>
      </c>
      <c r="J916" s="47">
        <v>3438.99</v>
      </c>
      <c r="K916" t="str">
        <f t="shared" si="22"/>
        <v>manufacturing</v>
      </c>
      <c r="L916">
        <v>19</v>
      </c>
      <c r="N916" t="str">
        <f>VLOOKUP(input_invoice[[#This Row],[concept/supplier]],'sel-invoice'!D:E,2,0)</f>
        <v>DCT</v>
      </c>
      <c r="O916" t="str">
        <f>VLOOKUP(input_invoice[[#This Row],[concept/supplier]],'sel-invoice'!D:F,3,0)</f>
        <v>SL</v>
      </c>
      <c r="P916" t="str">
        <f>IF(input_invoice[[#This Row],[entity]]="SL","EUR",IF(input_invoice[[#This Row],[entity]]="Ltd","GBP",IF(input_invoice[[#This Row],[entity]]="Inc","USD","XXX")))</f>
        <v>EUR</v>
      </c>
      <c r="Q916" s="199" t="s">
        <v>1319</v>
      </c>
      <c r="R916" s="267" t="b">
        <v>1</v>
      </c>
    </row>
    <row r="917" spans="1:18" hidden="1" x14ac:dyDescent="0.3">
      <c r="A917">
        <v>202602</v>
      </c>
      <c r="B917" s="22" t="s">
        <v>917</v>
      </c>
      <c r="C917" s="48" t="s">
        <v>1316</v>
      </c>
      <c r="D917" s="43">
        <v>46081</v>
      </c>
      <c r="E917" s="43">
        <f>input_invoice[[#This Row],[date]]+15</f>
        <v>46096</v>
      </c>
      <c r="F917" t="s">
        <v>37</v>
      </c>
      <c r="G917" s="47">
        <f>MAX(+input_invoice[[#This Row],[net]]+input_invoice[[#This Row],[tax_iva]],input_invoice[[#This Row],[net]])</f>
        <v>1179.9799</v>
      </c>
      <c r="H917" s="47">
        <f>input_invoice[[#This Row],[net]]*(MAX(input_invoice[[#This Row],[tax_rate_iva]],0)/100)</f>
        <v>204.78990000000002</v>
      </c>
      <c r="I917" s="47">
        <f>-input_invoice[[#This Row],[net]]*input_invoice[[#This Row],[tax_rate_irpf]]/100</f>
        <v>0</v>
      </c>
      <c r="J917" s="47">
        <v>975.19</v>
      </c>
      <c r="K917" t="str">
        <f t="shared" si="22"/>
        <v>manufacturing</v>
      </c>
      <c r="L917">
        <v>21</v>
      </c>
      <c r="N917" t="str">
        <f>VLOOKUP(input_invoice[[#This Row],[concept/supplier]],'sel-invoice'!D:E,2,0)</f>
        <v>Apphoto España</v>
      </c>
      <c r="O917" t="str">
        <f>VLOOKUP(input_invoice[[#This Row],[concept/supplier]],'sel-invoice'!D:F,3,0)</f>
        <v>SL</v>
      </c>
      <c r="P917" t="str">
        <f>IF(input_invoice[[#This Row],[entity]]="SL","EUR",IF(input_invoice[[#This Row],[entity]]="Ltd","GBP",IF(input_invoice[[#This Row],[entity]]="Inc","USD","XXX")))</f>
        <v>EUR</v>
      </c>
      <c r="Q917" s="199" t="s">
        <v>1317</v>
      </c>
      <c r="R917" s="267" t="b">
        <v>1</v>
      </c>
    </row>
    <row r="918" spans="1:18" hidden="1" x14ac:dyDescent="0.3">
      <c r="A918">
        <v>202603</v>
      </c>
      <c r="B918" s="22" t="s">
        <v>917</v>
      </c>
      <c r="C918" s="48" t="s">
        <v>1351</v>
      </c>
      <c r="F918" t="s">
        <v>1350</v>
      </c>
      <c r="G918" s="47">
        <f ca="1">MAX(+input_invoice[[#This Row],[net]]+input_invoice[[#This Row],[tax_iva]],input_invoice[[#This Row],[net]])</f>
        <v>0</v>
      </c>
      <c r="H918" s="47">
        <f ca="1">input_invoice[[#This Row],[net]]*(MAX(input_invoice[[#This Row],[tax_rate_iva]],0)/100)</f>
        <v>0</v>
      </c>
      <c r="I918" s="47">
        <f>-input_invoice[[#This Row],[net]]*input_invoice[[#This Row],[tax_rate_irpf]]/100</f>
        <v>0</v>
      </c>
      <c r="K918" t="str">
        <f t="shared" si="22"/>
        <v>manufacturing</v>
      </c>
      <c r="L918">
        <f ca="1">+input_invoice[[#This Row],[gross]]-input_invoice[[#This Row],[net]]</f>
        <v>0</v>
      </c>
      <c r="N918" t="str">
        <f>VLOOKUP(input_invoice[[#This Row],[concept/supplier]],'sel-invoice'!D:E,2,0)</f>
        <v>artlink</v>
      </c>
      <c r="O918" t="str">
        <f>VLOOKUP(input_invoice[[#This Row],[concept/supplier]],'sel-invoice'!D:F,3,0)</f>
        <v>Ltd</v>
      </c>
      <c r="P918" t="str">
        <f>IF(input_invoice[[#This Row],[entity]]="SL","EUR",IF(input_invoice[[#This Row],[entity]]="Ltd","GBP",IF(input_invoice[[#This Row],[entity]]="Inc","USD","XXX")))</f>
        <v>GBP</v>
      </c>
      <c r="R918" s="267" t="b">
        <v>0</v>
      </c>
    </row>
    <row r="919" spans="1:18" hidden="1" x14ac:dyDescent="0.3">
      <c r="A919">
        <v>202602</v>
      </c>
      <c r="B919" s="22" t="s">
        <v>917</v>
      </c>
      <c r="C919" s="48" t="s">
        <v>1341</v>
      </c>
      <c r="D919" s="43">
        <v>46080</v>
      </c>
      <c r="E919" s="43">
        <v>46097</v>
      </c>
      <c r="F919" t="s">
        <v>39</v>
      </c>
      <c r="G919" s="47">
        <f>MAX(+input_invoice[[#This Row],[net]]+input_invoice[[#This Row],[tax_iva]],input_invoice[[#This Row],[net]])</f>
        <v>64.028800000000004</v>
      </c>
      <c r="H919" s="47">
        <f>input_invoice[[#This Row],[net]]*(MAX(input_invoice[[#This Row],[tax_rate_iva]],0)/100)</f>
        <v>4.1888000000000005</v>
      </c>
      <c r="I919" s="47">
        <f>-input_invoice[[#This Row],[net]]*input_invoice[[#This Row],[tax_rate_irpf]]/100</f>
        <v>0</v>
      </c>
      <c r="J919" s="47">
        <v>59.84</v>
      </c>
      <c r="K919" t="str">
        <f t="shared" si="22"/>
        <v>manufacturing</v>
      </c>
      <c r="L919">
        <v>7</v>
      </c>
      <c r="N919" t="str">
        <f>VLOOKUP(input_invoice[[#This Row],[concept/supplier]],'sel-invoice'!D:E,2,0)</f>
        <v>Apphoto Canarias</v>
      </c>
      <c r="O919" t="str">
        <f>VLOOKUP(input_invoice[[#This Row],[concept/supplier]],'sel-invoice'!D:F,3,0)</f>
        <v>SL</v>
      </c>
      <c r="P919" t="str">
        <f>IF(input_invoice[[#This Row],[entity]]="SL","EUR",IF(input_invoice[[#This Row],[entity]]="Ltd","GBP",IF(input_invoice[[#This Row],[entity]]="Inc","USD","XXX")))</f>
        <v>EUR</v>
      </c>
      <c r="Q919" s="199" t="s">
        <v>1342</v>
      </c>
      <c r="R919" s="267" t="b">
        <v>1</v>
      </c>
    </row>
    <row r="920" spans="1:18" hidden="1" x14ac:dyDescent="0.3">
      <c r="A920">
        <v>202602</v>
      </c>
      <c r="B920" s="22" t="s">
        <v>917</v>
      </c>
      <c r="C920" s="48" t="s">
        <v>1364</v>
      </c>
      <c r="D920" s="43">
        <v>46081</v>
      </c>
      <c r="E920" s="43">
        <v>46097</v>
      </c>
      <c r="F920" t="s">
        <v>37</v>
      </c>
      <c r="G920" s="47">
        <f>MAX(+input_invoice[[#This Row],[net]]+input_invoice[[#This Row],[tax_iva]],input_invoice[[#This Row],[net]])</f>
        <v>6971.3666000000003</v>
      </c>
      <c r="H920" s="47">
        <f>input_invoice[[#This Row],[net]]*(MAX(input_invoice[[#This Row],[tax_rate_iva]],0)/100)</f>
        <v>1209.9066</v>
      </c>
      <c r="I920" s="47">
        <f>-input_invoice[[#This Row],[net]]*input_invoice[[#This Row],[tax_rate_irpf]]/100</f>
        <v>0</v>
      </c>
      <c r="J920" s="47">
        <v>5761.46</v>
      </c>
      <c r="K920" t="str">
        <f t="shared" si="22"/>
        <v>manufacturing</v>
      </c>
      <c r="L920">
        <v>21</v>
      </c>
      <c r="N920" t="str">
        <f>VLOOKUP(input_invoice[[#This Row],[concept/supplier]],'sel-invoice'!D:E,2,0)</f>
        <v>Apphoto España</v>
      </c>
      <c r="O920" t="str">
        <f>VLOOKUP(input_invoice[[#This Row],[concept/supplier]],'sel-invoice'!D:F,3,0)</f>
        <v>SL</v>
      </c>
      <c r="P920" t="str">
        <f>IF(input_invoice[[#This Row],[entity]]="SL","EUR",IF(input_invoice[[#This Row],[entity]]="Ltd","GBP",IF(input_invoice[[#This Row],[entity]]="Inc","USD","XXX")))</f>
        <v>EUR</v>
      </c>
      <c r="Q920" s="199" t="s">
        <v>1365</v>
      </c>
      <c r="R920" s="267" t="b">
        <v>1</v>
      </c>
    </row>
    <row r="921" spans="1:18" hidden="1" x14ac:dyDescent="0.3">
      <c r="A921">
        <v>202601</v>
      </c>
      <c r="B921" s="22" t="s">
        <v>917</v>
      </c>
      <c r="C921" s="48">
        <v>171198</v>
      </c>
      <c r="D921" s="43">
        <v>46053</v>
      </c>
      <c r="E921" s="43">
        <f>input_invoice[[#This Row],[date]]+45</f>
        <v>46098</v>
      </c>
      <c r="F921" t="s">
        <v>221</v>
      </c>
      <c r="G921" s="47">
        <f>MAX(+input_invoice[[#This Row],[net]]+input_invoice[[#This Row],[tax_iva]],input_invoice[[#This Row],[net]])</f>
        <v>2888.86</v>
      </c>
      <c r="H921" s="47">
        <f>input_invoice[[#This Row],[net]]*(MAX(input_invoice[[#This Row],[tax_rate_iva]],0)/100)</f>
        <v>0</v>
      </c>
      <c r="I921" s="47">
        <f>-input_invoice[[#This Row],[net]]*input_invoice[[#This Row],[tax_rate_irpf]]/100</f>
        <v>0</v>
      </c>
      <c r="J921" s="47">
        <v>2888.86</v>
      </c>
      <c r="K921" t="str">
        <f t="shared" si="22"/>
        <v>logistics</v>
      </c>
      <c r="L921">
        <v>0</v>
      </c>
      <c r="N921" t="str">
        <f>VLOOKUP(input_invoice[[#This Row],[concept/supplier]],'sel-invoice'!D:E,2,0)</f>
        <v>TGI Inc</v>
      </c>
      <c r="O921" t="str">
        <f>VLOOKUP(input_invoice[[#This Row],[concept/supplier]],'sel-invoice'!D:F,3,0)</f>
        <v>Inc</v>
      </c>
      <c r="P921" t="str">
        <f>IF(input_invoice[[#This Row],[entity]]="SL","EUR",IF(input_invoice[[#This Row],[entity]]="Ltd","GBP",IF(input_invoice[[#This Row],[entity]]="Inc","USD","XXX")))</f>
        <v>USD</v>
      </c>
      <c r="R921" s="267" t="b">
        <v>0</v>
      </c>
    </row>
    <row r="922" spans="1:18" hidden="1" x14ac:dyDescent="0.3">
      <c r="A922">
        <v>202601</v>
      </c>
      <c r="B922" s="22" t="s">
        <v>917</v>
      </c>
      <c r="C922" s="48">
        <v>171197</v>
      </c>
      <c r="D922" s="43">
        <v>46053</v>
      </c>
      <c r="E922" s="43">
        <f>input_invoice[[#This Row],[date]]+45</f>
        <v>46098</v>
      </c>
      <c r="F922" t="s">
        <v>218</v>
      </c>
      <c r="G922" s="47">
        <f>MAX(+input_invoice[[#This Row],[net]]+input_invoice[[#This Row],[tax_iva]],input_invoice[[#This Row],[net]])</f>
        <v>1562.55</v>
      </c>
      <c r="H922" s="47">
        <f>input_invoice[[#This Row],[net]]*(MAX(input_invoice[[#This Row],[tax_rate_iva]],0)/100)</f>
        <v>0</v>
      </c>
      <c r="I922" s="47">
        <f>-input_invoice[[#This Row],[net]]*input_invoice[[#This Row],[tax_rate_irpf]]/100</f>
        <v>0</v>
      </c>
      <c r="J922" s="47">
        <v>1562.55</v>
      </c>
      <c r="K922" t="str">
        <f t="shared" si="22"/>
        <v>manufacturing</v>
      </c>
      <c r="L922">
        <v>0</v>
      </c>
      <c r="N922" t="str">
        <f>VLOOKUP(input_invoice[[#This Row],[concept/supplier]],'sel-invoice'!D:E,2,0)</f>
        <v>TGI Inc</v>
      </c>
      <c r="O922" t="str">
        <f>VLOOKUP(input_invoice[[#This Row],[concept/supplier]],'sel-invoice'!D:F,3,0)</f>
        <v>Inc</v>
      </c>
      <c r="P922" t="str">
        <f>IF(input_invoice[[#This Row],[entity]]="SL","EUR",IF(input_invoice[[#This Row],[entity]]="Ltd","GBP",IF(input_invoice[[#This Row],[entity]]="Inc","USD","XXX")))</f>
        <v>USD</v>
      </c>
      <c r="R922" s="267" t="b">
        <v>0</v>
      </c>
    </row>
    <row r="923" spans="1:18" hidden="1" x14ac:dyDescent="0.3">
      <c r="A923">
        <v>202603</v>
      </c>
      <c r="B923" s="22" t="s">
        <v>917</v>
      </c>
      <c r="C923" s="48" t="s">
        <v>1346</v>
      </c>
      <c r="D923" s="43">
        <v>46090</v>
      </c>
      <c r="E923" s="43">
        <v>46105</v>
      </c>
      <c r="F923" t="s">
        <v>37</v>
      </c>
      <c r="G923" s="47">
        <f>MAX(+input_invoice[[#This Row],[net]]+input_invoice[[#This Row],[tax_iva]],input_invoice[[#This Row],[net]])</f>
        <v>844.56790000000001</v>
      </c>
      <c r="H923" s="47">
        <f>input_invoice[[#This Row],[net]]*(MAX(input_invoice[[#This Row],[tax_rate_iva]],0)/100)</f>
        <v>146.5779</v>
      </c>
      <c r="I923" s="47">
        <f>-input_invoice[[#This Row],[net]]*input_invoice[[#This Row],[tax_rate_irpf]]/100</f>
        <v>0</v>
      </c>
      <c r="J923" s="47">
        <v>697.99</v>
      </c>
      <c r="K923" t="str">
        <f t="shared" si="22"/>
        <v>manufacturing</v>
      </c>
      <c r="L923">
        <v>21</v>
      </c>
      <c r="N923" t="str">
        <f>VLOOKUP(input_invoice[[#This Row],[concept/supplier]],'sel-invoice'!D:E,2,0)</f>
        <v>Apphoto España</v>
      </c>
      <c r="O923" t="str">
        <f>VLOOKUP(input_invoice[[#This Row],[concept/supplier]],'sel-invoice'!D:F,3,0)</f>
        <v>SL</v>
      </c>
      <c r="P923" t="str">
        <f>IF(input_invoice[[#This Row],[entity]]="SL","EUR",IF(input_invoice[[#This Row],[entity]]="Ltd","GBP",IF(input_invoice[[#This Row],[entity]]="Inc","USD","XXX")))</f>
        <v>EUR</v>
      </c>
      <c r="R923" s="267" t="b">
        <v>0</v>
      </c>
    </row>
    <row r="924" spans="1:18" hidden="1" x14ac:dyDescent="0.3">
      <c r="A924">
        <v>202602</v>
      </c>
      <c r="B924" s="22" t="s">
        <v>917</v>
      </c>
      <c r="C924" s="48" t="s">
        <v>1320</v>
      </c>
      <c r="D924" s="43">
        <v>46081</v>
      </c>
      <c r="E924" s="43">
        <v>46111</v>
      </c>
      <c r="F924" t="s">
        <v>41</v>
      </c>
      <c r="G924" s="47">
        <f>MAX(+input_invoice[[#This Row],[net]]+input_invoice[[#This Row],[tax_iva]],input_invoice[[#This Row],[net]])</f>
        <v>40547.850200000001</v>
      </c>
      <c r="H924" s="47">
        <f>input_invoice[[#This Row],[net]]*(MAX(input_invoice[[#This Row],[tax_rate_iva]],0)/100)</f>
        <v>7037.2302</v>
      </c>
      <c r="I924" s="47">
        <f>-input_invoice[[#This Row],[net]]*input_invoice[[#This Row],[tax_rate_irpf]]/100</f>
        <v>0</v>
      </c>
      <c r="J924" s="47">
        <v>33510.620000000003</v>
      </c>
      <c r="K924" t="str">
        <f t="shared" si="22"/>
        <v>manufacturing</v>
      </c>
      <c r="L924">
        <v>21</v>
      </c>
      <c r="N924" t="str">
        <f>VLOOKUP(input_invoice[[#This Row],[concept/supplier]],'sel-invoice'!D:E,2,0)</f>
        <v>Pressing</v>
      </c>
      <c r="O924" t="str">
        <f>VLOOKUP(input_invoice[[#This Row],[concept/supplier]],'sel-invoice'!D:F,3,0)</f>
        <v>SL</v>
      </c>
      <c r="P924" t="str">
        <f>IF(input_invoice[[#This Row],[entity]]="SL","EUR",IF(input_invoice[[#This Row],[entity]]="Ltd","GBP",IF(input_invoice[[#This Row],[entity]]="Inc","USD","XXX")))</f>
        <v>EUR</v>
      </c>
      <c r="Q924" s="199" t="s">
        <v>1321</v>
      </c>
      <c r="R924" s="267" t="b">
        <v>0</v>
      </c>
    </row>
    <row r="925" spans="1:18" hidden="1" x14ac:dyDescent="0.3">
      <c r="A925">
        <v>202602</v>
      </c>
      <c r="B925" s="22" t="s">
        <v>917</v>
      </c>
      <c r="C925">
        <v>327061645</v>
      </c>
      <c r="D925" s="43">
        <v>46078</v>
      </c>
      <c r="E925" s="43">
        <v>46079</v>
      </c>
      <c r="F925" t="s">
        <v>55</v>
      </c>
      <c r="G925" s="47">
        <f>MAX(+input_invoice[[#This Row],[net]]+input_invoice[[#This Row],[tax_iva]],input_invoice[[#This Row],[net]])</f>
        <v>512.62</v>
      </c>
      <c r="H925" s="47">
        <f>input_invoice[[#This Row],[net]]*(MAX(input_invoice[[#This Row],[tax_rate_iva]],0)/100)</f>
        <v>0</v>
      </c>
      <c r="I925" s="47">
        <f>-input_invoice[[#This Row],[net]]*input_invoice[[#This Row],[tax_rate_irpf]]/100</f>
        <v>0</v>
      </c>
      <c r="J925" s="47">
        <v>512.62</v>
      </c>
      <c r="K925" t="str">
        <f t="shared" si="22"/>
        <v>logistics</v>
      </c>
      <c r="L925">
        <v>0</v>
      </c>
      <c r="N925" t="str">
        <f>VLOOKUP(input_invoice[[#This Row],[concept/supplier]],'sel-invoice'!D:E,2,0)</f>
        <v>UPS DE</v>
      </c>
      <c r="O925" t="str">
        <f>VLOOKUP(input_invoice[[#This Row],[concept/supplier]],'sel-invoice'!D:F,3,0)</f>
        <v>SL</v>
      </c>
      <c r="P925" t="str">
        <f>IF(input_invoice[[#This Row],[entity]]="SL","EUR",IF(input_invoice[[#This Row],[entity]]="Ltd","GBP",IF(input_invoice[[#This Row],[entity]]="Inc","USD","XXX")))</f>
        <v>EUR</v>
      </c>
      <c r="Q925" s="199" t="s">
        <v>1358</v>
      </c>
      <c r="R925" s="259" t="b">
        <v>1</v>
      </c>
    </row>
    <row r="926" spans="1:18" hidden="1" x14ac:dyDescent="0.3">
      <c r="A926">
        <v>202602</v>
      </c>
      <c r="B926" s="22" t="s">
        <v>917</v>
      </c>
      <c r="C926" s="48">
        <v>4004608215</v>
      </c>
      <c r="D926" s="43">
        <v>46081</v>
      </c>
      <c r="E926" s="43">
        <f>input_invoice[[#This Row],[date]]+30</f>
        <v>46111</v>
      </c>
      <c r="F926" t="s">
        <v>52</v>
      </c>
      <c r="G926" s="47">
        <f>MAX(+input_invoice[[#This Row],[net]]+input_invoice[[#This Row],[tax_iva]],input_invoice[[#This Row],[net]])</f>
        <v>117.0917</v>
      </c>
      <c r="H926" s="47">
        <f>input_invoice[[#This Row],[net]]*(MAX(input_invoice[[#This Row],[tax_rate_iva]],0)/100)</f>
        <v>20.3217</v>
      </c>
      <c r="I926" s="47">
        <f>-input_invoice[[#This Row],[net]]*input_invoice[[#This Row],[tax_rate_irpf]]/100</f>
        <v>0</v>
      </c>
      <c r="J926" s="47">
        <v>96.77</v>
      </c>
      <c r="K926" t="str">
        <f t="shared" si="22"/>
        <v>logistics</v>
      </c>
      <c r="L926">
        <v>21</v>
      </c>
      <c r="N926" t="str">
        <f>VLOOKUP(input_invoice[[#This Row],[concept/supplier]],'sel-invoice'!D:E,2,0)</f>
        <v>Correos</v>
      </c>
      <c r="O926" t="str">
        <f>VLOOKUP(input_invoice[[#This Row],[concept/supplier]],'sel-invoice'!D:F,3,0)</f>
        <v>SL</v>
      </c>
      <c r="P926" t="str">
        <f>IF(input_invoice[[#This Row],[entity]]="SL","EUR",IF(input_invoice[[#This Row],[entity]]="Ltd","GBP",IF(input_invoice[[#This Row],[entity]]="Inc","USD","XXX")))</f>
        <v>EUR</v>
      </c>
      <c r="Q926" s="199" t="s">
        <v>1331</v>
      </c>
      <c r="R926" s="267" t="b">
        <v>0</v>
      </c>
    </row>
    <row r="927" spans="1:18" hidden="1" x14ac:dyDescent="0.3">
      <c r="A927">
        <v>202602</v>
      </c>
      <c r="B927" s="22" t="s">
        <v>917</v>
      </c>
      <c r="C927" s="48">
        <v>6033326</v>
      </c>
      <c r="D927" s="43">
        <v>46081</v>
      </c>
      <c r="E927" s="43">
        <f>input_invoice[[#This Row],[date]]+30</f>
        <v>46111</v>
      </c>
      <c r="F927" t="s">
        <v>182</v>
      </c>
      <c r="G927" s="47">
        <f>MAX(+input_invoice[[#This Row],[net]]+input_invoice[[#This Row],[tax_iva]],input_invoice[[#This Row],[net]])</f>
        <v>1483.0079999999998</v>
      </c>
      <c r="H927" s="47">
        <f>input_invoice[[#This Row],[net]]*(MAX(input_invoice[[#This Row],[tax_rate_iva]],0)/100)</f>
        <v>247.16800000000001</v>
      </c>
      <c r="I927" s="47">
        <f>-input_invoice[[#This Row],[net]]*input_invoice[[#This Row],[tax_rate_irpf]]/100</f>
        <v>0</v>
      </c>
      <c r="J927" s="47">
        <v>1235.8399999999999</v>
      </c>
      <c r="K927" t="str">
        <f t="shared" si="22"/>
        <v>manufacturing</v>
      </c>
      <c r="L927">
        <v>20</v>
      </c>
      <c r="N927" t="str">
        <f>VLOOKUP(input_invoice[[#This Row],[concept/supplier]],'sel-invoice'!D:E,2,0)</f>
        <v>Proco</v>
      </c>
      <c r="O927" t="str">
        <f>VLOOKUP(input_invoice[[#This Row],[concept/supplier]],'sel-invoice'!D:F,3,0)</f>
        <v>Ltd</v>
      </c>
      <c r="P927" t="str">
        <f>IF(input_invoice[[#This Row],[entity]]="SL","EUR",IF(input_invoice[[#This Row],[entity]]="Ltd","GBP",IF(input_invoice[[#This Row],[entity]]="Inc","USD","XXX")))</f>
        <v>GBP</v>
      </c>
      <c r="Q927" s="199" t="s">
        <v>1345</v>
      </c>
      <c r="R927" s="259" t="b">
        <v>0</v>
      </c>
    </row>
    <row r="928" spans="1:18" hidden="1" x14ac:dyDescent="0.3">
      <c r="A928">
        <v>202602</v>
      </c>
      <c r="B928" s="22" t="s">
        <v>917</v>
      </c>
      <c r="C928" s="48">
        <v>6033326</v>
      </c>
      <c r="D928" s="43">
        <v>46081</v>
      </c>
      <c r="E928" s="43">
        <f>input_invoice[[#This Row],[date]]+30</f>
        <v>46111</v>
      </c>
      <c r="F928" t="s">
        <v>194</v>
      </c>
      <c r="G928" s="47">
        <f>MAX(+input_invoice[[#This Row],[net]]+input_invoice[[#This Row],[tax_iva]],input_invoice[[#This Row],[net]])</f>
        <v>1209.5999999999999</v>
      </c>
      <c r="H928" s="47">
        <f>input_invoice[[#This Row],[net]]*(MAX(input_invoice[[#This Row],[tax_rate_iva]],0)/100)</f>
        <v>201.60000000000002</v>
      </c>
      <c r="I928" s="47">
        <f>-input_invoice[[#This Row],[net]]*input_invoice[[#This Row],[tax_rate_irpf]]/100</f>
        <v>0</v>
      </c>
      <c r="J928" s="47">
        <v>1008</v>
      </c>
      <c r="K928" t="str">
        <f t="shared" si="22"/>
        <v>logistics</v>
      </c>
      <c r="L928">
        <v>20</v>
      </c>
      <c r="N928" t="str">
        <f>VLOOKUP(input_invoice[[#This Row],[concept/supplier]],'sel-invoice'!D:E,2,0)</f>
        <v>Proco</v>
      </c>
      <c r="O928" t="str">
        <f>VLOOKUP(input_invoice[[#This Row],[concept/supplier]],'sel-invoice'!D:F,3,0)</f>
        <v>Ltd</v>
      </c>
      <c r="P928" t="str">
        <f>IF(input_invoice[[#This Row],[entity]]="SL","EUR",IF(input_invoice[[#This Row],[entity]]="Ltd","GBP",IF(input_invoice[[#This Row],[entity]]="Inc","USD","XXX")))</f>
        <v>GBP</v>
      </c>
      <c r="Q928" s="199" t="s">
        <v>1345</v>
      </c>
      <c r="R928" s="259" t="b">
        <v>0</v>
      </c>
    </row>
    <row r="929" spans="1:19" hidden="1" x14ac:dyDescent="0.3">
      <c r="A929">
        <v>202602</v>
      </c>
      <c r="B929" s="22" t="s">
        <v>917</v>
      </c>
      <c r="C929" s="48">
        <v>6033326</v>
      </c>
      <c r="D929" s="43">
        <v>46081</v>
      </c>
      <c r="E929" s="43">
        <f>input_invoice[[#This Row],[date]]+30</f>
        <v>46111</v>
      </c>
      <c r="F929" t="s">
        <v>196</v>
      </c>
      <c r="G929" s="47">
        <f>MAX(+input_invoice[[#This Row],[net]]+input_invoice[[#This Row],[tax_iva]],input_invoice[[#This Row],[net]])</f>
        <v>794.76</v>
      </c>
      <c r="H929" s="47">
        <f>input_invoice[[#This Row],[net]]*(MAX(input_invoice[[#This Row],[tax_rate_iva]],0)/100)</f>
        <v>132.46</v>
      </c>
      <c r="I929" s="47">
        <f>-input_invoice[[#This Row],[net]]*input_invoice[[#This Row],[tax_rate_irpf]]/100</f>
        <v>0</v>
      </c>
      <c r="J929" s="47">
        <v>662.3</v>
      </c>
      <c r="K929" t="str">
        <f t="shared" si="22"/>
        <v>logistics</v>
      </c>
      <c r="L929">
        <v>20</v>
      </c>
      <c r="N929" t="str">
        <f>VLOOKUP(input_invoice[[#This Row],[concept/supplier]],'sel-invoice'!D:E,2,0)</f>
        <v>Proco</v>
      </c>
      <c r="O929" t="str">
        <f>VLOOKUP(input_invoice[[#This Row],[concept/supplier]],'sel-invoice'!D:F,3,0)</f>
        <v>Ltd</v>
      </c>
      <c r="P929" t="str">
        <f>IF(input_invoice[[#This Row],[entity]]="SL","EUR",IF(input_invoice[[#This Row],[entity]]="Ltd","GBP",IF(input_invoice[[#This Row],[entity]]="Inc","USD","XXX")))</f>
        <v>GBP</v>
      </c>
      <c r="Q929" s="199" t="s">
        <v>1345</v>
      </c>
      <c r="R929" s="259" t="b">
        <v>0</v>
      </c>
    </row>
    <row r="930" spans="1:19" hidden="1" x14ac:dyDescent="0.3">
      <c r="A930">
        <v>202602</v>
      </c>
      <c r="B930" s="22" t="s">
        <v>917</v>
      </c>
      <c r="C930" s="48">
        <v>6033326</v>
      </c>
      <c r="D930" s="43">
        <v>46081</v>
      </c>
      <c r="E930" s="43">
        <f>input_invoice[[#This Row],[date]]+30</f>
        <v>46111</v>
      </c>
      <c r="F930" t="s">
        <v>184</v>
      </c>
      <c r="G930" s="47">
        <f>MAX(+input_invoice[[#This Row],[net]]+input_invoice[[#This Row],[tax_iva]],input_invoice[[#This Row],[net]])</f>
        <v>3285.5520000000001</v>
      </c>
      <c r="H930" s="47">
        <f>input_invoice[[#This Row],[net]]*(MAX(input_invoice[[#This Row],[tax_rate_iva]],0)/100)</f>
        <v>547.59199999999998</v>
      </c>
      <c r="I930" s="47">
        <f>-input_invoice[[#This Row],[net]]*input_invoice[[#This Row],[tax_rate_irpf]]/100</f>
        <v>0</v>
      </c>
      <c r="J930" s="47">
        <v>2737.96</v>
      </c>
      <c r="K930" t="str">
        <f t="shared" si="22"/>
        <v>manufacturing</v>
      </c>
      <c r="L930">
        <v>20</v>
      </c>
      <c r="N930" t="str">
        <f>VLOOKUP(input_invoice[[#This Row],[concept/supplier]],'sel-invoice'!D:E,2,0)</f>
        <v>Proco</v>
      </c>
      <c r="O930" t="str">
        <f>VLOOKUP(input_invoice[[#This Row],[concept/supplier]],'sel-invoice'!D:F,3,0)</f>
        <v>Ltd</v>
      </c>
      <c r="P930" t="str">
        <f>IF(input_invoice[[#This Row],[entity]]="SL","EUR",IF(input_invoice[[#This Row],[entity]]="Ltd","GBP",IF(input_invoice[[#This Row],[entity]]="Inc","USD","XXX")))</f>
        <v>GBP</v>
      </c>
      <c r="Q930" s="199" t="s">
        <v>1345</v>
      </c>
      <c r="R930" s="259" t="b">
        <v>0</v>
      </c>
    </row>
    <row r="931" spans="1:19" hidden="1" x14ac:dyDescent="0.3">
      <c r="A931">
        <v>202602</v>
      </c>
      <c r="B931" s="22" t="s">
        <v>917</v>
      </c>
      <c r="C931" s="48">
        <v>6033326</v>
      </c>
      <c r="D931" s="43">
        <v>46081</v>
      </c>
      <c r="E931" s="43">
        <f>input_invoice[[#This Row],[date]]+30</f>
        <v>46111</v>
      </c>
      <c r="F931" t="s">
        <v>186</v>
      </c>
      <c r="G931" s="47">
        <f>MAX(+input_invoice[[#This Row],[net]]+input_invoice[[#This Row],[tax_iva]],input_invoice[[#This Row],[net]])</f>
        <v>744</v>
      </c>
      <c r="H931" s="47">
        <f>input_invoice[[#This Row],[net]]*(MAX(input_invoice[[#This Row],[tax_rate_iva]],0)/100)</f>
        <v>124</v>
      </c>
      <c r="I931" s="47">
        <f>-input_invoice[[#This Row],[net]]*input_invoice[[#This Row],[tax_rate_irpf]]/100</f>
        <v>0</v>
      </c>
      <c r="J931" s="47">
        <v>620</v>
      </c>
      <c r="K931" t="str">
        <f t="shared" si="22"/>
        <v>manufacturing</v>
      </c>
      <c r="L931">
        <v>20</v>
      </c>
      <c r="N931" t="str">
        <f>VLOOKUP(input_invoice[[#This Row],[concept/supplier]],'sel-invoice'!D:E,2,0)</f>
        <v>Proco</v>
      </c>
      <c r="O931" t="str">
        <f>VLOOKUP(input_invoice[[#This Row],[concept/supplier]],'sel-invoice'!D:F,3,0)</f>
        <v>Ltd</v>
      </c>
      <c r="P931" t="str">
        <f>IF(input_invoice[[#This Row],[entity]]="SL","EUR",IF(input_invoice[[#This Row],[entity]]="Ltd","GBP",IF(input_invoice[[#This Row],[entity]]="Inc","USD","XXX")))</f>
        <v>GBP</v>
      </c>
      <c r="Q931" s="199" t="s">
        <v>1345</v>
      </c>
      <c r="R931" s="259" t="b">
        <v>0</v>
      </c>
    </row>
    <row r="932" spans="1:19" hidden="1" x14ac:dyDescent="0.3">
      <c r="A932">
        <v>202601</v>
      </c>
      <c r="B932" s="22" t="s">
        <v>917</v>
      </c>
      <c r="C932" s="48">
        <v>5489506571</v>
      </c>
      <c r="D932" s="43">
        <v>46053</v>
      </c>
      <c r="E932" s="43">
        <f>input_invoice[[#This Row],[date]]+60</f>
        <v>46113</v>
      </c>
      <c r="F932" t="s">
        <v>88</v>
      </c>
      <c r="G932" s="47">
        <f>MAX(+input_invoice[[#This Row],[net]]+input_invoice[[#This Row],[tax_iva]],input_invoice[[#This Row],[net]])</f>
        <v>29164.06</v>
      </c>
      <c r="H932" s="47">
        <f>input_invoice[[#This Row],[net]]*(MAX(input_invoice[[#This Row],[tax_rate_iva]],0)/100)</f>
        <v>0</v>
      </c>
      <c r="I932" s="47">
        <f>-input_invoice[[#This Row],[net]]*input_invoice[[#This Row],[tax_rate_irpf]]/100</f>
        <v>0</v>
      </c>
      <c r="J932" s="47">
        <v>29164.06</v>
      </c>
      <c r="K932" t="str">
        <f t="shared" si="22"/>
        <v>marketing</v>
      </c>
      <c r="L932">
        <v>0</v>
      </c>
      <c r="N932" t="str">
        <f>VLOOKUP(input_invoice[[#This Row],[concept/supplier]],'sel-invoice'!D:E,2,0)</f>
        <v>google</v>
      </c>
      <c r="O932" t="str">
        <f>VLOOKUP(input_invoice[[#This Row],[concept/supplier]],'sel-invoice'!D:F,3,0)</f>
        <v>SL</v>
      </c>
      <c r="P932" t="str">
        <f>IF(input_invoice[[#This Row],[entity]]="SL","EUR",IF(input_invoice[[#This Row],[entity]]="Ltd","GBP",IF(input_invoice[[#This Row],[entity]]="Inc","USD","XXX")))</f>
        <v>EUR</v>
      </c>
      <c r="Q932" s="199" t="s">
        <v>1329</v>
      </c>
      <c r="R932" s="267" t="b">
        <v>0</v>
      </c>
    </row>
    <row r="933" spans="1:19" hidden="1" x14ac:dyDescent="0.3">
      <c r="A933">
        <v>202602</v>
      </c>
      <c r="B933" s="22" t="s">
        <v>917</v>
      </c>
      <c r="C933" s="48" t="s">
        <v>1374</v>
      </c>
      <c r="D933" s="43">
        <v>46054</v>
      </c>
      <c r="E933" s="43">
        <v>46055</v>
      </c>
      <c r="F933" t="s">
        <v>66</v>
      </c>
      <c r="G933" s="47">
        <f ca="1">MAX(+input_invoice[[#This Row],[net]]+input_invoice[[#This Row],[tax_iva]],input_invoice[[#This Row],[net]])</f>
        <v>0</v>
      </c>
      <c r="H933" s="47">
        <f ca="1">input_invoice[[#This Row],[net]]*(MAX(input_invoice[[#This Row],[tax_rate_iva]],0)/100)</f>
        <v>0</v>
      </c>
      <c r="I933" s="47">
        <f>-input_invoice[[#This Row],[net]]*input_invoice[[#This Row],[tax_rate_irpf]]/100</f>
        <v>0</v>
      </c>
      <c r="J933" s="47">
        <v>1172.8399999999999</v>
      </c>
      <c r="K933" t="str">
        <f t="shared" si="22"/>
        <v>payment-suppliers</v>
      </c>
      <c r="L933">
        <f ca="1">+input_invoice[[#This Row],[gross]]-input_invoice[[#This Row],[net]]</f>
        <v>0</v>
      </c>
      <c r="N933" t="str">
        <f>VLOOKUP(input_invoice[[#This Row],[concept/supplier]],'sel-invoice'!D:E,2,0)</f>
        <v>Paypal</v>
      </c>
      <c r="O933" t="str">
        <f>VLOOKUP(input_invoice[[#This Row],[concept/supplier]],'sel-invoice'!D:F,3,0)</f>
        <v>SL</v>
      </c>
      <c r="P933" t="str">
        <f>IF(input_invoice[[#This Row],[entity]]="SL","EUR",IF(input_invoice[[#This Row],[entity]]="Ltd","GBP",IF(input_invoice[[#This Row],[entity]]="Inc","USD","XXX")))</f>
        <v>EUR</v>
      </c>
      <c r="R933" s="267" t="b">
        <v>1</v>
      </c>
    </row>
    <row r="934" spans="1:19" hidden="1" x14ac:dyDescent="0.3">
      <c r="G934" s="47">
        <f ca="1">MAX(+input_invoice[[#This Row],[net]]+input_invoice[[#This Row],[tax_iva]],input_invoice[[#This Row],[net]])</f>
        <v>0</v>
      </c>
      <c r="H934" s="47">
        <f ca="1">input_invoice[[#This Row],[net]]*(MAX(input_invoice[[#This Row],[tax_rate_iva]],0)/100)</f>
        <v>0</v>
      </c>
      <c r="I934" s="47">
        <f>-input_invoice[[#This Row],[net]]*input_invoice[[#This Row],[tax_rate_irpf]]/100</f>
        <v>0</v>
      </c>
      <c r="K934" t="e">
        <f t="shared" ref="K934:K966" si="23">_xlfn.TEXTBEFORE(F934," - ")</f>
        <v>#N/A</v>
      </c>
      <c r="L934">
        <f ca="1">+input_invoice[[#This Row],[gross]]-input_invoice[[#This Row],[net]]</f>
        <v>0</v>
      </c>
      <c r="N934" t="e">
        <f>VLOOKUP(input_invoice[[#This Row],[concept/supplier]],'sel-invoice'!D:E,2,0)</f>
        <v>#N/A</v>
      </c>
      <c r="O934" t="e">
        <f>VLOOKUP(input_invoice[[#This Row],[concept/supplier]],'sel-invoice'!D:F,3,0)</f>
        <v>#N/A</v>
      </c>
      <c r="P934" t="e">
        <f>IF(input_invoice[[#This Row],[entity]]="SL","EUR",IF(input_invoice[[#This Row],[entity]]="Ltd","GBP",IF(input_invoice[[#This Row],[entity]]="Inc","USD","XXX")))</f>
        <v>#N/A</v>
      </c>
    </row>
    <row r="935" spans="1:19" hidden="1" x14ac:dyDescent="0.3">
      <c r="A935">
        <v>202602</v>
      </c>
      <c r="B935" s="22" t="s">
        <v>917</v>
      </c>
      <c r="C935" s="48">
        <v>20260082</v>
      </c>
      <c r="D935" s="43">
        <v>46081</v>
      </c>
      <c r="E935" s="43">
        <v>46111</v>
      </c>
      <c r="F935" t="s">
        <v>51</v>
      </c>
      <c r="G935" s="47">
        <f>MAX(+input_invoice[[#This Row],[net]]+input_invoice[[#This Row],[tax_iva]],input_invoice[[#This Row],[net]])</f>
        <v>19295.894199999999</v>
      </c>
      <c r="H935" s="47">
        <f>input_invoice[[#This Row],[net]]*(MAX(input_invoice[[#This Row],[tax_rate_iva]],0)/100)</f>
        <v>3348.8741999999997</v>
      </c>
      <c r="I935" s="47">
        <f>-input_invoice[[#This Row],[net]]*input_invoice[[#This Row],[tax_rate_irpf]]/100</f>
        <v>0</v>
      </c>
      <c r="J935" s="47">
        <v>15947.02</v>
      </c>
      <c r="K935" t="str">
        <f t="shared" si="23"/>
        <v>logistics</v>
      </c>
      <c r="L935">
        <v>21</v>
      </c>
      <c r="N935" t="str">
        <f>VLOOKUP(input_invoice[[#This Row],[concept/supplier]],'sel-invoice'!D:E,2,0)</f>
        <v>GLS</v>
      </c>
      <c r="O935" t="str">
        <f>VLOOKUP(input_invoice[[#This Row],[concept/supplier]],'sel-invoice'!D:F,3,0)</f>
        <v>SL</v>
      </c>
      <c r="P935" t="str">
        <f>IF(input_invoice[[#This Row],[entity]]="SL","EUR",IF(input_invoice[[#This Row],[entity]]="Ltd","GBP",IF(input_invoice[[#This Row],[entity]]="Inc","USD","XXX")))</f>
        <v>EUR</v>
      </c>
      <c r="Q935" s="199" t="s">
        <v>1344</v>
      </c>
      <c r="R935" s="267" t="b">
        <v>0</v>
      </c>
    </row>
    <row r="936" spans="1:19" hidden="1" x14ac:dyDescent="0.3">
      <c r="A936">
        <v>202601</v>
      </c>
      <c r="B936" s="22" t="s">
        <v>917</v>
      </c>
      <c r="C936">
        <v>5472439457</v>
      </c>
      <c r="D936" s="43">
        <v>46053</v>
      </c>
      <c r="E936" s="43">
        <f>input_invoice[[#This Row],[date]]+60</f>
        <v>46113</v>
      </c>
      <c r="F936" t="s">
        <v>88</v>
      </c>
      <c r="G936" s="47">
        <f ca="1">MAX(+input_invoice[[#This Row],[net]]+input_invoice[[#This Row],[tax_iva]],input_invoice[[#This Row],[net]])</f>
        <v>0</v>
      </c>
      <c r="H936" s="47">
        <f ca="1">input_invoice[[#This Row],[net]]*(MAX(input_invoice[[#This Row],[tax_rate_iva]],0)/100)</f>
        <v>0</v>
      </c>
      <c r="I936" s="47">
        <f>-input_invoice[[#This Row],[net]]*input_invoice[[#This Row],[tax_rate_irpf]]/100</f>
        <v>0</v>
      </c>
      <c r="K936" s="279" t="str">
        <f t="shared" si="23"/>
        <v>marketing</v>
      </c>
      <c r="L936">
        <f ca="1">+input_invoice[[#This Row],[gross]]-input_invoice[[#This Row],[net]]</f>
        <v>0</v>
      </c>
      <c r="N936" s="279" t="str">
        <f>VLOOKUP(input_invoice[[#This Row],[concept/supplier]],'sel-invoice'!D:E,2,0)</f>
        <v>google</v>
      </c>
      <c r="O936" s="279" t="str">
        <f>VLOOKUP(input_invoice[[#This Row],[concept/supplier]],'sel-invoice'!D:F,3,0)</f>
        <v>SL</v>
      </c>
      <c r="P936" s="279" t="str">
        <f>IF(input_invoice[[#This Row],[entity]]="SL","EUR",IF(input_invoice[[#This Row],[entity]]="Ltd","GBP",IF(input_invoice[[#This Row],[entity]]="Inc","USD","XXX")))</f>
        <v>EUR</v>
      </c>
      <c r="Q936" s="240"/>
      <c r="R936" s="291" t="b">
        <v>0</v>
      </c>
      <c r="S936" s="279"/>
    </row>
    <row r="937" spans="1:19" hidden="1" x14ac:dyDescent="0.3">
      <c r="A937">
        <v>202601</v>
      </c>
      <c r="B937" s="22" t="s">
        <v>917</v>
      </c>
      <c r="C937">
        <v>250807809</v>
      </c>
      <c r="D937" s="43">
        <v>46054</v>
      </c>
      <c r="E937" s="43">
        <f>input_invoice[[#This Row],[date]]+60</f>
        <v>46114</v>
      </c>
      <c r="F937" t="s">
        <v>90</v>
      </c>
      <c r="G937" s="47">
        <f>MAX(+input_invoice[[#This Row],[net]]+input_invoice[[#This Row],[tax_iva]],input_invoice[[#This Row],[net]])</f>
        <v>25484.46</v>
      </c>
      <c r="H937" s="47">
        <f>input_invoice[[#This Row],[net]]*(MAX(input_invoice[[#This Row],[tax_rate_iva]],0)/100)</f>
        <v>0</v>
      </c>
      <c r="I937" s="47">
        <f>-input_invoice[[#This Row],[net]]*input_invoice[[#This Row],[tax_rate_irpf]]/100</f>
        <v>0</v>
      </c>
      <c r="J937">
        <v>25484.46</v>
      </c>
      <c r="K937" t="str">
        <f t="shared" si="23"/>
        <v>marketing</v>
      </c>
      <c r="L937">
        <v>0</v>
      </c>
      <c r="N937" t="str">
        <f>VLOOKUP(input_invoice[[#This Row],[concept/supplier]],'sel-invoice'!D:E,2,0)</f>
        <v>meta</v>
      </c>
      <c r="O937" t="str">
        <f>VLOOKUP(input_invoice[[#This Row],[concept/supplier]],'sel-invoice'!D:F,3,0)</f>
        <v>SL</v>
      </c>
      <c r="P937" t="str">
        <f>IF(input_invoice[[#This Row],[entity]]="SL","EUR",IF(input_invoice[[#This Row],[entity]]="Ltd","GBP",IF(input_invoice[[#This Row],[entity]]="Inc","USD","XXX")))</f>
        <v>EUR</v>
      </c>
      <c r="Q937" s="199" t="s">
        <v>1323</v>
      </c>
      <c r="R937" s="267" t="b">
        <v>0</v>
      </c>
    </row>
    <row r="938" spans="1:19" hidden="1" x14ac:dyDescent="0.3">
      <c r="A938">
        <v>202602</v>
      </c>
      <c r="B938" s="22" t="s">
        <v>917</v>
      </c>
      <c r="C938">
        <v>171421</v>
      </c>
      <c r="D938" s="43">
        <v>46081</v>
      </c>
      <c r="E938" s="43">
        <f>input_invoice[[#This Row],[date]]+45</f>
        <v>46126</v>
      </c>
      <c r="F938" t="s">
        <v>218</v>
      </c>
      <c r="G938" s="47">
        <f>MAX(+input_invoice[[#This Row],[net]]+input_invoice[[#This Row],[tax_iva]],input_invoice[[#This Row],[net]])</f>
        <v>2616.2800000000002</v>
      </c>
      <c r="H938" s="47">
        <f>input_invoice[[#This Row],[net]]*(MAX(input_invoice[[#This Row],[tax_rate_iva]],0)/100)</f>
        <v>0</v>
      </c>
      <c r="I938" s="47">
        <f>-input_invoice[[#This Row],[net]]*input_invoice[[#This Row],[tax_rate_irpf]]/100</f>
        <v>0</v>
      </c>
      <c r="J938">
        <v>2616.2800000000002</v>
      </c>
      <c r="K938" t="str">
        <f t="shared" si="23"/>
        <v>manufacturing</v>
      </c>
      <c r="L938">
        <v>0</v>
      </c>
      <c r="N938" t="str">
        <f>VLOOKUP(input_invoice[[#This Row],[concept/supplier]],'sel-invoice'!D:E,2,0)</f>
        <v>TGI Inc</v>
      </c>
      <c r="O938" t="str">
        <f>VLOOKUP(input_invoice[[#This Row],[concept/supplier]],'sel-invoice'!D:F,3,0)</f>
        <v>Inc</v>
      </c>
      <c r="P938" t="str">
        <f>IF(input_invoice[[#This Row],[entity]]="SL","EUR",IF(input_invoice[[#This Row],[entity]]="Ltd","GBP",IF(input_invoice[[#This Row],[entity]]="Inc","USD","XXX")))</f>
        <v>USD</v>
      </c>
      <c r="Q938" s="199" t="s">
        <v>1382</v>
      </c>
      <c r="R938" s="259" t="b">
        <v>0</v>
      </c>
    </row>
    <row r="939" spans="1:19" hidden="1" x14ac:dyDescent="0.3">
      <c r="A939">
        <v>202502</v>
      </c>
      <c r="B939" s="22" t="s">
        <v>917</v>
      </c>
      <c r="C939" t="s">
        <v>1348</v>
      </c>
      <c r="D939" s="43">
        <v>46081</v>
      </c>
      <c r="E939" s="43">
        <v>46081</v>
      </c>
      <c r="F939" t="s">
        <v>111</v>
      </c>
      <c r="G939" s="47">
        <f>MAX(+input_invoice[[#This Row],[net]]+input_invoice[[#This Row],[tax_iva]],input_invoice[[#This Row],[net]])</f>
        <v>977.77680000000009</v>
      </c>
      <c r="H939" s="47">
        <f>input_invoice[[#This Row],[net]]*(MAX(input_invoice[[#This Row],[tax_rate_iva]],0)/100)</f>
        <v>169.6968</v>
      </c>
      <c r="I939" s="47">
        <f>-input_invoice[[#This Row],[net]]*input_invoice[[#This Row],[tax_rate_irpf]]/100</f>
        <v>0</v>
      </c>
      <c r="J939">
        <v>808.08</v>
      </c>
      <c r="K939" t="str">
        <f t="shared" si="23"/>
        <v>administrative</v>
      </c>
      <c r="L939">
        <v>21</v>
      </c>
      <c r="N939" t="str">
        <f>VLOOKUP(input_invoice[[#This Row],[concept/supplier]],'sel-invoice'!D:E,2,0)</f>
        <v>Claris Gestio</v>
      </c>
      <c r="O939" t="str">
        <f>VLOOKUP(input_invoice[[#This Row],[concept/supplier]],'sel-invoice'!D:F,3,0)</f>
        <v>SL</v>
      </c>
      <c r="P939" t="str">
        <f>IF(input_invoice[[#This Row],[entity]]="SL","EUR",IF(input_invoice[[#This Row],[entity]]="Ltd","GBP",IF(input_invoice[[#This Row],[entity]]="Inc","USD","XXX")))</f>
        <v>EUR</v>
      </c>
      <c r="Q939" s="199" t="s">
        <v>1376</v>
      </c>
      <c r="R939" s="259" t="b">
        <v>1</v>
      </c>
    </row>
    <row r="940" spans="1:19" hidden="1" x14ac:dyDescent="0.3">
      <c r="A940">
        <v>202502</v>
      </c>
      <c r="B940" s="22" t="s">
        <v>917</v>
      </c>
      <c r="C940" s="48" t="s">
        <v>1377</v>
      </c>
      <c r="D940" s="43">
        <v>46081</v>
      </c>
      <c r="E940" s="43">
        <v>46081</v>
      </c>
      <c r="F940" t="s">
        <v>117</v>
      </c>
      <c r="G940" s="47">
        <f>MAX(+input_invoice[[#This Row],[net]]+input_invoice[[#This Row],[tax_iva]],input_invoice[[#This Row],[net]])</f>
        <v>27.91</v>
      </c>
      <c r="H940" s="47">
        <f>input_invoice[[#This Row],[net]]*(MAX(input_invoice[[#This Row],[tax_rate_iva]],0)/100)</f>
        <v>0</v>
      </c>
      <c r="I940" s="47">
        <f>-input_invoice[[#This Row],[net]]*input_invoice[[#This Row],[tax_rate_irpf]]/100</f>
        <v>0</v>
      </c>
      <c r="J940" s="47">
        <v>27.91</v>
      </c>
      <c r="K940" t="str">
        <f t="shared" si="23"/>
        <v>administrative</v>
      </c>
      <c r="L940">
        <v>0</v>
      </c>
      <c r="N940" t="str">
        <f>VLOOKUP(input_invoice[[#This Row],[concept/supplier]],'sel-invoice'!D:E,2,0)</f>
        <v>regus</v>
      </c>
      <c r="O940" t="str">
        <f>VLOOKUP(input_invoice[[#This Row],[concept/supplier]],'sel-invoice'!D:F,3,0)</f>
        <v>Inc</v>
      </c>
      <c r="P940" t="str">
        <f>IF(input_invoice[[#This Row],[entity]]="SL","EUR",IF(input_invoice[[#This Row],[entity]]="Ltd","GBP",IF(input_invoice[[#This Row],[entity]]="Inc","USD","XXX")))</f>
        <v>USD</v>
      </c>
    </row>
    <row r="941" spans="1:19" hidden="1" x14ac:dyDescent="0.3">
      <c r="A941">
        <v>202501</v>
      </c>
      <c r="B941" s="22" t="s">
        <v>917</v>
      </c>
      <c r="G941" s="47">
        <f ca="1">MAX(+input_invoice[[#This Row],[net]]+input_invoice[[#This Row],[tax_iva]],input_invoice[[#This Row],[net]])</f>
        <v>0</v>
      </c>
      <c r="H941" s="47">
        <f ca="1">input_invoice[[#This Row],[net]]*(MAX(input_invoice[[#This Row],[tax_rate_iva]],0)/100)</f>
        <v>0</v>
      </c>
      <c r="I941" s="47">
        <f>-input_invoice[[#This Row],[net]]*input_invoice[[#This Row],[tax_rate_irpf]]/100</f>
        <v>0</v>
      </c>
      <c r="K941" t="e">
        <f t="shared" si="23"/>
        <v>#N/A</v>
      </c>
      <c r="L941">
        <f ca="1">+input_invoice[[#This Row],[gross]]-input_invoice[[#This Row],[net]]</f>
        <v>0</v>
      </c>
      <c r="N941" t="e">
        <f>VLOOKUP(input_invoice[[#This Row],[concept/supplier]],'sel-invoice'!D:E,2,0)</f>
        <v>#N/A</v>
      </c>
      <c r="O941" t="e">
        <f>VLOOKUP(input_invoice[[#This Row],[concept/supplier]],'sel-invoice'!D:F,3,0)</f>
        <v>#N/A</v>
      </c>
      <c r="P941" t="e">
        <f>IF(input_invoice[[#This Row],[entity]]="SL","EUR",IF(input_invoice[[#This Row],[entity]]="Ltd","GBP",IF(input_invoice[[#This Row],[entity]]="Inc","USD","XXX")))</f>
        <v>#N/A</v>
      </c>
    </row>
    <row r="942" spans="1:19" hidden="1" x14ac:dyDescent="0.3">
      <c r="A942">
        <v>202502</v>
      </c>
      <c r="B942" s="22" t="s">
        <v>917</v>
      </c>
      <c r="C942" s="48" t="s">
        <v>292</v>
      </c>
      <c r="D942" s="43">
        <v>45716</v>
      </c>
      <c r="E942" s="43">
        <v>45733</v>
      </c>
      <c r="F942" t="s">
        <v>37</v>
      </c>
      <c r="G942" s="47">
        <f>MAX(+input_invoice[[#This Row],[net]]+input_invoice[[#This Row],[tax_iva]]+input_invoice[[#This Row],[tax_irpf]],input_invoice[[#This Row],[net]])</f>
        <v>63.887999999999998</v>
      </c>
      <c r="H942" s="47">
        <f>input_invoice[[#This Row],[net]]*(MAX(input_invoice[[#This Row],[tax_rate_iva]],0)/100)</f>
        <v>11.087999999999999</v>
      </c>
      <c r="I942" s="47">
        <f>-input_invoice[[#This Row],[net]]*input_invoice[[#This Row],[tax_rate_irpf]]/100</f>
        <v>0</v>
      </c>
      <c r="J942" s="47">
        <v>52.8</v>
      </c>
      <c r="K942" t="str">
        <f t="shared" si="23"/>
        <v>manufacturing</v>
      </c>
      <c r="L942">
        <v>21</v>
      </c>
      <c r="N942" t="str">
        <f>VLOOKUP(input_invoice[[#This Row],[concept/supplier]],'sel-invoice'!D:E,2,0)</f>
        <v>Apphoto España</v>
      </c>
      <c r="O942" t="str">
        <f>VLOOKUP(input_invoice[[#This Row],[concept/supplier]],'sel-invoice'!D:F,3,0)</f>
        <v>SL</v>
      </c>
      <c r="P942" t="str">
        <f>IF(input_invoice[[#This Row],[entity]]="SL","EUR",IF(input_invoice[[#This Row],[entity]]="Ltd","GBP",IF(input_invoice[[#This Row],[entity]]="Inc","USD","XXX")))</f>
        <v>EUR</v>
      </c>
      <c r="Q942" s="60"/>
    </row>
    <row r="943" spans="1:19" hidden="1" x14ac:dyDescent="0.3">
      <c r="A943">
        <v>202502</v>
      </c>
      <c r="B943" s="22" t="s">
        <v>917</v>
      </c>
      <c r="C943" s="48" t="s">
        <v>1366</v>
      </c>
      <c r="D943" s="43">
        <v>46070</v>
      </c>
      <c r="E943" s="43">
        <f>input_invoice[[#This Row],[date]]+15</f>
        <v>46085</v>
      </c>
      <c r="F943" t="s">
        <v>37</v>
      </c>
      <c r="G943" s="47">
        <f>MAX(+input_invoice[[#This Row],[net]]+input_invoice[[#This Row],[tax_iva]],input_invoice[[#This Row],[net]])</f>
        <v>5309.0685999999996</v>
      </c>
      <c r="H943" s="47">
        <f>input_invoice[[#This Row],[net]]*(MAX(input_invoice[[#This Row],[tax_rate_iva]],0)/100)</f>
        <v>921.40859999999998</v>
      </c>
      <c r="I943" s="47">
        <f>-input_invoice[[#This Row],[net]]*input_invoice[[#This Row],[tax_rate_irpf]]/100</f>
        <v>0</v>
      </c>
      <c r="J943" s="47">
        <v>4387.66</v>
      </c>
      <c r="K943" t="str">
        <f t="shared" si="23"/>
        <v>manufacturing</v>
      </c>
      <c r="L943">
        <v>21</v>
      </c>
      <c r="N943" t="str">
        <f>VLOOKUP(input_invoice[[#This Row],[concept/supplier]],'sel-invoice'!D:E,2,0)</f>
        <v>Apphoto España</v>
      </c>
      <c r="O943" t="str">
        <f>VLOOKUP(input_invoice[[#This Row],[concept/supplier]],'sel-invoice'!D:F,3,0)</f>
        <v>SL</v>
      </c>
      <c r="P943" t="str">
        <f>IF(input_invoice[[#This Row],[entity]]="SL","EUR",IF(input_invoice[[#This Row],[entity]]="Ltd","GBP",IF(input_invoice[[#This Row],[entity]]="Inc","USD","XXX")))</f>
        <v>EUR</v>
      </c>
    </row>
    <row r="944" spans="1:19" hidden="1" x14ac:dyDescent="0.3">
      <c r="A944">
        <v>202602</v>
      </c>
      <c r="B944" s="22" t="s">
        <v>917</v>
      </c>
      <c r="C944" s="48">
        <v>5505030303</v>
      </c>
      <c r="D944" s="43">
        <v>46081</v>
      </c>
      <c r="E944" s="43">
        <f>input_invoice[[#This Row],[date]]+60</f>
        <v>46141</v>
      </c>
      <c r="F944" t="s">
        <v>88</v>
      </c>
      <c r="G944" s="47">
        <f>MAX(+input_invoice[[#This Row],[net]]+input_invoice[[#This Row],[tax_iva]],input_invoice[[#This Row],[net]])</f>
        <v>201.91</v>
      </c>
      <c r="H944" s="47">
        <f>input_invoice[[#This Row],[net]]*(MAX(input_invoice[[#This Row],[tax_rate_iva]],0)/100)</f>
        <v>0</v>
      </c>
      <c r="I944" s="47">
        <f>-input_invoice[[#This Row],[net]]*input_invoice[[#This Row],[tax_rate_irpf]]/100</f>
        <v>0</v>
      </c>
      <c r="J944" s="47">
        <v>201.91</v>
      </c>
      <c r="K944" t="str">
        <f t="shared" si="23"/>
        <v>marketing</v>
      </c>
      <c r="L944">
        <v>0</v>
      </c>
      <c r="N944" t="str">
        <f>VLOOKUP(input_invoice[[#This Row],[concept/supplier]],'sel-invoice'!D:E,2,0)</f>
        <v>google</v>
      </c>
      <c r="O944" t="str">
        <f>VLOOKUP(input_invoice[[#This Row],[concept/supplier]],'sel-invoice'!D:F,3,0)</f>
        <v>SL</v>
      </c>
      <c r="P944" t="str">
        <f>IF(input_invoice[[#This Row],[entity]]="SL","EUR",IF(input_invoice[[#This Row],[entity]]="Ltd","GBP",IF(input_invoice[[#This Row],[entity]]="Inc","USD","XXX")))</f>
        <v>EUR</v>
      </c>
      <c r="Q944" s="199" t="s">
        <v>1379</v>
      </c>
      <c r="R944" s="259" t="b">
        <v>1</v>
      </c>
    </row>
    <row r="945" spans="1:18" hidden="1" x14ac:dyDescent="0.3">
      <c r="G945" s="47">
        <f ca="1">MAX(+input_invoice[[#This Row],[net]]+input_invoice[[#This Row],[tax_iva]],input_invoice[[#This Row],[net]])</f>
        <v>0</v>
      </c>
      <c r="H945" s="47">
        <f ca="1">input_invoice[[#This Row],[net]]*(MAX(input_invoice[[#This Row],[tax_rate_iva]],0)/100)</f>
        <v>0</v>
      </c>
      <c r="I945" s="47">
        <f>-input_invoice[[#This Row],[net]]*input_invoice[[#This Row],[tax_rate_irpf]]/100</f>
        <v>0</v>
      </c>
      <c r="K945" t="e">
        <f t="shared" si="23"/>
        <v>#N/A</v>
      </c>
      <c r="L945">
        <f ca="1">+input_invoice[[#This Row],[gross]]-input_invoice[[#This Row],[net]]</f>
        <v>0</v>
      </c>
      <c r="N945" t="e">
        <f>VLOOKUP(input_invoice[[#This Row],[concept/supplier]],'sel-invoice'!D:E,2,0)</f>
        <v>#N/A</v>
      </c>
      <c r="O945" t="e">
        <f>VLOOKUP(input_invoice[[#This Row],[concept/supplier]],'sel-invoice'!D:F,3,0)</f>
        <v>#N/A</v>
      </c>
      <c r="P945" t="e">
        <f>IF(input_invoice[[#This Row],[entity]]="SL","EUR",IF(input_invoice[[#This Row],[entity]]="Ltd","GBP",IF(input_invoice[[#This Row],[entity]]="Inc","USD","XXX")))</f>
        <v>#N/A</v>
      </c>
    </row>
    <row r="946" spans="1:18" hidden="1" x14ac:dyDescent="0.3">
      <c r="A946">
        <v>202602</v>
      </c>
      <c r="B946" s="22" t="s">
        <v>917</v>
      </c>
      <c r="C946" s="48" t="s">
        <v>1380</v>
      </c>
      <c r="D946" s="43">
        <v>46081</v>
      </c>
      <c r="E946" s="43">
        <v>46081</v>
      </c>
      <c r="F946" t="s">
        <v>222</v>
      </c>
      <c r="G946" s="47">
        <f>MAX(+input_invoice[[#This Row],[net]]+input_invoice[[#This Row],[tax_iva]],input_invoice[[#This Row],[net]])</f>
        <v>1134.07</v>
      </c>
      <c r="H946" s="47">
        <f>input_invoice[[#This Row],[net]]*(MAX(input_invoice[[#This Row],[tax_rate_iva]],0)/100)</f>
        <v>0</v>
      </c>
      <c r="I946" s="47">
        <f>-input_invoice[[#This Row],[net]]*input_invoice[[#This Row],[tax_rate_irpf]]/100</f>
        <v>0</v>
      </c>
      <c r="J946" s="47">
        <v>1134.07</v>
      </c>
      <c r="K946" t="str">
        <f t="shared" si="23"/>
        <v>logistics</v>
      </c>
      <c r="L946">
        <v>0</v>
      </c>
      <c r="N946" t="str">
        <f>VLOOKUP(input_invoice[[#This Row],[concept/supplier]],'sel-invoice'!D:E,2,0)</f>
        <v>jondo</v>
      </c>
      <c r="O946" t="str">
        <f>VLOOKUP(input_invoice[[#This Row],[concept/supplier]],'sel-invoice'!D:F,3,0)</f>
        <v>Inc</v>
      </c>
      <c r="P946" t="str">
        <f>IF(input_invoice[[#This Row],[entity]]="SL","EUR",IF(input_invoice[[#This Row],[entity]]="Ltd","GBP",IF(input_invoice[[#This Row],[entity]]="Inc","USD","XXX")))</f>
        <v>USD</v>
      </c>
      <c r="R946" s="259" t="b">
        <v>1</v>
      </c>
    </row>
    <row r="947" spans="1:18" hidden="1" x14ac:dyDescent="0.3">
      <c r="A947">
        <v>202602</v>
      </c>
      <c r="B947" s="22" t="s">
        <v>917</v>
      </c>
      <c r="C947" s="48" t="s">
        <v>1380</v>
      </c>
      <c r="D947" s="43">
        <v>46081</v>
      </c>
      <c r="E947" s="43">
        <v>46081</v>
      </c>
      <c r="F947" t="s">
        <v>198</v>
      </c>
      <c r="G947" s="47">
        <f>MAX(+input_invoice[[#This Row],[net]]+input_invoice[[#This Row],[tax_iva]],input_invoice[[#This Row],[net]])</f>
        <v>1516.26</v>
      </c>
      <c r="H947" s="47">
        <f>input_invoice[[#This Row],[net]]*(MAX(input_invoice[[#This Row],[tax_rate_iva]],0)/100)</f>
        <v>0</v>
      </c>
      <c r="I947" s="47">
        <f>-input_invoice[[#This Row],[net]]*input_invoice[[#This Row],[tax_rate_irpf]]/100</f>
        <v>0</v>
      </c>
      <c r="J947" s="47">
        <v>1516.26</v>
      </c>
      <c r="K947" t="str">
        <f t="shared" si="23"/>
        <v>logistics</v>
      </c>
      <c r="L947">
        <v>0</v>
      </c>
      <c r="N947" t="str">
        <f>VLOOKUP(input_invoice[[#This Row],[concept/supplier]],'sel-invoice'!D:E,2,0)</f>
        <v>jondo</v>
      </c>
      <c r="O947" t="str">
        <f>VLOOKUP(input_invoice[[#This Row],[concept/supplier]],'sel-invoice'!D:F,3,0)</f>
        <v>Ltd</v>
      </c>
      <c r="P947" t="str">
        <f>IF(input_invoice[[#This Row],[entity]]="SL","EUR",IF(input_invoice[[#This Row],[entity]]="Ltd","GBP",IF(input_invoice[[#This Row],[entity]]="Inc","USD","XXX")))</f>
        <v>GBP</v>
      </c>
      <c r="R947" s="259" t="b">
        <v>1</v>
      </c>
    </row>
    <row r="948" spans="1:18" hidden="1" x14ac:dyDescent="0.3">
      <c r="A948">
        <v>202602</v>
      </c>
      <c r="B948" s="22" t="s">
        <v>917</v>
      </c>
      <c r="C948" s="48">
        <v>171420</v>
      </c>
      <c r="D948" s="43">
        <v>46081</v>
      </c>
      <c r="E948" s="43">
        <f>input_invoice[[#This Row],[date]]+45</f>
        <v>46126</v>
      </c>
      <c r="F948" t="s">
        <v>221</v>
      </c>
      <c r="G948" s="47">
        <f>MAX(+input_invoice[[#This Row],[net]]+input_invoice[[#This Row],[tax_iva]],input_invoice[[#This Row],[net]])</f>
        <v>4445.62</v>
      </c>
      <c r="H948" s="47">
        <f>input_invoice[[#This Row],[net]]*(MAX(input_invoice[[#This Row],[tax_rate_iva]],0)/100)</f>
        <v>0</v>
      </c>
      <c r="I948" s="47">
        <f>-input_invoice[[#This Row],[net]]*input_invoice[[#This Row],[tax_rate_irpf]]/100</f>
        <v>0</v>
      </c>
      <c r="J948" s="47">
        <v>4445.62</v>
      </c>
      <c r="K948" t="str">
        <f t="shared" si="23"/>
        <v>logistics</v>
      </c>
      <c r="L948">
        <v>0</v>
      </c>
      <c r="N948" t="str">
        <f>VLOOKUP(input_invoice[[#This Row],[concept/supplier]],'sel-invoice'!D:E,2,0)</f>
        <v>TGI Inc</v>
      </c>
      <c r="O948" t="str">
        <f>VLOOKUP(input_invoice[[#This Row],[concept/supplier]],'sel-invoice'!D:F,3,0)</f>
        <v>Inc</v>
      </c>
      <c r="P948" t="str">
        <f>IF(input_invoice[[#This Row],[entity]]="SL","EUR",IF(input_invoice[[#This Row],[entity]]="Ltd","GBP",IF(input_invoice[[#This Row],[entity]]="Inc","USD","XXX")))</f>
        <v>USD</v>
      </c>
      <c r="Q948" s="199" t="s">
        <v>1382</v>
      </c>
      <c r="R948" s="259" t="b">
        <v>0</v>
      </c>
    </row>
    <row r="949" spans="1:18" hidden="1" x14ac:dyDescent="0.3">
      <c r="A949">
        <v>202602</v>
      </c>
      <c r="B949" s="22" t="s">
        <v>917</v>
      </c>
      <c r="C949" s="48">
        <v>5509802536</v>
      </c>
      <c r="D949" s="43">
        <v>46081</v>
      </c>
      <c r="E949" s="43">
        <v>46141</v>
      </c>
      <c r="F949" t="s">
        <v>88</v>
      </c>
      <c r="G949" s="47">
        <f>MAX(+input_invoice[[#This Row],[net]]+input_invoice[[#This Row],[tax_iva]],input_invoice[[#This Row],[net]])</f>
        <v>27551.11</v>
      </c>
      <c r="H949" s="47">
        <f>input_invoice[[#This Row],[net]]*(MAX(input_invoice[[#This Row],[tax_rate_iva]],0)/100)</f>
        <v>0</v>
      </c>
      <c r="I949" s="47">
        <f>-input_invoice[[#This Row],[net]]*input_invoice[[#This Row],[tax_rate_irpf]]/100</f>
        <v>0</v>
      </c>
      <c r="J949">
        <v>27551.11</v>
      </c>
      <c r="K949" t="str">
        <f t="shared" si="23"/>
        <v>marketing</v>
      </c>
      <c r="L949">
        <v>0</v>
      </c>
      <c r="N949" t="str">
        <f>VLOOKUP(input_invoice[[#This Row],[concept/supplier]],'sel-invoice'!D:E,2,0)</f>
        <v>google</v>
      </c>
      <c r="O949" t="str">
        <f>VLOOKUP(input_invoice[[#This Row],[concept/supplier]],'sel-invoice'!D:F,3,0)</f>
        <v>SL</v>
      </c>
      <c r="P949" t="str">
        <f>IF(input_invoice[[#This Row],[entity]]="SL","EUR",IF(input_invoice[[#This Row],[entity]]="Ltd","GBP",IF(input_invoice[[#This Row],[entity]]="Inc","USD","XXX")))</f>
        <v>EUR</v>
      </c>
      <c r="Q949" s="199" t="s">
        <v>1330</v>
      </c>
      <c r="R949" s="267" t="b">
        <v>0</v>
      </c>
    </row>
    <row r="950" spans="1:18" hidden="1" x14ac:dyDescent="0.3">
      <c r="A950">
        <v>202602</v>
      </c>
      <c r="B950" s="22" t="s">
        <v>917</v>
      </c>
      <c r="C950" s="48" t="s">
        <v>1380</v>
      </c>
      <c r="D950" s="43">
        <v>46081</v>
      </c>
      <c r="E950" s="43">
        <v>46081</v>
      </c>
      <c r="F950" t="s">
        <v>1381</v>
      </c>
      <c r="G950" s="47">
        <f>MAX(+input_invoice[[#This Row],[net]]+input_invoice[[#This Row],[tax_iva]],input_invoice[[#This Row],[net]])</f>
        <v>8.8000000000000007</v>
      </c>
      <c r="H950" s="47">
        <f>input_invoice[[#This Row],[net]]*(MAX(input_invoice[[#This Row],[tax_rate_iva]],0)/100)</f>
        <v>0</v>
      </c>
      <c r="I950" s="47">
        <f>-input_invoice[[#This Row],[net]]*input_invoice[[#This Row],[tax_rate_irpf]]/100</f>
        <v>0</v>
      </c>
      <c r="J950" s="47">
        <v>8.8000000000000007</v>
      </c>
      <c r="K950" t="str">
        <f t="shared" si="23"/>
        <v>administrative</v>
      </c>
      <c r="L950">
        <v>0</v>
      </c>
      <c r="N950" t="str">
        <f>VLOOKUP(input_invoice[[#This Row],[concept/supplier]],'sel-invoice'!D:E,2,0)</f>
        <v>ipostal</v>
      </c>
      <c r="O950" t="str">
        <f>VLOOKUP(input_invoice[[#This Row],[concept/supplier]],'sel-invoice'!D:F,3,0)</f>
        <v>Inc</v>
      </c>
      <c r="P950" t="str">
        <f>IF(input_invoice[[#This Row],[entity]]="SL","EUR",IF(input_invoice[[#This Row],[entity]]="Ltd","GBP",IF(input_invoice[[#This Row],[entity]]="Inc","USD","XXX")))</f>
        <v>USD</v>
      </c>
      <c r="R950" s="259" t="b">
        <v>1</v>
      </c>
    </row>
    <row r="951" spans="1:18" hidden="1" x14ac:dyDescent="0.3">
      <c r="A951">
        <v>202602</v>
      </c>
      <c r="B951" s="22" t="s">
        <v>917</v>
      </c>
      <c r="C951" s="48" t="s">
        <v>1380</v>
      </c>
      <c r="D951" s="43">
        <v>46081</v>
      </c>
      <c r="E951" s="43">
        <v>46081</v>
      </c>
      <c r="F951" t="s">
        <v>387</v>
      </c>
      <c r="G951" s="47">
        <f>MAX(+input_invoice[[#This Row],[net]]+input_invoice[[#This Row],[tax_iva]],input_invoice[[#This Row],[net]])</f>
        <v>4.99</v>
      </c>
      <c r="H951" s="47">
        <f>input_invoice[[#This Row],[net]]*(MAX(input_invoice[[#This Row],[tax_rate_iva]],0)/100)</f>
        <v>0</v>
      </c>
      <c r="I951" s="47">
        <f>-input_invoice[[#This Row],[net]]*input_invoice[[#This Row],[tax_rate_irpf]]/100</f>
        <v>0</v>
      </c>
      <c r="J951" s="47">
        <v>4.99</v>
      </c>
      <c r="K951" t="str">
        <f t="shared" si="23"/>
        <v>it</v>
      </c>
      <c r="L951">
        <v>0</v>
      </c>
      <c r="N951" t="str">
        <f>VLOOKUP(input_invoice[[#This Row],[concept/supplier]],'sel-invoice'!D:E,2,0)</f>
        <v>hushed</v>
      </c>
      <c r="O951" t="str">
        <f>VLOOKUP(input_invoice[[#This Row],[concept/supplier]],'sel-invoice'!D:F,3,0)</f>
        <v>Inc</v>
      </c>
      <c r="P951" t="str">
        <f>IF(input_invoice[[#This Row],[entity]]="SL","EUR",IF(input_invoice[[#This Row],[entity]]="Ltd","GBP",IF(input_invoice[[#This Row],[entity]]="Inc","USD","XXX")))</f>
        <v>USD</v>
      </c>
      <c r="R951" s="259" t="b">
        <v>1</v>
      </c>
    </row>
    <row r="952" spans="1:18" hidden="1" x14ac:dyDescent="0.3">
      <c r="A952">
        <v>202602</v>
      </c>
      <c r="B952" s="22" t="s">
        <v>917</v>
      </c>
      <c r="C952" s="48" t="s">
        <v>1380</v>
      </c>
      <c r="D952" s="43">
        <v>46081</v>
      </c>
      <c r="E952" s="43">
        <v>46081</v>
      </c>
      <c r="F952" t="s">
        <v>232</v>
      </c>
      <c r="G952" s="47">
        <f>MAX(+input_invoice[[#This Row],[net]]+input_invoice[[#This Row],[tax_iva]],input_invoice[[#This Row],[net]])</f>
        <v>121.9</v>
      </c>
      <c r="H952" s="47">
        <f>input_invoice[[#This Row],[net]]*(MAX(input_invoice[[#This Row],[tax_rate_iva]],0)/100)</f>
        <v>0</v>
      </c>
      <c r="I952" s="47">
        <f>-input_invoice[[#This Row],[net]]*input_invoice[[#This Row],[tax_rate_irpf]]/100</f>
        <v>0</v>
      </c>
      <c r="J952" s="47">
        <v>121.9</v>
      </c>
      <c r="K952" t="str">
        <f t="shared" si="23"/>
        <v>administrative</v>
      </c>
      <c r="L952">
        <v>0</v>
      </c>
      <c r="N952" t="str">
        <f>VLOOKUP(input_invoice[[#This Row],[concept/supplier]],'sel-invoice'!D:E,2,0)</f>
        <v>otros</v>
      </c>
      <c r="O952" t="str">
        <f>VLOOKUP(input_invoice[[#This Row],[concept/supplier]],'sel-invoice'!D:F,3,0)</f>
        <v>Inc</v>
      </c>
      <c r="P952" t="str">
        <f>IF(input_invoice[[#This Row],[entity]]="SL","EUR",IF(input_invoice[[#This Row],[entity]]="Ltd","GBP",IF(input_invoice[[#This Row],[entity]]="Inc","USD","XXX")))</f>
        <v>USD</v>
      </c>
      <c r="R952" s="259" t="b">
        <v>1</v>
      </c>
    </row>
    <row r="953" spans="1:18" hidden="1" x14ac:dyDescent="0.3">
      <c r="A953">
        <v>202602</v>
      </c>
      <c r="B953" s="22" t="s">
        <v>917</v>
      </c>
      <c r="C953" s="48" t="s">
        <v>1383</v>
      </c>
      <c r="D953" s="43">
        <v>46067</v>
      </c>
      <c r="E953" s="43">
        <v>46068</v>
      </c>
      <c r="F953" t="s">
        <v>145</v>
      </c>
      <c r="G953" s="47">
        <f>MAX(+input_invoice[[#This Row],[net]]+input_invoice[[#This Row],[tax_iva]],input_invoice[[#This Row],[net]])</f>
        <v>105.31</v>
      </c>
      <c r="H953" s="47">
        <f>input_invoice[[#This Row],[net]]*(MAX(input_invoice[[#This Row],[tax_rate_iva]],0)/100)</f>
        <v>0</v>
      </c>
      <c r="I953" s="47">
        <f>-input_invoice[[#This Row],[net]]*input_invoice[[#This Row],[tax_rate_irpf]]/100</f>
        <v>0</v>
      </c>
      <c r="J953" s="47">
        <v>105.31</v>
      </c>
      <c r="K953" t="str">
        <f t="shared" si="23"/>
        <v>it</v>
      </c>
      <c r="L953">
        <v>0</v>
      </c>
      <c r="N953" t="str">
        <f>VLOOKUP(input_invoice[[#This Row],[concept/supplier]],'sel-invoice'!D:E,2,0)</f>
        <v>Gorgias</v>
      </c>
      <c r="O953" t="str">
        <f>VLOOKUP(input_invoice[[#This Row],[concept/supplier]],'sel-invoice'!D:F,3,0)</f>
        <v>SL</v>
      </c>
      <c r="P953" t="str">
        <f>IF(input_invoice[[#This Row],[entity]]="SL","EUR",IF(input_invoice[[#This Row],[entity]]="Ltd","GBP",IF(input_invoice[[#This Row],[entity]]="Inc","USD","XXX")))</f>
        <v>EUR</v>
      </c>
      <c r="Q953" s="199" t="s">
        <v>1386</v>
      </c>
      <c r="R953" s="259" t="b">
        <v>1</v>
      </c>
    </row>
    <row r="954" spans="1:18" hidden="1" x14ac:dyDescent="0.3">
      <c r="A954">
        <v>202602</v>
      </c>
      <c r="B954" s="22" t="s">
        <v>917</v>
      </c>
      <c r="C954" s="48" t="s">
        <v>1384</v>
      </c>
      <c r="D954" s="43">
        <v>46075</v>
      </c>
      <c r="E954" s="43">
        <v>46076</v>
      </c>
      <c r="F954" t="s">
        <v>139</v>
      </c>
      <c r="G954" s="47">
        <f>MAX(+input_invoice[[#This Row],[net]]+input_invoice[[#This Row],[tax_iva]],input_invoice[[#This Row],[net]])</f>
        <v>6.05</v>
      </c>
      <c r="H954" s="47">
        <f>input_invoice[[#This Row],[net]]*(MAX(input_invoice[[#This Row],[tax_rate_iva]],0)/100)</f>
        <v>1.05</v>
      </c>
      <c r="I954" s="47">
        <f>-input_invoice[[#This Row],[net]]*input_invoice[[#This Row],[tax_rate_irpf]]/100</f>
        <v>0</v>
      </c>
      <c r="J954" s="47">
        <v>5</v>
      </c>
      <c r="K954" t="str">
        <f t="shared" si="23"/>
        <v>it</v>
      </c>
      <c r="L954">
        <v>21</v>
      </c>
      <c r="N954" t="str">
        <f>VLOOKUP(input_invoice[[#This Row],[concept/supplier]],'sel-invoice'!D:E,2,0)</f>
        <v>Mas Movil</v>
      </c>
      <c r="O954" t="str">
        <f>VLOOKUP(input_invoice[[#This Row],[concept/supplier]],'sel-invoice'!D:F,3,0)</f>
        <v>SL</v>
      </c>
      <c r="P954" t="str">
        <f>IF(input_invoice[[#This Row],[entity]]="SL","EUR",IF(input_invoice[[#This Row],[entity]]="Ltd","GBP",IF(input_invoice[[#This Row],[entity]]="Inc","USD","XXX")))</f>
        <v>EUR</v>
      </c>
      <c r="Q954" s="199" t="s">
        <v>1385</v>
      </c>
      <c r="R954" s="259" t="b">
        <v>1</v>
      </c>
    </row>
    <row r="955" spans="1:18" hidden="1" x14ac:dyDescent="0.3">
      <c r="A955">
        <v>202602</v>
      </c>
      <c r="B955" s="22" t="s">
        <v>917</v>
      </c>
      <c r="C955" s="48" t="s">
        <v>1387</v>
      </c>
      <c r="D955" s="43">
        <v>46067</v>
      </c>
      <c r="E955" s="43">
        <v>46068</v>
      </c>
      <c r="F955" t="s">
        <v>924</v>
      </c>
      <c r="G955" s="47">
        <f>MAX(+input_invoice[[#This Row],[net]]+input_invoice[[#This Row],[tax_iva]],input_invoice[[#This Row],[net]])</f>
        <v>339</v>
      </c>
      <c r="H955" s="47">
        <f>input_invoice[[#This Row],[net]]*(MAX(input_invoice[[#This Row],[tax_rate_iva]],0)/100)</f>
        <v>0</v>
      </c>
      <c r="I955" s="47">
        <f>-input_invoice[[#This Row],[net]]*input_invoice[[#This Row],[tax_rate_irpf]]/100</f>
        <v>0</v>
      </c>
      <c r="J955" s="47">
        <v>339</v>
      </c>
      <c r="K955" t="str">
        <f t="shared" si="23"/>
        <v>it</v>
      </c>
      <c r="L955">
        <v>0</v>
      </c>
      <c r="N955" t="str">
        <f>VLOOKUP(input_invoice[[#This Row],[concept/supplier]],'sel-invoice'!D:E,2,0)</f>
        <v>Konvo</v>
      </c>
      <c r="O955" t="str">
        <f>VLOOKUP(input_invoice[[#This Row],[concept/supplier]],'sel-invoice'!D:F,3,0)</f>
        <v>SL</v>
      </c>
      <c r="P955" t="str">
        <f>IF(input_invoice[[#This Row],[entity]]="SL","EUR",IF(input_invoice[[#This Row],[entity]]="Ltd","GBP",IF(input_invoice[[#This Row],[entity]]="Inc","USD","XXX")))</f>
        <v>EUR</v>
      </c>
      <c r="Q955" s="199" t="s">
        <v>922</v>
      </c>
      <c r="R955" s="259" t="b">
        <v>1</v>
      </c>
    </row>
    <row r="956" spans="1:18" hidden="1" x14ac:dyDescent="0.3">
      <c r="A956">
        <v>202602</v>
      </c>
      <c r="B956" s="22" t="s">
        <v>917</v>
      </c>
      <c r="C956" s="48" t="s">
        <v>1388</v>
      </c>
      <c r="D956" s="43">
        <v>46065</v>
      </c>
      <c r="E956" s="43">
        <v>46066</v>
      </c>
      <c r="F956" t="s">
        <v>924</v>
      </c>
      <c r="G956" s="47">
        <f>MAX(+input_invoice[[#This Row],[net]]+input_invoice[[#This Row],[tax_iva]],input_invoice[[#This Row],[net]])</f>
        <v>136.96</v>
      </c>
      <c r="H956" s="47">
        <f>input_invoice[[#This Row],[net]]*(MAX(input_invoice[[#This Row],[tax_rate_iva]],0)/100)</f>
        <v>0</v>
      </c>
      <c r="I956" s="47">
        <f>-input_invoice[[#This Row],[net]]*input_invoice[[#This Row],[tax_rate_irpf]]/100</f>
        <v>0</v>
      </c>
      <c r="J956" s="47">
        <v>136.96</v>
      </c>
      <c r="K956" t="str">
        <f t="shared" si="23"/>
        <v>it</v>
      </c>
      <c r="L956">
        <v>0</v>
      </c>
      <c r="N956" t="str">
        <f>VLOOKUP(input_invoice[[#This Row],[concept/supplier]],'sel-invoice'!D:E,2,0)</f>
        <v>Konvo</v>
      </c>
      <c r="O956" t="str">
        <f>VLOOKUP(input_invoice[[#This Row],[concept/supplier]],'sel-invoice'!D:F,3,0)</f>
        <v>SL</v>
      </c>
      <c r="P956" t="str">
        <f>IF(input_invoice[[#This Row],[entity]]="SL","EUR",IF(input_invoice[[#This Row],[entity]]="Ltd","GBP",IF(input_invoice[[#This Row],[entity]]="Inc","USD","XXX")))</f>
        <v>EUR</v>
      </c>
      <c r="Q956" s="199" t="s">
        <v>922</v>
      </c>
      <c r="R956" s="259" t="b">
        <v>1</v>
      </c>
    </row>
    <row r="957" spans="1:18" hidden="1" x14ac:dyDescent="0.3">
      <c r="A957">
        <v>202602</v>
      </c>
      <c r="B957" s="22" t="s">
        <v>917</v>
      </c>
      <c r="C957" t="s">
        <v>1395</v>
      </c>
      <c r="D957" s="43">
        <v>46081</v>
      </c>
      <c r="E957" s="43">
        <v>46081</v>
      </c>
      <c r="F957" t="s">
        <v>137</v>
      </c>
      <c r="G957" s="47">
        <f>MAX(+input_invoice[[#This Row],[net]]+input_invoice[[#This Row],[tax_iva]],input_invoice[[#This Row],[net]])</f>
        <v>42.67</v>
      </c>
      <c r="H957" s="47">
        <f>input_invoice[[#This Row],[net]]*(MAX(input_invoice[[#This Row],[tax_rate_iva]],0)/100)</f>
        <v>0</v>
      </c>
      <c r="I957" s="47">
        <f>-input_invoice[[#This Row],[net]]*input_invoice[[#This Row],[tax_rate_irpf]]/100</f>
        <v>0</v>
      </c>
      <c r="J957" s="47">
        <v>42.67</v>
      </c>
      <c r="K957" t="str">
        <f t="shared" si="23"/>
        <v>it</v>
      </c>
      <c r="L957">
        <v>0</v>
      </c>
      <c r="N957" t="str">
        <f>VLOOKUP(input_invoice[[#This Row],[concept/supplier]],'sel-invoice'!D:E,2,0)</f>
        <v>Railway</v>
      </c>
      <c r="O957" t="str">
        <f>VLOOKUP(input_invoice[[#This Row],[concept/supplier]],'sel-invoice'!D:F,3,0)</f>
        <v>SL</v>
      </c>
      <c r="P957" t="str">
        <f>IF(input_invoice[[#This Row],[entity]]="SL","EUR",IF(input_invoice[[#This Row],[entity]]="Ltd","GBP",IF(input_invoice[[#This Row],[entity]]="Inc","USD","XXX")))</f>
        <v>EUR</v>
      </c>
      <c r="Q957" s="199" t="s">
        <v>1396</v>
      </c>
      <c r="R957" s="259" t="b">
        <v>1</v>
      </c>
    </row>
    <row r="958" spans="1:18" hidden="1" x14ac:dyDescent="0.3">
      <c r="A958">
        <v>202602</v>
      </c>
      <c r="B958" s="22" t="s">
        <v>917</v>
      </c>
      <c r="C958" s="48" t="s">
        <v>1380</v>
      </c>
      <c r="D958" s="43">
        <v>46081</v>
      </c>
      <c r="E958" s="43">
        <v>46081</v>
      </c>
      <c r="F958" t="s">
        <v>148</v>
      </c>
      <c r="G958" s="47">
        <f>MAX(+input_invoice[[#This Row],[net]]+input_invoice[[#This Row],[tax_iva]],input_invoice[[#This Row],[net]])</f>
        <v>440</v>
      </c>
      <c r="H958" s="47">
        <f>input_invoice[[#This Row],[net]]*(MAX(input_invoice[[#This Row],[tax_rate_iva]],0)/100)</f>
        <v>0</v>
      </c>
      <c r="I958" s="47">
        <f>-input_invoice[[#This Row],[net]]*input_invoice[[#This Row],[tax_rate_irpf]]/100</f>
        <v>0</v>
      </c>
      <c r="J958" s="47">
        <v>440</v>
      </c>
      <c r="K958" t="str">
        <f t="shared" si="23"/>
        <v>it</v>
      </c>
      <c r="L958">
        <v>0</v>
      </c>
      <c r="N958" t="str">
        <f>VLOOKUP(input_invoice[[#This Row],[concept/supplier]],'sel-invoice'!D:E,2,0)</f>
        <v>Yuma</v>
      </c>
      <c r="O958" t="str">
        <f>VLOOKUP(input_invoice[[#This Row],[concept/supplier]],'sel-invoice'!D:F,3,0)</f>
        <v>SL</v>
      </c>
      <c r="P958" t="str">
        <f>IF(input_invoice[[#This Row],[entity]]="SL","EUR",IF(input_invoice[[#This Row],[entity]]="Ltd","GBP",IF(input_invoice[[#This Row],[entity]]="Inc","USD","XXX")))</f>
        <v>EUR</v>
      </c>
      <c r="Q958" s="240"/>
      <c r="R958" s="259" t="b">
        <v>1</v>
      </c>
    </row>
    <row r="959" spans="1:18" hidden="1" x14ac:dyDescent="0.3">
      <c r="A959">
        <v>202602</v>
      </c>
      <c r="B959" s="22" t="s">
        <v>917</v>
      </c>
      <c r="C959" s="48" t="s">
        <v>1402</v>
      </c>
      <c r="D959" s="43">
        <v>46081</v>
      </c>
      <c r="E959" s="43">
        <v>46081</v>
      </c>
      <c r="F959" t="s">
        <v>152</v>
      </c>
      <c r="G959" s="47">
        <f>MAX(+input_invoice[[#This Row],[net]]+input_invoice[[#This Row],[tax_iva]],input_invoice[[#This Row],[net]])</f>
        <v>86.16</v>
      </c>
      <c r="H959" s="47">
        <f>input_invoice[[#This Row],[net]]*(MAX(input_invoice[[#This Row],[tax_rate_iva]],0)/100)</f>
        <v>14.953388429752065</v>
      </c>
      <c r="I959" s="47">
        <f>-input_invoice[[#This Row],[net]]*input_invoice[[#This Row],[tax_rate_irpf]]/100</f>
        <v>0</v>
      </c>
      <c r="J959" s="47">
        <f>86.16/1.21</f>
        <v>71.206611570247929</v>
      </c>
      <c r="K959" t="str">
        <f t="shared" si="23"/>
        <v>it</v>
      </c>
      <c r="L959">
        <v>21</v>
      </c>
      <c r="N959" t="str">
        <f>VLOOKUP(input_invoice[[#This Row],[concept/supplier]],'sel-invoice'!D:E,2,0)</f>
        <v>epi</v>
      </c>
      <c r="O959" t="str">
        <f>VLOOKUP(input_invoice[[#This Row],[concept/supplier]],'sel-invoice'!D:F,3,0)</f>
        <v>SL</v>
      </c>
      <c r="P959" t="str">
        <f>IF(input_invoice[[#This Row],[entity]]="SL","EUR",IF(input_invoice[[#This Row],[entity]]="Ltd","GBP",IF(input_invoice[[#This Row],[entity]]="Inc","USD","XXX")))</f>
        <v>EUR</v>
      </c>
      <c r="Q959" s="199" t="s">
        <v>1394</v>
      </c>
      <c r="R959" s="259" t="b">
        <v>1</v>
      </c>
    </row>
    <row r="960" spans="1:18" hidden="1" x14ac:dyDescent="0.3">
      <c r="A960">
        <v>202602</v>
      </c>
      <c r="B960" s="22" t="s">
        <v>917</v>
      </c>
      <c r="C960" s="48">
        <v>251380763</v>
      </c>
      <c r="D960" s="43">
        <v>46082</v>
      </c>
      <c r="E960" s="43">
        <f>input_invoice[[#This Row],[date]]+60</f>
        <v>46142</v>
      </c>
      <c r="F960" t="s">
        <v>90</v>
      </c>
      <c r="G960" s="47">
        <f>MAX(+input_invoice[[#This Row],[net]]+input_invoice[[#This Row],[tax_iva]],input_invoice[[#This Row],[net]])</f>
        <v>20074.990000000002</v>
      </c>
      <c r="H960" s="47">
        <f>input_invoice[[#This Row],[net]]*(MAX(input_invoice[[#This Row],[tax_rate_iva]],0)/100)</f>
        <v>0</v>
      </c>
      <c r="I960" s="47">
        <f>-input_invoice[[#This Row],[net]]*input_invoice[[#This Row],[tax_rate_irpf]]/100</f>
        <v>0</v>
      </c>
      <c r="J960" s="47">
        <v>20074.990000000002</v>
      </c>
      <c r="K960" t="str">
        <f t="shared" si="23"/>
        <v>marketing</v>
      </c>
      <c r="L960">
        <v>0</v>
      </c>
      <c r="N960" t="str">
        <f>VLOOKUP(input_invoice[[#This Row],[concept/supplier]],'sel-invoice'!D:E,2,0)</f>
        <v>meta</v>
      </c>
      <c r="O960" t="str">
        <f>VLOOKUP(input_invoice[[#This Row],[concept/supplier]],'sel-invoice'!D:F,3,0)</f>
        <v>SL</v>
      </c>
      <c r="P960" t="str">
        <f>IF(input_invoice[[#This Row],[entity]]="SL","EUR",IF(input_invoice[[#This Row],[entity]]="Ltd","GBP",IF(input_invoice[[#This Row],[entity]]="Inc","USD","XXX")))</f>
        <v>EUR</v>
      </c>
      <c r="Q960" s="199" t="s">
        <v>1322</v>
      </c>
      <c r="R960" s="267" t="b">
        <v>0</v>
      </c>
    </row>
    <row r="961" spans="1:19" hidden="1" x14ac:dyDescent="0.3">
      <c r="A961">
        <v>202602</v>
      </c>
      <c r="B961" s="22" t="s">
        <v>917</v>
      </c>
      <c r="C961" s="48">
        <v>84000695806</v>
      </c>
      <c r="D961" s="43">
        <v>46081</v>
      </c>
      <c r="E961" s="43">
        <v>46081</v>
      </c>
      <c r="F961" t="s">
        <v>127</v>
      </c>
      <c r="G961" s="47">
        <f>MAX(+input_invoice[[#This Row],[net]]+input_invoice[[#This Row],[tax_iva]],input_invoice[[#This Row],[net]])</f>
        <v>13.189</v>
      </c>
      <c r="H961" s="47">
        <f>input_invoice[[#This Row],[net]]*(MAX(input_invoice[[#This Row],[tax_rate_iva]],0)/100)</f>
        <v>2.2890000000000001</v>
      </c>
      <c r="I961" s="47">
        <f>-input_invoice[[#This Row],[net]]*input_invoice[[#This Row],[tax_rate_irpf]]/100</f>
        <v>0</v>
      </c>
      <c r="J961" s="47">
        <v>10.9</v>
      </c>
      <c r="K961" t="str">
        <f t="shared" si="23"/>
        <v>it</v>
      </c>
      <c r="L961">
        <v>21</v>
      </c>
      <c r="N961" t="str">
        <f>VLOOKUP(input_invoice[[#This Row],[concept/supplier]],'sel-invoice'!D:E,2,0)</f>
        <v>Hetzner</v>
      </c>
      <c r="O961" t="str">
        <f>VLOOKUP(input_invoice[[#This Row],[concept/supplier]],'sel-invoice'!D:F,3,0)</f>
        <v>SL</v>
      </c>
      <c r="P961" t="str">
        <f>IF(input_invoice[[#This Row],[entity]]="SL","EUR",IF(input_invoice[[#This Row],[entity]]="Ltd","GBP",IF(input_invoice[[#This Row],[entity]]="Inc","USD","XXX")))</f>
        <v>EUR</v>
      </c>
      <c r="Q961" s="199" t="s">
        <v>1391</v>
      </c>
      <c r="R961" s="259" t="b">
        <v>1</v>
      </c>
    </row>
    <row r="962" spans="1:19" hidden="1" x14ac:dyDescent="0.3">
      <c r="A962">
        <v>202602</v>
      </c>
      <c r="B962" s="22" t="s">
        <v>917</v>
      </c>
      <c r="C962" s="48" t="s">
        <v>1390</v>
      </c>
      <c r="D962" s="43">
        <v>46081</v>
      </c>
      <c r="E962" s="43">
        <v>46081</v>
      </c>
      <c r="F962" t="s">
        <v>143</v>
      </c>
      <c r="G962" s="47">
        <f>MAX(+input_invoice[[#This Row],[net]]+input_invoice[[#This Row],[tax_iva]],input_invoice[[#This Row],[net]])</f>
        <v>11.979000000000001</v>
      </c>
      <c r="H962" s="47">
        <f>input_invoice[[#This Row],[net]]*(MAX(input_invoice[[#This Row],[tax_rate_iva]],0)/100)</f>
        <v>2.0790000000000002</v>
      </c>
      <c r="I962" s="47">
        <f>-input_invoice[[#This Row],[net]]*input_invoice[[#This Row],[tax_rate_irpf]]/100</f>
        <v>0</v>
      </c>
      <c r="J962" s="47">
        <v>9.9</v>
      </c>
      <c r="K962" t="str">
        <f t="shared" si="23"/>
        <v>it</v>
      </c>
      <c r="L962">
        <v>21</v>
      </c>
      <c r="N962" t="str">
        <f>VLOOKUP(input_invoice[[#This Row],[concept/supplier]],'sel-invoice'!D:E,2,0)</f>
        <v>Canva</v>
      </c>
      <c r="O962" t="str">
        <f>VLOOKUP(input_invoice[[#This Row],[concept/supplier]],'sel-invoice'!D:F,3,0)</f>
        <v>SL</v>
      </c>
      <c r="P962" t="str">
        <f>IF(input_invoice[[#This Row],[entity]]="SL","EUR",IF(input_invoice[[#This Row],[entity]]="Ltd","GBP",IF(input_invoice[[#This Row],[entity]]="Inc","USD","XXX")))</f>
        <v>EUR</v>
      </c>
      <c r="Q962" s="199" t="s">
        <v>1392</v>
      </c>
      <c r="R962" s="259" t="b">
        <v>1</v>
      </c>
    </row>
    <row r="963" spans="1:19" hidden="1" x14ac:dyDescent="0.3">
      <c r="A963">
        <v>202602</v>
      </c>
      <c r="B963" s="22" t="s">
        <v>917</v>
      </c>
      <c r="C963" s="48" t="s">
        <v>1296</v>
      </c>
      <c r="D963" s="43">
        <v>46081</v>
      </c>
      <c r="E963" s="43">
        <v>46081</v>
      </c>
      <c r="F963" t="s">
        <v>117</v>
      </c>
      <c r="G963" s="47">
        <f>MAX(+input_invoice[[#This Row],[net]]+input_invoice[[#This Row],[tax_iva]],input_invoice[[#This Row],[net]])</f>
        <v>31.8</v>
      </c>
      <c r="H963" s="47">
        <f>input_invoice[[#This Row],[net]]*(MAX(input_invoice[[#This Row],[tax_rate_iva]],0)/100)</f>
        <v>0</v>
      </c>
      <c r="I963" s="47">
        <f>-input_invoice[[#This Row],[net]]*input_invoice[[#This Row],[tax_rate_irpf]]/100</f>
        <v>0</v>
      </c>
      <c r="J963" s="47">
        <v>31.8</v>
      </c>
      <c r="K963" t="str">
        <f t="shared" si="23"/>
        <v>administrative</v>
      </c>
      <c r="L963">
        <v>0</v>
      </c>
      <c r="N963" t="str">
        <f>VLOOKUP(input_invoice[[#This Row],[concept/supplier]],'sel-invoice'!D:E,2,0)</f>
        <v>regus</v>
      </c>
      <c r="O963" t="str">
        <f>VLOOKUP(input_invoice[[#This Row],[concept/supplier]],'sel-invoice'!D:F,3,0)</f>
        <v>Inc</v>
      </c>
      <c r="P963" t="str">
        <f>IF(input_invoice[[#This Row],[entity]]="SL","EUR",IF(input_invoice[[#This Row],[entity]]="Ltd","GBP",IF(input_invoice[[#This Row],[entity]]="Inc","USD","XXX")))</f>
        <v>USD</v>
      </c>
      <c r="Q963" s="199" t="s">
        <v>1393</v>
      </c>
      <c r="R963" s="259" t="b">
        <v>1</v>
      </c>
    </row>
    <row r="964" spans="1:19" hidden="1" x14ac:dyDescent="0.3">
      <c r="A964">
        <v>202602</v>
      </c>
      <c r="B964" s="22" t="s">
        <v>917</v>
      </c>
      <c r="C964" s="48" t="s">
        <v>1380</v>
      </c>
      <c r="D964" s="43">
        <v>46081</v>
      </c>
      <c r="E964" s="43">
        <v>46081</v>
      </c>
      <c r="F964" t="s">
        <v>123</v>
      </c>
      <c r="G964" s="47">
        <f>MAX(+input_invoice[[#This Row],[net]]+input_invoice[[#This Row],[tax_iva]],input_invoice[[#This Row],[net]])</f>
        <v>47.19</v>
      </c>
      <c r="H964" s="47">
        <f>input_invoice[[#This Row],[net]]*(MAX(input_invoice[[#This Row],[tax_rate_iva]],0)/100)</f>
        <v>0</v>
      </c>
      <c r="I964" s="47">
        <f>-input_invoice[[#This Row],[net]]*input_invoice[[#This Row],[tax_rate_irpf]]/100</f>
        <v>0</v>
      </c>
      <c r="J964" s="47">
        <v>47.19</v>
      </c>
      <c r="K964" t="str">
        <f t="shared" si="23"/>
        <v>it</v>
      </c>
      <c r="L964">
        <v>0</v>
      </c>
      <c r="N964" t="str">
        <f>VLOOKUP(input_invoice[[#This Row],[concept/supplier]],'sel-invoice'!D:E,2,0)</f>
        <v>Amazon Subscription</v>
      </c>
      <c r="O964" t="str">
        <f>VLOOKUP(input_invoice[[#This Row],[concept/supplier]],'sel-invoice'!D:F,3,0)</f>
        <v>SL</v>
      </c>
      <c r="P964" t="str">
        <f>IF(input_invoice[[#This Row],[entity]]="SL","EUR",IF(input_invoice[[#This Row],[entity]]="Ltd","GBP",IF(input_invoice[[#This Row],[entity]]="Inc","USD","XXX")))</f>
        <v>EUR</v>
      </c>
      <c r="R964" s="259" t="b">
        <v>1</v>
      </c>
    </row>
    <row r="965" spans="1:19" hidden="1" x14ac:dyDescent="0.3">
      <c r="A965">
        <v>202602</v>
      </c>
      <c r="B965" s="22" t="s">
        <v>917</v>
      </c>
      <c r="C965">
        <v>4004608215</v>
      </c>
      <c r="D965" s="43">
        <v>46081</v>
      </c>
      <c r="E965" s="43">
        <v>46081</v>
      </c>
      <c r="F965" t="s">
        <v>52</v>
      </c>
      <c r="G965" s="47">
        <f>MAX(+input_invoice[[#This Row],[net]]+input_invoice[[#This Row],[tax_iva]],input_invoice[[#This Row],[net]])</f>
        <v>117.0917</v>
      </c>
      <c r="H965" s="47">
        <f>input_invoice[[#This Row],[net]]*(MAX(input_invoice[[#This Row],[tax_rate_iva]],0)/100)</f>
        <v>20.3217</v>
      </c>
      <c r="I965" s="47">
        <f>-input_invoice[[#This Row],[net]]*input_invoice[[#This Row],[tax_rate_irpf]]/100</f>
        <v>0</v>
      </c>
      <c r="J965" s="272">
        <v>96.77</v>
      </c>
      <c r="K965" t="str">
        <f t="shared" si="23"/>
        <v>logistics</v>
      </c>
      <c r="L965">
        <v>21</v>
      </c>
      <c r="N965" t="str">
        <f>VLOOKUP(input_invoice[[#This Row],[concept/supplier]],'sel-invoice'!D:E,2,0)</f>
        <v>Correos</v>
      </c>
      <c r="O965" t="str">
        <f>VLOOKUP(input_invoice[[#This Row],[concept/supplier]],'sel-invoice'!D:F,3,0)</f>
        <v>SL</v>
      </c>
      <c r="P965" t="str">
        <f>IF(input_invoice[[#This Row],[entity]]="SL","EUR",IF(input_invoice[[#This Row],[entity]]="Ltd","GBP",IF(input_invoice[[#This Row],[entity]]="Inc","USD","XXX")))</f>
        <v>EUR</v>
      </c>
      <c r="Q965" s="199" t="s">
        <v>1331</v>
      </c>
      <c r="R965" s="259" t="b">
        <v>1</v>
      </c>
    </row>
    <row r="966" spans="1:19" hidden="1" x14ac:dyDescent="0.3">
      <c r="A966">
        <v>202602</v>
      </c>
      <c r="B966" s="22" t="s">
        <v>917</v>
      </c>
      <c r="C966" s="272">
        <v>4004608216</v>
      </c>
      <c r="D966" s="43">
        <v>46081</v>
      </c>
      <c r="E966" s="43">
        <v>46081</v>
      </c>
      <c r="F966" t="s">
        <v>52</v>
      </c>
      <c r="G966" s="47">
        <f>MAX(+input_invoice[[#This Row],[net]]+input_invoice[[#This Row],[tax_iva]],input_invoice[[#This Row],[net]])</f>
        <v>17.601499999999998</v>
      </c>
      <c r="H966" s="47">
        <f>input_invoice[[#This Row],[net]]*(MAX(input_invoice[[#This Row],[tax_rate_iva]],0)/100)</f>
        <v>1.1515</v>
      </c>
      <c r="I966" s="47">
        <f>-input_invoice[[#This Row],[net]]*input_invoice[[#This Row],[tax_rate_irpf]]/100</f>
        <v>0</v>
      </c>
      <c r="J966" s="47">
        <v>16.45</v>
      </c>
      <c r="K966" t="str">
        <f t="shared" si="23"/>
        <v>logistics</v>
      </c>
      <c r="L966">
        <v>7</v>
      </c>
      <c r="N966" t="str">
        <f>VLOOKUP(input_invoice[[#This Row],[concept/supplier]],'sel-invoice'!D:E,2,0)</f>
        <v>Correos</v>
      </c>
      <c r="O966" t="str">
        <f>VLOOKUP(input_invoice[[#This Row],[concept/supplier]],'sel-invoice'!D:F,3,0)</f>
        <v>SL</v>
      </c>
      <c r="P966" t="str">
        <f>IF(input_invoice[[#This Row],[entity]]="SL","EUR",IF(input_invoice[[#This Row],[entity]]="Ltd","GBP",IF(input_invoice[[#This Row],[entity]]="Inc","USD","XXX")))</f>
        <v>EUR</v>
      </c>
      <c r="Q966" s="199" t="s">
        <v>1417</v>
      </c>
      <c r="R966" s="259" t="b">
        <v>1</v>
      </c>
    </row>
    <row r="967" spans="1:19" hidden="1" x14ac:dyDescent="0.3">
      <c r="A967">
        <v>202602</v>
      </c>
      <c r="B967" s="22" t="s">
        <v>917</v>
      </c>
      <c r="C967" s="48" t="s">
        <v>1380</v>
      </c>
      <c r="D967" s="43">
        <v>46081</v>
      </c>
      <c r="E967" s="43">
        <v>46081</v>
      </c>
      <c r="F967" t="s">
        <v>115</v>
      </c>
      <c r="G967" s="47">
        <f>MAX(+input_invoice[[#This Row],[net]]+input_invoice[[#This Row],[tax_iva]],input_invoice[[#This Row],[net]])</f>
        <v>373.91419999999999</v>
      </c>
      <c r="H967" s="47">
        <f>input_invoice[[#This Row],[net]]*(MAX(input_invoice[[#This Row],[tax_rate_iva]],0)/100)</f>
        <v>64.894199999999998</v>
      </c>
      <c r="I967" s="47">
        <f>-input_invoice[[#This Row],[net]]*input_invoice[[#This Row],[tax_rate_irpf]]/100</f>
        <v>0</v>
      </c>
      <c r="J967" s="47">
        <v>309.02</v>
      </c>
      <c r="K967" t="str">
        <f t="shared" ref="K967:K971" si="24">_xlfn.TEXTBEFORE(F967," - ")</f>
        <v>administrative</v>
      </c>
      <c r="L967">
        <v>21</v>
      </c>
      <c r="N967" t="str">
        <f>VLOOKUP(input_invoice[[#This Row],[concept/supplier]],'sel-invoice'!D:E,2,0)</f>
        <v>Preving Adeplus</v>
      </c>
      <c r="O967" t="str">
        <f>VLOOKUP(input_invoice[[#This Row],[concept/supplier]],'sel-invoice'!D:F,3,0)</f>
        <v>SL</v>
      </c>
      <c r="P967" t="str">
        <f>IF(input_invoice[[#This Row],[entity]]="SL","EUR",IF(input_invoice[[#This Row],[entity]]="Ltd","GBP",IF(input_invoice[[#This Row],[entity]]="Inc","USD","XXX")))</f>
        <v>EUR</v>
      </c>
      <c r="R967" s="259" t="b">
        <v>1</v>
      </c>
    </row>
    <row r="968" spans="1:19" x14ac:dyDescent="0.3">
      <c r="A968">
        <v>202601</v>
      </c>
      <c r="B968" s="22" t="s">
        <v>917</v>
      </c>
      <c r="C968" s="48" t="s">
        <v>1397</v>
      </c>
      <c r="D968" s="43">
        <v>46092</v>
      </c>
      <c r="E968" s="43">
        <v>46161</v>
      </c>
      <c r="F968" t="s">
        <v>1312</v>
      </c>
      <c r="G968" s="47">
        <f>MAX(+input_invoice[[#This Row],[net]]+input_invoice[[#This Row],[tax_iva]],input_invoice[[#This Row],[net]])</f>
        <v>1820.9532000000002</v>
      </c>
      <c r="H968" s="47">
        <f>input_invoice[[#This Row],[net]]*(MAX(input_invoice[[#This Row],[tax_rate_iva]],0)/100)</f>
        <v>316.03320000000002</v>
      </c>
      <c r="I968" s="47">
        <f>-input_invoice[[#This Row],[net]]*input_invoice[[#This Row],[tax_rate_irpf]]/100</f>
        <v>0</v>
      </c>
      <c r="J968" s="47">
        <v>1504.92</v>
      </c>
      <c r="K968" t="str">
        <f t="shared" si="24"/>
        <v>administrative</v>
      </c>
      <c r="L968">
        <v>21</v>
      </c>
      <c r="N968" t="str">
        <f>VLOOKUP(input_invoice[[#This Row],[concept/supplier]],'sel-invoice'!D:E,2,0)</f>
        <v>hannun</v>
      </c>
      <c r="O968" t="str">
        <f>VLOOKUP(input_invoice[[#This Row],[concept/supplier]],'sel-invoice'!D:F,3,0)</f>
        <v>SL</v>
      </c>
      <c r="P968" t="str">
        <f>IF(input_invoice[[#This Row],[entity]]="SL","EUR",IF(input_invoice[[#This Row],[entity]]="Ltd","GBP",IF(input_invoice[[#This Row],[entity]]="Inc","USD","XXX")))</f>
        <v>EUR</v>
      </c>
      <c r="Q968" s="199" t="s">
        <v>1398</v>
      </c>
      <c r="R968" s="259" t="b">
        <v>0</v>
      </c>
    </row>
    <row r="969" spans="1:19" x14ac:dyDescent="0.3">
      <c r="A969">
        <v>202601</v>
      </c>
      <c r="B969" s="22" t="s">
        <v>917</v>
      </c>
      <c r="C969" s="48" t="s">
        <v>1400</v>
      </c>
      <c r="D969" s="43">
        <v>46092</v>
      </c>
      <c r="E969" s="43">
        <v>46161</v>
      </c>
      <c r="F969" t="s">
        <v>1312</v>
      </c>
      <c r="G969" s="47">
        <f>MAX(+input_invoice[[#This Row],[net]]+input_invoice[[#This Row],[tax_iva]],input_invoice[[#This Row],[net]])</f>
        <v>211.75</v>
      </c>
      <c r="H969" s="47">
        <f>input_invoice[[#This Row],[net]]*(MAX(input_invoice[[#This Row],[tax_rate_iva]],0)/100)</f>
        <v>36.75</v>
      </c>
      <c r="I969" s="47">
        <f>-input_invoice[[#This Row],[net]]*input_invoice[[#This Row],[tax_rate_irpf]]/100</f>
        <v>0</v>
      </c>
      <c r="J969" s="47">
        <v>175</v>
      </c>
      <c r="K969" t="str">
        <f t="shared" si="24"/>
        <v>administrative</v>
      </c>
      <c r="L969">
        <v>21</v>
      </c>
      <c r="N969" t="str">
        <f>VLOOKUP(input_invoice[[#This Row],[concept/supplier]],'sel-invoice'!D:E,2,0)</f>
        <v>hannun</v>
      </c>
      <c r="O969" t="str">
        <f>VLOOKUP(input_invoice[[#This Row],[concept/supplier]],'sel-invoice'!D:F,3,0)</f>
        <v>SL</v>
      </c>
      <c r="P969" t="str">
        <f>IF(input_invoice[[#This Row],[entity]]="SL","EUR",IF(input_invoice[[#This Row],[entity]]="Ltd","GBP",IF(input_invoice[[#This Row],[entity]]="Inc","USD","XXX")))</f>
        <v>EUR</v>
      </c>
      <c r="Q969" s="199" t="s">
        <v>1398</v>
      </c>
      <c r="R969" s="259" t="b">
        <v>0</v>
      </c>
    </row>
    <row r="970" spans="1:19" hidden="1" x14ac:dyDescent="0.3">
      <c r="A970">
        <v>202602</v>
      </c>
      <c r="B970" s="22" t="s">
        <v>917</v>
      </c>
      <c r="C970" s="48" t="s">
        <v>1401</v>
      </c>
      <c r="D970" s="43">
        <v>46092</v>
      </c>
      <c r="E970" s="43">
        <v>46161</v>
      </c>
      <c r="F970" t="s">
        <v>1312</v>
      </c>
      <c r="G970" s="47">
        <f>MAX(+input_invoice[[#This Row],[net]]+input_invoice[[#This Row],[tax_iva]],input_invoice[[#This Row],[net]])</f>
        <v>1820.9532000000002</v>
      </c>
      <c r="H970" s="47">
        <f>input_invoice[[#This Row],[net]]*(MAX(input_invoice[[#This Row],[tax_rate_iva]],0)/100)</f>
        <v>316.03320000000002</v>
      </c>
      <c r="I970" s="47">
        <f>-input_invoice[[#This Row],[net]]*input_invoice[[#This Row],[tax_rate_irpf]]/100</f>
        <v>0</v>
      </c>
      <c r="J970" s="47">
        <v>1504.92</v>
      </c>
      <c r="K970" t="str">
        <f t="shared" si="24"/>
        <v>administrative</v>
      </c>
      <c r="L970">
        <v>21</v>
      </c>
      <c r="N970" t="str">
        <f>VLOOKUP(input_invoice[[#This Row],[concept/supplier]],'sel-invoice'!D:E,2,0)</f>
        <v>hannun</v>
      </c>
      <c r="O970" t="str">
        <f>VLOOKUP(input_invoice[[#This Row],[concept/supplier]],'sel-invoice'!D:F,3,0)</f>
        <v>SL</v>
      </c>
      <c r="P970" t="str">
        <f>IF(input_invoice[[#This Row],[entity]]="SL","EUR",IF(input_invoice[[#This Row],[entity]]="Ltd","GBP",IF(input_invoice[[#This Row],[entity]]="Inc","USD","XXX")))</f>
        <v>EUR</v>
      </c>
      <c r="Q970" s="199" t="s">
        <v>1398</v>
      </c>
      <c r="R970" s="259" t="b">
        <v>0</v>
      </c>
    </row>
    <row r="971" spans="1:19" hidden="1" x14ac:dyDescent="0.3">
      <c r="A971">
        <v>202602</v>
      </c>
      <c r="B971" s="22" t="s">
        <v>917</v>
      </c>
      <c r="C971" s="48" t="s">
        <v>1399</v>
      </c>
      <c r="D971" s="43">
        <v>46092</v>
      </c>
      <c r="E971" s="43">
        <v>46161</v>
      </c>
      <c r="F971" t="s">
        <v>1312</v>
      </c>
      <c r="G971" s="47">
        <f>MAX(+input_invoice[[#This Row],[net]]+input_invoice[[#This Row],[tax_iva]],input_invoice[[#This Row],[net]])</f>
        <v>211.75</v>
      </c>
      <c r="H971" s="47">
        <f>input_invoice[[#This Row],[net]]*(MAX(input_invoice[[#This Row],[tax_rate_iva]],0)/100)</f>
        <v>36.75</v>
      </c>
      <c r="I971" s="47">
        <f>-input_invoice[[#This Row],[net]]*input_invoice[[#This Row],[tax_rate_irpf]]/100</f>
        <v>0</v>
      </c>
      <c r="J971" s="47">
        <v>175</v>
      </c>
      <c r="K971" t="str">
        <f t="shared" si="24"/>
        <v>administrative</v>
      </c>
      <c r="L971">
        <v>21</v>
      </c>
      <c r="N971" t="str">
        <f>VLOOKUP(input_invoice[[#This Row],[concept/supplier]],'sel-invoice'!D:E,2,0)</f>
        <v>hannun</v>
      </c>
      <c r="O971" t="str">
        <f>VLOOKUP(input_invoice[[#This Row],[concept/supplier]],'sel-invoice'!D:F,3,0)</f>
        <v>SL</v>
      </c>
      <c r="P971" t="str">
        <f>IF(input_invoice[[#This Row],[entity]]="SL","EUR",IF(input_invoice[[#This Row],[entity]]="Ltd","GBP",IF(input_invoice[[#This Row],[entity]]="Inc","USD","XXX")))</f>
        <v>EUR</v>
      </c>
      <c r="Q971" s="199" t="s">
        <v>1398</v>
      </c>
      <c r="R971" s="259" t="b">
        <v>0</v>
      </c>
    </row>
    <row r="972" spans="1:19" hidden="1" x14ac:dyDescent="0.3">
      <c r="A972">
        <v>202511</v>
      </c>
      <c r="B972" s="22" t="s">
        <v>917</v>
      </c>
      <c r="C972" s="48" t="s">
        <v>1403</v>
      </c>
      <c r="D972" s="43">
        <v>45991</v>
      </c>
      <c r="E972" s="43">
        <v>45991</v>
      </c>
      <c r="F972" t="s">
        <v>198</v>
      </c>
      <c r="G972" s="47">
        <f>MAX(+input_invoice[[#This Row],[net]]+input_invoice[[#This Row],[tax_iva]],input_invoice[[#This Row],[net]])</f>
        <v>330.28800000000001</v>
      </c>
      <c r="H972" s="47">
        <f>input_invoice[[#This Row],[net]]*(MAX(input_invoice[[#This Row],[tax_rate_iva]],0)/100)</f>
        <v>55.048000000000002</v>
      </c>
      <c r="I972" s="47">
        <f>-input_invoice[[#This Row],[net]]*input_invoice[[#This Row],[tax_rate_irpf]]/100</f>
        <v>0</v>
      </c>
      <c r="J972" s="47">
        <v>275.24</v>
      </c>
      <c r="K972" t="str">
        <f t="shared" ref="K972:K975" si="25">_xlfn.TEXTBEFORE(F972," - ")</f>
        <v>logistics</v>
      </c>
      <c r="L972">
        <v>20</v>
      </c>
      <c r="N972" t="str">
        <f>VLOOKUP(input_invoice[[#This Row],[concept/supplier]],'sel-invoice'!D:E,2,0)</f>
        <v>jondo</v>
      </c>
      <c r="O972" t="str">
        <f>VLOOKUP(input_invoice[[#This Row],[concept/supplier]],'sel-invoice'!D:F,3,0)</f>
        <v>Ltd</v>
      </c>
      <c r="P972" t="str">
        <f>IF(input_invoice[[#This Row],[entity]]="SL","EUR",IF(input_invoice[[#This Row],[entity]]="Ltd","GBP",IF(input_invoice[[#This Row],[entity]]="Inc","USD","XXX")))</f>
        <v>GBP</v>
      </c>
      <c r="Q972" s="199" t="s">
        <v>1404</v>
      </c>
      <c r="R972" s="259" t="b">
        <v>1</v>
      </c>
    </row>
    <row r="973" spans="1:19" hidden="1" x14ac:dyDescent="0.3">
      <c r="A973">
        <v>202512</v>
      </c>
      <c r="B973" s="22" t="s">
        <v>917</v>
      </c>
      <c r="C973" s="48" t="s">
        <v>1403</v>
      </c>
      <c r="D973" s="43">
        <v>46022</v>
      </c>
      <c r="E973" s="43">
        <v>46387</v>
      </c>
      <c r="F973" t="s">
        <v>198</v>
      </c>
      <c r="G973" s="47">
        <f>MAX(+input_invoice[[#This Row],[net]]+input_invoice[[#This Row],[tax_iva]],input_invoice[[#This Row],[net]])</f>
        <v>3077.9399999999996</v>
      </c>
      <c r="H973" s="47">
        <f>input_invoice[[#This Row],[net]]*(MAX(input_invoice[[#This Row],[tax_rate_iva]],0)/100)</f>
        <v>512.99</v>
      </c>
      <c r="I973" s="47">
        <f>-input_invoice[[#This Row],[net]]*input_invoice[[#This Row],[tax_rate_irpf]]/100</f>
        <v>0</v>
      </c>
      <c r="J973" s="47">
        <v>2564.9499999999998</v>
      </c>
      <c r="K973" t="str">
        <f t="shared" si="25"/>
        <v>logistics</v>
      </c>
      <c r="L973">
        <v>20</v>
      </c>
      <c r="N973" t="str">
        <f>VLOOKUP(input_invoice[[#This Row],[concept/supplier]],'sel-invoice'!D:E,2,0)</f>
        <v>jondo</v>
      </c>
      <c r="O973" t="str">
        <f>VLOOKUP(input_invoice[[#This Row],[concept/supplier]],'sel-invoice'!D:F,3,0)</f>
        <v>Ltd</v>
      </c>
      <c r="P973" t="str">
        <f>IF(input_invoice[[#This Row],[entity]]="SL","EUR",IF(input_invoice[[#This Row],[entity]]="Ltd","GBP",IF(input_invoice[[#This Row],[entity]]="Inc","USD","XXX")))</f>
        <v>GBP</v>
      </c>
      <c r="Q973" s="199" t="s">
        <v>1405</v>
      </c>
      <c r="R973" s="259" t="b">
        <v>1</v>
      </c>
    </row>
    <row r="974" spans="1:19" hidden="1" x14ac:dyDescent="0.3">
      <c r="A974">
        <v>202601</v>
      </c>
      <c r="B974" s="22" t="s">
        <v>917</v>
      </c>
      <c r="C974" s="48" t="s">
        <v>1403</v>
      </c>
      <c r="D974" s="43">
        <v>46052</v>
      </c>
      <c r="E974" s="43">
        <v>46052</v>
      </c>
      <c r="F974" t="s">
        <v>198</v>
      </c>
      <c r="G974" s="47">
        <f>MAX(+input_invoice[[#This Row],[net]]+input_invoice[[#This Row],[tax_iva]],input_invoice[[#This Row],[net]])</f>
        <v>424.87200000000001</v>
      </c>
      <c r="H974" s="47">
        <f>input_invoice[[#This Row],[net]]*(MAX(input_invoice[[#This Row],[tax_rate_iva]],0)/100)</f>
        <v>70.811999999999998</v>
      </c>
      <c r="I974" s="47">
        <f>-input_invoice[[#This Row],[net]]*input_invoice[[#This Row],[tax_rate_irpf]]/100</f>
        <v>0</v>
      </c>
      <c r="J974" s="47">
        <v>354.06</v>
      </c>
      <c r="K974" t="str">
        <f t="shared" si="25"/>
        <v>logistics</v>
      </c>
      <c r="L974">
        <v>20</v>
      </c>
      <c r="N974" t="str">
        <f>VLOOKUP(input_invoice[[#This Row],[concept/supplier]],'sel-invoice'!D:E,2,0)</f>
        <v>jondo</v>
      </c>
      <c r="O974" t="str">
        <f>VLOOKUP(input_invoice[[#This Row],[concept/supplier]],'sel-invoice'!D:F,3,0)</f>
        <v>Ltd</v>
      </c>
      <c r="P974" t="str">
        <f>IF(input_invoice[[#This Row],[entity]]="SL","EUR",IF(input_invoice[[#This Row],[entity]]="Ltd","GBP",IF(input_invoice[[#This Row],[entity]]="Inc","USD","XXX")))</f>
        <v>GBP</v>
      </c>
      <c r="Q974" s="199" t="s">
        <v>1406</v>
      </c>
      <c r="R974" s="259" t="b">
        <v>1</v>
      </c>
    </row>
    <row r="975" spans="1:19" hidden="1" x14ac:dyDescent="0.3">
      <c r="A975">
        <v>202602</v>
      </c>
      <c r="B975" s="22" t="s">
        <v>917</v>
      </c>
      <c r="C975" s="48" t="s">
        <v>1403</v>
      </c>
      <c r="D975" s="43">
        <v>46081</v>
      </c>
      <c r="E975" s="43">
        <v>46081</v>
      </c>
      <c r="F975" t="s">
        <v>198</v>
      </c>
      <c r="G975" s="47">
        <f>MAX(+input_invoice[[#This Row],[net]]+input_invoice[[#This Row],[tax_iva]],input_invoice[[#This Row],[net]])</f>
        <v>398.41199999999998</v>
      </c>
      <c r="H975" s="47">
        <f>input_invoice[[#This Row],[net]]*(MAX(input_invoice[[#This Row],[tax_rate_iva]],0)/100)</f>
        <v>66.402000000000001</v>
      </c>
      <c r="I975" s="47">
        <f>-input_invoice[[#This Row],[net]]*input_invoice[[#This Row],[tax_rate_irpf]]/100</f>
        <v>0</v>
      </c>
      <c r="J975" s="47">
        <v>332.01</v>
      </c>
      <c r="K975" t="str">
        <f t="shared" si="25"/>
        <v>logistics</v>
      </c>
      <c r="L975">
        <v>20</v>
      </c>
      <c r="N975" t="str">
        <f>VLOOKUP(input_invoice[[#This Row],[concept/supplier]],'sel-invoice'!D:E,2,0)</f>
        <v>jondo</v>
      </c>
      <c r="O975" t="str">
        <f>VLOOKUP(input_invoice[[#This Row],[concept/supplier]],'sel-invoice'!D:F,3,0)</f>
        <v>Ltd</v>
      </c>
      <c r="P975" t="str">
        <f>IF(input_invoice[[#This Row],[entity]]="SL","EUR",IF(input_invoice[[#This Row],[entity]]="Ltd","GBP",IF(input_invoice[[#This Row],[entity]]="Inc","USD","XXX")))</f>
        <v>GBP</v>
      </c>
      <c r="Q975" s="199" t="s">
        <v>1407</v>
      </c>
      <c r="R975" s="259" t="b">
        <v>1</v>
      </c>
    </row>
    <row r="976" spans="1:19" hidden="1" x14ac:dyDescent="0.3">
      <c r="A976">
        <v>202602</v>
      </c>
      <c r="B976" s="22" t="s">
        <v>917</v>
      </c>
      <c r="C976" s="48" t="s">
        <v>1415</v>
      </c>
      <c r="D976" s="43">
        <v>46069</v>
      </c>
      <c r="E976" s="43">
        <f>input_invoice[[#This Row],[date]]+14</f>
        <v>46083</v>
      </c>
      <c r="F976" t="s">
        <v>43</v>
      </c>
      <c r="G976" s="47">
        <f>MAX(+input_invoice[[#This Row],[net]]+input_invoice[[#This Row],[tax_iva]],input_invoice[[#This Row],[net]])</f>
        <v>4098.1576999999997</v>
      </c>
      <c r="H976" s="47">
        <f>input_invoice[[#This Row],[net]]*(MAX(input_invoice[[#This Row],[tax_rate_iva]],0)/100)</f>
        <v>654.32770000000005</v>
      </c>
      <c r="I976" s="47">
        <f>-input_invoice[[#This Row],[net]]*input_invoice[[#This Row],[tax_rate_irpf]]/100</f>
        <v>0</v>
      </c>
      <c r="J976" s="47">
        <v>3443.83</v>
      </c>
      <c r="K976" s="279" t="str">
        <f>_xlfn.TEXTBEFORE(F976," - ")</f>
        <v>manufacturing</v>
      </c>
      <c r="L976">
        <v>19</v>
      </c>
      <c r="N976" s="279" t="str">
        <f>VLOOKUP(input_invoice[[#This Row],[concept/supplier]],'sel-invoice'!D:E,2,0)</f>
        <v>DCT</v>
      </c>
      <c r="O976" s="279" t="str">
        <f>VLOOKUP(input_invoice[[#This Row],[concept/supplier]],'sel-invoice'!D:F,3,0)</f>
        <v>SL</v>
      </c>
      <c r="P976" s="279" t="str">
        <f>IF(input_invoice[[#This Row],[entity]]="SL","EUR",IF(input_invoice[[#This Row],[entity]]="Ltd","GBP",IF(input_invoice[[#This Row],[entity]]="Inc","USD","XXX")))</f>
        <v>EUR</v>
      </c>
      <c r="Q976" s="199" t="s">
        <v>1416</v>
      </c>
      <c r="R976" s="267" t="b">
        <v>1</v>
      </c>
      <c r="S976" s="279"/>
    </row>
  </sheetData>
  <dataValidations count="2">
    <dataValidation type="decimal" allowBlank="1" showInputMessage="1" showErrorMessage="1" sqref="J115 J340 J376 J519:J532 J2:J85" xr:uid="{634A20FA-C545-42BB-A3B1-66F06CDB172F}">
      <formula1>-9.99999999999999E+37</formula1>
      <formula2>9.99999999999999E+36</formula2>
    </dataValidation>
    <dataValidation operator="lessThan" allowBlank="1" showInputMessage="1" showErrorMessage="1" sqref="B2:B976" xr:uid="{75970159-94A1-49E7-A942-3BB2FD11A865}"/>
  </dataValidations>
  <hyperlinks>
    <hyperlink ref="Q175" r:id="rId1" display="../Forms/AllItems.aspx?viewid=7a0270c5%2D12e7%2D46ed%2Db71e%2Dd26f27d2378d&amp;ga=1&amp;id=%2Fsites%2FARTESTA%2FShared%20Documents%2F6%2E%20Finances%2FArtesta%20Inc%2F2025%2F3Q%2F202509%2F6%2E%20Gastos%2FTGI%2F170063%2Epdf&amp;parent=%2Fsites%2FARTESTA%2FShared%20Documents%2F6%2E%20Finances%2FArtesta%20Inc%2F2025%2F3Q%2F202509%2F6%2E%20Gastos%2FTGI" xr:uid="{9EE66D05-4455-46EB-9636-37EC80FF895F}"/>
    <hyperlink ref="Q176" r:id="rId2" display="../Forms/AllItems.aspx?viewid=7a0270c5%2D12e7%2D46ed%2Db71e%2Dd26f27d2378d&amp;ga=1&amp;id=%2Fsites%2FARTESTA%2FShared%20Documents%2F6%2E%20Finances%2FArtesta%20Inc%2F2025%2F3Q%2F202509%2F6%2E%20Gastos%2FTGI%2F170064%2Epdf&amp;parent=%2Fsites%2FARTESTA%2FShared%20Documents%2F6%2E%20Finances%2FArtesta%20Inc%2F2025%2F3Q%2F202509%2F6%2E%20Gastos%2FTGI" xr:uid="{8C92B000-0AC7-4B75-958C-096C6B9C830B}"/>
    <hyperlink ref="Q202" r:id="rId3" display="../Forms/AllItems.aspx?viewid=7a0270c5%2D12e7%2D46ed%2Db71e%2Dd26f27d2378d&amp;ga=1&amp;id=%2Fsites%2FARTESTA%2FShared%20Documents%2F6%2E%20Finances%2FArtesta%20Store%2C%20S%2EL%2F2025%2F3Q%2F202509%2FGastos%2FProveedores%2FProduct%20Hero%2Finvoice%5F181076%2Epdf&amp;parent=%2Fsites%2FARTESTA%2FShared%20Documents%2F6%2E%20Finances%2FArtesta%20Store%2C%20S%2EL%2F2025%2F3Q%2F202509%2FGastos%2FProveedores%2FProduct%20Hero" xr:uid="{AEE27DC1-D3BA-46FF-A913-850AACA4807A}"/>
    <hyperlink ref="Q203" r:id="rId4" display="../Forms/AllItems.aspx?viewid=7a0270c5%2D12e7%2D46ed%2Db71e%2Dd26f27d2378d&amp;ga=1&amp;id=%2Fsites%2FARTESTA%2FShared%20Documents%2F6%2E%20Finances%2FArtesta%20Store%2C%20S%2EL%2F2025%2F3Q%2F202509%2FGastos%2FProveedores%2FREVER%2FInvoice%2DRVR%2D13470%2Epdf&amp;parent=%2Fsites%2FARTESTA%2FShared%20Documents%2F6%2E%20Finances%2FArtesta%20Store%2C%20S%2EL%2F2025%2F3Q%2F202509%2FGastos%2FProveedores%2FREVER" xr:uid="{288B3CA1-480F-42CF-83E8-0E1C613E8352}"/>
    <hyperlink ref="Q178" r:id="rId5" display="../Forms/AllItems.aspx?ga=1&amp;id=%2Fsites%2FARTESTA%2FShared%20Documents%2F6%2E%20Finances%2FArtesta%20Store%2C%20S%2EL%2F2025%2F3Q%2F202509%2FGastos%2FProveedores%2FREVER%2FInvoice%2DRVR%2D13157%2Epdf&amp;viewid=7a0270c5%2D12e7%2D46ed%2Db71e%2Dd26f27d2378d&amp;parent=%2Fsites%2FARTESTA%2FShared%20Documents%2F6%2E%20Finances%2FArtesta%20Store%2C%20S%2EL%2F2025%2F3Q%2F202509%2FGastos%2FProveedores%2FREVER" xr:uid="{3CB53AF6-8FC9-48BB-B293-2CF819E2B8FC}"/>
    <hyperlink ref="Q179" r:id="rId6" display="../Forms/AllItems.aspx?ga=1&amp;id=%2Fsites%2FARTESTA%2FShared%20Documents%2F6%2E%20Finances%2FArtesta%20Store%2C%20S%2EL%2F2025%2F3Q%2F202509%2FGastos%2FProveedores%2FREVER%2FInvoice%2DRVR%2D13157%2Epdf&amp;viewid=7a0270c5%2D12e7%2D46ed%2Db71e%2Dd26f27d2378d&amp;parent=%2Fsites%2FARTESTA%2FShared%20Documents%2F6%2E%20Finances%2FArtesta%20Store%2C%20S%2EL%2F2025%2F3Q%2F202509%2FGastos%2FProveedores%2FREVER" xr:uid="{B970FD12-CBB3-48BA-85E2-9D2E175B510A}"/>
    <hyperlink ref="Q167" r:id="rId7" display="../Forms/AllItems.aspx?viewid=7a0270c5%2D12e7%2D46ed%2Db71e%2Dd26f27d2378d&amp;ga=1&amp;id=%2Fsites%2FARTESTA%2FShared%20Documents%2F6%2E%20Finances%2FArtesta%20Inc%2F2025%2F3Q%2F202507%2FTGI%2F169920%2Epdf&amp;parent=%2Fsites%2FARTESTA%2FShared%20Documents%2F6%2E%20Finances%2FArtesta%20Inc%2F2025%2F3Q%2F202507%2FTGI" xr:uid="{5D6443AE-A843-45C0-B3D6-CBB33D3EFB7C}"/>
    <hyperlink ref="Q166" r:id="rId8" display="../Forms/AllItems.aspx?ga=1&amp;id=%2Fsites%2FARTESTA%2FShared%20Documents%2F6%2E%20Finances%2FArtesta%20Inc%2F2025%2F3Q%2F202507%2FTGI%2F169919%2Epdf&amp;viewid=7a0270c5%2D12e7%2D46ed%2Db71e%2Dd26f27d2378d&amp;parent=%2Fsites%2FARTESTA%2FShared%20Documents%2F6%2E%20Finances%2FArtesta%20Inc%2F2025%2F3Q%2F202507%2FTGI" xr:uid="{E1309005-CEA3-45AA-AA6F-5F2C9FC1EABF}"/>
    <hyperlink ref="Q225" r:id="rId9" display="../Forms/AllItems.aspx?viewid=7a0270c5%2D12e7%2D46ed%2Db71e%2Dd26f27d2378d&amp;ga=1&amp;id=%2Fsites%2FARTESTA%2FShared%20Documents%2F6%2E%20Finances%2FArtesta%20Store%2C%20S%2EL%2F2025%2F3Q%2F202509%2FGastos%2FProveedores%2FAP%20Photo%2Ffra%2E2432%2Epdf&amp;parent=%2Fsites%2FARTESTA%2FShared%20Documents%2F6%2E%20Finances%2FArtesta%20Store%2C%20S%2EL%2F2025%2F3Q%2F202509%2FGastos%2FProveedores%2FAP%20Photo" xr:uid="{1EA84A89-B242-48C5-B9EC-6733157EF87E}"/>
    <hyperlink ref="Q34" r:id="rId10" display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FacturaF00033%5F25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xr:uid="{63E09E1F-23BC-4D84-9D2E-640ED3D9BCC1}"/>
    <hyperlink ref="Q6" r:id="rId11" display="../Forms/AllItems.aspx?viewid=7a0270c5%2D12e7%2D46ed%2Db71e%2Dd26f27d2378d&amp;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257F0000190%2D09438F%2EPDF&amp;parent=%2Fsites%2FARTESTA%2FShared%20Documents%2F6%2E%20Finances%2FArtesta%20Store%2C%20S%2EL%2F2025%2F1Q%2F1%2E%20January%2F7%2E%20Otros%20gastos%20de%20explotaci%C3%B3n%2F622%2E%20Servicios%20profesionales%20independientes%20%2D%20ok%2FLegal%20%2D%20ok" xr:uid="{A21C71EA-CBCC-45BE-941E-0B605D95F241}"/>
    <hyperlink ref="Q21" r:id="rId12" display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FACTURA%20Enero%202025%20ARTESTA%20STORE%2C%20S%2EL%2E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xr:uid="{88E84C20-1E14-44B8-9B25-6694C9CCBF97}"/>
    <hyperlink ref="Q12" r:id="rId13" display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Invoice%283313%2D37371%29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xr:uid="{2C083C76-A1A7-44E9-B992-4D70AFCB4334}"/>
    <hyperlink ref="Q14" r:id="rId14" display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Invoice%283313%2D37372%29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xr:uid="{AFCBDF63-CC69-4D3E-B9C7-2050794B8E11}"/>
    <hyperlink ref="Q13" r:id="rId15" display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Invoice%283313%2D37371%29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xr:uid="{85910A76-8ADE-4EFE-9C94-D70A01A1D827}"/>
    <hyperlink ref="Q2" r:id="rId16" display="../Forms/AllItems.aspx?FolderCTID=0x0120008BB033C3A27F3F4DAAA10FDAE6815A60&amp;id=%2Fsites%2FARTESTA%2FShared%20Documents%2F6%2E%20Finances%2FArtesta%20Store%2C%20S%2EL%2F2025%2F1Q%2F1%2E%20January%2F7%2E%20Otros%20gastos%20de%20explotaci%C3%B3n%2F622%2E%20Servicios%20profesionales%20independientes%20%2D%20ok%2FLegal%20%2D%20ok%2FM%C2%AA%20CONCEPCION%20ALONSO%20VALSALLO%20%2D%20FRA%20A5%20240337%2Epdf&amp;viewid=7a0270c5%2D12e7%2D46ed%2Db71e%2Dd26f27d2378d&amp;parent=%2Fsites%2FARTESTA%2FShared%20Documents%2F6%2E%20Finances%2FArtesta%20Store%2C%20S%2EL%2F2025%2F1Q%2F1%2E%20January%2F7%2E%20Otros%20gastos%20de%20explotaci%C3%B3n%2F622%2E%20Servicios%20profesionales%20independientes%20%2D%20ok%2FLegal%20%2D%20ok" xr:uid="{91DF0135-EB44-47CF-9D73-C7390769FCEF}"/>
    <hyperlink ref="Q29" r:id="rId17" display="../Forms/AllItems.aspx?id=%2Fsites%2FARTESTA%2FShared%20Documents%2F6%2E%20Finances%2FArtesta%20Store%2C%20S%2EL%2F2025%2F1Q%2F1%2E%20January%2F7%2E%20Otros%20gastos%20de%20explotaci%C3%B3n%2F627%2E%20Publicidad%2C%20propaganda%20y%20RRPP%20%2D%20ok%2FCanva%20%2D%20ok%2Finvoice%2D04400%2D23277624%2Epdf&amp;parent=%2Fsites%2FARTESTA%2FShared%20Documents%2F6%2E%20Finances%2FArtesta%20Store%2C%20S%2EL%2F2025%2F1Q%2F1%2E%20January%2F7%2E%20Otros%20gastos%20de%20explotaci%C3%B3n%2F627%2E%20Publicidad%2C%20propaganda%20y%20RRPP%20%2D%20ok%2FCanva%20%2D%20ok" xr:uid="{23469702-904A-4B6E-B50D-8C1D81D13B34}"/>
    <hyperlink ref="Q30" r:id="rId18" display="../Forms/AllItems.aspx?id=%2Fsites%2FARTESTA%2FShared%20Documents%2F6%2E%20Finances%2FArtesta%20Store%2C%20S%2EL%2F2025%2F1Q%2F1%2E%20January%2F7%2E%20Otros%20gastos%20de%20explotaci%C3%B3n%2F628%2E%20Suministros%20%2D%20ok%2FSoftware%20%2D%20ok%2FGeoTargetly%20%2D%20ok%2FG250180009%2Epdf&amp;parent=%2Fsites%2FARTESTA%2FShared%20Documents%2F6%2E%20Finances%2FArtesta%20Store%2C%20S%2EL%2F2025%2F1Q%2F1%2E%20January%2F7%2E%20Otros%20gastos%20de%20explotaci%C3%B3n%2F628%2E%20Suministros%20%2D%20ok%2FSoftware%20%2D%20ok%2FGeoTargetly%20%2D%20ok" xr:uid="{7B7D55B8-5F95-42A2-AE47-59006BD1F5BF}"/>
    <hyperlink ref="Q23" r:id="rId19" display="../Forms/AllItems.aspx?id=%2Fsites%2FARTESTA%2FShared%20Documents%2F6%2E%20Finances%2FArtesta%20Store%2C%20S%2EL%2F2025%2F1Q%2F1%2E%20January%2F7%2E%20Otros%20gastos%20de%20explotaci%C3%B3n%2F628%2E%20Suministros%20%2D%20ok%2FWeb%20%2D%20ok%2FDominios%20%2D%20ok%2FES2025B012622%2Epdf&amp;parent=%2Fsites%2FARTESTA%2FShared%20Documents%2F6%2E%20Finances%2FArtesta%20Store%2C%20S%2EL%2F2025%2F1Q%2F1%2E%20January%2F7%2E%20Otros%20gastos%20de%20explotaci%C3%B3n%2F628%2E%20Suministros%20%2D%20ok%2FWeb%20%2D%20ok%2FDominios%20%2D%20ok" xr:uid="{7CE8D20F-BDE8-4F46-8CF0-539EF5B702B8}"/>
    <hyperlink ref="Q43" r:id="rId20" display="../Forms/AllItems.aspx?id=%2Fsites%2FARTESTA%2FShared%20Documents%2F6%2E%20Finances%2FArtesta%20Store%2C%20S%2EL%2F2025%2F1Q%2F1%2E%20January%2F7%2E%20Otros%20gastos%20de%20explotaci%C3%B3n%2F628%2E%20Suministros%20%2D%20ok%2FSoftware%20%2D%20ok%2FGSuite%20%2D%20ok%2F5169504656%2Epdf&amp;parent=%2Fsites%2FARTESTA%2FShared%20Documents%2F6%2E%20Finances%2FArtesta%20Store%2C%20S%2EL%2F2025%2F1Q%2F1%2E%20January%2F7%2E%20Otros%20gastos%20de%20explotaci%C3%B3n%2F628%2E%20Suministros%20%2D%20ok%2FSoftware%20%2D%20ok%2FGSuite%20%2D%20ok" xr:uid="{9BE521FC-8E3F-4D68-8805-51D2AB928CE0}"/>
    <hyperlink ref="Q24" r:id="rId21" display="../Forms/AllItems.aspx?id=%2Fsites%2FARTESTA%2FShared%20Documents%2F6%2E%20Finances%2FArtesta%20Store%2C%20S%2EL%2F2025%2F1Q%2F1%2E%20January%2F7%2E%20Otros%20gastos%20de%20explotaci%C3%B3n%2F628%2E%20Suministros%20%2D%20ok%2FWeb%20%2D%20ok%2FDominios%20%2D%20ok%2FgodaddyEnero1%2Epdf&amp;parent=%2Fsites%2FARTESTA%2FShared%20Documents%2F6%2E%20Finances%2FArtesta%20Store%2C%20S%2EL%2F2025%2F1Q%2F1%2E%20January%2F7%2E%20Otros%20gastos%20de%20explotaci%C3%B3n%2F628%2E%20Suministros%20%2D%20ok%2FWeb%20%2D%20ok%2FDominios%20%2D%20ok" xr:uid="{8D5ED604-96BF-45AD-B93F-7572D8A06211}"/>
    <hyperlink ref="Q27" r:id="rId22" display="../Forms/AllItems.aspx?id=%2Fsites%2FARTESTA%2FShared%20Documents%2F6%2E%20Finances%2FArtesta%20Store%2C%20S%2EL%2F2025%2F1Q%2F1%2E%20January%2F7%2E%20Otros%20gastos%20de%20explotaci%C3%B3n%2F628%2E%20Suministros%20%2D%20ok%2FWeb%20%2D%20ok%2FHetzner%20%2D%20ok%2FHetzner%5F2025%2D01%2D16%5F086000117862%2Epdf&amp;parent=%2Fsites%2FARTESTA%2FShared%20Documents%2F6%2E%20Finances%2FArtesta%20Store%2C%20S%2EL%2F2025%2F1Q%2F1%2E%20January%2F7%2E%20Otros%20gastos%20de%20explotaci%C3%B3n%2F628%2E%20Suministros%20%2D%20ok%2FWeb%20%2D%20ok%2FHetzner%20%2D%20ok" xr:uid="{617885A4-E4E5-4868-A5B6-4E1F5307E3D6}"/>
    <hyperlink ref="Q31" r:id="rId23" display="../Forms/AllItems.aspx?id=%2Fsites%2FARTESTA%2FShared%20Documents%2F6.%20Finances%2FArtesta%20Store%2C%20S.L%2F2025%2F1Q%2F1.%20January%2F7.%20Otros%20gastos%20de%20explotaci%C3%B3n%2F628.%20Suministros%20-%20ok%2FSoftware%20-%20ok%2FOneDrive%20-%20ok%2FE0600UXYWH.pdf&amp;parent=%2Fsites%2FARTESTA%2FShared%20Documents%2F6.%20Finances%2FArtesta%20Store%2C%20S.L%2F2025%2F1Q%2F1.%20January%2F7.%20Otros%20gastos%20de%20explotaci%C3%B3n%2F628.%20Suministros%20-%20ok%2FSoftware%20-%20ok%2FOneDrive%20-%20ok" xr:uid="{B84D1906-E372-44E6-8872-B190228A221F}"/>
    <hyperlink ref="Q19" r:id="rId24" display="../Forms/AllItems.aspx?id=%2Fsites%2FARTESTA%2FShared%20Documents%2F6%2E%20Finances%2FArtesta%20Store%2C%20S%2EL%2F2025%2F1Q%2F1%2E%20January%2F7%2E%20Otros%20gastos%20de%20explotaci%C3%B3n%2F628%2E%20Suministros%20%2D%20ok%2FSoftware%20%2D%20ok%2FOneDrive%20%2D%20ok%2FG074407245%5Fb83413fe209a4ec4bc5a9e7671b3763b%2Epdf&amp;parent=%2Fsites%2FARTESTA%2FShared%20Documents%2F6%2E%20Finances%2FArtesta%20Store%2C%20S%2EL%2F2025%2F1Q%2F1%2E%20January%2F7%2E%20Otros%20gastos%20de%20explotaci%C3%B3n%2F628%2E%20Suministros%20%2D%20ok%2FSoftware%20%2D%20ok%2FOneDrive%20%2D%20ok" xr:uid="{A6E8A29B-5934-405E-AF6C-FB04F0682675}"/>
    <hyperlink ref="Q38" r:id="rId25" display="../Forms/AllItems.aspx?id=%2Fsites%2FARTESTA%2FShared%20Documents%2F6%2E%20Finances%2FArtesta%20Store%2C%20S%2EL%2F2025%2F1Q%2F1%2E%20January%2F7%2E%20Otros%20gastos%20de%20explotaci%C3%B3n%2F628%2E%20Suministros%20%2D%20ok%2FSoftware%20%2D%20ok%2FProduct%20Hero%20%2D%20ok%2Finvoice%5F134634%2Epdf&amp;parent=%2Fsites%2FARTESTA%2FShared%20Documents%2F6%2E%20Finances%2FArtesta%20Store%2C%20S%2EL%2F2025%2F1Q%2F1%2E%20January%2F7%2E%20Otros%20gastos%20de%20explotaci%C3%B3n%2F628%2E%20Suministros%20%2D%20ok%2FSoftware%20%2D%20ok%2FProduct%20Hero%20%2D%20ok" xr:uid="{8EB1A479-2404-487E-9572-BBD0B1535E2F}"/>
    <hyperlink ref="Q28" r:id="rId26" display="../Forms/AllItems.aspx?id=%2Fsites%2FARTESTA%2FShared%20Documents%2F6%2E%20Finances%2FArtesta%20Store%2C%20S%2EL%2F2025%2F1Q%2F1%2E%20January%2F7%2E%20Otros%20gastos%20de%20explotaci%C3%B3n%2F628%2E%20Suministros%20%2D%20ok%2FWeb%20%2D%20ok%2FShopify%20%2D%20ok%2FArtesta%5F319127596%2Epdf&amp;parent=%2Fsites%2FARTESTA%2FShared%20Documents%2F6%2E%20Finances%2FArtesta%20Store%2C%20S%2EL%2F2025%2F1Q%2F1%2E%20January%2F7%2E%20Otros%20gastos%20de%20explotaci%C3%B3n%2F628%2E%20Suministros%20%2D%20ok%2FWeb%20%2D%20ok%2FShopify%20%2D%20ok" xr:uid="{AD1BCFC7-BB9B-492E-AE55-4540DC3FE8BD}"/>
    <hyperlink ref="Q74" r:id="rId27" display="../Forms/AllItems.aspx?id=%2Fsites%2FARTESTA%2FShared%20Documents%2F6%2E%20Finances%2FArtesta%20Store%2C%20S%2EL%2F2025%2F1Q%2F1%2E%20January%2F7%2E%20Otros%20gastos%20de%20explotaci%C3%B3n%2F624%2E%20Transportes%20%2D%20ok%2FCorreos%20%2D%20ok%2F4004229873%2EPDF&amp;parent=%2Fsites%2FARTESTA%2FShared%20Documents%2F6%2E%20Finances%2FArtesta%20Store%2C%20S%2EL%2F2025%2F1Q%2F1%2E%20January%2F7%2E%20Otros%20gastos%20de%20explotaci%C3%B3n%2F624%2E%20Transportes%20%2D%20ok%2FCorreos%20%2D%20ok" xr:uid="{DC4E86D1-06F4-46C7-8D0A-42C0284BC7D6}"/>
    <hyperlink ref="Q75" r:id="rId28" display="../Forms/AllItems.aspx?id=%2Fsites%2FARTESTA%2FShared%20Documents%2F6%2E%20Finances%2FArtesta%20Store%2C%20S%2EL%2F2025%2F1Q%2F1%2E%20January%2F7%2E%20Otros%20gastos%20de%20explotaci%C3%B3n%2F624%2E%20Transportes%20%2D%20ok%2FCorreos%20%2D%20ok%2F4004229874%2EPDF&amp;parent=%2Fsites%2FARTESTA%2FShared%20Documents%2F6%2E%20Finances%2FArtesta%20Store%2C%20S%2EL%2F2025%2F1Q%2F1%2E%20January%2F7%2E%20Otros%20gastos%20de%20explotaci%C3%B3n%2F624%2E%20Transportes%20%2D%20ok%2FCorreos%20%2D%20ok" xr:uid="{37CC32C1-87CD-4076-A462-03F84918798B}"/>
    <hyperlink ref="Q22" r:id="rId29" display="../Forms/AllItems.aspx?id=%2Fsites%2FARTESTA%2FShared%20Documents%2F6%2E%20Finances%2FArtesta%20Store%2C%20S%2EL%2F2025%2F1Q%2F1%2E%20January%2F4%2E%20Aprovisionamientos%20%2D%20ok%2FDCT%20%2D%20ok%2FDCT%5FArtesta%5F41250051%2Epdf&amp;parent=%2Fsites%2FARTESTA%2FShared%20Documents%2F6%2E%20Finances%2FArtesta%20Store%2C%20S%2EL%2F2025%2F1Q%2F1%2E%20January%2F4%2E%20Aprovisionamientos%20%2D%20ok%2FDCT%20%2D%20ok" xr:uid="{04F77EC8-3543-4A1A-86B1-9B4934919CED}"/>
    <hyperlink ref="Q32" r:id="rId30" display="../Forms/AllItems.aspx?id=%2Fsites%2FARTESTA%2FShared%20Documents%2F6%2E%20Finances%2FArtesta%20Store%2C%20S%2EL%2F2025%2F1Q%2F1%2E%20January%2F4%2E%20Aprovisionamientos%20%2D%20ok%2FMB%20Editions%20%2D%20ok%2FARB%5F41250094%2Epdf&amp;parent=%2Fsites%2FARTESTA%2FShared%20Documents%2F6%2E%20Finances%2FArtesta%20Store%2C%20S%2EL%2F2025%2F1Q%2F1%2E%20January%2F4%2E%20Aprovisionamientos%20%2D%20ok%2FMB%20Editions%20%2D%20ok" xr:uid="{7278DA6E-0FDF-4ACD-8A6E-CA7C346CD110}"/>
    <hyperlink ref="Q76" r:id="rId31" display="https://artestastore-my.sharepoint.com/my?listurl=https%3A%2F%2Fartestastore%2Esharepoint%2Ecom%2Fsites%2FARTESTA%2FShared%20Documents&amp;remoteItem=%7B%22mp%22%3A%7B%22webAbsoluteUrl%22%3A%22https%3A%2F%2Fartestastore%2Dmy%2Esharepoint%2Ecom%2Fpersonal%2Ffinance%5Fartestastore%5Fonmicrosoft%5Fcom%22%2C%22listFullUrl%22%3A%22https%3A%2F%2Fartestastore%2Dmy%2Esharepoint%2Ecom%2Fpersonal%2Ffinance%5Fartestastore%5Fonmicrosoft%5Fcom%2FDocuments%22%2C%22rootFolder%22%3A%22%2Fpersonal%2Ffinance%5Fartestastore%5Fonmicrosoft%5Fcom%2FDocuments%2FAttachments%2FARTESTA%20%2D%206%2E%20Finances%22%7D%2C%22rsi%22%3A%7B%22listFullUrl%22%3A%22https%3A%2F%2Fartestastore%2Esharepoint%2Ecom%2Fsites%2FARTESTA%2FShared%20Documents%22%2C%22rootFolder%22%3A%22%2Fsites%2FARTESTA%2FShared%20Documents%2F6%2E%20Finances%2FArtesta%20Store%2C%20S%2EL%2F2025%2F1Q%2F1%2E%20January%2F7%2E%20Otros%20gastos%20de%20explotaci%C3%B3n%2F624%2E%20Transportes%20%2D%20ok%2FGLS%20%2D%20ok%22%2C%22webAbsoluteUrl%22%3A%22https%3A%2F%2Fartestastore%2Esharepoint%2Ecom%2Fsites%2FARTESTA%22%7D%7D&amp;viewid=7a0270c5%2D12e7%2D46ed%2Db71e%2Dd26f27d2378d&amp;source=waffle&amp;id=%2Fsites%2FARTESTA%2FShared%20Documents%2F6%2E%20Finances%2FArtesta%20Store%2C%20S%2EL%2F2025%2F1Q%2F1%2E%20January%2F7%2E%20Otros%20gastos%20de%20explotaci%C3%B3n%2F624%2E%20Transportes%20%2D%20ok%2FGLS%20%2D%20ok%2FEscaneo0095%2Epdf&amp;parent=%2Fsites%2FARTESTA%2FShared%20Documents%2F6%2E%20Finances%2FArtesta%20Store%2C%20S%2EL%2F2025%2F1Q%2F1%2E%20January%2F7%2E%20Otros%20gastos%20de%20explotaci%C3%B3n%2F624%2E%20Transportes%20%2D%20ok%2FGLS%20%2D%20ok&amp;parentview=0" xr:uid="{3027EAD2-2AE5-4316-B17E-442D300993E4}"/>
    <hyperlink ref="Q17" r:id="rId32" display="https://artestastore-my.sharepoint.com/my?listurl=https%3A%2F%2Fartestastore%2Esharepoint%2Ecom%2Fsites%2FARTESTA%2FShared%20Documents&amp;remoteItem=%7B%22mp%22%3A%7B%22webAbsoluteUrl%22%3A%22https%3A%2F%2Fartestastore%2Dmy%2Esharepoint%2Ecom%2Fpersonal%2Ffinance%5Fartestastore%5Fonmicrosoft%5Fcom%22%2C%22listFullUrl%22%3A%22https%3A%2F%2Fartestastore%2Dmy%2Esharepoint%2Ecom%2Fpersonal%2Ffinance%5Fartestastore%5Fonmicrosoft%5Fcom%2FDocuments%22%2C%22rootFolder%22%3A%22%2Fpersonal%2Ffinance%5Fartestastore%5Fonmicrosoft%5Fcom%2FDocuments%2FAttachments%2FARTESTA%20%2D%206%2E%20Finances%22%7D%2C%22rsi%22%3A%7B%22listFullUrl%22%3A%22https%3A%2F%2Fartestastore%2Esharepoint%2Ecom%2Fsites%2FARTESTA%2FShared%20Documents%22%2C%22rootFolder%22%3A%22%2Fsites%2FARTESTA%2FShared%20Documents%2F6%2E%20Finances%2FArtesta%20Store%2C%20S%2EL%2F2025%2F1Q%2F1%2E%20January%2F7%2E%20Otros%20gastos%20de%20explotaci%C3%B3n%2F624%2E%20Transportes%20%2D%20ok%2FSpring%20%2D%20ok%22%2C%22webAbsoluteUrl%22%3A%22https%3A%2F%2Fartestastore%2Esharepoint%2Ecom%2Fsites%2FARTESTA%22%7D%7D&amp;viewid=7a0270c5%2D12e7%2D46ed%2Db71e%2Dd26f27d2378d&amp;id=%2Fsites%2FARTESTA%2FShared%20Documents%2F6%2E%20Finances%2FArtesta%20Store%2C%20S%2EL%2F2025%2F1Q%2F1%2E%20January%2F7%2E%20Otros%20gastos%20de%20explotaci%C3%B3n%2F624%2E%20Transportes%20%2D%20ok%2FSpring%20%2D%20ok%2FE2500110%5FES%5FInvoice%5FO%5F110002125%5F2501022302%2EPDF&amp;parent=%2Fsites%2FARTESTA%2FShared%20Documents%2F6%2E%20Finances%2FArtesta%20Store%2C%20S%2EL%2F2025%2F1Q%2F1%2E%20January%2F7%2E%20Otros%20gastos%20de%20explotaci%C3%B3n%2F624%2E%20Transportes%20%2D%20ok%2FSpring%20%2D%20ok&amp;parentview=0" xr:uid="{A4DEEC8E-48C0-483A-BA82-58B20403E389}"/>
    <hyperlink ref="Q37" r:id="rId33" display="https://artestastore-my.sharepoint.com/shared?listurl=https%3A%2F%2Fartestastore%2Esharepoint%2Ecom%2Fsites%2FARTESTA%2FShared%20Documents&amp;viewid=7a0270c5%2D12e7%2D46ed%2Db71e%2Dd26f27d2378d&amp;id=%2Fsites%2FARTESTA%2FShared%20Documents%2F6%2E%20Finances%2FArtesta%20Store%2C%20S%2EL%2F2025%2F1Q%2F1%2E%20January%2F7%2E%20Otros%20gastos%20de%20explotaci%C3%B3n%2F624%2E%20Transportes%20%2D%20ok%2FSpring%20%2D%20ok%2FE2500574%5FES%5FInvoice%5FO%5F110002125%5F2501211137%2EPDF&amp;parent=%2Fsites%2FARTESTA%2FShared%20Documents%2F6%2E%20Finances%2FArtesta%20Store%2C%20S%2EL%2F2025%2F1Q%2F1%2E%20January%2F7%2E%20Otros%20gastos%20de%20explotaci%C3%B3n%2F624%2E%20Transportes%20%2D%20ok%2FSpring%20%2D%20ok" xr:uid="{787A5595-458B-4987-B837-AC35D9528905}"/>
    <hyperlink ref="Q50" r:id="rId34" display="https://artestastore-my.sharepoint.com/shared?listurl=https%3A%2F%2Fartestastore%2Esharepoint%2Ecom%2Fsites%2FARTESTA%2FShared%20Documents&amp;viewid=7a0270c5%2D12e7%2D46ed%2Db71e%2Dd26f27d2378d&amp;id=%2Fsites%2FARTESTA%2FShared%20Documents%2F6%2E%20Finances%2FArtesta%20Store%2C%20S%2EL%2F2025%2F1Q%2F1%2E%20January%2F7%2E%20Otros%20gastos%20de%20explotaci%C3%B3n%2F624%2E%20Transportes%20%2D%20ok%2FSpring%20%2D%20ok%2FE2500774%5FES%5FInvoice%5FO%5F110002125%5F2501290053%2EPDF&amp;parent=%2Fsites%2FARTESTA%2FShared%20Documents%2F6%2E%20Finances%2FArtesta%20Store%2C%20S%2EL%2F2025%2F1Q%2F1%2E%20January%2F7%2E%20Otros%20gastos%20de%20explotaci%C3%B3n%2F624%2E%20Transportes%20%2D%20ok%2FSpring%20%2D%20ok" xr:uid="{1451914A-A59A-4464-B413-4A2300F512D2}"/>
    <hyperlink ref="Q10" r:id="rId35" display="https://artestastore-my.sharepoint.com/my?listurl=https%3A%2F%2Fartestastore%2Esharepoint%2Ecom%2Fsites%2FARTESTA%2FShared%20Documents&amp;remoteItem=%7B%22mp%22%3A%7B%22webAbsoluteUrl%22%3A%22https%3A%2F%2Fartestastore%2Dmy%2Esharepoint%2Ecom%2Fpersonal%2Ffinance%5Fartestastore%5Fonmicrosoft%5Fcom%22%2C%22listFullUrl%22%3A%22https%3A%2F%2Fartestastore%2Dmy%2Esharepoint%2Ecom%2Fpersonal%2Ffinance%5Fartestastore%5Fonmicrosoft%5Fcom%2FDocuments%22%2C%22rootFolder%22%3A%22%2Fpersonal%2Ffinance%5Fartestastore%5Fonmicrosoft%5Fcom%2FDocuments%2FAttachments%2FARTESTA%20%2D%206%2E%20Finances%22%7D%2C%22rsi%22%3A%7B%22listFullUrl%22%3A%22https%3A%2F%2Fartestastore%2Esharepoint%2Ecom%2Fsites%2FARTESTA%2FShared%20Documents%22%2C%22rootFolder%22%3A%22%2Fsites%2FARTESTA%2FShared%20Documents%2F6%2E%20Finances%2FArtesta%20Store%2C%20S%2EL%2F2025%2F1Q%2F1%2E%20January%2F7%2E%20Otros%20gastos%20de%20explotaci%C3%B3n%2F624%2E%20Transportes%20%2D%20ok%2FUPS%20DE%20%2D%20ok%22%2C%22webAbsoluteUrl%22%3A%22https%3A%2F%2Fartestastore%2Esharepoint%2Ecom%2Fsites%2FARTESTA%22%7D%7D&amp;viewid=7a0270c5%2D12e7%2D46ed%2Db71e%2Dd26f27d2378d&amp;id=%2Fsites%2FARTESTA%2FShared%20Documents%2F6%2E%20Finances%2FArtesta%20Store%2C%20S%2EL%2F2025%2F1Q%2F1%2E%20January%2F7%2E%20Otros%20gastos%20de%20explotaci%C3%B3n%2F624%2E%20Transportes%20%2D%20ok%2FUPS%20DE%20%2D%20ok%2FInvoice%5F324727725%5F010725%2EPDF&amp;parent=%2Fsites%2FARTESTA%2FShared%20Documents%2F6%2E%20Finances%2FArtesta%20Store%2C%20S%2EL%2F2025%2F1Q%2F1%2E%20January%2F7%2E%20Otros%20gastos%20de%20explotaci%C3%B3n%2F624%2E%20Transportes%20%2D%20ok%2FUPS%20DE%20%2D%20ok&amp;parentview=0" xr:uid="{90A7DDBC-DA1C-4E07-B950-8E192D73B71E}"/>
    <hyperlink ref="Q20" r:id="rId36" display="../../../../:b:/s/ARTESTA/Efy0cWVHHihAkGoOjRWCmiEBvuFKh3MkzROL5JmNAqj-Lg?e=LyzZYf" xr:uid="{349BFBFE-4918-4DD4-A064-3043AD8C9CBC}"/>
    <hyperlink ref="Q33" r:id="rId37" display="../../../../:b:/s/ARTESTA/EYIL6E_tB4ZGkDSlWM3CT84BJftGDIcIMTl_i5EVPSkauA?e=CH1oNx" xr:uid="{B2C1741E-00F6-4881-87DD-CC274E05B514}"/>
    <hyperlink ref="Q39" r:id="rId38" display="../../../../:b:/s/ARTESTA/EVHRb1GMk99Nlqq4E7zOSccBBeNNz9PlPnwkxCGcyrMKSw?e=NLBIGX" xr:uid="{A4BAE81B-7F94-4E1E-BD77-C1B7EF84F6A0}"/>
    <hyperlink ref="Q7" r:id="rId39" display="https://artestastore-my.sharepoint.com/shared?listurl=https%3A%2F%2Fartestastore%2Esharepoint%2Ecom%2Fsites%2FARTESTA%2FShared%20Documents&amp;viewid=7a0270c5%2D12e7%2D46ed%2Db71e%2Dd26f27d2378d&amp;id=%2Fsites%2FARTESTA%2FShared%20Documents%2F6%2E%20Finances%2FArtesta%20Store%2C%20S%2EL%2F2025%2F1Q%2F1%2E%20January%2F7%2E%20Otros%20gastos%20de%20explotaci%C3%B3n%2F624%2E%20Transportes%20%2D%20ok%2FUPS%20FR%20%2D%20ok%2F38c57dd0%2D658c%2D4dba%2D9b36%2Db0fee083874a%2Epdf&amp;parent=%2Fsites%2FARTESTA%2FShared%20Documents%2F6%2E%20Finances%2FArtesta%20Store%2C%20S%2EL%2F2025%2F1Q%2F1%2E%20January%2F7%2E%20Otros%20gastos%20de%20explotaci%C3%B3n%2F624%2E%20Transportes%20%2D%20ok%2FUPS%20FR%20%2D%20ok" xr:uid="{5E9C6266-EA0D-403E-93E7-775F03B7F8BF}"/>
    <hyperlink ref="Q61" r:id="rId40" display="../../../../:b:/s/ARTESTA/ETrTIgaGFyxIvHYfHqJytBkBC4XZ2zmX5rKsDGAVjzcOFQ?e=nUiXOW" xr:uid="{91BF912A-BD45-46B0-A5DD-E8A489E591EE}"/>
    <hyperlink ref="Q73" r:id="rId41" display="../../../../:b:/s/ARTESTA/EaEvv_R1CMVBkS4ilYV0ibUB10gVIm91f6KRaVyIRxhKjQ?e=NBJWIA" xr:uid="{45BACB7F-6FA3-4E0A-9313-B089D5601B65}"/>
    <hyperlink ref="Q60" r:id="rId42" display="../../../../:b:/s/ARTESTA/EYpZWqCKWvNCuZI-7Fa8LisBsH4do9JgkSWXXl0ZVEe7bQ?e=Zif2Le" xr:uid="{D11B7254-355A-4DE6-B35C-7DA39B683BEB}"/>
    <hyperlink ref="Q40" r:id="rId43" display="../../../../:b:/s/ARTESTA/ETURFcRbMFBArAlEKa3I61UB4GSvZOdXG4kTGlxWxnjcDA?e=PKJ7vP" xr:uid="{A2C0DACC-8ACF-41D8-9289-B1E344B9F957}"/>
    <hyperlink ref="Q52" r:id="rId44" display="../../../../:b:/s/ARTESTA/EQmjy831w3JPjWLsaYzAJtEBHIQGiT3JfH6mi2dK2M3vJw?e=cex0wM" xr:uid="{8CB8F3B3-9C23-4877-ACDC-C1B2918E0461}"/>
    <hyperlink ref="Q57" r:id="rId45" display="../../../../:b:/s/ARTESTA/ETcDnd8A0DtGnP1fYy_oOYcBBHSkK_wDKdpv_z0P59DGbA?e=uYjhWF" xr:uid="{7395DC5A-145B-4693-B561-D5E83B1F4E6C}"/>
    <hyperlink ref="Q58" r:id="rId46" display="https://artestastore-my.sharepoint.com/shared?listurl=https%3A%2F%2Fartestastore%2Esharepoint%2Ecom%2Fsites%2FARTESTA%2FShared%20Documents&amp;id=%2Fsites%2FARTESTA%2FShared%20Documents%2F6%2E%20Finances%2FArtesta%20Store%2C%20S%2EL%2F2025%2F1Q%2F1%2E%20January%2F4%2E%20Aprovisionamientos%20%2D%20ok%2FDCT%20%2D%20ok%2FRE%5F25%2D0163%5F%2Epdf&amp;parent=%2Fsites%2FARTESTA%2FShared%20Documents%2F6%2E%20Finances%2FArtesta%20Store%2C%20S%2EL%2F2025%2F1Q%2F1%2E%20January%2F4%2E%20Aprovisionamientos%20%2D%20ok%2FDCT%20%2D%20ok&amp;viewid=7a0270c5%2D12e7%2D46ed%2Db71e%2Dd26f27d2378d" xr:uid="{FEDBB64F-1026-41A7-93E8-FBB09017E0D8}"/>
    <hyperlink ref="Q77" r:id="rId47" display="../../../../:b:/s/ARTESTA/EdQrLnuBfUdEmUxYYO4-LvIBtRwOC7HbgkBfP-BSJrSeJA?e=fwY6DT" xr:uid="{DD8F3D6D-EBDD-44D9-B1A8-E8111DE30AEB}"/>
    <hyperlink ref="Q78" r:id="rId48" display="https://artestastore-my.sharepoint.com/shared?listurl=https%3A%2F%2Fartestastore%2Esharepoint%2Ecom%2Fsites%2FARTESTA%2FShared%20Documents&amp;viewid=7a0270c5%2D12e7%2D46ed%2Db71e%2Dd26f27d2378d&amp;id=%2Fsites%2FARTESTA%2FShared%20Documents%2F6%2E%20Finances%2FArtesta%20Store%2C%20S%2EL%2F2025%2F1Q%2F1%2E%20January%2F4%2E%20Aprovisionamientos%20%2D%20ok%2FMB%20Editions%20%2D%20ok%2FFacture%5F9429%2Epdf&amp;parent=%2Fsites%2FARTESTA%2FShared%20Documents%2F6%2E%20Finances%2FArtesta%20Store%2C%20S%2EL%2F2025%2F1Q%2F1%2E%20January%2F4%2E%20Aprovisionamientos%20%2D%20ok%2FMB%20Editions%20%2D%20ok" xr:uid="{581ECEB1-FCD1-44AF-9E08-FC4F486149E2}"/>
    <hyperlink ref="Q79" r:id="rId49" display="https://artestastore-my.sharepoint.com/shared?listurl=https%3A%2F%2Fartestastore%2Esharepoint%2Ecom%2Fsites%2FARTESTA%2FShared%20Documents&amp;id=%2Fsites%2FARTESTA%2FShared%20Documents%2F6%2E%20Finances%2FArtesta%20Store%2C%20S%2EL%2F2025%2F1Q%2F1%2E%20January%2F4%2E%20Aprovisionamientos%20%2D%20ok%2FMB%20Editions%20%2D%20ok%2FFacture%5F9483%2Epdf&amp;parent=%2Fsites%2FARTESTA%2FShared%20Documents%2F6%2E%20Finances%2FArtesta%20Store%2C%20S%2EL%2F2025%2F1Q%2F1%2E%20January%2F4%2E%20Aprovisionamientos%20%2D%20ok%2FMB%20Editions%20%2D%20ok&amp;viewid=7a0270c5%2D12e7%2D46ed%2Db71e%2Dd26f27d2378d" xr:uid="{906B4971-425C-4787-B347-E76ABC2ABDDB}"/>
    <hyperlink ref="Q80" r:id="rId50" display="https://artestastore-my.sharepoint.com/shared?listurl=https%3A%2F%2Fartestastore%2Esharepoint%2Ecom%2Fsites%2FARTESTA%2FShared%20Documents&amp;id=%2Fsites%2FARTESTA%2FShared%20Documents%2F6%2E%20Finances%2FArtesta%20Store%2C%20S%2EL%2F2025%2F1Q%2F1%2E%20January%2F4%2E%20Aprovisionamientos%20%2D%20ok%2FMB%20Editions%20%2D%20ok%2FFacture%5F9514%2Epdf&amp;parent=%2Fsites%2FARTESTA%2FShared%20Documents%2F6%2E%20Finances%2FArtesta%20Store%2C%20S%2EL%2F2025%2F1Q%2F1%2E%20January%2F4%2E%20Aprovisionamientos%20%2D%20ok%2FMB%20Editions%20%2D%20ok&amp;viewid=7a0270c5%2D12e7%2D46ed%2Db71e%2Dd26f27d2378d" xr:uid="{DB5FED11-CD89-4B82-8CA3-99A33DB9EB75}"/>
    <hyperlink ref="Q44" r:id="rId51" display="https://artestastore-my.sharepoint.com/my?listurl=https%3A%2F%2Fartestastore%2Esharepoint%2Ecom%2Fsites%2FARTESTA%2FShared%20Documents&amp;remoteItem=%7B%22mp%22%3A%7B%22webAbsoluteUrl%22%3A%22https%3A%2F%2Fartestastore%2Dmy%2Esharepoint%2Ecom%2Fpersonal%2Ffinance%5Fartestastore%5Fonmicrosoft%5Fcom%22%2C%22listFullUrl%22%3A%22https%3A%2F%2Fartestastore%2Dmy%2Esharepoint%2Ecom%2Fpersonal%2Ffinance%5Fartestastore%5Fonmicrosoft%5Fcom%2FDocuments%22%2C%22rootFolder%22%3A%22%2Fpersonal%2Ffinance%5Fartestastore%5Fonmicrosoft%5Fcom%2FDocuments%2FAttachments%2FARTESTA%20%2D%206%2E%20Finances%22%7D%2C%22rsi%22%3A%7B%22listFullUrl%22%3A%22https%3A%2F%2Fartestastore%2Esharepoint%2Ecom%2Fsites%2FARTESTA%2FShared%20Documents%22%2C%22rootFolder%22%3A%22%2Fsites%2FARTESTA%2FShared%20Documents%2F6%2E%20Finances%2FArtesta%20Store%2C%20S%2EL%2F2025%2F1Q%2F1%2E%20January%2F4%2E%20Aprovisionamientos%20%2D%20ok%2FPressing%22%2C%22webAbsoluteUrl%22%3A%22https%3A%2F%2Fartestastore%2Esharepoint%2Ecom%2Fsites%2FARTESTA%22%7D%7D&amp;viewid=7a0270c5%2D12e7%2D46ed%2Db71e%2Dd26f27d2378d&amp;id=%2Fsites%2FARTESTA%2FShared%20Documents%2F6%2E%20Finances%2FArtesta%20Store%2C%20S%2EL%2F2025%2F1Q%2F1%2E%20January%2F4%2E%20Aprovisionamientos%20%2D%20ok%2FPressing%2Ffactura%5F25000823%2Dnormal%2Epdf&amp;parent=%2Fsites%2FARTESTA%2FShared%20Documents%2F6%2E%20Finances%2FArtesta%20Store%2C%20S%2EL%2F2025%2F1Q%2F1%2E%20January%2F4%2E%20Aprovisionamientos%20%2D%20ok%2FPressing&amp;parentview=0" xr:uid="{6BEF918C-75F5-4A8A-931F-5B7A90DAC5F7}"/>
    <hyperlink ref="Q654" r:id="rId52" display="../../../../:f:/s/ARTESTA/EuLBxEf_mVpHonHs31cgxe8BkwDDLYrCmuy_1xUkrHxvKg?e=OumY0O" xr:uid="{5F4D3CC9-FB47-44DF-88EA-8653875C2211}"/>
    <hyperlink ref="Q573:Q578" r:id="rId53" display="https://artestastore.sharepoint.com/:f:/s/ARTESTA/EuLBxEf_mVpHonHs31cgxe8BkwDDLYrCmuy_1xUkrHxvKg?e=OumY0O" xr:uid="{61633340-4CEE-40F8-A934-8A7FD9C89EA1}"/>
    <hyperlink ref="Q661" r:id="rId54" display="../../../../:f:/s/ARTESTA/EuLBxEf_mVpHonHs31cgxe8BkwDDLYrCmuy_1xUkrHxvKg?e=OumY0O" xr:uid="{45646AD7-8013-4113-A804-C9555E0E35C7}"/>
    <hyperlink ref="Q681" r:id="rId55" display="../../../../:f:/s/ARTESTA/EjjZTUTnrChDnGiS-mAA9wwBhwXlOFskGU8hf9HVKFLhcQ?e=vwj8i4" xr:uid="{40FC98EA-92A3-4DB3-AB1D-8F02BC2D73DA}"/>
    <hyperlink ref="Q581:Q586" r:id="rId56" display="https://artestastore.sharepoint.com/:f:/s/ARTESTA/EjjZTUTnrChDnGiS-mAA9wwBhwXlOFskGU8hf9HVKFLhcQ?e=vwj8i4" xr:uid="{07E8F5C0-24D5-4F39-AE83-B9B0C165410F}"/>
    <hyperlink ref="Q249" r:id="rId57" display="../../../../:b:/s/ARTESTA/EXlFl1k1D25GrI0DMewpWmABk0jrjh4zFoZoYEbwSrHn2Q?e=dMiLmp" xr:uid="{EC08B09B-CCF0-4F7C-A07D-E8D060411C9A}"/>
    <hyperlink ref="Q688" r:id="rId58" display="../../../../:f:/s/ARTESTA/EjjZTUTnrChDnGiS-mAA9wwBhwXlOFskGU8hf9HVKFLhcQ?e=vwj8i4" xr:uid="{0D8A417D-F4B9-4AFD-BF4A-F11BDF86AA3B}"/>
    <hyperlink ref="Q182" r:id="rId59" display="../../../../:f:/s/ARTESTA/EgqUwp_xTYdIpMscD_ixUi8Bm2NhjJakGUPyS88TFBpB0w?e=SczmE9" xr:uid="{95B117F1-A06C-46B7-8264-4223AB9F609F}"/>
    <hyperlink ref="Q689" r:id="rId60" display="../../../../:b:/s/ARTESTA/ESxhvhAGMQ1GlYFBrCe9OYQBx7yvk95OSK3LEeizhI0_zA?e=AgcRN9" xr:uid="{D8A35DE3-9E77-419D-99CB-EFBA4619980F}"/>
    <hyperlink ref="Q156" r:id="rId61" display="../../../../:f:/s/ARTESTA/EsvWtw9CJd1HgqIYJ1NybyMBSnrJATEKyvXNW52uCpOs6g?e=W5Pb1q" xr:uid="{B196CC11-FD2D-4DB2-A270-798939519B95}"/>
    <hyperlink ref="Q158" r:id="rId62" display="../../../../:f:/s/ARTESTA/EsvWtw9CJd1HgqIYJ1NybyMBSnrJATEKyvXNW52uCpOs6g?e=W5Pb1q" xr:uid="{E0D686F5-9721-4A43-8AC4-0C4232D9BE48}"/>
    <hyperlink ref="Q169" r:id="rId63" display="../../../../:f:/s/ARTESTA/Eozt9RwYfqFBm3q_UleJ0T4BSjvH7PFj1rGJYs74jNsJ6A?e=JRnavm" xr:uid="{6B0003F6-3C24-4EEC-9287-F8FB6FF3AB78}"/>
    <hyperlink ref="Q193" r:id="rId64" display="../../../../:f:/s/ARTESTA/Eqgj3SWDf7tBu78Fq9t3dQEBm0teTvzNy3NDTP5OJcXszA?e=TXZYzc" xr:uid="{B605E042-ECE4-4386-85DE-51FF342BDD7D}"/>
    <hyperlink ref="Q196" r:id="rId65" display="../../../../:f:/s/ARTESTA/Eqgj3SWDf7tBu78Fq9t3dQEBm0teTvzNy3NDTP5OJcXszA?e=TXZYzc" xr:uid="{9D021C53-EC67-458F-B2A0-E17088990BDB}"/>
    <hyperlink ref="Q199" r:id="rId66" display="../../../../:f:/s/ARTESTA/Eqgj3SWDf7tBu78Fq9t3dQEBm0teTvzNy3NDTP5OJcXszA?e=TXZYzc" xr:uid="{39121407-42B3-49FA-AC6C-C5AEAB01AD36}"/>
    <hyperlink ref="Q188" r:id="rId67" display="../../../../:f:/s/ARTESTA/EnOUHypkpYdMqq6-z8yk1kYByabx2ttLyUsi56pEXjqGDQ?e=R6f4Ey" xr:uid="{AE2995D0-7915-4A02-8509-E97958411946}"/>
    <hyperlink ref="Q209" r:id="rId68" display="../../../../:b:/s/ARTESTA/EbrpaXGBBw9LswyTbXhI-BUBLy5D8uMHPJiZ_koZFIZoSw?e=QECTyW" xr:uid="{1F2CDC69-D785-4324-8CA6-3A31FF1CECA3}"/>
    <hyperlink ref="Q617:Q618" r:id="rId69" display="../../../../:b:/s/ARTESTA/EbrpaXGBBw9LswyTbXhI-BUBLy5D8uMHPJiZ_koZFIZoSw?e=QECTyW" xr:uid="{D7F90FFB-E171-4006-B673-B574DF0A1416}"/>
    <hyperlink ref="Q232" r:id="rId70" display="../../../../:b:/s/ARTESTA/ERuCcvfarqhLvv3Wac8Rw2UBpvtkVIqWXJoXKGvOxKXWIA?e=mYVBUc" xr:uid="{2138AEE4-559C-4356-80E3-536BAFD3514D}"/>
    <hyperlink ref="Q219" r:id="rId71" display="../../../../:b:/s/ARTESTA/Ef6-4BIlfu9KrNXIvPkWUX8BCJhWqWKU8fE7BUZjg5Pdww?e=1ekOVR" xr:uid="{AA62E6AD-F946-4673-BD9D-A5E5CC11D23C}"/>
    <hyperlink ref="Q230" r:id="rId72" display="../../../../:b:/s/ARTESTA/EV8Saa5GhblCi3IrtkqRRs4BS2TIvXM5zGiUo0luCWcxCg?e=latgD5" xr:uid="{1561B3EB-0FBE-4102-AD4D-425EF4616028}"/>
    <hyperlink ref="Q226" r:id="rId73" display="../../../../:b:/s/ARTESTA/EbDuYofQPQRBrz2AnMNYIqUBIXF1E-IuyHMlw9DT87oZPw?e=CxuW7T" xr:uid="{8C6AF0BC-580C-41FD-AC66-ED73012B567E}"/>
    <hyperlink ref="Q228" r:id="rId74" display="../../../../:b:/s/ARTESTA/EV7Wt8qGkedPvAnZX9PZ7GIBntzGr5lCqQrhr0hbpieypw?e=7KEB6K" xr:uid="{47DD6847-734C-4465-9BA9-B14F28FFCF25}"/>
    <hyperlink ref="Q227" r:id="rId75" display="../../../../:b:/s/ARTESTA/ER-M9EZARnRPmKNlbKx5oUsB9UNJMYQB9qtp1gU_BEj9Vg?e=Vnfupg" xr:uid="{7B7921F3-3DDD-4B20-BC4D-EAF3E40E696C}"/>
    <hyperlink ref="Q264" r:id="rId76" display="../../../../:b:/s/ARTESTA/ETozSlV2c9FMhiCNuYaA9DEB5EFeMpA6-RnWHDPqz_pffA?e=fLgagK" xr:uid="{A41AE998-D515-4316-BD4C-ED791EE9CFB3}"/>
    <hyperlink ref="Q284" r:id="rId77" display="../../../../:b:/s/ARTESTA/EalV-9CssfhBuEFL4oKAPswBw9JdlVHQraS1BSLDuWE0nA?e=JHo2um" xr:uid="{DB35F5B3-9983-4759-87F6-78072A5FF2E4}"/>
    <hyperlink ref="Q298" r:id="rId78" display="../../../../:b:/s/ARTESTA/EXTzbFxRMIFMlTpLZYy2AZQBUrlx9s9doJjrPPNN9lY4kw?e=RFcFun" xr:uid="{8664EE4C-81DD-4122-8B40-D33DD0AAD094}"/>
    <hyperlink ref="Q297" r:id="rId79" display="../../../../:b:/s/ARTESTA/EU66M4pnVBJNp5rQoqt2F70Bj1P9VbqH80FqWFsZ7l1rBQ?e=GfI0aJ" xr:uid="{7DD7EC32-DF6F-4CF8-A472-CD6F038BFDC2}"/>
    <hyperlink ref="Q296" r:id="rId80" display="../../../../:b:/s/ARTESTA/EcyBt4tOfMhAnOeuDTF0vOQBts2OOSUqZh1me99SwCMqhQ?e=vuyGMz" xr:uid="{6CE343EA-5A74-4AAC-ABB9-70E5B0BD7845}"/>
    <hyperlink ref="Q294" r:id="rId81" display="../../../../:b:/s/ARTESTA/Edj7fOLde5NAk0wNiHO1uYkBzRDYwCbzC7YnsCXUydyQIw?e=8ZRXbP" xr:uid="{6CBE195B-2493-4538-B71B-53465CA9D722}"/>
    <hyperlink ref="Q283" r:id="rId82" display="../../../../:b:/s/ARTESTA/EUMHD0pfzO9Ht4IOQrZ3tXABRMnG1pw-mYBrxfDpo_3jwQ?e=270pe2" xr:uid="{5C958DE1-71A7-45FE-9699-31DBD388FF0B}"/>
    <hyperlink ref="Q269" r:id="rId83" display="../../../../:b:/s/ARTESTA/EcRA-artjhdPhSWjiXbngooB3SRAz1p-kMNchLAjC1fM9g?e=s56KbT" xr:uid="{3D1D1B4B-7634-433B-B20B-CA96F558D6D3}"/>
    <hyperlink ref="Q270" r:id="rId84" display="../../../../:b:/s/ARTESTA/EcDMM6wMZFdFtAKPYMsPq1ABvDTWIijpF5RXHOaO5q4TMA?e=yLbRUP" xr:uid="{F30FA2FE-CBDF-4CEE-8FCD-87EF2D144AC1}"/>
    <hyperlink ref="Q240" r:id="rId85" display="../../../../:b:/s/ARTESTA/EcVAx3Lb-lZOt_sPauLCf8wBYKd0BdAGzi8uDec0lLeRyQ?e=vuuIAN" xr:uid="{65055805-7BD1-427B-87DE-6C1ED7BC7558}"/>
    <hyperlink ref="Q262" r:id="rId86" display="../../../../:b:/s/ARTESTA/EQjMhX6Z7tZBh3VuglTgq1IBXFvoE9etexuMSPWs4cQXPA?e=qJfa3p" xr:uid="{43C2695F-5E6C-4058-8CCD-712B96662996}"/>
    <hyperlink ref="Q676" r:id="rId87" display="../../../../:b:/s/ARTESTA/EWzcQI9zsTZBvXRUWV6Zq1QBS4XLWWkIFc6C_CNxIs1qeQ?e=fBgcW3" xr:uid="{74B229A1-64D3-4479-987C-DD0C231C2EE4}"/>
    <hyperlink ref="Q280" r:id="rId88" display="../../../../:b:/s/ARTESTA/EUa35yh7SJVOjzQhX2YXgegB3CsNmp2NnwaFF9j1f_rFlA?e=fFQWp1" xr:uid="{211ED935-7D64-4837-8915-1E7FBF91C03E}"/>
    <hyperlink ref="Q234" r:id="rId89" display="../../../../:b:/s/ARTESTA/ERsheBJEew5Bm3-4x4y_3mgBVU4iNWQpDOs5asYJb3IknQ?e=BaghTT" xr:uid="{885936B6-0C93-44FB-BF88-7B1F051B631F}"/>
    <hyperlink ref="Q267" r:id="rId90" display="../../../../:b:/s/ARTESTA/EUHnqibJ7e9Kp4he4fO7-yYB5Y5gdp8iNqFtvBFbkmPhWQ?e=uDsTGO" xr:uid="{C151717A-C2A3-4289-B29A-D40360991F93}"/>
    <hyperlink ref="Q222" r:id="rId91" display="../../../../:b:/s/ARTESTA/Eb4gQjUOOuBGmjgkiTSQyuwBXw5nB_gTOsXjbjmuDtU_Jg?e=WC8gHV" xr:uid="{1C3C3965-FCE5-483D-80BA-29C14394103F}"/>
    <hyperlink ref="Q214" r:id="rId92" display="../../../../:b:/s/ARTESTA/EVsC4jqaAHROtIY58yt8kskBcbnx1iwnDqejja6JSXKh-w?e=uLMkzj" xr:uid="{EE4F1E2F-6C0F-4505-895B-71A8BB847FB8}"/>
    <hyperlink ref="Q215" r:id="rId93" display="../../../../:b:/s/ARTESTA/EZQFF94q485Iua6mndNzj2cBLooo70d29Fj6zU_GididpQ?e=QZjWDb" xr:uid="{9BED4D0C-984A-4C6D-9A5B-0550AE64AB2C}"/>
    <hyperlink ref="Q261" r:id="rId94" display="../../../../:b:/s/ARTESTA/EZsCULsHo2pPqFK_JWy7ML4BADbXRjTk8IR4FilYL0SBgg?e=vvnYTp" xr:uid="{373DF9E6-9E69-419F-B210-F7762A630A79}"/>
    <hyperlink ref="Q258" r:id="rId95" display="../../../../:b:/s/ARTESTA/ETATZVxMyJNDr-Rx67qlKeABogZ7OKuFEy7DCdvYsMVeZw?e=iKfjXV" xr:uid="{6F9C4202-4FB2-4174-8BF3-125940A0DDAB}"/>
    <hyperlink ref="Q212" r:id="rId96" display="../../../../:b:/s/ARTESTA/ET9icqI3tgRFnvTmEsRYOE8By17WTPI2E-KmDWAu3ySJDg?e=4Bzj4y" xr:uid="{935CDB66-ED69-4739-BD3C-ED2C6BDF5E33}"/>
    <hyperlink ref="Q236" r:id="rId97" display="../../../../:b:/s/ARTESTA/EX8Ht1rW4INFjlGdXHOVXtQB_wFEGgtf9VsE6YQEo8Tdeg?e=G1zZGl" xr:uid="{4CE57EBD-A5F5-41AF-9F05-58FCE52F1B01}"/>
    <hyperlink ref="Q217" r:id="rId98" display="../../../../:b:/s/ARTESTA/ERNOfMi_ljRAiEc1j4tJoV0BEi4rHEk8L3HhxaFwZlUWMw?e=7R8ZJc" xr:uid="{AF466B92-FA6A-4C39-95F9-D227258B924B}"/>
    <hyperlink ref="Q237" r:id="rId99" display="../../../../:b:/s/ARTESTA/Edtxi9Cz1JdCkcuEBernrz4BEvyi692turWSGWJNwsd8WA?e=50xKgH" xr:uid="{32472AF0-B3D8-4B3F-972D-1BC85A376EB0}"/>
    <hyperlink ref="Q276" r:id="rId100" display="../../../../:b:/s/ARTESTA/EX8Mw6dhwr1Pr6HGGld7NM4Bdi56DlIrNpmABPIqO4ivWA?e=IFRPGY" xr:uid="{BE1536FF-CC1D-47C7-8E46-7827E52EA5B9}"/>
    <hyperlink ref="Q194" r:id="rId101" display="../../../../:b:/s/ARTESTA/EUfDcfVCtElDr7OeSCdgEH8BOpvadLYatzvNy5y8tVcljg?e=dTAcMW" xr:uid="{AB6B46EC-B9A7-4D12-9E23-6B04147BCD29}"/>
    <hyperlink ref="Q325" r:id="rId102" display="../../../../:b:/s/ARTESTA/EYYoLPQl1FhFsvwusa6hOIUBc9JUH8RsSbn_CNXh-VZv7Q?e=QBIqdc" xr:uid="{19FB7283-60F0-406B-9150-3483D560E358}"/>
    <hyperlink ref="Q271" r:id="rId103" display="../../../../:b:/s/ARTESTA/ET4HlpVJ94FKsKnMF7KRmsYB1dm7L8iruDfNPmEW1W5xSQ?e=Ssda36" xr:uid="{42118C3A-426E-4BBB-AC76-5369A64B7D43}"/>
    <hyperlink ref="Q247" r:id="rId104" display="../../../../:f:/s/ARTESTA/EtY0FEAretJNvPgDhoTUsE4BY7ZgZrKh1HIiEDOduPlzRw?e=uNivv7" xr:uid="{B63500B0-E489-401A-811A-DD9C09E4BFB0}"/>
    <hyperlink ref="Q248" r:id="rId105" display="../../../../:f:/s/ARTESTA/EtY0FEAretJNvPgDhoTUsE4BY7ZgZrKh1HIiEDOduPlzRw?e=uNivv7" xr:uid="{8E1CD477-5240-462D-A76A-DDF7A6C0D1E5}"/>
    <hyperlink ref="Q257" r:id="rId106" display="../../../../:b:/s/ARTESTA/Ece-K8mBrqlJobZrxFwbAZgB5rCPQm3YVBafJ3tye-mnUQ?e=GceR1K" xr:uid="{9E1782AF-53F0-4B40-9D6A-D26AAFCC95CA}"/>
    <hyperlink ref="Q327" r:id="rId107" display="../../../../:b:/s/ARTESTA/Eai0vCdTrX1Bniu-SGlBzWYBU6cI4e_GCunD7Cpb5KLIHg?e=4jUFwt" xr:uid="{E8B0D865-C92C-429A-96CA-4067CEB635A8}"/>
    <hyperlink ref="Q326" r:id="rId108" display="../../../../:b:/s/ARTESTA/EZvYjuqAB11LlYCdZ8aujWoBsz5ULGpwEE-KffYYazX--w?e=SjoJsA" xr:uid="{BDA79648-E902-4F1D-BB29-3CDD8983AA70}"/>
    <hyperlink ref="Q252" r:id="rId109" display="../../../../:b:/s/ARTESTA/EYMpfeywJclFgoBiH_3XAp8B1g3KOwJOxAdRtw4ynl4UGw?e=y2hyUl" xr:uid="{6A61BE2F-601F-4E24-BA9A-483D1CA4A49C}"/>
    <hyperlink ref="Q273" r:id="rId110" display="../../../../:b:/s/ARTESTA/ERQZTPUK1l9Nre8w95zpTsgB5uomDEGtDqYOzN7t1blouw?e=X5vqge" xr:uid="{4DF89426-10EC-40B1-83BE-0FEDE5F7DA80}"/>
    <hyperlink ref="Q272" r:id="rId111" display="../../../../:b:/s/ARTESTA/EfGMhondnJ5LnNKL_18WZooBhcq0ynWmSP8r4LYl0rnC7g?e=79J8dS" xr:uid="{48C05929-3664-48E3-A608-5BB76D1EE800}"/>
    <hyperlink ref="Q299" r:id="rId112" display="../../../../:b:/s/ARTESTA/EVip9Qlv9U5JthJUQUfuQ6YBmg7JQkiVZbAS-rsZDdrcnQ?e=Y9TKlf" xr:uid="{5132C837-A66C-4C45-86CD-521A6D6D065E}"/>
    <hyperlink ref="Q301" r:id="rId113" display="../../../../:b:/s/ARTESTA/EfX84wU2klVGvPCngYNz0x0BebH9MMBZ2djmXDBLYN2i8g?e=SJpySm" xr:uid="{AEEB1490-7443-402D-AAF1-D7DA1E186B16}"/>
    <hyperlink ref="Q695" r:id="rId114" display="../../../../:b:/s/ARTESTA/EQRQlRC4nThMnXoW9NBtFZgBfdaRA6UvHHM5lA_PxI9VDw?e=iZTo1e" xr:uid="{CDEF4C56-F21A-4F35-BE39-8F98A1DA4325}"/>
    <hyperlink ref="Q693" r:id="rId115" display="../../../../:x:/s/ARTESTA/EYzZI5ODgjtJjNVbCr2T_p8BAi8VqdgwB-2-yjgFeQPPWg?e=0RqmP3" xr:uid="{AF40AA92-A354-413F-A316-11822FAD11F5}"/>
    <hyperlink ref="Q696" r:id="rId116" display="../../../../:x:/s/ARTESTA/EbimFH1MV6pAmosYB5GqJvABaQhdVgDHZKJ0QII8VvHEKQ?e=25S50S" xr:uid="{3030BB26-5FA8-42D4-89E8-877BA4E53D05}"/>
    <hyperlink ref="Q772" r:id="rId117" display="../../../../:b:/s/ARTESTA/EWMwThenk9NGuTSqQCp-vwQBKVI8oIy_2b1FNBTLtKYE7g?e=zVBNx8" xr:uid="{7CFF836D-88E7-44CB-9BAB-97B8EA66D673}"/>
    <hyperlink ref="Q701" r:id="rId118" display="../../../../:b:/s/ARTESTA/EXZjlckh8jNNmxedS1ciKFoBCJV5zmzYyKPBRsFXy6LOKQ?e=NvRunR" xr:uid="{0ED9E406-8098-4424-B1A3-CA19D6572936}"/>
    <hyperlink ref="Q699" r:id="rId119" display="../../../../:x:/s/ARTESTA/EZQ_jHd4nGlOuOhQiWc_UyEBIDLhtys8ghftaH69Q_InOw?e=wfgwYC" xr:uid="{4173D92C-0EE4-463B-928F-4AF24470D493}"/>
    <hyperlink ref="Q807" r:id="rId120" display="https://artestastore.sharepoint.com/:x:/s/ARTESTA/EZQ_jHd4nGlOuOhQiWc_UyEBIDLhtys8ghftaH69Q_InOw?e=wfgwYC" xr:uid="{465734FF-0136-44DE-B2C8-6F9B802F452E}"/>
    <hyperlink ref="Q698" r:id="rId121" display="https://artestastore.sharepoint.com/:x:/s/ARTESTA/EZQ_jHd4nGlOuOhQiWc_UyEBIDLhtys8ghftaH69Q_InOw?e=wfgwYC" xr:uid="{C6DE94CC-32C4-4E99-93C6-2AC58B3CCF7D}"/>
    <hyperlink ref="Q277" r:id="rId122" display="../../../../:b:/s/ARTESTA/EZA-P44EJ9NKvfRURrJRy5cBcf-smL25pLPXw5e__7U2tQ?e=38SkMY" xr:uid="{914F2623-F894-4AEB-A29E-581A0AACFD5B}"/>
    <hyperlink ref="Q254" r:id="rId123" display="../../../../:b:/s/ARTESTA/ESWnW-l8uShDrumt0OeAB3YB3lTxMMwP3d2VzrPqISnZiw?e=zqw4Lj" xr:uid="{F816541F-D821-4674-8523-8880A76A2985}"/>
    <hyperlink ref="Q255" r:id="rId124" display="../../../../:b:/s/ARTESTA/EUPw3xrmNV1EsjQf6eOoE_MBMTewNo6m4Fh1GBj_SMhJfw?e=OTAzTC" xr:uid="{AFA23B37-ED9A-4ACB-9B29-26F9A157D345}"/>
    <hyperlink ref="Q256" r:id="rId125" display="../../../../:b:/s/ARTESTA/EUPw3xrmNV1EsjQf6eOoE_MBMTewNo6m4Fh1GBj_SMhJfw?e=OTAzTC" xr:uid="{E94C15A7-CB3D-4FCB-B7B2-7497E11695E1}"/>
    <hyperlink ref="Q229" r:id="rId126" display="../../../../:b:/s/ARTESTA/Ed5qFHacsC1Luax6K8yBm5wByuJThgQhMSatr95s6pSdcw?e=ViBoqL" xr:uid="{76223EAA-35F6-4983-9571-9AE6E5784FBD}"/>
    <hyperlink ref="Q300" r:id="rId127" display="../../../../:f:/s/ARTESTA/El11Qwv-EBVPkxsOpSml-FsB-ZqPyf9Dl0oKKKfyF3VtTQ?e=sXpva0" xr:uid="{2576C043-EA7B-449F-A5E5-98AD3906DF34}"/>
    <hyperlink ref="Q295" r:id="rId128" display="../../../../:f:/s/ARTESTA/El11Qwv-EBVPkxsOpSml-FsB-ZqPyf9Dl0oKKKfyF3VtTQ?e=sXpva0" xr:uid="{110C60C9-3EA9-43C1-9E4D-F3D81D34D7E6}"/>
    <hyperlink ref="Q287" r:id="rId129" display="../../../../:f:/s/ARTESTA/EhvBZ6hys45Eu0KkVHe6W4QB-c4IQocTyZEkficGhZLFoA?e=BHEWDd" xr:uid="{6E1FC1CD-A886-4A87-8EC0-718519FC1F7E}"/>
    <hyperlink ref="Q685:Q688" r:id="rId130" display="https://artestastore.sharepoint.com/:f:/s/ARTESTA/EhvBZ6hys45Eu0KkVHe6W4QB-c4IQocTyZEkficGhZLFoA?e=BHEWDd" xr:uid="{E945F969-B99D-42BE-A2FD-7EDFBBF24394}"/>
    <hyperlink ref="Q793" r:id="rId131" display="../../../../:b:/s/ARTESTA/ESxAgawSi9pPs2VJCq0YWHEBJjQMJiySIdZXb6t-doBtdQ?e=e6NueK" xr:uid="{52875451-2789-4E51-8FD9-34C6AD524220}"/>
    <hyperlink ref="Q292" r:id="rId132" display="../../../../:b:/s/ARTESTA/EfX1dvlk3CRHkljsM9juCZQBHGF9XhISPd3tgGOIU_ZDKg?e=s53nVq" xr:uid="{206A2C9D-E4ED-49AC-A32E-92F58AECD597}"/>
    <hyperlink ref="Q263" r:id="rId133" display="../../../../:b:/s/ARTESTA/ESqAK1aVzM9NgiFEFB7fIGUBmRd83OS7G0G5oAK7yuAT_Q?e=r003bH" xr:uid="{C61B87D5-732C-4667-B83E-5185CB51A967}"/>
    <hyperlink ref="Q286" r:id="rId134" display="../../../../:b:/s/ARTESTA/EVPWFbr1ycFAphvkYAE4PEIBw2vYnx8zRkQ27ZpU6VzITw?e=lswMRe" xr:uid="{9FF5E9FC-565A-4C03-A52E-E43DD1B8B3BF}"/>
    <hyperlink ref="Q253" r:id="rId135" display="../../../../:b:/s/ARTESTA/ETmge0F20P1MqrBuSLn-yOgBqOgm7tBReE29PkS8rXYY2Q?e=GF0R5k" xr:uid="{79AADD0F-FC52-44CB-AFF9-0D506C3A028E}"/>
    <hyperlink ref="Q675" r:id="rId136" display="../../../../:b:/s/ARTESTA/EffAsBl1PhhKi6-453Ij76YBtVvGo3M5iVqIZbAvw-EadA?e=1VFq03" xr:uid="{DDED356F-31D8-4AB1-A41E-E14857763541}"/>
    <hyperlink ref="Q260" r:id="rId137" display="../../../../:b:/s/ARTESTA/IQAbxaUggDpURYkGDFfTD2bUAej2hUXz-PYp8mjCHg_PL-s?e=GNz9dt" xr:uid="{4BDF21E1-7254-497D-95C2-00371C02870A}"/>
    <hyperlink ref="Q265" r:id="rId138" display="../../../../:b:/s/ARTESTA/IQBGtxBom9RgTKDKmq8MpuIQAXB_YyIQJFpZfNHM275pCvo?e=zBYNrR" xr:uid="{A5C5FD4B-9A29-41E6-89A0-B7A5C1239DA9}"/>
    <hyperlink ref="Q266" r:id="rId139" display="../../../../:b:/s/ARTESTA/IQDwPakczZjzTYkOnR9VXRgAAcq4q90LsuzHhDjBo6k3VJs?e=VvGas4" xr:uid="{7D9DDB2F-AE45-4915-8A02-53502124654C}"/>
    <hyperlink ref="Q278" r:id="rId140" display="../../../../:b:/s/ARTESTA/IQCkk3m7p7_nTYsCCMkx2pNMASIV6hevnrBgH1HVWQucoj0?e=RyPbE7" xr:uid="{11BDD119-F25D-431D-9448-41691E75036C}"/>
    <hyperlink ref="Q279" r:id="rId141" display="../../../../:b:/s/ARTESTA/IQC1EzqnaaB7T7k1NrkSQEKZAdKrcdG5dG8di1QuZ0_c59M?e=weplWM" xr:uid="{201719B1-B515-4CEC-A819-192E4DC2B2A8}"/>
    <hyperlink ref="Q268" r:id="rId142" display="../../../../:b:/s/ARTESTA/IQDBZGzXWWGKRprphSmPkaI0AZaHrMiuUzCmDay2wR4Skhc?e=NFuRwF" xr:uid="{534DD48D-7723-4A8B-8881-44DBD5701CDE}"/>
    <hyperlink ref="Q274" r:id="rId143" display="../../../../:b:/s/ARTESTA/EY1rX2LU6uJPj2Xws3ztb4wB_99u_sj_Nz5vpYAIrk24iQ?e=kpoivK" xr:uid="{985AD841-50FB-4F1C-90D3-B23AB120167B}"/>
    <hyperlink ref="Q275" r:id="rId144" display="../../../../:b:/s/ARTESTA/EWpiwqcXpx1Ks7jHOQmX5ysBYiBQzGtMpuIflTFMIkKkqw?e=qlKnuy" xr:uid="{AAA4211B-FE75-4917-BE63-156FAA9AC6DC}"/>
    <hyperlink ref="Q656" r:id="rId145" display="../../../../:b:/s/ARTESTA/IQCvf3uJvlv6RoYDk9qcBKMrARkUWl3sVdL8PyjRlUyexog?e=dSmGht" xr:uid="{B8DFDE3F-1ED0-416D-B59E-E09062104B1F}"/>
    <hyperlink ref="Q683" r:id="rId146" display="../../../../:b:/s/ARTESTA/IQDCJphzv5mBS6AENysik_YCAe7KPCk6G3ay0xtmsfEmRmQ?e=RaXg2j" xr:uid="{939496AC-AB8B-46C0-B902-19E4201219B1}"/>
    <hyperlink ref="Q707" r:id="rId147" display="../../../../:b:/s/ARTESTA/IQDjLUxIa9xwRZ6Hh_mn-D54AX-zuLc8nBxelVHvdkqqq6U?e=EopxiV" xr:uid="{64253D2B-1C25-4599-8142-BE365BC5B637}"/>
    <hyperlink ref="Q708" r:id="rId148" display="../../../../:b:/s/ARTESTA/IQDt7OMumkUwQolOJAIOcCH8AXRLHYffX6rdUnfJ-jSBaQs?e=PBbMxZ" xr:uid="{7FEBDB0E-5946-42F6-BD8F-2E5622687714}"/>
    <hyperlink ref="Q709" r:id="rId149" display="../../../../:b:/s/ARTESTA/IQAfwns75BqcQZs3CkXOoeixAZXkkhB628myzFS26Wv54UY?e=B1xsQh" xr:uid="{24E85280-ACF2-4A5F-99F1-9C6F6D17B130}"/>
    <hyperlink ref="Q710" r:id="rId150" display="../../../../:b:/s/ARTESTA/IQBH2aCcRO7dSoCroFi-dYsKAW9XwD4z0Ei2oUa_X73r-gM?e=9a3QU6" xr:uid="{74066BD1-65B7-4639-BBAE-A09FF7D8A9AA}"/>
    <hyperlink ref="Q711" r:id="rId151" display="../../../../:b:/s/ARTESTA/IQAyB5tJH37GSKCIaTsPl8NTAQ-RcnHnP73utSQYj2ZCN0A?e=YA8mMr" xr:uid="{85A41C39-EDBC-4F58-B3E4-0AB0F012C9AB}"/>
    <hyperlink ref="Q712" r:id="rId152" display="../../../../:b:/s/ARTESTA/IQCvJ5nPRfy3QaSDNeK5n3j3AZEE83FJJf8l3aYkqm2ZsHU?e=1yOP3k" xr:uid="{4203491D-D565-4A45-BB1F-F174551490E5}"/>
    <hyperlink ref="Q713" r:id="rId153" display="../../../../:b:/s/ARTESTA/IQA5o7FhOj5UQLtjmr4MUYG9Abu6VcVhyEs4FJOiNnt8ct4?e=2HLsYk" xr:uid="{A2623B65-57CF-49D3-8FAD-AE226E04809D}"/>
    <hyperlink ref="Q714" r:id="rId154" display="../../../../:b:/s/ARTESTA/IQBZuJA9lhyzSY7Utye2MRZ4AVabXaxXggEmkjOpiiZ6Xm4?e=LujGfh" xr:uid="{0063A5C1-23D4-41D6-A45E-82451B8622F6}"/>
    <hyperlink ref="Q715" r:id="rId155" display="../../../../:b:/s/ARTESTA/IQDAgxNzggg-RLpThEkvv7fZAX4NysYssjEElT2wY7E3kmw?e=P3IFrn" xr:uid="{DFBCCE96-FEC3-4230-B96B-E1ABDE69DA08}"/>
    <hyperlink ref="Q716" r:id="rId156" display="../../../../:b:/s/ARTESTA/IQDcAcWad-NWQL9o9WMiEM5iAYPg21vvr9dVHbwhvfZ4EUU?e=dExRvm" xr:uid="{DAE00939-C0AA-4C24-BC11-5D627835731D}"/>
    <hyperlink ref="Q717" r:id="rId157" display="../../../../:b:/s/ARTESTA/IQCkoWc_bfXYSoL5ozcG8S4JAavbaJsW9yNsOk8wbkKKHr4?e=SRdVo3" xr:uid="{15D0861D-94A9-4B82-B77E-8381AA1DF90C}"/>
    <hyperlink ref="Q718" r:id="rId158" display="../../../../:b:/s/ARTESTA/IQAks4nihLtsS7kgPKsuDlCoAcjobyMuDpqaRAgDE3GGklA?e=WIr7oV" xr:uid="{3CB9EDB8-4D31-4BBF-9265-D8293F8B994E}"/>
    <hyperlink ref="Q719" r:id="rId159" display="../../../../:b:/s/ARTESTA/IQBJUsyYRl8QT7PUu-38ekK7AbRy9K5I9WpZH01_wcuKu0Y?e=3CLkZk" xr:uid="{439F761E-CD31-46C2-BC6C-AB3BD16DA12F}"/>
    <hyperlink ref="Q720" r:id="rId160" display="../../../../:b:/s/ARTESTA/IQCVFPxCsI9oTa5Z1uwtgJk2AQuF4UhdMu58t1x0Q0JX53c?e=6ePUvS" xr:uid="{9A623E30-2C4D-4484-AA94-50046C7E0687}"/>
    <hyperlink ref="Q721" r:id="rId161" display="../../../../:b:/s/ARTESTA/IQA1xgTW7ES3QLOCrHGN8WfaAYWz07djMyC7LbtP0yb55_g?e=SZkvqX" xr:uid="{28001762-0998-414B-9B52-4198D37D1EA5}"/>
    <hyperlink ref="Q722" r:id="rId162" display="../../../../:b:/s/ARTESTA/IQDXVz15NN1MRLnF9e7eHP6cAaN02O6k1RcLUZGpHTB-iWs?e=09p3d3" xr:uid="{AC20B576-2352-4DBA-8C72-F37FD450FACA}"/>
    <hyperlink ref="Q723" r:id="rId163" display="../../../../:b:/s/ARTESTA/IQCUxYZUbzwiS5Ek3csRrUjVAfA_LArPIs1bPt4WYzurgNQ?e=VgnY3f" xr:uid="{B110C846-06AB-443E-98D2-E4C08AC8623C}"/>
    <hyperlink ref="Q724" r:id="rId164" display="../../../../:b:/s/ARTESTA/IQDnQpcko8K8QJG3RKwp2QabAQR8WrFHVUwdO3ECWPKBD4Q?e=YUlYAx" xr:uid="{CF01D129-4F5F-4729-B611-26479110E2FD}"/>
    <hyperlink ref="Q725" r:id="rId165" display="../../../../:b:/s/ARTESTA/IQCTbQpnoOstSpnMtIk5RnGWAVfaBODV6XXmL2LLiKFC2Oo?e=fHzU5h" xr:uid="{AA260B17-4D43-4D7C-B5F2-15D4524D53CD}"/>
    <hyperlink ref="Q732" r:id="rId166" display="../../../../:b:/s/ARTESTA/IQDqWZQUnZeTToe82pNTz-WwAQ76QbuiJu-t1HGxF665g2I?e=mguap2" xr:uid="{66608463-66A6-422E-946F-7DB57166DE72}"/>
    <hyperlink ref="Q726" r:id="rId167" display="../../../../:b:/s/ARTESTA/IQDqWZQUnZeTToe82pNTz-WwAQ76QbuiJu-t1HGxF665g2I?e=mguap2" xr:uid="{ACCBB5EA-CA98-432E-B376-E01DBDFA8CF8}"/>
    <hyperlink ref="Q728" r:id="rId168" display="../../../../:b:/s/ARTESTA/IQDqWZQUnZeTToe82pNTz-WwAQ76QbuiJu-t1HGxF665g2I?e=mguap2" xr:uid="{70F62089-CF02-4515-9D8A-DFB7D1CBCED2}"/>
    <hyperlink ref="Q730" r:id="rId169" display="../../../../:b:/s/ARTESTA/IQDqWZQUnZeTToe82pNTz-WwAQ76QbuiJu-t1HGxF665g2I?e=mguap2" xr:uid="{5AF6613D-5B8A-404D-810B-3013086C576C}"/>
    <hyperlink ref="Q734" r:id="rId170" display="../../../../:b:/s/ARTESTA/IQDqWZQUnZeTToe82pNTz-WwAQ76QbuiJu-t1HGxF665g2I?e=mguap2" xr:uid="{4BF65C8C-0627-4201-921F-ABC9295DA06C}"/>
    <hyperlink ref="Q733" r:id="rId171" display="../../../../:b:/s/ARTESTA/IQAmKxCNAv2cRpucJpt4J5q7AcBAz3qE5xq7-Fdw8iLVI1U?e=Mf8hjc" xr:uid="{F56D7354-70D8-41B4-9F3B-4C55623375A6}"/>
    <hyperlink ref="Q727" r:id="rId172" display="../../../../:b:/s/ARTESTA/IQAmKxCNAv2cRpucJpt4J5q7AcBAz3qE5xq7-Fdw8iLVI1U?e=Mf8hjc" xr:uid="{7A1915DA-D44B-40A1-B2DF-6F85DD8CAA29}"/>
    <hyperlink ref="Q729" r:id="rId173" display="../../../../:b:/s/ARTESTA/IQAmKxCNAv2cRpucJpt4J5q7AcBAz3qE5xq7-Fdw8iLVI1U?e=Mf8hjc" xr:uid="{1156F040-C09D-46F1-83EA-2ACC5A1E59C6}"/>
    <hyperlink ref="Q731" r:id="rId174" display="../../../../:b:/s/ARTESTA/IQAmKxCNAv2cRpucJpt4J5q7AcBAz3qE5xq7-Fdw8iLVI1U?e=Mf8hjc" xr:uid="{A1725991-E232-422C-AB6D-DA50FC6D8DAD}"/>
    <hyperlink ref="Q735" r:id="rId175" display="../../../../:b:/s/ARTESTA/IQAmKxCNAv2cRpucJpt4J5q7AcBAz3qE5xq7-Fdw8iLVI1U?e=Mf8hjc" xr:uid="{2C1588D3-ABDE-4896-AA68-18469B6A00C2}"/>
    <hyperlink ref="Q736" r:id="rId176" display="../../../../:b:/s/ARTESTA/IQAQ0di7FehCR50cMPAdqFK1AdPTkLwMtM9X8ZXpxkXcPgM?e=s8zZtR" xr:uid="{3D1CCF70-AAD0-42F9-998A-B53A718C64B4}"/>
    <hyperlink ref="Q737" r:id="rId177" display="../../../../:b:/s/ARTESTA/IQDhOENC72XASJfac49b-kfFAcngoCxbvAhulIMvmakrHYQ?e=3ccjVO" xr:uid="{E90149A0-52EE-412B-91FE-042D04BD61EC}"/>
    <hyperlink ref="Q738" r:id="rId178" display="../../../../:b:/s/ARTESTA/IQAHst32-fGISKK27X9AyEc-AZzSAIbAbWiewUD11DNsmCQ?e=EuglER" xr:uid="{8C5081F9-01A1-4FEC-8E09-3996CFB244F6}"/>
    <hyperlink ref="Q739" r:id="rId179" display="../../../../:b:/s/ARTESTA/IQC0G4jIlOr4TY9Rm4STVi6AARkksLfl5pTwwMRAZpbIewE?e=R0u1O8" xr:uid="{7315AC8A-1C23-4DDD-8FC5-FC0C319031D6}"/>
    <hyperlink ref="Q740" r:id="rId180" display="../../../../:f:/s/ARTESTA/IgBsCckkR5XARqKZZip3ezMxAZ3Q3OBVwhmpslDI2-RW51w?e=x48viz" xr:uid="{391D97C4-5604-440F-8B28-4F6D2B669A2C}"/>
    <hyperlink ref="Q741:Q743" r:id="rId181" display="https://artestastore.sharepoint.com/:f:/s/ARTESTA/IgBsCckkR5XARqKZZip3ezMxAZ3Q3OBVwhmpslDI2-RW51w?e=x48viz" xr:uid="{3F01D156-D78A-4CBF-94E1-D42A5C24E0E1}"/>
    <hyperlink ref="Q744" r:id="rId182" display="../../../../:b:/s/ARTESTA/IQCnJwIKxJyQT6LmWunWwnFDAf2uEA7WmI9Z-mONV_mE3nk?e=QnZTX1" xr:uid="{97065D47-5366-4199-A129-3A20B7CBD072}"/>
    <hyperlink ref="Q745" r:id="rId183" display="../../../../:f:/s/ARTESTA/IgCtW257GU2HSKefmpsTMWLAAUT13iWrScLLTA8i_Lo8oZ0?e=evnVfk" xr:uid="{0A341D0B-CE39-431F-BAFD-ACBCD6FB810C}"/>
    <hyperlink ref="Q746:Q752" r:id="rId184" display="https://artestastore.sharepoint.com/:f:/s/ARTESTA/IgCtW257GU2HSKefmpsTMWLAAUT13iWrScLLTA8i_Lo8oZ0?e=evnVfk" xr:uid="{8DC249F9-E70F-4F52-A95F-3CC1A5FB13D9}"/>
    <hyperlink ref="Q753" r:id="rId185" display="../../../../:b:/s/ARTESTA/IQAR8bbJ8O1xRpAxaViIqttGAeoyuhg7Ug-aRpIdFDC02QA?e=xT0zbf" xr:uid="{3ACCA26E-B529-48F3-AEF4-5F2D8CB57A0B}"/>
    <hyperlink ref="Q754" r:id="rId186" display="../../../../:b:/s/ARTESTA/IQARrgmTtSwTRLEA8btygQUbAcsxGhHm9-LjP6yALS5alZQ?e=BRunL8" xr:uid="{B30BE83A-0B5E-454B-8808-D36DD6B41431}"/>
    <hyperlink ref="Q433" r:id="rId187" display="../../../../:b:/s/ARTESTA/IQAxa1jZDFoHQqV8Ku_HeUmzAZmjL60vOMBerufnZ_2YTcc?e=eNedkU" xr:uid="{433F3526-11C9-41C0-B606-28EE09948FCB}"/>
    <hyperlink ref="Q832" r:id="rId188" display="../../../../:b:/s/ARTESTA/IQB_VtavRoUETpAdISNdIUGNAS1bflYvZw-jDybXliZHcBk?e=qdokFc" xr:uid="{157BDAA6-4467-4FF7-8582-900B40C64845}"/>
    <hyperlink ref="Q757" r:id="rId189" display="../../../../:b:/s/ARTESTA/IQDmQ54kF8hMQZTBAAs5S7jbAS-UeCv-zyCQyHppyIn8GvM?e=g1BTTW" xr:uid="{3E27FE2D-1AD2-4161-8C2A-E8F861E5BEF2}"/>
    <hyperlink ref="Q758" r:id="rId190" display="../../../../:b:/s/ARTESTA/IQBo-uZ1HlwvQ5kRqeCwTM9pAW81B50sz5xsypWldDOJQ10?e=edx3y8" xr:uid="{5B5CA640-4025-422F-B3BE-67BAB3F060B6}"/>
    <hyperlink ref="Q759" r:id="rId191" display="../../../../:b:/s/ARTESTA/IQA5jaZpA1wIQZ3I20TcHphnAVv7w-Hkp8Q-T_bMmChyC_I?e=61AQPq" xr:uid="{67710777-C55F-4D1D-A29E-4B69DBA23F2B}"/>
    <hyperlink ref="Q762" r:id="rId192" display="../../../../:b:/s/ARTESTA/IQBIHse8baioTaGbxCW4IWLbAQhTGg8Bua40mjbTehSCtu0?e=iqoFbL" xr:uid="{2CFD7FA1-2C85-4A10-A423-11BC75453C61}"/>
    <hyperlink ref="Q761" r:id="rId193" display="../../../../:b:/s/ARTESTA/IQCmL3vFJ-BrRaFjly-IihhqAeHK6nWjD6iKSi4qvUbSVLI?e=5NFTiy" xr:uid="{17340514-A826-427C-ADBA-281AF4EC3408}"/>
    <hyperlink ref="Q764" r:id="rId194" display="../../../../:b:/s/ARTESTA/IQB_a4mp3S9XRoeT24rvECNcAdB3-qvd_pGRkZyT88m52nM?e=kCGati" xr:uid="{CCDC4B34-3093-4368-8CBB-F3DBC3E19639}"/>
    <hyperlink ref="Q763" r:id="rId195" display="../../../../:b:/s/ARTESTA/IQBg3pgKzF-9RY6LBH8BkJB_AW5hoMfJ-_5kZyVZk677dZE?e=yDj5oC" xr:uid="{3A4743E8-FE55-4741-A1E7-84604DE976B0}"/>
    <hyperlink ref="Q767" r:id="rId196" display="../../../../:b:/s/ARTESTA/IQC27zJ5ehpES47MjGy6J0LdAdAGFyAuYp1hAcci7K35ghQ?e=RwaknQ" xr:uid="{05992D92-0E8F-4E60-9635-236749358DF4}"/>
    <hyperlink ref="Q765" r:id="rId197" display="../../../../:b:/s/ARTESTA/IQDhR5yuYJBMS7SCnn_lsed7AWOEmHmpYpEoK1_Ry2Vn4zk?e=44Z2Up" xr:uid="{2FE8B051-ADB1-4C6B-ACE7-427A0BF09BE8}"/>
    <hyperlink ref="Q766" r:id="rId198" display="../../../../:b:/s/ARTESTA/IQDTrmLsp4TtRqelqhzRkITZAQeKbHarGAqPQEdEasj48mY?e=PDaflj" xr:uid="{76FAFEE1-99B4-4F74-9E5C-F7E8D2555605}"/>
    <hyperlink ref="Q779" r:id="rId199" display="../../../../:b:/s/ARTESTA/IQDJdLO06FjAQa6y4tkO-6F8AaCLQr9PYYke0ZXIxo-TumA?e=iMLdSh" xr:uid="{51BC56D1-353A-4417-B4F8-1BC25143B323}"/>
    <hyperlink ref="Q768" r:id="rId200" display="../../../../:b:/s/ARTESTA/IQCIQl-RvCk8QaDgMr0RvX1JAdjxzofgWTLhRgwQ1BcXieU?e=mj6pOM" xr:uid="{4916F663-A0FA-402C-AEA0-2A3C5AA82DDE}"/>
    <hyperlink ref="Q775" r:id="rId201" display="../../../../:b:/s/ARTESTA/IQAygVtgq7kxQp_l4aRH1YFFAfTGfPqQ2GVxEV1QIRNHel8?e=YQOnE3" xr:uid="{48CE27BA-A8D1-434E-B8A3-7BEF1F413BD6}"/>
    <hyperlink ref="Q697" r:id="rId202" display="../../../../:b:/s/ARTESTA/IQCZx2QF-UtaT7PKlbuPgUZ0AZBjlekQhyVsMI0pok-jH2A?e=dJCinT" xr:uid="{6D4DFDAA-D2D4-4C85-95EA-093571E15A85}"/>
    <hyperlink ref="Q700" r:id="rId203" display="../../../../:b:/s/ARTESTA/IQBk1o26y8yaRJrkwcv6ytbTAdyZYHHkE9qyYPYlAYwAXLg?e=qkevER" xr:uid="{1AEEEAC2-C57B-46CC-9ED4-E57AD0A91449}"/>
    <hyperlink ref="Q780" r:id="rId204" display="../../../../:b:/s/ARTESTA/IQClCyJ4jZT7RahBSujir_0qAfr1DmVmsXgVMIa0wfG2PuM?e=td1bUS" xr:uid="{2DB9CE4E-8EA7-4A68-8D3C-CCD1B227A997}"/>
    <hyperlink ref="Q774" r:id="rId205" display="../../../../:b:/s/ARTESTA/IQCpzqh5Q_eMTZ4uGatbJKDFAZ9QkanP2PPyLHRfWa8DYCI?e=TyNTEd" xr:uid="{A072F96C-A981-4496-96C5-CFEF0ABA20DE}"/>
    <hyperlink ref="Q785" r:id="rId206" display="../../../../:b:/s/ARTESTA/IQCielmIcwqvTaa3bj2hHbrTAejFZY2ftKRBXIg1WRL5Tww?e=90bRE5" xr:uid="{D6436946-1C7E-4D03-A01E-391044432677}"/>
    <hyperlink ref="Q786" r:id="rId207" display="../../../../:b:/s/ARTESTA/IQDtNHDvqzt5Rap_nLZ2DVMaARPMmeLjv4m3aoAFVa6yBuY?e=V5Mj0k" xr:uid="{EF8BCC54-C7CF-463E-A675-2D6774F636BF}"/>
    <hyperlink ref="Q756" r:id="rId208" display="../../../../:b:/s/ARTESTA/IQDKcuSK3Rq0TJdn_FpeaAcmAW_JEQwH26U-11M3IaN8YeE?e=vQiXQe" xr:uid="{1C4031BD-1762-44DB-81C6-73FD6592CC5A}"/>
    <hyperlink ref="Q770" r:id="rId209" display="../../../../:b:/s/ARTESTA/IQBqCMeEboNoSYEsDnWQ6oMCAarPcA3qoHO9xo9GnXZl--0?e=GK3RzA" xr:uid="{0DDF5628-03A6-4FCE-B3D8-0A7B13AB0D99}"/>
    <hyperlink ref="Q781" r:id="rId210" display="../../../../:b:/s/ARTESTA/IQBqCMeEboNoSYEsDnWQ6oMCAarPcA3qoHO9xo9GnXZl--0?e=GK3RzA" xr:uid="{63510760-2145-427C-927D-002B6EEB0F88}"/>
    <hyperlink ref="Q769" r:id="rId211" display="../../../../:b:/s/ARTESTA/IQDnjzJkL2bNRLCsX5vuKPugAVH9PcH0YcRw-S_rde6jT1o?e=XiBUzc" xr:uid="{7BB81DD1-EE45-4D8A-AEEC-CEDC94B90557}"/>
    <hyperlink ref="Q773" r:id="rId212" display="../../../../:b:/s/ARTESTA/IQC65vasdDgoRrs3PXx-Tt_MAUgwLESV_Cp0EAI83tMY4uk?e=0zGAYi" xr:uid="{508133CC-49CD-47C2-A41F-05F8B488CA7F}"/>
    <hyperlink ref="Q782" r:id="rId213" display="../../../../:b:/s/ARTESTA/IQDATmsRLQEAT7i6oRqPjYOWAZ1ihJxRBXARljw65sF9Pf0?e=y8fsBu" xr:uid="{8C5B6058-3DFD-4B91-97AD-E52D064AA96D}"/>
    <hyperlink ref="Q789" r:id="rId214" display="../../../../:b:/s/ARTESTA/IQDqDtMVX3HIRZytIOUC_8BnAUEgOMwbl9HjLsqp2twm20Y?e=o9wdne" xr:uid="{D7EC83E1-6621-4518-83D4-A9F4CC3E266E}"/>
    <hyperlink ref="Q791" r:id="rId215" display="../../../../:b:/s/ARTESTA/IQAys8ABWuBuT75hL1xkResVAb2-sxvAXEcnV1NCk3-ZeiE?e=ctoY7b" xr:uid="{544FE0DC-2324-4E0D-832E-0611BA58EA11}"/>
    <hyperlink ref="Q799" r:id="rId216" display="../../../../:b:/s/ARTESTA/IQBIpI_rrg4QTLpLoyytg0A-AYL1vKmuB3eeLKwYOzyGf8o?e=Nxmkfo" xr:uid="{7929D7C6-CFC3-4CF1-B71D-E1B492BB04AF}"/>
    <hyperlink ref="Q787" r:id="rId217" display="../../../../:b:/s/ARTESTA/IQCx8DGqQzWaRJHNNEJ3rS4ZAUfNUSt8LUR6rXL6eVG_06E?e=b1tx9W" xr:uid="{D4E322CA-4855-4C5D-BC61-5E0304AD8B81}"/>
    <hyperlink ref="Q776" r:id="rId218" display="../../../../:b:/s/ARTESTA/IQBDzi10-kQvS4hEil-6hGKsAWDHH40ErxYXBkljy1X-gJ8?e=85fJoG" xr:uid="{5FC3A072-5F4F-41DA-9D6E-D5DA5123C5CA}"/>
    <hyperlink ref="Q788" r:id="rId219" display="C:\Users\34722\OneDrive - Artesta\Attachments\ARTESTA - 6. Finances\Artesta Store, S.L\2025\4Q\202512\Gastos\Proveedores\UPS\Invoice_837741365_121525.PDF" xr:uid="{3821781A-8E42-4CD2-BCC2-7F543907F086}"/>
    <hyperlink ref="Q790" r:id="rId220" display="C:\Users\34722\OneDrive - Artesta\Attachments\ARTESTA - 6. Finances\Artesta Store, S.L\2025\4Q\202512\Gastos\Proveedores\UPS\Invoice_837785830_122225.PDF" xr:uid="{13297D56-5527-4023-9F32-6D8DB349FF2C}"/>
    <hyperlink ref="Q794" r:id="rId221" display="C:\Users\34722\OneDrive - Artesta\Attachments\ARTESTA - 6. Finances\Artesta Store, S.L\2025\4Q\202512\Gastos\Proveedores\UPS\Invoice_837832560_122925.PDF" xr:uid="{C61295C5-E2D3-4A7C-AAA1-5F1CBD99D512}"/>
    <hyperlink ref="Q801" r:id="rId222" display="../../../../:b:/s/ARTESTA/IQA0UC6AgfZJQKwZgNVLR9sTAQDn0LMwE_S81NMER3ijXCc?e=nCvMyq" xr:uid="{8A3A43BE-1897-4B32-9992-382AF195EF7E}"/>
    <hyperlink ref="Q802" r:id="rId223" display="../../../../:b:/s/ARTESTA/IQCd5bzIZ6H5RKn2QtuGwSwxAao3-SjMoEhhY3wj7Pt6jgM?e=vJ3Ri0" xr:uid="{F1768078-3E05-43F9-8965-9202CA0FEC6B}"/>
    <hyperlink ref="Q803" r:id="rId224" display="../../../../:b:/s/ARTESTA/IQCd5bzIZ6H5RKn2QtuGwSwxAao3-SjMoEhhY3wj7Pt6jgM?e=vJ3Ri0" xr:uid="{0AB97C99-09BE-4DF3-9878-74EC5144A399}"/>
    <hyperlink ref="Q816" r:id="rId225" display="../../../../:b:/s/ARTESTA/IQDydR6vpV_oSrjRGSOctSdBAcRyjWQ31hTsXnxs-HTNa0s?e=8J1FL3" xr:uid="{8DD090DB-D2AE-4E76-8529-BB2100180893}"/>
    <hyperlink ref="Q804" r:id="rId226" display="../../../../:b:/s/ARTESTA/IQAennwb5F7uQLRXhH6P4VUqAdgWsD7dJcnmVpowyHWoslw?e=SmTYPr" xr:uid="{85B2020C-30E3-4879-B417-D27B6E5E1F15}"/>
    <hyperlink ref="Q783" r:id="rId227" display="file:///C:/Users/andre/Downloads/RE_25-2078 (1).pdf" xr:uid="{B3546C20-D846-4BE9-84EA-EFEE4B72F2DF}"/>
    <hyperlink ref="Q777" r:id="rId228" display="file:///C:/Users/andre/OneDrive - Artesta/Attachments/ARTESTA - 6. Finances/Artesta Stores (UK) Ltd/2025/4Q/202512/Cost of sales/pcs202601.pdf" xr:uid="{DB2CFA41-F2D0-400C-AEC3-CBC9A948916B}"/>
    <hyperlink ref="Q784" r:id="rId229" display="file:///C:/Users/andre/Downloads/RE_25-2088.pdf" xr:uid="{F2848748-A237-4738-A532-08CF59917A4A}"/>
    <hyperlink ref="Q778" r:id="rId230" display="../../../../:b:/s/ARTESTA/IQCQsb9x2I2kQ7wvN5LqgBMYAfQZG3H5DPK6hTuqN5QuJUQ?e=tytPdg" xr:uid="{B9B96BD0-D6AB-4202-986E-253B329F3A1E}"/>
    <hyperlink ref="Q805" r:id="rId231" display="../../../../:b:/s/ARTESTA/IQCM7FBiEwhHS7UdGdjECodYASbSjQkC78-eLn0PmznVxAM?e=AlQ22x" xr:uid="{A574EC1E-3195-4E5D-96AC-E9DF0BE652C3}"/>
    <hyperlink ref="Q806" r:id="rId232" display="../../../../:b:/s/ARTESTA/IQCBMBi7rzOxQ6NT4lCvnq0QAYRfI4zOZKH7VUQoQ0xpb_o?e=1UWx9T" xr:uid="{5CB0C663-D3F0-47D8-A8A7-2E8DDF9F71E4}"/>
    <hyperlink ref="Q687" r:id="rId233" display="../../../../:b:/s/ARTESTA/IQBsMtlyL3yKS5RZS-HRjV_hAQ6HlhP7EL45AvuLRNH-ZtQ?e=wPJPCv" xr:uid="{3282BD69-EB04-4E35-84D0-AE93A8134AED}"/>
    <hyperlink ref="Q808" r:id="rId234" display="../../../../:b:/s/ARTESTA/IQDrGIz9DtibS5xo3RyZ9ZgbAQqDKZxa63c9E7QapIe2514?e=evDYHS" xr:uid="{2FA87F18-5433-4016-8658-AD57A96DA241}"/>
    <hyperlink ref="Q815" r:id="rId235" display="../../../../:b:/s/ARTESTA/IQAF4ab6ZsVdQagKOd0PQHQ0ATpwFXGgbZJLBKFaeEhn7HY?e=vDD0lL" xr:uid="{926E8FA1-8D72-4F4E-897F-209B25CA1564}"/>
    <hyperlink ref="Q795" r:id="rId236" display="../../../../:f:/s/ARTESTA/IgCxf1AnX3svQb1EANE9VsEqAdpoUzYDf6dbRL9ujw4BJsg?e=BDd0gD" xr:uid="{93D0A81B-B783-4DD4-9F0A-02EC566250F6}"/>
    <hyperlink ref="Q811" r:id="rId237" display="C:\Users\34722\OneDrive - Artesta\Attachments\ARTESTA - 6. Finances\Artesta Store, S.L\2026\1Q\012026\Gastos\Proveedores\TORRAS\267F0000186-09438F.PDF" xr:uid="{0C9B6815-3168-4771-AF0D-9D34F61D03B7}"/>
    <hyperlink ref="Q812" r:id="rId238" display="../../../../:b:/s/ARTESTA/IQCZyN9pUWyPQYuX0B7zoespAYPagcU_EPC3AM498sFgW3I?e=uy2nCa" xr:uid="{50E3E0CA-6454-46EB-B9DF-F02CF739CA95}"/>
    <hyperlink ref="Q889" r:id="rId239" display="../../../../:b:/s/ARTESTA/IQA1Rk8c-Gs3T6A3YtsMntMUAVNVcjo06n8WGFk_JOcbz64?e=9Nm2pt" xr:uid="{C372A32E-17EC-4CA7-A1F7-C13CB66C1C4B}"/>
    <hyperlink ref="Q796" r:id="rId240" display="../../../../:b:/s/ARTESTA/IQBoaE4_dgR7Ra-QGpKMY74LAcKWstgUV_7cyNXIgu36E0M?e=hFErlI" xr:uid="{37CAFECE-B59B-433F-8367-FE41E4CCFC88}"/>
    <hyperlink ref="Q800" r:id="rId241" display="../../../../:b:/s/ARTESTA/IQCOyPD_LQ_XSZp8nOvlMD0sAUCMIpMftiX5_HDPCeEZiqA?e=g2hi4k" xr:uid="{DCED7F64-61AC-4806-9235-395F5104CD95}"/>
    <hyperlink ref="Q858" r:id="rId242" display="C:\Users\34722\Downloads\Transaction_249902419.pdf" xr:uid="{0EDFAC07-300B-43F4-918E-2CC8BBDFB6F8}"/>
    <hyperlink ref="Q834" r:id="rId243" display="../../../../:f:/s/ARTESTA/IgCwXAn0apysTbB9os2ZP52KAd5fHOt8jXuJbWjx4mb_BEE?e=lO64cT" xr:uid="{C4D6024A-F5FD-42CB-A445-76DD6202EE54}"/>
    <hyperlink ref="Q835" r:id="rId244" display="../../../../:f:/s/ARTESTA/IgCwXAn0apysTbB9os2ZP52KAd5fHOt8jXuJbWjx4mb_BEE?e=lO64cT" xr:uid="{787FE53D-F011-4A83-B498-129D46074547}"/>
    <hyperlink ref="Q836" r:id="rId245" display="C:\Users\andre\OneDrive - Artesta\Attachments\ARTESTA - 6. Finances\Artesta Store, S.L\2025\4Q\202512\Gastos\Proveedores\Gorgias\gorgias-inc_invoice_Azq8UhV99K8Dd2a5h (2).pdf" xr:uid="{C99BF31B-54B8-4612-A009-F1ED4E1C8025}"/>
    <hyperlink ref="Q837" r:id="rId246" display="../../../../:b:/s/ARTESTA/IQAO2pgNl2QORr78HZCtG_2JAfKGL9QdbERNpgt8tiWBevY?e=LdeElv" xr:uid="{063672C3-5D44-4393-8CAF-0F9902B608ED}"/>
    <hyperlink ref="Q838" r:id="rId247" display="../../../../:b:/s/ARTESTA/IQCc5ahxBoSqSa2cNpYT6pGOAXWI7GhjOeFFePR9UwA6Q_c?e=yVbwNa" xr:uid="{D7810D49-8607-441F-85EC-A0A7BB3AB1B1}"/>
    <hyperlink ref="Q839" r:id="rId248" display="../../../../:b:/s/ARTESTA/IQDC9zeK8YJvR78I-nU4T_mNAQgvcUAJkjj7dBM6QrH7MKI?e=buVhEr" xr:uid="{1A331253-4159-4805-AEF4-971CAFBA10FC}"/>
    <hyperlink ref="Q840" r:id="rId249" display="../../../../:b:/s/ARTESTA/IQAIrWYEVRC4TIKEyA59E9b2AcVr6lzInUifBYqvCIJM5kA?e=m6WZmc" xr:uid="{A278F587-6B8C-4936-B8BC-910C7888E4FC}"/>
    <hyperlink ref="Q841" r:id="rId250" display="../../../../:b:/s/ARTESTA/IQDXfdH0-6FJRrndkssCp8LVAQZgTsQncqCBledy0a-lZRk?e=TH8nYF" xr:uid="{89C1DA1E-F1F7-4199-9C0F-7D7C4D70D17E}"/>
    <hyperlink ref="Q842" r:id="rId251" display="../../../../:b:/s/ARTESTA/IQB_PJ-rAly5QaFAurvnNTzoAcAqPDG1OnycYsw42_TRDL0?e=qOF9OS" xr:uid="{B25D1669-7309-4801-A87A-666F158C48A2}"/>
    <hyperlink ref="Q843" r:id="rId252" display="../../../../:f:/s/ARTESTA/IgA7N3eKl-NYQa3dKpv_aH9kAdtsBhisAi0p3UsOG9z_S5w?e=jKgmMX" xr:uid="{55779CF8-8EFA-474C-9051-0D47E2CB4E59}"/>
    <hyperlink ref="Q844" r:id="rId253" display="C:\Users\andre\Downloads\ES-AEU-2025-1192406.pdf" xr:uid="{52AF7AC9-3332-408B-86F5-0A7E3C8F7072}"/>
    <hyperlink ref="Q845" r:id="rId254" display="C:\Users\andre\Downloads\5454860683.pdf" xr:uid="{64289D3B-FD4E-4164-BC46-CBE7B572D52A}"/>
    <hyperlink ref="Q846" r:id="rId255" display="C:\Users\andre\Downloads\invoice (4) (1).pdf" xr:uid="{387C9A06-EA9C-478C-A627-1ABD6B8582A1}"/>
    <hyperlink ref="Q847" r:id="rId256" display="C:\Users\andre\Downloads\Invoice(3313-42407).pdf" xr:uid="{4C7860BA-7F8C-46D1-9C41-C144689BA8A1}"/>
    <hyperlink ref="Q848" r:id="rId257" display="C:\Users\andre\Downloads\Mi cuenta _ Facturacio%CC%81n.pdf" xr:uid="{4AC6FC1C-9383-4C74-88C0-8C97259F0742}"/>
    <hyperlink ref="Q849" r:id="rId258" display="C:\Users\andre\Downloads\f25 ARTESTA STORE S.L..pdf" xr:uid="{560356CE-E00C-4AD5-BF5A-DC005050067A}"/>
    <hyperlink ref="Q854" r:id="rId259" display="C:\Users\34722\Downloads\Artesta_450279981.pdf" xr:uid="{F57C30CC-01EB-4520-8C8A-BD697FA8C2EB}"/>
    <hyperlink ref="Q855" r:id="rId260" display="C:\Users\34722\Downloads\Artesta_464316001.pdf" xr:uid="{E074C983-3455-4296-A7E5-562EB2EA1626}"/>
    <hyperlink ref="Q817" r:id="rId261" display="C:\Users\34722\Downloads\Hetzner_2026-01-16_084000638408 (2).pdf" xr:uid="{345657ED-615F-42C2-BD68-0A162900705B}"/>
    <hyperlink ref="Q818" r:id="rId262" display="../../../../:b:/s/ARTESTA/IQDFIqnc_46LR4rMy7JPoDekAR3KBiYUyyIteT2MZZp0QZg?e=nBBk5q" xr:uid="{EDE85099-F650-4992-9C9F-D7596EF79AB7}"/>
    <hyperlink ref="Q856" r:id="rId263" display="../../../../:b:/s/ARTESTA/IQDgNj_gvaqlSZw_Lppbyq49AQYjWEK3R0AVM5tX7nVf3CM?e=Trp0ko" xr:uid="{0A3F99D4-86F8-4866-93EB-846F243E06D5}"/>
    <hyperlink ref="Q857" r:id="rId264" display="../../../../:b:/s/ARTESTA/IQDXEsmXsW6eRK6U9fwb933QAThNQsRdp0i-s4ckEZ0dkM4?e=cjb7vf" xr:uid="{28186D56-660B-49D9-899E-2A4DACB96C0D}"/>
    <hyperlink ref="Q833" r:id="rId265" display="C:\Users\34722\OneDrive - Artesta\Attachments\ARTESTA - 6. Finances\Artesta Store, S.L\2025\4Q\202512\Gastos\Proveedores\GOOGLE\5456877870.pdf" xr:uid="{28683BAF-BCCE-401A-B247-7522D0868A30}"/>
    <hyperlink ref="Q870" r:id="rId266" display="C:\Users\34722\OneDrive - Artesta\Attachments\ARTESTA - 6. Finances\Artesta Store, S.L\2026\1Q\012026\Gastos\Proveedores\AP Photo\2026-1-841.PDF" xr:uid="{35D17FD9-6B29-480E-BD70-922BBDC1DD53}"/>
    <hyperlink ref="Q820" r:id="rId267" display="../../../../:i:/s/ARTESTA/IQCw_jx9YkoCQJXoikZirenPASLJEkZg03ptsr9PiHZXL2s?e=YtkIFo" xr:uid="{51233F22-B386-417A-837B-1D90A0EC3C76}"/>
    <hyperlink ref="Q821" r:id="rId268" display="C:\Users\34722\OneDrive - Artesta\Attachments\ARTESTA - 6. Finances\Artesta Store, S.L\2026\1Q\012026\Gastos\Proveedores\Shopify\Artesta_479105361.pdf" xr:uid="{C64B764E-67F8-4711-B576-C49DBA9C3A0C}"/>
    <hyperlink ref="Q828" r:id="rId269" display="../../../../:b:/s/ARTESTA/IQCc2EBWJJeySoOnbPU42D5FAZz0z85vFRNMjY_AuQbS098?e=XEKvFl" xr:uid="{2D61626D-C0B7-4A92-968A-DCB63BB5ECAA}"/>
    <hyperlink ref="Q823" r:id="rId270" display="../../../../:b:/s/ARTESTA/IQDMg9SXOB63TKMWNFwjAodLAcFoaK_OwbBIavqQezPTMyY?e=tE9bO3" xr:uid="{6B01B194-DCEA-40FE-B067-57199B4920A8}"/>
    <hyperlink ref="Q824" r:id="rId271" display="../../../../:b:/s/ARTESTA/IQBr_zSJhSu4QpdxHlhglx2bASd0-WFYroNydw1V0eJ-DGQ?e=g9qGGl" xr:uid="{86B25E15-67D8-495F-B64E-4FD2762519AB}"/>
    <hyperlink ref="Q894" r:id="rId272" display="C:\Users\34722\OneDrive - Artesta\Attachments\ARTESTA - 6. Finances\Artesta Store, S.L\2026\1Q\012026\CANARIAS\fra.147.pdf" xr:uid="{871D66F7-9DB4-4041-A2EB-2FB20C4A383E}"/>
    <hyperlink ref="Q826" r:id="rId273" display="../../../../:b:/s/ARTESTA/IQCLFypK5h6FSownWUQxcNKDAa5t2sfhlhqgedKnTrrSjPM?e=fMReKm" xr:uid="{82074808-8620-4E8D-9B8C-50EA9FAEBBA8}"/>
    <hyperlink ref="Q827" r:id="rId274" display="C:\Users\34722\Downloads\suppliedNote (5).pdf" xr:uid="{11D0872F-3F21-4A19-9425-9B1B18574A00}"/>
    <hyperlink ref="Q890" r:id="rId275" display="../../../../:b:/s/ARTESTA/IQA1pZ7i6qptRbwaqUB1eUvAAUXYs8PIxYcuauIYHHPRezM?e=Fn9gZA" xr:uid="{1D958501-6A40-45DC-B5F5-DEFB145031E7}"/>
    <hyperlink ref="Q892" r:id="rId276" display="../../../../:b:/s/ARTESTA/IQAiSBiFN1a7TLvgRmKA2edRAasyJS5x1mE7D3_hMMm1nwA?e=Np5wKR" xr:uid="{5BB43A33-8BBC-4B69-8090-2C3B7675DDD5}"/>
    <hyperlink ref="Q903" r:id="rId277" display="../../../../:b:/s/ARTESTA/IQDWcgfj1i9eTa_dDCq7GZSuAS7vJ5xqDiAQAsD3-vwp-co?e=ACb45u" xr:uid="{045A4D2A-69B7-4D0E-B99D-F59A695F628F}"/>
    <hyperlink ref="Q334" r:id="rId278" display="../../../../:b:/s/ARTESTA/IQCSmDeJ2Bt2SoLOPFuCWuOpAcjTEZVO_cdCznQeawHR4Fo?e=H7DeWw" xr:uid="{B009340D-2C79-4BF0-96AB-DE34FD9F3B5C}"/>
    <hyperlink ref="Q412" r:id="rId279" display="C:\Users\34722\OneDrive - Artesta\Attachments\ARTESTA - 6. Finances\Artesta Store, S.L\2025\4Q\202512\Gastos\Proveedores\ARTLINK\Artesta Store S.L invoice no 000201873 (Freight cost DCT December).pdf" xr:uid="{AEA87650-5A33-4457-84DF-7CB6DE2B8FF3}"/>
    <hyperlink ref="Q567" r:id="rId280" display="../../../../:b:/s/ARTESTA/IQDePE_sdEAeQJIHHLEOWbLRAemj124vFZuyYdlpmCaGCXs?e=WZdrgl" xr:uid="{FDAB6767-8C58-4B51-9D47-30C9B1F41501}"/>
    <hyperlink ref="Q68" r:id="rId281" display="../../../../:b:/s/ARTESTA/IQBjTavC2QdcQJVwk3jacrOZAbhMnCXKoGEpJZfl9zbEMuw?e=zFyXrq" xr:uid="{F68D6564-D3EC-4CEA-9C85-ED168C736A45}"/>
    <hyperlink ref="Q861" r:id="rId282" display="../../../../:b:/s/ARTESTA/IQDz7gNTgTwJSYO_VUkpLYV6AXp8aU4hQwvECbkaIpljlYo?e=EIz00V" xr:uid="{557ECEF0-F41B-4F17-99F1-192AA47591A6}"/>
    <hyperlink ref="Q862" r:id="rId283" display="../../../../:b:/s/ARTESTA/IQDz7gNTgTwJSYO_VUkpLYV6AXp8aU4hQwvECbkaIpljlYo?e=EIz00V" xr:uid="{30500F59-A163-4227-9C06-AD8442DA1E88}"/>
    <hyperlink ref="Q863" r:id="rId284" display="../../../../:b:/s/ARTESTA/IQDz7gNTgTwJSYO_VUkpLYV6AXp8aU4hQwvECbkaIpljlYo?e=EIz00V" xr:uid="{B59E9307-A225-4CA9-8E7C-253E56574825}"/>
    <hyperlink ref="Q864" r:id="rId285" display="../../../../:b:/s/ARTESTA/IQDz7gNTgTwJSYO_VUkpLYV6AXp8aU4hQwvECbkaIpljlYo?e=EIz00V" xr:uid="{1BDF883B-27D1-45E0-9361-C11916CE20BF}"/>
    <hyperlink ref="Q865" r:id="rId286" display="../../../../:b:/s/ARTESTA/IQDz7gNTgTwJSYO_VUkpLYV6AXp8aU4hQwvECbkaIpljlYo?e=EIz00V" xr:uid="{6742631D-4FDA-48CB-ADD7-71B85A19C904}"/>
    <hyperlink ref="Q830" r:id="rId287" display="C:\Users\34722\AppData\Local\Temp\f0556c6e-7359-4530-962f-6856012012eb_579ae267-2ac3-48e1-8c15-cf282e7c8bbf.zip.2eb\Invoice_326821409_010726.PDF" xr:uid="{EC676235-F032-4197-B979-586247615222}"/>
    <hyperlink ref="Q860" r:id="rId288" display="C:\Users\34722\AppData\Local\Temp\05424324-579b-444a-8f62-1ca891ff1528_579ae267-2ac3-48e1-8c15-cf282e7c8bbf.zip.528\Invoice_326838548_011426.PDF" xr:uid="{16C7BE64-91DD-410D-8B0E-F49372F2463D}"/>
    <hyperlink ref="Q867" r:id="rId289" display="C:\Users\34722\AppData\Local\Temp\48937df9-1271-40db-b402-c6632d064764_579ae267-2ac3-48e1-8c15-cf282e7c8bbf.zip.764\Invoice_326867966_012126.PDF" xr:uid="{D16094E1-36C0-4292-B7DD-3FB7C1A9E20C}"/>
    <hyperlink ref="Q829" r:id="rId290" display="C:\Users\34722\AppData\Local\Temp\58193734-dce5-49b9-8979-fd639cec71d7_579ae267-2ac3-48e1-8c15-cf282e7c8bbf.zip.1d7\Invoice_326899416_012826.PDF" xr:uid="{22F40BE0-1D4B-4976-8F57-9E2177DDB6E4}"/>
    <hyperlink ref="Q868" r:id="rId291" display="C:\Users\34722\AppData\Local\Temp\ff5227f5-901a-4f67-bfee-b588687ea06f_579ae267-2ac3-48e1-8c15-cf282e7c8bbf.zip.06f\Invoice_837858124_010526.PDF" xr:uid="{FA438E5C-AB3F-4E60-B94F-3350F136B8D9}"/>
    <hyperlink ref="Q869" r:id="rId292" display="C:\Users\34722\AppData\Local\Temp\4c78ceec-7936-420b-9470-779e651d1615_579ae267-2ac3-48e1-8c15-cf282e7c8bbf.zip.615\Invoice_837882632_011226.PDF" xr:uid="{467A5D49-EEF4-4310-B9B5-385FF0897A12}"/>
    <hyperlink ref="Q819" r:id="rId293" display="C:\Users\34722\AppData\Local\Temp\b1b8fb11-7349-4473-93d3-fdc53d86748e_579ae267-2ac3-48e1-8c15-cf282e7c8bbf.zip.48e\Invoice_837917747_011926.PDF" xr:uid="{972E5908-376C-40DF-8CED-02E83F5B77C8}"/>
    <hyperlink ref="Q871" r:id="rId294" display="C:\Users\34722\AppData\Local\Temp\839b24b6-1d06-4ad6-80f7-45d5fea18a85_579ae267-2ac3-48e1-8c15-cf282e7c8bbf.zip.a85\Invoice_837954641_012626.PDF" xr:uid="{69448385-82CA-47E2-A1E2-2CB5B4FBE88A}"/>
    <hyperlink ref="Q872" r:id="rId295" display="C:\Users\andre\Downloads\4004566874 (1).PDF" xr:uid="{17432803-EA2C-486C-8593-E4BC7679B00E}"/>
    <hyperlink ref="Q876" r:id="rId296" display="C:\Users\andre\Downloads\Artesta_464316001.pdf" xr:uid="{2112D096-25C8-4411-B2A5-EC8ECF425251}"/>
    <hyperlink ref="Q877" r:id="rId297" display="C:\Users\andre\Downloads\Invoice-B5F7DF3C-6721.pdf" xr:uid="{9A468EC4-CF0B-4E12-8322-D5332664EF4A}"/>
    <hyperlink ref="Q878" r:id="rId298" display="C:\Users\andre\Downloads\Invoice-B5F7DF3C-6940.pdf" xr:uid="{7999EF8A-CA44-49BE-BB8A-F4EF814F67E3}"/>
    <hyperlink ref="Q879" r:id="rId299" display="C:\Users\andre\Downloads\G135908417_c8f7f730eb7b47ca8d9c1f3cf7e07793.pdf" xr:uid="{B6DDBB08-1A40-4190-A8DD-1E1B2174F493}"/>
    <hyperlink ref="Q880" r:id="rId300" display="C:\Users\andre\Downloads\G135222851_9fd45cdbe51248e4a50e7b1380e7f460.pdf" xr:uid="{526E0C3D-3426-4D45-9376-B360DF81D670}"/>
    <hyperlink ref="Q881" r:id="rId301" display="../../../../:b:/s/ARTESTA/IQANGVDG24pbTqOticqqnKhGAY5kTGqOBsDnLy9Ow4N8ntk?e=11zXwX" xr:uid="{3577367A-F08E-43E8-AC24-84CEE35E9B8C}"/>
    <hyperlink ref="Q882" r:id="rId302" display="../../../../:b:/s/ARTESTA/IQBQKybjw-Z0Sp35QWr-yXD9AYm8SWeOD6C84Gz5S_MRMaM?e=wfbyAL" xr:uid="{8613F642-B6A9-488F-85EF-8FFCD318E2D5}"/>
    <hyperlink ref="Q883" r:id="rId303" display="../../../../:b:/s/ARTESTA/IQCekB7cLZLlSoD8pp6LyD0-AZXHyzuEqz1R8Y7wTcdskec?e=YQOnkD" xr:uid="{97F069DD-824C-4BF0-B03B-CD3BC1275DDE}"/>
    <hyperlink ref="Q884" r:id="rId304" display="../../../../:b:/s/ARTESTA/IQAkwPH9YdO5TrQ6APrK_CvCAe4gKT17NqPSDuyHu5tkwzI?e=cwtch5" xr:uid="{8630FCFC-3A4D-44DB-9699-3B46D3FD026E}"/>
    <hyperlink ref="Q885" r:id="rId305" display="../../../../:b:/s/ARTESTA/IQCAXtYheYljRIYxuQ6vCMB2AcQ6QUsS32JmLrJRDG3-nFk?e=mLtSDC" xr:uid="{622AB8BE-A5F3-42A4-95CE-7FC118E163D6}"/>
    <hyperlink ref="Q886" r:id="rId306" display="../../../../:b:/s/ARTESTA/IQCmjpbpC7ReSJY_yLnAz7lIAVaJZkcjs30EJcYUu5lvDME?e=Mf98DS" xr:uid="{0C6E69F9-E9C5-419E-81FD-A5CF0CB1EFA5}"/>
    <hyperlink ref="Q887" r:id="rId307" display="../../../../:b:/s/ARTESTA/IQBM6X5ov97WRK1bUO0NQLYUAWyAiqC78_Y5E0Q1hkTbU4s?e=qK2LmX" xr:uid="{4BB24985-A940-4A73-95BA-CF96662B4810}"/>
    <hyperlink ref="Q888" r:id="rId308" display="../../../../:b:/s/ARTESTA/IQCXETulwkruS4VMRLWeYWzmAalkjD7sOVCLIwlNsD5oc0I?e=iR9IQH" xr:uid="{F69407A8-E642-4B9C-94B9-96AC4E69CE5B}"/>
    <hyperlink ref="Q960" r:id="rId309" display="../../../../:b:/s/ARTESTA/IQCyFihOOjHGTZBf-0GCA_YdAXeEyix9--0BbJzneKYbiWk?e=hSueIZ" xr:uid="{4FC0C0E8-D4AA-4996-BC0D-9198D604C63A}"/>
    <hyperlink ref="Q910" r:id="rId310" display="../../../../:b:/s/ARTESTA/IQBbSL6UU_ogR5_2OnnClnnFAeKEU9pLP834CcUhJvBLC44?e=7FY9vB" xr:uid="{3C2A6342-2625-4C93-A3CE-5ECED752698C}"/>
    <hyperlink ref="Q911" r:id="rId311" display="../../../../:b:/s/ARTESTA/IQBbSL6UU_ogR5_2OnnClnnFAeKEU9pLP834CcUhJvBLC44?e=7FY9vB" xr:uid="{D4E9BC9D-FE95-4BA3-98E3-E725361B0161}"/>
    <hyperlink ref="Q932" r:id="rId312" display="../../../../:b:/s/ARTESTA/IQC_9pXYjJS0T6NNC8Wm0MMqAe5xJllWUITNPqXLeJUzIe0?e=w7GTis" xr:uid="{A5EF3AB3-F8DD-4330-BCCC-AA85D170F2F5}"/>
    <hyperlink ref="Q822" r:id="rId313" display="C:\Users\andre\OneDrive - Artesta\Attachments\ARTESTA - 6. Finances\Artesta Inc\2026\1Q\202602\Operating Expenses\Continuum\INVOICE_1236_from_Continuum Advisory LLC (3).pdf" xr:uid="{FD26D5FF-91D4-47E0-AC28-7803B43A40E9}"/>
    <hyperlink ref="Q907" r:id="rId314" display="C:\Users\andre\Downloads\5505030303 (2).pdf" xr:uid="{5E54416A-1191-49C3-A11C-2321A7097554}"/>
    <hyperlink ref="Q949" r:id="rId315" display="../../../../:b:/s/ARTESTA/IQCQNxqr8cGlS6lpM2XrBGAYAYg1yTGXUldBQFgNPYS6huY?e=PWKqXI" xr:uid="{3619C6F8-2E1A-477E-BE35-792F937C60F8}"/>
    <hyperlink ref="Q895" r:id="rId316" display="C:\Users\andre\Downloads\FACTURAF00299_26.PDF" xr:uid="{33B44536-0910-47C7-8B2E-E4941CF3C5F7}"/>
    <hyperlink ref="Q931" r:id="rId317" display="C:\Users\andre\Downloads\IN6033326_001.pdf" xr:uid="{3B3872CD-3D75-42D6-975D-DF44AF5907FC}"/>
    <hyperlink ref="Q930" r:id="rId318" display="C:\Users\andre\Downloads\IN6033326_001.pdf" xr:uid="{AFD71851-A3D0-4A4E-A01A-E85C341971A2}"/>
    <hyperlink ref="Q929" r:id="rId319" display="C:\Users\andre\Downloads\IN6033326_001.pdf" xr:uid="{7C31D226-B901-4D84-9D12-247B1CB04481}"/>
    <hyperlink ref="Q928" r:id="rId320" display="C:\Users\andre\Downloads\IN6033326_001.pdf" xr:uid="{0E408364-853C-4599-81F8-110823C94D96}"/>
    <hyperlink ref="Q927" r:id="rId321" display="C:\Users\andre\Downloads\IN6033326_001.pdf" xr:uid="{5193D30F-0195-47EF-9B33-3CDB5681A6CB}"/>
    <hyperlink ref="Q935" r:id="rId322" display="C:\Users\andre\Downloads\Escaneo0011.pdf" xr:uid="{4993657E-E9A6-4D17-9A9C-BDF216F2786D}"/>
    <hyperlink ref="Q906" r:id="rId323" display="C:\Users\andre\OneDrive - Artesta\Attachments\ARTESTA - 6. Finances\Artesta Store, S.L\2026\1Q\202602\Gastos\Proveedores\Product Hero\invoice_211723.pdf" xr:uid="{71D23186-FEDD-45B5-8713-DC359CB8DB22}"/>
    <hyperlink ref="Q919" r:id="rId324" display="../../../../:b:/s/ARTESTA/IQCEcQEABgt_R7Yny-qiDmIyAQq3V0u4JWYseQyJzo4StSU?e=eYmf2r" xr:uid="{C681FF2D-A619-40FE-8DE7-7847FD1DE0DF}"/>
    <hyperlink ref="Q913" r:id="rId325" display="../../../../:b:/s/ARTESTA/IQA8mOP4jDzRSKL6LZ7PRc3AARgyXmeH127Laut9KoDfw2Y?e=4d4PX5" xr:uid="{ABD64E42-5494-43A7-85EB-3746CBD24C95}"/>
    <hyperlink ref="Q900" r:id="rId326" display="../../../../:b:/s/ARTESTA/IQC-9iYw-07FR473G9fH8qGJAdvv2rfYLYYQD1684_2F7V8?e=5pzoqk" xr:uid="{E6395D0A-C205-4738-A03A-AF5EACB27F1B}"/>
    <hyperlink ref="Q914" r:id="rId327" display="../../../../:b:/s/ARTESTA/IQATT4JZIxiiSYi2vNHyUjZXAc-Gl0h30x-y_IpBDSYPyp0?e=XxS3kY" xr:uid="{134E07BA-E450-444F-95B9-F9B567EEC06A}"/>
    <hyperlink ref="Q926" r:id="rId328" display="../../../../:b:/s/ARTESTA/IQD4ggzMAz4JR577nLk9eLdgAakNMbyjwxhKs3ijBk5KJJA?e=66QPXz" xr:uid="{19159173-BA50-469B-B4E8-EA5CA88E837D}"/>
    <hyperlink ref="Q909" r:id="rId329" display="../../../../:b:/s/ARTESTA/IQDWpwJ-OIiJSp1aoaVFD5CLAbKW6UlNHJRlSGkbH2SvrFI?e=RBGLBS" xr:uid="{C36701E1-C61D-45B7-8C32-913CF4A2C9C5}"/>
    <hyperlink ref="Q905" r:id="rId330" display="../../../../:b:/s/ARTESTA/IQAtAQYI5eLuTpkW2x9t0KTAAVPSud5jLxaUFy4nsBTN4Kw?e=wl8XgH" xr:uid="{6FA49C99-17B5-4581-86DA-0CBD250CDFC7}"/>
    <hyperlink ref="Q937" r:id="rId331" display="../../../../:b:/s/ARTESTA/IQDz0zBYlUN2RYsZ7EmUg-wGASj47OtcNopGxYZBmgKGYJ8?e=QLNPds" xr:uid="{04B491D7-9E78-4948-B991-69F31036E714}"/>
    <hyperlink ref="Q924" r:id="rId332" display="../../../../:b:/s/ARTESTA/IQA1cYYO8PslSrLAyO3DQ794AVjEtFVzMFpOATiOq3n-yFM?e=Y39eut" xr:uid="{ADF04D70-AD98-4A22-B127-B9341F743DF2}"/>
    <hyperlink ref="Q916" r:id="rId333" display="../../../../:b:/s/ARTESTA/IQCMH5YUWtXOQZeJ2w_0pe8fAWBjRSE1CRZQgPqgt7JNABM?e=x8dsTv" xr:uid="{9C630C30-E104-4BF6-95A2-0A0ABDC45458}"/>
    <hyperlink ref="Q917" r:id="rId334" display="../../../../:b:/s/ARTESTA/IQCHWlVgl-XhQ6vStYSLgIC1AevNba9pnW1YlBDxlzgSkJ8?e=qNJ4kk" xr:uid="{1AA36142-18C2-40AA-A21A-BE1DEF392BFC}"/>
    <hyperlink ref="Q915" r:id="rId335" display="../../../../:b:/s/ARTESTA/IQBOLnAbB9xfRZwrMSTd7G2TAfAScm4znsKtjRUUs5ppLMA?e=gBxPim" xr:uid="{BB141AD1-8117-4533-832A-123C5C7A28A8}"/>
    <hyperlink ref="Q825" r:id="rId336" display="../../../../:b:/s/ARTESTA/IQDLq0AmGVFwSYDXuh6ZilOjAYuLjpRCkQHWsh67nWYDSQo?e=La5ueC" xr:uid="{ABC7F8CC-ED92-4886-8C32-F757693DD53C}"/>
    <hyperlink ref="Q875" r:id="rId337" display="../../../../:b:/s/ARTESTA/IQCnyH1B4n4URYQ7OzkGowBDAdqpMuhDDFqnUrcGSOq9ixg?e=Jh1rDI" xr:uid="{674ECF8B-4D79-4B76-B160-3AE003BBD7DB}"/>
    <hyperlink ref="Q897" r:id="rId338" display="C:\Users\andre\OneDrive - Artesta\Attachments\ARTESTA - 6. Finances\Artesta Store, S.L\2026\1Q\202602\Gastos\Proveedores\UPS\Invoice_326997856_021126.PDF" xr:uid="{BBB48871-EFD4-4793-913A-D992209D4124}"/>
    <hyperlink ref="Q904" r:id="rId339" display="C:\Users\andre\OneDrive - Artesta\Attachments\ARTESTA - 6. Finances\Artesta Store, S.L\2026\1Q\202602\Gastos\Proveedores\UPS\Invoice_327030108_021826.PDF" xr:uid="{615600AA-4AB3-48CD-B7F6-CC6BF25BEC5D}"/>
    <hyperlink ref="Q925" r:id="rId340" display="C:\Users\andre\OneDrive - Artesta\Attachments\ARTESTA - 6. Finances\Artesta Store, S.L\2026\1Q\202602\Gastos\Proveedores\UPS\Invoice_327061645_022526.PDF" xr:uid="{BA50A953-99D0-47D2-8C89-2B18BCC03CDB}"/>
    <hyperlink ref="Q874" r:id="rId341" display="C:\Users\andre\OneDrive - Artesta\Attachments\ARTESTA - 6. Finances\Artesta Store, S.L\2026\1Q\202602\Gastos\Proveedores\UPS\Invoice_837993499_020226.PDF" xr:uid="{B5675974-5B08-440A-A834-FBE9A679C39B}"/>
    <hyperlink ref="Q896" r:id="rId342" display="C:\Users\andre\OneDrive - Artesta\Attachments\ARTESTA - 6. Finances\Artesta Store, S.L\2026\1Q\202602\Gastos\Proveedores\UPS\Invoice_838043671_020926.PDF" xr:uid="{DFD9C544-13C3-445E-8316-ED6145FDEEA2}"/>
    <hyperlink ref="Q902" r:id="rId343" display="C:\Users\andre\OneDrive - Artesta\Attachments\ARTESTA - 6. Finances\Artesta Store, S.L\2026\1Q\202602\Gastos\Proveedores\UPS\Invoice_838088024_021626.PDF" xr:uid="{E8CA2287-8ABB-4EEA-BF5F-298EDB9A0CA0}"/>
    <hyperlink ref="Q898" r:id="rId344" display="../../../../:b:/s/ARTESTA/IQBwPLWzdFQfSoXTbs9WbEHYAQOsafyJtdSGy1Bs82WWvwQ?e=Ekld8b" xr:uid="{D02FA7A3-74D1-47A3-B26D-91971E905F40}"/>
    <hyperlink ref="Q920" r:id="rId345" display="../../../../:b:/s/ARTESTA/IQASrVleZ-StT7Vw2EGQA4ulATkVJcqBImZbky7XeRVWPiw?e=VtX7OA" xr:uid="{59BC28FF-4835-41CE-B566-45D67B4AA70A}"/>
    <hyperlink ref="Q912" r:id="rId346" display="C:\Users\andre\Downloads\1960.pdf" xr:uid="{0B661A50-06E2-48F6-AB6D-1E81B869766A}"/>
    <hyperlink ref="Q901" r:id="rId347" display="C:\Users\andre\Downloads\1578.pdf" xr:uid="{BB2451D4-EC38-4461-9CF7-A60ACA7BC173}"/>
    <hyperlink ref="Q893" r:id="rId348" display="C:\Users\andre\OneDrive - Artesta\Attachments\ARTESTA - 6. Finances\Artesta Store, S.L\2026\1Q\202602\Gastos\Proveedores\microsoft\G140910268_d9ebaff6cb4e4401b7c0af1fec815995.pdf" xr:uid="{7096E42C-C881-49D8-A3A2-4A67ED9935CE}"/>
    <hyperlink ref="Q899" r:id="rId349" display="C:\Users\andre\OneDrive - Artesta\Attachments\ARTESTA - 6. Finances\Artesta Store, S.L\2026\1Q\202602\Gastos\Proveedores\microsoft\G141681724_aca72520f4e64e60844a2344f7db077d.pdf" xr:uid="{2980792B-2CA1-4685-89E6-07D4105004D2}"/>
    <hyperlink ref="Q873" r:id="rId350" display="../../../../:b:/s/ARTESTA/IQDWAv4PWgFiRbDLjVurDkdJAf96GktCaNpBmmBqiMb52HY?e=dgU1BK" xr:uid="{9EAD462C-E245-4F80-A452-BE76A40D2A76}"/>
    <hyperlink ref="Q939" r:id="rId351" display="../../../../:b:/s/ARTESTA/IQBkZGepts0CQKduU9Hw4RBDAYgtUXQTPBGA8jV9-HJ8DTc?e=aY0eIZ" xr:uid="{BDA4EF15-4CBA-409C-929A-8E4AFC778E96}"/>
    <hyperlink ref="Q944" r:id="rId352" display="C:\Users\andre\OneDrive - Artesta\Attachments\ARTESTA - 6. Finances\Artesta Store, S.L\2026\1Q\202602\Gastos\Proveedores\google\5505030303.pdf" xr:uid="{AB21F035-1F8C-45C5-BF2F-D984F76321D7}"/>
    <hyperlink ref="Q938" r:id="rId353" display="../../../../:f:/s/ARTESTA/IgD-kHIE9ZHsSIRpxGgunMXMASeFia3E9GK-Nv7f3w0ISUo?e=ZVi8bh" xr:uid="{CD07F155-2B42-4664-947C-238F1B26FCDD}"/>
    <hyperlink ref="Q948" r:id="rId354" display="../../../../:f:/s/ARTESTA/IgD-kHIE9ZHsSIRpxGgunMXMASeFia3E9GK-Nv7f3w0ISUo?e=ZVi8bh" xr:uid="{5ABF36D1-6A4C-4BAC-956F-0DE1A22ABCF8}"/>
    <hyperlink ref="Q954" r:id="rId355" display="../../../../:f:/s/ARTESTA/IgBCXdC-CJXoSJv-cPPIKbbLAYNQhiRdfS5AIJpct1G6igw?e=R4vyDn" xr:uid="{65FD5460-1DB1-49BD-9BAA-B29809B2F7B9}"/>
    <hyperlink ref="Q953" r:id="rId356" display="../../../../:f:/s/ARTESTA/IgARXErTfm00Qbyzc-ryr1DIARqr7eOQHQccTrwYy0r_eDg?e=CY7e4B" xr:uid="{5D838327-B3C3-41F1-B90E-C2DBDF4DF301}"/>
    <hyperlink ref="Q955" r:id="rId357" display="../../../../:f:/s/ARTESTA/IgBZDzGZrFCaQIEA71SYgOPSAbQFlcQLN1TyCDHolTPfziY?e=zcyD4u" xr:uid="{1382B82E-84F6-40F5-B34A-98002527FCEF}"/>
    <hyperlink ref="Q956" r:id="rId358" display="../../../../:f:/s/ARTESTA/IgBZDzGZrFCaQIEA71SYgOPSAbQFlcQLN1TyCDHolTPfziY?e=zcyD4u" xr:uid="{C227BB76-A9B5-428A-AC5F-B9775734DDB7}"/>
    <hyperlink ref="Q961" r:id="rId359" display="../../../../:f:/s/ARTESTA/IgALNZlFxWRnS4jXhuv7qytTARXGVf7RRwGuM-2AlTmyBOY?e=5DaWX7" xr:uid="{EC3D90ED-2944-44A5-8F35-99A8CA3587A7}"/>
    <hyperlink ref="Q962" r:id="rId360" display="../../../../:f:/s/ARTESTA/IgAxdWhvHSzdQZhdNllBEe5qAXoOvILQHmkNADqSXDA5tho?e=RTrz9W" xr:uid="{B40E9794-F968-4E40-9901-F18180E0B83C}"/>
    <hyperlink ref="Q963" r:id="rId361" display="../../../../:b:/s/ARTESTA/IQAha1NNVdTRR7ILKgsTMN0hAVlaEA7HDfyUMsmDtjRG94o?e=nTHpa6" xr:uid="{87CC0764-CD8C-4EC0-BC0D-6157A8106859}"/>
    <hyperlink ref="Q959" r:id="rId362" display="../../../../:f:/s/ARTESTA/IgB4ddsKbCLzRZ68yZATYT1kAWlLcorOkSaTcsVOvQX0QUw?e=fW40j2" xr:uid="{4BD427BE-10BC-496F-9034-F6822C63DE24}"/>
    <hyperlink ref="Q957" r:id="rId363" display="../../../../:b:/s/ARTESTA/IQDCpf3ZMtlfS5jYfilI1C2UAaIjP4C11EVQOtlIwyHN628?e=Kxx47U" xr:uid="{DE3C131C-3FC6-4B27-A7C2-5BA06FA80AB4}"/>
    <hyperlink ref="Q968" r:id="rId364" display="../../../../:f:/s/ARTESTA/IgBya5nnq0YCQr3AQQdZMctLAbJMSBMxjSiiR_p9Aqjb9Q0?e=QOxkqQ" xr:uid="{3CB24B02-D362-453A-A6DD-5D4FA021C8B4}"/>
    <hyperlink ref="Q969:Q971" r:id="rId365" display="../../../../:f:/s/ARTESTA/IgBya5nnq0YCQr3AQQdZMctLAbJMSBMxjSiiR_p9Aqjb9Q0?e=QOxkqQ" xr:uid="{BC79F7AA-FE9E-4ACE-B2E1-FAF58F4BA628}"/>
    <hyperlink ref="Q972" r:id="rId366" display="../../../../:f:/s/ARTESTA/IgBFOmK_slbkSbc-28xl-izMAYlZxvoZxFzOh0p1sZnj-BE?e=OQOfIF" xr:uid="{2A5C4958-4C83-4D80-A7BC-F2835CF88EDF}"/>
    <hyperlink ref="Q973" r:id="rId367" display="../../../../:f:/s/ARTESTA/IgDbIV2gDSdfTLRW0EhGT2G3AWZjFMQ7OsT8tlCAusBky6c?e=jNTKee" xr:uid="{33D81E91-BC0F-4660-9A32-B1C9E860B914}"/>
    <hyperlink ref="Q974" r:id="rId368" display="../../../../:f:/s/ARTESTA/IgBhnr2oHsK_Rryhz6lEBMP2AclQbEhevKwspcPi0mkbpFQ?e=NPo1Kk" xr:uid="{113F84F0-9A7E-4D49-A392-A090B7FBDF48}"/>
    <hyperlink ref="Q975" r:id="rId369" display="../../../../:f:/s/ARTESTA/IgCPm7n_PdcATKCNrkLWwz2ZAVOXggz_-KeRWFWo3RLpmTs?e=eV8ahq" xr:uid="{29D5090F-43AD-48CD-B187-A05CEA05CF3A}"/>
    <hyperlink ref="Q976" r:id="rId370" display="../../../../:b:/s/ARTESTA/IQCwT0m7lda5TaDp9mQE8w6SAa8Wvie4WI7jVhd0RZQYAWs?e=RNye8R" xr:uid="{562FFA71-ACBA-4092-BD19-6972DAE24BEB}"/>
    <hyperlink ref="Q966" r:id="rId371" display="../../../../:b:/s/ARTESTA/IQDq2i_vl2tsRJeOkT_ZbLL_AdKcFA10r8aQDpnOYLi-8GQ?e=NZSkhM" xr:uid="{DDA20BCD-74C1-4DC1-9156-5AD87A4C3A6C}"/>
    <hyperlink ref="Q965" r:id="rId372" display="C:\Users\andre\OneDrive - Artesta\Attachments\ARTESTA - 6. Finances\Artesta Store, S.L\2026\1Q\202602\Gastos\Proveedores\correos\4004608215.PDF" xr:uid="{653186ED-FBA1-48D2-8BA5-D1C8D71EC478}"/>
  </hyperlinks>
  <pageMargins left="0.7" right="0.7" top="0.75" bottom="0.75" header="0.3" footer="0.3"/>
  <pageSetup paperSize="9" orientation="portrait" r:id="rId373"/>
  <tableParts count="1">
    <tablePart r:id="rId37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B61876-47A8-4F35-B03D-FE35C93D05FB}">
          <x14:formula1>
            <xm:f>'sel-invoice'!$D$2:$D$1048576</xm:f>
          </x14:formula1>
          <xm:sqref>F208:F340 F2:F56 F343:F830 F58:F206 F942:F976 F832:F940</xm:sqref>
        </x14:dataValidation>
        <x14:dataValidation type="list" operator="lessThan" allowBlank="1" showInputMessage="1" showErrorMessage="1" xr:uid="{1D0086C6-A3A0-45E0-90E8-8378B8AFFFA8}">
          <x14:formula1>
            <xm:f>'sel-yyyymm'!$A$2:$A$85</xm:f>
          </x14:formula1>
          <xm:sqref>A2:A976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3DA1-9009-4902-BA9F-7786D618B40A}">
  <sheetPr>
    <tabColor theme="1"/>
  </sheetPr>
  <dimension ref="A1:J75"/>
  <sheetViews>
    <sheetView topLeftCell="A63" workbookViewId="0">
      <selection activeCell="C82" sqref="C82"/>
    </sheetView>
  </sheetViews>
  <sheetFormatPr baseColWidth="10" defaultColWidth="11.44140625" defaultRowHeight="14.4" x14ac:dyDescent="0.3"/>
  <cols>
    <col min="1" max="1" width="14.6640625" customWidth="1"/>
    <col min="2" max="2" width="20.44140625" customWidth="1"/>
    <col min="3" max="3" width="49.33203125" customWidth="1"/>
    <col min="4" max="4" width="12.33203125" bestFit="1" customWidth="1"/>
    <col min="9" max="9" width="36.33203125" customWidth="1"/>
    <col min="10" max="10" width="34.6640625" customWidth="1"/>
  </cols>
  <sheetData>
    <row r="1" spans="1:10" x14ac:dyDescent="0.3">
      <c r="A1" t="s">
        <v>239</v>
      </c>
      <c r="B1" t="s">
        <v>909</v>
      </c>
      <c r="C1" t="s">
        <v>243</v>
      </c>
      <c r="D1" t="s">
        <v>392</v>
      </c>
      <c r="E1" t="s">
        <v>247</v>
      </c>
      <c r="F1" t="s">
        <v>249</v>
      </c>
      <c r="G1" t="s">
        <v>250</v>
      </c>
      <c r="H1" t="s">
        <v>251</v>
      </c>
      <c r="I1" t="s">
        <v>906</v>
      </c>
      <c r="J1" t="s">
        <v>907</v>
      </c>
    </row>
    <row r="2" spans="1:10" x14ac:dyDescent="0.3">
      <c r="A2">
        <v>202501</v>
      </c>
      <c r="C2" t="s">
        <v>90</v>
      </c>
      <c r="D2" s="55">
        <v>12019.89</v>
      </c>
      <c r="E2" t="str">
        <f t="shared" ref="E2:E29" si="0">_xlfn.TEXTBEFORE(C2," - ")</f>
        <v>marketing</v>
      </c>
      <c r="F2" t="str">
        <f>VLOOKUP(input_provisions[[#This Row],[concept/supplier]],'sel-prov'!F:G,2,0)</f>
        <v>meta</v>
      </c>
      <c r="G2" t="str">
        <f>VLOOKUP(input_provisions[[#This Row],[concept/supplier]],'sel-prov'!F:H,3,0)</f>
        <v>SL</v>
      </c>
      <c r="H2" t="str">
        <f>VLOOKUP(input_provisions[[#This Row],[concept/supplier]],'sel-prov'!F:I,4,0)</f>
        <v>EUR</v>
      </c>
    </row>
    <row r="3" spans="1:10" x14ac:dyDescent="0.3">
      <c r="A3">
        <v>202501</v>
      </c>
      <c r="C3" t="s">
        <v>88</v>
      </c>
      <c r="D3" s="55">
        <v>15475.3</v>
      </c>
      <c r="E3" t="str">
        <f t="shared" si="0"/>
        <v>marketing</v>
      </c>
      <c r="F3" t="str">
        <f>VLOOKUP(input_provisions[[#This Row],[concept/supplier]],'sel-prov'!F:G,2,0)</f>
        <v>google</v>
      </c>
      <c r="G3" t="str">
        <f>VLOOKUP(input_provisions[[#This Row],[concept/supplier]],'sel-prov'!F:H,3,0)</f>
        <v>SL</v>
      </c>
      <c r="H3" t="str">
        <f>VLOOKUP(input_provisions[[#This Row],[concept/supplier]],'sel-prov'!F:I,4,0)</f>
        <v>EUR</v>
      </c>
    </row>
    <row r="4" spans="1:10" x14ac:dyDescent="0.3">
      <c r="A4">
        <v>202501</v>
      </c>
      <c r="C4" t="s">
        <v>95</v>
      </c>
      <c r="D4" s="55">
        <v>4309.07</v>
      </c>
      <c r="E4" t="str">
        <f t="shared" si="0"/>
        <v>marketing</v>
      </c>
      <c r="F4" t="str">
        <f>VLOOKUP(input_provisions[[#This Row],[concept/supplier]],'sel-prov'!F:G,2,0)</f>
        <v>meta</v>
      </c>
      <c r="G4" t="str">
        <f>VLOOKUP(input_provisions[[#This Row],[concept/supplier]],'sel-prov'!F:H,3,0)</f>
        <v>Ltd</v>
      </c>
      <c r="H4" t="str">
        <f>VLOOKUP(input_provisions[[#This Row],[concept/supplier]],'sel-prov'!F:I,4,0)</f>
        <v>EUR</v>
      </c>
    </row>
    <row r="5" spans="1:10" x14ac:dyDescent="0.3">
      <c r="A5">
        <v>202501</v>
      </c>
      <c r="C5" t="s">
        <v>94</v>
      </c>
      <c r="D5" s="55">
        <v>3887.3</v>
      </c>
      <c r="E5" t="str">
        <f t="shared" si="0"/>
        <v>marketing</v>
      </c>
      <c r="F5" t="str">
        <f>VLOOKUP(input_provisions[[#This Row],[concept/supplier]],'sel-prov'!F:G,2,0)</f>
        <v>google</v>
      </c>
      <c r="G5" t="str">
        <f>VLOOKUP(input_provisions[[#This Row],[concept/supplier]],'sel-prov'!F:H,3,0)</f>
        <v>Ltd</v>
      </c>
      <c r="H5" t="str">
        <f>VLOOKUP(input_provisions[[#This Row],[concept/supplier]],'sel-prov'!F:I,4,0)</f>
        <v>EUR</v>
      </c>
    </row>
    <row r="6" spans="1:10" x14ac:dyDescent="0.3">
      <c r="A6">
        <v>202502</v>
      </c>
      <c r="C6" t="s">
        <v>90</v>
      </c>
      <c r="D6" s="55">
        <v>11169.52</v>
      </c>
      <c r="E6" t="str">
        <f t="shared" si="0"/>
        <v>marketing</v>
      </c>
      <c r="F6" t="str">
        <f>VLOOKUP(input_provisions[[#This Row],[concept/supplier]],'sel-prov'!F:G,2,0)</f>
        <v>meta</v>
      </c>
      <c r="G6" t="str">
        <f>VLOOKUP(input_provisions[[#This Row],[concept/supplier]],'sel-prov'!F:H,3,0)</f>
        <v>SL</v>
      </c>
      <c r="H6" t="str">
        <f>VLOOKUP(input_provisions[[#This Row],[concept/supplier]],'sel-prov'!F:I,4,0)</f>
        <v>EUR</v>
      </c>
    </row>
    <row r="7" spans="1:10" x14ac:dyDescent="0.3">
      <c r="A7">
        <v>202502</v>
      </c>
      <c r="C7" t="s">
        <v>88</v>
      </c>
      <c r="D7" s="55">
        <v>14974.16</v>
      </c>
      <c r="E7" t="str">
        <f t="shared" si="0"/>
        <v>marketing</v>
      </c>
      <c r="F7" t="str">
        <f>VLOOKUP(input_provisions[[#This Row],[concept/supplier]],'sel-prov'!F:G,2,0)</f>
        <v>google</v>
      </c>
      <c r="G7" t="str">
        <f>VLOOKUP(input_provisions[[#This Row],[concept/supplier]],'sel-prov'!F:H,3,0)</f>
        <v>SL</v>
      </c>
      <c r="H7" t="str">
        <f>VLOOKUP(input_provisions[[#This Row],[concept/supplier]],'sel-prov'!F:I,4,0)</f>
        <v>EUR</v>
      </c>
    </row>
    <row r="8" spans="1:10" x14ac:dyDescent="0.3">
      <c r="A8">
        <v>202502</v>
      </c>
      <c r="C8" t="s">
        <v>95</v>
      </c>
      <c r="D8" s="55">
        <v>3961.69</v>
      </c>
      <c r="E8" t="str">
        <f t="shared" si="0"/>
        <v>marketing</v>
      </c>
      <c r="F8" t="str">
        <f>VLOOKUP(input_provisions[[#This Row],[concept/supplier]],'sel-prov'!F:G,2,0)</f>
        <v>meta</v>
      </c>
      <c r="G8" t="str">
        <f>VLOOKUP(input_provisions[[#This Row],[concept/supplier]],'sel-prov'!F:H,3,0)</f>
        <v>Ltd</v>
      </c>
      <c r="H8" t="str">
        <f>VLOOKUP(input_provisions[[#This Row],[concept/supplier]],'sel-prov'!F:I,4,0)</f>
        <v>EUR</v>
      </c>
    </row>
    <row r="9" spans="1:10" x14ac:dyDescent="0.3">
      <c r="A9">
        <v>202502</v>
      </c>
      <c r="C9" t="s">
        <v>94</v>
      </c>
      <c r="D9" s="55">
        <v>4945.4799999999996</v>
      </c>
      <c r="E9" t="str">
        <f t="shared" si="0"/>
        <v>marketing</v>
      </c>
      <c r="F9" t="str">
        <f>VLOOKUP(input_provisions[[#This Row],[concept/supplier]],'sel-prov'!F:G,2,0)</f>
        <v>google</v>
      </c>
      <c r="G9" t="str">
        <f>VLOOKUP(input_provisions[[#This Row],[concept/supplier]],'sel-prov'!F:H,3,0)</f>
        <v>Ltd</v>
      </c>
      <c r="H9" t="str">
        <f>VLOOKUP(input_provisions[[#This Row],[concept/supplier]],'sel-prov'!F:I,4,0)</f>
        <v>EUR</v>
      </c>
    </row>
    <row r="10" spans="1:10" x14ac:dyDescent="0.3">
      <c r="A10">
        <v>202503</v>
      </c>
      <c r="C10" t="s">
        <v>90</v>
      </c>
      <c r="D10" s="55">
        <v>11860.91</v>
      </c>
      <c r="E10" t="str">
        <f t="shared" si="0"/>
        <v>marketing</v>
      </c>
      <c r="F10" t="str">
        <f>VLOOKUP(input_provisions[[#This Row],[concept/supplier]],'sel-prov'!F:G,2,0)</f>
        <v>meta</v>
      </c>
      <c r="G10" t="str">
        <f>VLOOKUP(input_provisions[[#This Row],[concept/supplier]],'sel-prov'!F:H,3,0)</f>
        <v>SL</v>
      </c>
      <c r="H10" t="str">
        <f>VLOOKUP(input_provisions[[#This Row],[concept/supplier]],'sel-prov'!F:I,4,0)</f>
        <v>EUR</v>
      </c>
    </row>
    <row r="11" spans="1:10" x14ac:dyDescent="0.3">
      <c r="A11">
        <v>202503</v>
      </c>
      <c r="C11" t="s">
        <v>88</v>
      </c>
      <c r="D11" s="55">
        <v>12823.21</v>
      </c>
      <c r="E11" t="str">
        <f t="shared" si="0"/>
        <v>marketing</v>
      </c>
      <c r="F11" t="str">
        <f>VLOOKUP(input_provisions[[#This Row],[concept/supplier]],'sel-prov'!F:G,2,0)</f>
        <v>google</v>
      </c>
      <c r="G11" t="str">
        <f>VLOOKUP(input_provisions[[#This Row],[concept/supplier]],'sel-prov'!F:H,3,0)</f>
        <v>SL</v>
      </c>
      <c r="H11" t="str">
        <f>VLOOKUP(input_provisions[[#This Row],[concept/supplier]],'sel-prov'!F:I,4,0)</f>
        <v>EUR</v>
      </c>
    </row>
    <row r="12" spans="1:10" x14ac:dyDescent="0.3">
      <c r="A12">
        <v>202503</v>
      </c>
      <c r="C12" t="s">
        <v>95</v>
      </c>
      <c r="D12" s="55">
        <v>3984.94</v>
      </c>
      <c r="E12" t="str">
        <f t="shared" si="0"/>
        <v>marketing</v>
      </c>
      <c r="F12" t="str">
        <f>VLOOKUP(input_provisions[[#This Row],[concept/supplier]],'sel-prov'!F:G,2,0)</f>
        <v>meta</v>
      </c>
      <c r="G12" t="str">
        <f>VLOOKUP(input_provisions[[#This Row],[concept/supplier]],'sel-prov'!F:H,3,0)</f>
        <v>Ltd</v>
      </c>
      <c r="H12" t="str">
        <f>VLOOKUP(input_provisions[[#This Row],[concept/supplier]],'sel-prov'!F:I,4,0)</f>
        <v>EUR</v>
      </c>
    </row>
    <row r="13" spans="1:10" x14ac:dyDescent="0.3">
      <c r="A13">
        <v>202503</v>
      </c>
      <c r="C13" t="s">
        <v>94</v>
      </c>
      <c r="D13" s="55">
        <v>4583</v>
      </c>
      <c r="E13" t="str">
        <f t="shared" si="0"/>
        <v>marketing</v>
      </c>
      <c r="F13" t="str">
        <f>VLOOKUP(input_provisions[[#This Row],[concept/supplier]],'sel-prov'!F:G,2,0)</f>
        <v>google</v>
      </c>
      <c r="G13" t="str">
        <f>VLOOKUP(input_provisions[[#This Row],[concept/supplier]],'sel-prov'!F:H,3,0)</f>
        <v>Ltd</v>
      </c>
      <c r="H13" t="str">
        <f>VLOOKUP(input_provisions[[#This Row],[concept/supplier]],'sel-prov'!F:I,4,0)</f>
        <v>EUR</v>
      </c>
    </row>
    <row r="14" spans="1:10" x14ac:dyDescent="0.3">
      <c r="A14">
        <v>202504</v>
      </c>
      <c r="C14" t="s">
        <v>90</v>
      </c>
      <c r="D14" s="55">
        <v>12532.68</v>
      </c>
      <c r="E14" t="str">
        <f t="shared" si="0"/>
        <v>marketing</v>
      </c>
      <c r="F14" t="str">
        <f>VLOOKUP(input_provisions[[#This Row],[concept/supplier]],'sel-prov'!F:G,2,0)</f>
        <v>meta</v>
      </c>
      <c r="G14" t="str">
        <f>VLOOKUP(input_provisions[[#This Row],[concept/supplier]],'sel-prov'!F:H,3,0)</f>
        <v>SL</v>
      </c>
      <c r="H14" t="str">
        <f>VLOOKUP(input_provisions[[#This Row],[concept/supplier]],'sel-prov'!F:I,4,0)</f>
        <v>EUR</v>
      </c>
    </row>
    <row r="15" spans="1:10" x14ac:dyDescent="0.3">
      <c r="A15">
        <v>202504</v>
      </c>
      <c r="C15" t="s">
        <v>88</v>
      </c>
      <c r="D15" s="55">
        <v>12988.69</v>
      </c>
      <c r="E15" t="str">
        <f t="shared" si="0"/>
        <v>marketing</v>
      </c>
      <c r="F15" t="str">
        <f>VLOOKUP(input_provisions[[#This Row],[concept/supplier]],'sel-prov'!F:G,2,0)</f>
        <v>google</v>
      </c>
      <c r="G15" t="str">
        <f>VLOOKUP(input_provisions[[#This Row],[concept/supplier]],'sel-prov'!F:H,3,0)</f>
        <v>SL</v>
      </c>
      <c r="H15" t="str">
        <f>VLOOKUP(input_provisions[[#This Row],[concept/supplier]],'sel-prov'!F:I,4,0)</f>
        <v>EUR</v>
      </c>
    </row>
    <row r="16" spans="1:10" x14ac:dyDescent="0.3">
      <c r="A16">
        <v>202504</v>
      </c>
      <c r="C16" t="s">
        <v>95</v>
      </c>
      <c r="D16" s="55">
        <v>3288.15</v>
      </c>
      <c r="E16" t="str">
        <f t="shared" si="0"/>
        <v>marketing</v>
      </c>
      <c r="F16" t="str">
        <f>VLOOKUP(input_provisions[[#This Row],[concept/supplier]],'sel-prov'!F:G,2,0)</f>
        <v>meta</v>
      </c>
      <c r="G16" t="str">
        <f>VLOOKUP(input_provisions[[#This Row],[concept/supplier]],'sel-prov'!F:H,3,0)</f>
        <v>Ltd</v>
      </c>
      <c r="H16" t="str">
        <f>VLOOKUP(input_provisions[[#This Row],[concept/supplier]],'sel-prov'!F:I,4,0)</f>
        <v>EUR</v>
      </c>
    </row>
    <row r="17" spans="1:8" x14ac:dyDescent="0.3">
      <c r="A17">
        <v>202504</v>
      </c>
      <c r="C17" t="s">
        <v>94</v>
      </c>
      <c r="D17" s="55">
        <v>3316.95</v>
      </c>
      <c r="E17" t="str">
        <f t="shared" si="0"/>
        <v>marketing</v>
      </c>
      <c r="F17" t="str">
        <f>VLOOKUP(input_provisions[[#This Row],[concept/supplier]],'sel-prov'!F:G,2,0)</f>
        <v>google</v>
      </c>
      <c r="G17" t="str">
        <f>VLOOKUP(input_provisions[[#This Row],[concept/supplier]],'sel-prov'!F:H,3,0)</f>
        <v>Ltd</v>
      </c>
      <c r="H17" t="str">
        <f>VLOOKUP(input_provisions[[#This Row],[concept/supplier]],'sel-prov'!F:I,4,0)</f>
        <v>EUR</v>
      </c>
    </row>
    <row r="18" spans="1:8" x14ac:dyDescent="0.3">
      <c r="A18">
        <v>202505</v>
      </c>
      <c r="C18" t="s">
        <v>90</v>
      </c>
      <c r="D18" s="55">
        <v>12177.04</v>
      </c>
      <c r="E18" t="str">
        <f t="shared" si="0"/>
        <v>marketing</v>
      </c>
      <c r="F18" t="str">
        <f>VLOOKUP(input_provisions[[#This Row],[concept/supplier]],'sel-prov'!F:G,2,0)</f>
        <v>meta</v>
      </c>
      <c r="G18" t="str">
        <f>VLOOKUP(input_provisions[[#This Row],[concept/supplier]],'sel-prov'!F:H,3,0)</f>
        <v>SL</v>
      </c>
      <c r="H18" t="str">
        <f>VLOOKUP(input_provisions[[#This Row],[concept/supplier]],'sel-prov'!F:I,4,0)</f>
        <v>EUR</v>
      </c>
    </row>
    <row r="19" spans="1:8" x14ac:dyDescent="0.3">
      <c r="A19">
        <v>202505</v>
      </c>
      <c r="C19" t="s">
        <v>88</v>
      </c>
      <c r="D19" s="55">
        <v>13499.38</v>
      </c>
      <c r="E19" t="str">
        <f t="shared" si="0"/>
        <v>marketing</v>
      </c>
      <c r="F19" t="str">
        <f>VLOOKUP(input_provisions[[#This Row],[concept/supplier]],'sel-prov'!F:G,2,0)</f>
        <v>google</v>
      </c>
      <c r="G19" t="str">
        <f>VLOOKUP(input_provisions[[#This Row],[concept/supplier]],'sel-prov'!F:H,3,0)</f>
        <v>SL</v>
      </c>
      <c r="H19" t="str">
        <f>VLOOKUP(input_provisions[[#This Row],[concept/supplier]],'sel-prov'!F:I,4,0)</f>
        <v>EUR</v>
      </c>
    </row>
    <row r="20" spans="1:8" x14ac:dyDescent="0.3">
      <c r="A20">
        <v>202505</v>
      </c>
      <c r="C20" t="s">
        <v>95</v>
      </c>
      <c r="D20" s="55">
        <v>3058.44</v>
      </c>
      <c r="E20" t="str">
        <f t="shared" si="0"/>
        <v>marketing</v>
      </c>
      <c r="F20" t="str">
        <f>VLOOKUP(input_provisions[[#This Row],[concept/supplier]],'sel-prov'!F:G,2,0)</f>
        <v>meta</v>
      </c>
      <c r="G20" t="str">
        <f>VLOOKUP(input_provisions[[#This Row],[concept/supplier]],'sel-prov'!F:H,3,0)</f>
        <v>Ltd</v>
      </c>
      <c r="H20" t="str">
        <f>VLOOKUP(input_provisions[[#This Row],[concept/supplier]],'sel-prov'!F:I,4,0)</f>
        <v>EUR</v>
      </c>
    </row>
    <row r="21" spans="1:8" x14ac:dyDescent="0.3">
      <c r="A21">
        <v>202505</v>
      </c>
      <c r="C21" t="s">
        <v>94</v>
      </c>
      <c r="D21" s="55">
        <v>3402.29</v>
      </c>
      <c r="E21" t="str">
        <f t="shared" si="0"/>
        <v>marketing</v>
      </c>
      <c r="F21" t="str">
        <f>VLOOKUP(input_provisions[[#This Row],[concept/supplier]],'sel-prov'!F:G,2,0)</f>
        <v>google</v>
      </c>
      <c r="G21" t="str">
        <f>VLOOKUP(input_provisions[[#This Row],[concept/supplier]],'sel-prov'!F:H,3,0)</f>
        <v>Ltd</v>
      </c>
      <c r="H21" t="str">
        <f>VLOOKUP(input_provisions[[#This Row],[concept/supplier]],'sel-prov'!F:I,4,0)</f>
        <v>EUR</v>
      </c>
    </row>
    <row r="22" spans="1:8" x14ac:dyDescent="0.3">
      <c r="A22">
        <v>202506</v>
      </c>
      <c r="C22" t="s">
        <v>90</v>
      </c>
      <c r="D22" s="55">
        <v>11268.32</v>
      </c>
      <c r="E22" t="str">
        <f t="shared" si="0"/>
        <v>marketing</v>
      </c>
      <c r="F22" t="str">
        <f>VLOOKUP(input_provisions[[#This Row],[concept/supplier]],'sel-prov'!F:G,2,0)</f>
        <v>meta</v>
      </c>
      <c r="G22" t="str">
        <f>VLOOKUP(input_provisions[[#This Row],[concept/supplier]],'sel-prov'!F:H,3,0)</f>
        <v>SL</v>
      </c>
      <c r="H22" t="str">
        <f>VLOOKUP(input_provisions[[#This Row],[concept/supplier]],'sel-prov'!F:I,4,0)</f>
        <v>EUR</v>
      </c>
    </row>
    <row r="23" spans="1:8" x14ac:dyDescent="0.3">
      <c r="A23">
        <v>202506</v>
      </c>
      <c r="C23" t="s">
        <v>88</v>
      </c>
      <c r="D23" s="55">
        <v>16100.01</v>
      </c>
      <c r="E23" t="str">
        <f t="shared" si="0"/>
        <v>marketing</v>
      </c>
      <c r="F23" t="str">
        <f>VLOOKUP(input_provisions[[#This Row],[concept/supplier]],'sel-prov'!F:G,2,0)</f>
        <v>google</v>
      </c>
      <c r="G23" t="str">
        <f>VLOOKUP(input_provisions[[#This Row],[concept/supplier]],'sel-prov'!F:H,3,0)</f>
        <v>SL</v>
      </c>
      <c r="H23" t="str">
        <f>VLOOKUP(input_provisions[[#This Row],[concept/supplier]],'sel-prov'!F:I,4,0)</f>
        <v>EUR</v>
      </c>
    </row>
    <row r="24" spans="1:8" x14ac:dyDescent="0.3">
      <c r="A24">
        <v>202506</v>
      </c>
      <c r="C24" t="s">
        <v>95</v>
      </c>
      <c r="D24" s="55">
        <v>2851.02</v>
      </c>
      <c r="E24" t="str">
        <f t="shared" si="0"/>
        <v>marketing</v>
      </c>
      <c r="F24" t="str">
        <f>VLOOKUP(input_provisions[[#This Row],[concept/supplier]],'sel-prov'!F:G,2,0)</f>
        <v>meta</v>
      </c>
      <c r="G24" t="str">
        <f>VLOOKUP(input_provisions[[#This Row],[concept/supplier]],'sel-prov'!F:H,3,0)</f>
        <v>Ltd</v>
      </c>
      <c r="H24" t="str">
        <f>VLOOKUP(input_provisions[[#This Row],[concept/supplier]],'sel-prov'!F:I,4,0)</f>
        <v>EUR</v>
      </c>
    </row>
    <row r="25" spans="1:8" ht="15" thickBot="1" x14ac:dyDescent="0.35">
      <c r="A25">
        <v>202506</v>
      </c>
      <c r="C25" t="s">
        <v>94</v>
      </c>
      <c r="D25" s="55">
        <v>4729.84</v>
      </c>
      <c r="E25" t="str">
        <f t="shared" si="0"/>
        <v>marketing</v>
      </c>
      <c r="F25" t="str">
        <f>VLOOKUP(input_provisions[[#This Row],[concept/supplier]],'sel-prov'!F:G,2,0)</f>
        <v>google</v>
      </c>
      <c r="G25" t="str">
        <f>VLOOKUP(input_provisions[[#This Row],[concept/supplier]],'sel-prov'!F:H,3,0)</f>
        <v>Ltd</v>
      </c>
      <c r="H25" t="str">
        <f>VLOOKUP(input_provisions[[#This Row],[concept/supplier]],'sel-prov'!F:I,4,0)</f>
        <v>EUR</v>
      </c>
    </row>
    <row r="26" spans="1:8" ht="15" thickBot="1" x14ac:dyDescent="0.35">
      <c r="A26">
        <v>202507</v>
      </c>
      <c r="C26" t="s">
        <v>90</v>
      </c>
      <c r="D26" s="56">
        <v>12607.25</v>
      </c>
      <c r="E26" t="str">
        <f t="shared" si="0"/>
        <v>marketing</v>
      </c>
      <c r="F26" t="str">
        <f>VLOOKUP(input_provisions[[#This Row],[concept/supplier]],'sel-prov'!F:G,2,0)</f>
        <v>meta</v>
      </c>
      <c r="G26" t="str">
        <f>VLOOKUP(input_provisions[[#This Row],[concept/supplier]],'sel-prov'!F:H,3,0)</f>
        <v>SL</v>
      </c>
      <c r="H26" t="str">
        <f>VLOOKUP(input_provisions[[#This Row],[concept/supplier]],'sel-prov'!F:I,4,0)</f>
        <v>EUR</v>
      </c>
    </row>
    <row r="27" spans="1:8" ht="15" thickBot="1" x14ac:dyDescent="0.35">
      <c r="A27">
        <v>202507</v>
      </c>
      <c r="C27" t="s">
        <v>88</v>
      </c>
      <c r="D27" s="56">
        <v>25243.47</v>
      </c>
      <c r="E27" t="str">
        <f t="shared" si="0"/>
        <v>marketing</v>
      </c>
      <c r="F27" t="str">
        <f>VLOOKUP(input_provisions[[#This Row],[concept/supplier]],'sel-prov'!F:G,2,0)</f>
        <v>google</v>
      </c>
      <c r="G27" t="str">
        <f>VLOOKUP(input_provisions[[#This Row],[concept/supplier]],'sel-prov'!F:H,3,0)</f>
        <v>SL</v>
      </c>
      <c r="H27" t="str">
        <f>VLOOKUP(input_provisions[[#This Row],[concept/supplier]],'sel-prov'!F:I,4,0)</f>
        <v>EUR</v>
      </c>
    </row>
    <row r="28" spans="1:8" ht="15" thickBot="1" x14ac:dyDescent="0.35">
      <c r="A28">
        <v>202507</v>
      </c>
      <c r="C28" t="s">
        <v>95</v>
      </c>
      <c r="D28" s="56">
        <v>3046.94</v>
      </c>
      <c r="E28" t="str">
        <f t="shared" si="0"/>
        <v>marketing</v>
      </c>
      <c r="F28" t="str">
        <f>VLOOKUP(input_provisions[[#This Row],[concept/supplier]],'sel-prov'!F:G,2,0)</f>
        <v>meta</v>
      </c>
      <c r="G28" t="str">
        <f>VLOOKUP(input_provisions[[#This Row],[concept/supplier]],'sel-prov'!F:H,3,0)</f>
        <v>Ltd</v>
      </c>
      <c r="H28" t="str">
        <f>VLOOKUP(input_provisions[[#This Row],[concept/supplier]],'sel-prov'!F:I,4,0)</f>
        <v>EUR</v>
      </c>
    </row>
    <row r="29" spans="1:8" ht="15" thickBot="1" x14ac:dyDescent="0.35">
      <c r="A29">
        <v>202507</v>
      </c>
      <c r="C29" t="s">
        <v>94</v>
      </c>
      <c r="D29" s="56">
        <v>7112.04</v>
      </c>
      <c r="E29" t="str">
        <f t="shared" si="0"/>
        <v>marketing</v>
      </c>
      <c r="F29" t="str">
        <f>VLOOKUP(input_provisions[[#This Row],[concept/supplier]],'sel-prov'!F:G,2,0)</f>
        <v>google</v>
      </c>
      <c r="G29" t="str">
        <f>VLOOKUP(input_provisions[[#This Row],[concept/supplier]],'sel-prov'!F:H,3,0)</f>
        <v>Ltd</v>
      </c>
      <c r="H29" t="str">
        <f>VLOOKUP(input_provisions[[#This Row],[concept/supplier]],'sel-prov'!F:I,4,0)</f>
        <v>EUR</v>
      </c>
    </row>
    <row r="30" spans="1:8" ht="15" thickBot="1" x14ac:dyDescent="0.35">
      <c r="A30">
        <v>202507</v>
      </c>
      <c r="C30" t="s">
        <v>99</v>
      </c>
      <c r="D30" s="56">
        <v>1213.28</v>
      </c>
      <c r="E30" t="str">
        <f t="shared" ref="E30:E31" si="1">_xlfn.TEXTBEFORE(C30," - ")</f>
        <v>marketing</v>
      </c>
      <c r="F30" t="str">
        <f>VLOOKUP(input_provisions[[#This Row],[concept/supplier]],'sel-prov'!F:G,2,0)</f>
        <v>meta</v>
      </c>
      <c r="G30" t="str">
        <f>VLOOKUP(input_provisions[[#This Row],[concept/supplier]],'sel-prov'!F:H,3,0)</f>
        <v>Inc</v>
      </c>
      <c r="H30" t="str">
        <f>VLOOKUP(input_provisions[[#This Row],[concept/supplier]],'sel-prov'!F:I,4,0)</f>
        <v>EUR</v>
      </c>
    </row>
    <row r="31" spans="1:8" ht="15" thickBot="1" x14ac:dyDescent="0.35">
      <c r="A31">
        <v>202507</v>
      </c>
      <c r="C31" t="s">
        <v>98</v>
      </c>
      <c r="D31" s="56">
        <v>4183.67</v>
      </c>
      <c r="E31" t="str">
        <f t="shared" si="1"/>
        <v>marketing</v>
      </c>
      <c r="F31" t="str">
        <f>VLOOKUP(input_provisions[[#This Row],[concept/supplier]],'sel-prov'!F:G,2,0)</f>
        <v>google</v>
      </c>
      <c r="G31" t="str">
        <f>VLOOKUP(input_provisions[[#This Row],[concept/supplier]],'sel-prov'!F:H,3,0)</f>
        <v>Inc</v>
      </c>
      <c r="H31" t="str">
        <f>VLOOKUP(input_provisions[[#This Row],[concept/supplier]],'sel-prov'!F:I,4,0)</f>
        <v>EUR</v>
      </c>
    </row>
    <row r="32" spans="1:8" ht="15" thickBot="1" x14ac:dyDescent="0.35">
      <c r="A32">
        <v>202508</v>
      </c>
      <c r="C32" t="s">
        <v>90</v>
      </c>
      <c r="D32" s="56">
        <v>13983.65</v>
      </c>
      <c r="E32" t="str">
        <f t="shared" ref="E32:E37" si="2">_xlfn.TEXTBEFORE(C32," - ")</f>
        <v>marketing</v>
      </c>
      <c r="F32" t="str">
        <f>VLOOKUP(input_provisions[[#This Row],[concept/supplier]],'sel-prov'!F:G,2,0)</f>
        <v>meta</v>
      </c>
      <c r="G32" t="str">
        <f>VLOOKUP(input_provisions[[#This Row],[concept/supplier]],'sel-prov'!F:H,3,0)</f>
        <v>SL</v>
      </c>
      <c r="H32" t="str">
        <f>VLOOKUP(input_provisions[[#This Row],[concept/supplier]],'sel-prov'!F:I,4,0)</f>
        <v>EUR</v>
      </c>
    </row>
    <row r="33" spans="1:10" ht="15" thickBot="1" x14ac:dyDescent="0.35">
      <c r="A33">
        <v>202508</v>
      </c>
      <c r="C33" t="s">
        <v>88</v>
      </c>
      <c r="D33" s="56">
        <v>17356.11</v>
      </c>
      <c r="E33" t="str">
        <f t="shared" si="2"/>
        <v>marketing</v>
      </c>
      <c r="F33" t="str">
        <f>VLOOKUP(input_provisions[[#This Row],[concept/supplier]],'sel-prov'!F:G,2,0)</f>
        <v>google</v>
      </c>
      <c r="G33" t="str">
        <f>VLOOKUP(input_provisions[[#This Row],[concept/supplier]],'sel-prov'!F:H,3,0)</f>
        <v>SL</v>
      </c>
      <c r="H33" t="str">
        <f>VLOOKUP(input_provisions[[#This Row],[concept/supplier]],'sel-prov'!F:I,4,0)</f>
        <v>EUR</v>
      </c>
    </row>
    <row r="34" spans="1:10" ht="15" thickBot="1" x14ac:dyDescent="0.35">
      <c r="A34">
        <v>202508</v>
      </c>
      <c r="C34" t="s">
        <v>95</v>
      </c>
      <c r="D34" s="56">
        <v>2480.5</v>
      </c>
      <c r="E34" t="str">
        <f t="shared" si="2"/>
        <v>marketing</v>
      </c>
      <c r="F34" t="str">
        <f>VLOOKUP(input_provisions[[#This Row],[concept/supplier]],'sel-prov'!F:G,2,0)</f>
        <v>meta</v>
      </c>
      <c r="G34" t="str">
        <f>VLOOKUP(input_provisions[[#This Row],[concept/supplier]],'sel-prov'!F:H,3,0)</f>
        <v>Ltd</v>
      </c>
      <c r="H34" t="str">
        <f>VLOOKUP(input_provisions[[#This Row],[concept/supplier]],'sel-prov'!F:I,4,0)</f>
        <v>EUR</v>
      </c>
    </row>
    <row r="35" spans="1:10" ht="15" thickBot="1" x14ac:dyDescent="0.35">
      <c r="A35">
        <v>202508</v>
      </c>
      <c r="C35" t="s">
        <v>94</v>
      </c>
      <c r="D35" s="56">
        <v>4274.34</v>
      </c>
      <c r="E35" t="str">
        <f t="shared" si="2"/>
        <v>marketing</v>
      </c>
      <c r="F35" t="str">
        <f>VLOOKUP(input_provisions[[#This Row],[concept/supplier]],'sel-prov'!F:G,2,0)</f>
        <v>google</v>
      </c>
      <c r="G35" t="str">
        <f>VLOOKUP(input_provisions[[#This Row],[concept/supplier]],'sel-prov'!F:H,3,0)</f>
        <v>Ltd</v>
      </c>
      <c r="H35" t="str">
        <f>VLOOKUP(input_provisions[[#This Row],[concept/supplier]],'sel-prov'!F:I,4,0)</f>
        <v>EUR</v>
      </c>
    </row>
    <row r="36" spans="1:10" ht="15" thickBot="1" x14ac:dyDescent="0.35">
      <c r="A36">
        <v>202508</v>
      </c>
      <c r="C36" t="s">
        <v>99</v>
      </c>
      <c r="D36" s="56">
        <v>3104.47</v>
      </c>
      <c r="E36" t="str">
        <f t="shared" si="2"/>
        <v>marketing</v>
      </c>
      <c r="F36" t="str">
        <f>VLOOKUP(input_provisions[[#This Row],[concept/supplier]],'sel-prov'!F:G,2,0)</f>
        <v>meta</v>
      </c>
      <c r="G36" t="str">
        <f>VLOOKUP(input_provisions[[#This Row],[concept/supplier]],'sel-prov'!F:H,3,0)</f>
        <v>Inc</v>
      </c>
      <c r="H36" t="str">
        <f>VLOOKUP(input_provisions[[#This Row],[concept/supplier]],'sel-prov'!F:I,4,0)</f>
        <v>EUR</v>
      </c>
    </row>
    <row r="37" spans="1:10" ht="15" thickBot="1" x14ac:dyDescent="0.35">
      <c r="A37">
        <v>202508</v>
      </c>
      <c r="C37" t="s">
        <v>98</v>
      </c>
      <c r="D37" s="57">
        <v>2970.28</v>
      </c>
      <c r="E37" t="str">
        <f t="shared" si="2"/>
        <v>marketing</v>
      </c>
      <c r="F37" t="str">
        <f>VLOOKUP(input_provisions[[#This Row],[concept/supplier]],'sel-prov'!F:G,2,0)</f>
        <v>google</v>
      </c>
      <c r="G37" t="str">
        <f>VLOOKUP(input_provisions[[#This Row],[concept/supplier]],'sel-prov'!F:H,3,0)</f>
        <v>Inc</v>
      </c>
      <c r="H37" t="str">
        <f>VLOOKUP(input_provisions[[#This Row],[concept/supplier]],'sel-prov'!F:I,4,0)</f>
        <v>EUR</v>
      </c>
    </row>
    <row r="38" spans="1:10" ht="15" thickBot="1" x14ac:dyDescent="0.35">
      <c r="A38">
        <v>202507</v>
      </c>
      <c r="C38" t="s">
        <v>510</v>
      </c>
      <c r="D38" s="57">
        <v>398.27999999999992</v>
      </c>
      <c r="E38" t="str">
        <f>_xlfn.TEXTBEFORE(C38," - ")</f>
        <v>manufacturing</v>
      </c>
      <c r="F38" t="str">
        <f>VLOOKUP(input_provisions[[#This Row],[concept/supplier]],'sel-prov'!F:G,2,0)</f>
        <v>frames</v>
      </c>
      <c r="G38" t="str">
        <f>VLOOKUP(input_provisions[[#This Row],[concept/supplier]],'sel-prov'!F:H,3,0)</f>
        <v>Inc</v>
      </c>
      <c r="H38" t="str">
        <f>VLOOKUP(input_provisions[[#This Row],[concept/supplier]],'sel-prov'!F:I,4,0)</f>
        <v>EUR</v>
      </c>
    </row>
    <row r="39" spans="1:10" x14ac:dyDescent="0.3">
      <c r="A39">
        <v>202508</v>
      </c>
      <c r="C39" t="s">
        <v>510</v>
      </c>
      <c r="D39" s="57">
        <v>1401.0499999999997</v>
      </c>
      <c r="E39" t="str">
        <f>_xlfn.TEXTBEFORE(C39," - ")</f>
        <v>manufacturing</v>
      </c>
      <c r="F39" t="str">
        <f>VLOOKUP(input_provisions[[#This Row],[concept/supplier]],'sel-prov'!F:G,2,0)</f>
        <v>frames</v>
      </c>
      <c r="G39" t="str">
        <f>VLOOKUP(input_provisions[[#This Row],[concept/supplier]],'sel-prov'!F:H,3,0)</f>
        <v>Inc</v>
      </c>
      <c r="H39" t="str">
        <f>VLOOKUP(input_provisions[[#This Row],[concept/supplier]],'sel-prov'!F:I,4,0)</f>
        <v>EUR</v>
      </c>
    </row>
    <row r="40" spans="1:10" x14ac:dyDescent="0.3">
      <c r="A40" s="241">
        <v>202509</v>
      </c>
      <c r="B40" s="242"/>
      <c r="C40" s="242" t="s">
        <v>88</v>
      </c>
      <c r="D40" s="243">
        <v>20085.650000000001</v>
      </c>
      <c r="E40" t="str">
        <f t="shared" ref="E40:E45" si="3">_xlfn.TEXTBEFORE(C40," - ")</f>
        <v>marketing</v>
      </c>
      <c r="F40" t="str">
        <f>VLOOKUP(input_provisions[[#This Row],[concept/supplier]],'sel-prov'!F:G,2,0)</f>
        <v>google</v>
      </c>
      <c r="G40" t="str">
        <f>VLOOKUP(input_provisions[[#This Row],[concept/supplier]],'sel-prov'!F:H,3,0)</f>
        <v>SL</v>
      </c>
      <c r="H40" t="str">
        <f>VLOOKUP(input_provisions[[#This Row],[concept/supplier]],'sel-prov'!F:I,4,0)</f>
        <v>EUR</v>
      </c>
      <c r="I40" s="242"/>
      <c r="J40" s="244"/>
    </row>
    <row r="41" spans="1:10" x14ac:dyDescent="0.3">
      <c r="A41" s="241">
        <v>202509</v>
      </c>
      <c r="B41" s="242"/>
      <c r="C41" s="242" t="s">
        <v>90</v>
      </c>
      <c r="D41" s="243">
        <v>16282.5</v>
      </c>
      <c r="E41" t="str">
        <f t="shared" si="3"/>
        <v>marketing</v>
      </c>
      <c r="F41" t="str">
        <f>VLOOKUP(input_provisions[[#This Row],[concept/supplier]],'sel-prov'!F:G,2,0)</f>
        <v>meta</v>
      </c>
      <c r="G41" t="str">
        <f>VLOOKUP(input_provisions[[#This Row],[concept/supplier]],'sel-prov'!F:H,3,0)</f>
        <v>SL</v>
      </c>
      <c r="H41" t="str">
        <f>VLOOKUP(input_provisions[[#This Row],[concept/supplier]],'sel-prov'!F:I,4,0)</f>
        <v>EUR</v>
      </c>
      <c r="I41" s="242"/>
      <c r="J41" s="244"/>
    </row>
    <row r="42" spans="1:10" x14ac:dyDescent="0.3">
      <c r="A42" s="245">
        <v>202509</v>
      </c>
      <c r="B42" s="246"/>
      <c r="C42" s="246" t="s">
        <v>94</v>
      </c>
      <c r="D42" s="247">
        <v>5673.47</v>
      </c>
      <c r="E42" t="str">
        <f t="shared" si="3"/>
        <v>marketing</v>
      </c>
      <c r="F42" t="str">
        <f>VLOOKUP(input_provisions[[#This Row],[concept/supplier]],'sel-prov'!F:G,2,0)</f>
        <v>google</v>
      </c>
      <c r="G42" t="str">
        <f>VLOOKUP(input_provisions[[#This Row],[concept/supplier]],'sel-prov'!F:H,3,0)</f>
        <v>Ltd</v>
      </c>
      <c r="H42" t="str">
        <f>VLOOKUP(input_provisions[[#This Row],[concept/supplier]],'sel-prov'!F:I,4,0)</f>
        <v>EUR</v>
      </c>
      <c r="I42" s="246"/>
      <c r="J42" s="248"/>
    </row>
    <row r="43" spans="1:10" x14ac:dyDescent="0.3">
      <c r="A43" s="249">
        <v>202509</v>
      </c>
      <c r="B43" s="250"/>
      <c r="C43" s="250" t="s">
        <v>95</v>
      </c>
      <c r="D43" s="251">
        <v>3113.68</v>
      </c>
      <c r="E43" t="str">
        <f t="shared" si="3"/>
        <v>marketing</v>
      </c>
      <c r="F43" t="str">
        <f>VLOOKUP(input_provisions[[#This Row],[concept/supplier]],'sel-prov'!F:G,2,0)</f>
        <v>meta</v>
      </c>
      <c r="G43" t="str">
        <f>VLOOKUP(input_provisions[[#This Row],[concept/supplier]],'sel-prov'!F:H,3,0)</f>
        <v>Ltd</v>
      </c>
      <c r="H43" t="str">
        <f>VLOOKUP(input_provisions[[#This Row],[concept/supplier]],'sel-prov'!F:I,4,0)</f>
        <v>EUR</v>
      </c>
      <c r="I43" s="250"/>
      <c r="J43" s="252"/>
    </row>
    <row r="44" spans="1:10" x14ac:dyDescent="0.3">
      <c r="A44" s="245">
        <v>202509</v>
      </c>
      <c r="B44" s="246"/>
      <c r="C44" s="246" t="s">
        <v>98</v>
      </c>
      <c r="D44" s="247">
        <v>1642.46</v>
      </c>
      <c r="E44" t="str">
        <f t="shared" si="3"/>
        <v>marketing</v>
      </c>
      <c r="F44" t="str">
        <f>VLOOKUP(input_provisions[[#This Row],[concept/supplier]],'sel-prov'!F:G,2,0)</f>
        <v>google</v>
      </c>
      <c r="G44" t="str">
        <f>VLOOKUP(input_provisions[[#This Row],[concept/supplier]],'sel-prov'!F:H,3,0)</f>
        <v>Inc</v>
      </c>
      <c r="H44" t="str">
        <f>VLOOKUP(input_provisions[[#This Row],[concept/supplier]],'sel-prov'!F:I,4,0)</f>
        <v>EUR</v>
      </c>
      <c r="I44" s="246"/>
      <c r="J44" s="248"/>
    </row>
    <row r="45" spans="1:10" x14ac:dyDescent="0.3">
      <c r="A45" s="249">
        <v>202509</v>
      </c>
      <c r="B45" s="250"/>
      <c r="C45" s="250" t="s">
        <v>99</v>
      </c>
      <c r="D45" s="251">
        <v>3506.82</v>
      </c>
      <c r="E45" t="str">
        <f t="shared" si="3"/>
        <v>marketing</v>
      </c>
      <c r="F45" t="str">
        <f>VLOOKUP(input_provisions[[#This Row],[concept/supplier]],'sel-prov'!F:G,2,0)</f>
        <v>meta</v>
      </c>
      <c r="G45" t="str">
        <f>VLOOKUP(input_provisions[[#This Row],[concept/supplier]],'sel-prov'!F:H,3,0)</f>
        <v>Inc</v>
      </c>
      <c r="H45" t="str">
        <f>VLOOKUP(input_provisions[[#This Row],[concept/supplier]],'sel-prov'!F:I,4,0)</f>
        <v>EUR</v>
      </c>
      <c r="I45" s="250"/>
      <c r="J45" s="252"/>
    </row>
    <row r="46" spans="1:10" x14ac:dyDescent="0.3">
      <c r="A46" s="249">
        <v>202510</v>
      </c>
      <c r="C46" s="242" t="s">
        <v>88</v>
      </c>
      <c r="D46">
        <v>23260.39</v>
      </c>
      <c r="E46" t="str">
        <f t="shared" ref="E46:E51" si="4">_xlfn.TEXTBEFORE(C46," - ")</f>
        <v>marketing</v>
      </c>
      <c r="F46" t="str">
        <f>VLOOKUP(input_provisions[[#This Row],[concept/supplier]],'sel-prov'!F:G,2,0)</f>
        <v>google</v>
      </c>
      <c r="G46" t="str">
        <f>VLOOKUP(input_provisions[[#This Row],[concept/supplier]],'sel-prov'!F:H,3,0)</f>
        <v>SL</v>
      </c>
      <c r="H46" t="str">
        <f>VLOOKUP(input_provisions[[#This Row],[concept/supplier]],'sel-prov'!F:I,4,0)</f>
        <v>EUR</v>
      </c>
    </row>
    <row r="47" spans="1:10" x14ac:dyDescent="0.3">
      <c r="A47" s="249">
        <v>202510</v>
      </c>
      <c r="C47" s="242" t="s">
        <v>90</v>
      </c>
      <c r="D47">
        <v>18685.14</v>
      </c>
      <c r="E47" t="str">
        <f t="shared" si="4"/>
        <v>marketing</v>
      </c>
      <c r="F47" t="str">
        <f>VLOOKUP(input_provisions[[#This Row],[concept/supplier]],'sel-prov'!F:G,2,0)</f>
        <v>meta</v>
      </c>
      <c r="G47" t="str">
        <f>VLOOKUP(input_provisions[[#This Row],[concept/supplier]],'sel-prov'!F:H,3,0)</f>
        <v>SL</v>
      </c>
      <c r="H47" t="str">
        <f>VLOOKUP(input_provisions[[#This Row],[concept/supplier]],'sel-prov'!F:I,4,0)</f>
        <v>EUR</v>
      </c>
    </row>
    <row r="48" spans="1:10" x14ac:dyDescent="0.3">
      <c r="A48" s="249">
        <v>202510</v>
      </c>
      <c r="C48" s="246" t="s">
        <v>94</v>
      </c>
      <c r="D48">
        <v>6766.71</v>
      </c>
      <c r="E48" t="str">
        <f t="shared" si="4"/>
        <v>marketing</v>
      </c>
      <c r="F48" t="str">
        <f>VLOOKUP(input_provisions[[#This Row],[concept/supplier]],'sel-prov'!F:G,2,0)</f>
        <v>google</v>
      </c>
      <c r="G48" t="str">
        <f>VLOOKUP(input_provisions[[#This Row],[concept/supplier]],'sel-prov'!F:H,3,0)</f>
        <v>Ltd</v>
      </c>
      <c r="H48" t="str">
        <f>VLOOKUP(input_provisions[[#This Row],[concept/supplier]],'sel-prov'!F:I,4,0)</f>
        <v>EUR</v>
      </c>
    </row>
    <row r="49" spans="1:8" x14ac:dyDescent="0.3">
      <c r="A49" s="249">
        <v>202510</v>
      </c>
      <c r="C49" s="250" t="s">
        <v>95</v>
      </c>
      <c r="D49">
        <v>3793.63</v>
      </c>
      <c r="E49" t="str">
        <f t="shared" si="4"/>
        <v>marketing</v>
      </c>
      <c r="F49" t="str">
        <f>VLOOKUP(input_provisions[[#This Row],[concept/supplier]],'sel-prov'!F:G,2,0)</f>
        <v>meta</v>
      </c>
      <c r="G49" t="str">
        <f>VLOOKUP(input_provisions[[#This Row],[concept/supplier]],'sel-prov'!F:H,3,0)</f>
        <v>Ltd</v>
      </c>
      <c r="H49" t="str">
        <f>VLOOKUP(input_provisions[[#This Row],[concept/supplier]],'sel-prov'!F:I,4,0)</f>
        <v>EUR</v>
      </c>
    </row>
    <row r="50" spans="1:8" x14ac:dyDescent="0.3">
      <c r="A50" s="249">
        <v>202510</v>
      </c>
      <c r="C50" s="246" t="s">
        <v>98</v>
      </c>
      <c r="D50">
        <v>2759.45</v>
      </c>
      <c r="E50" t="str">
        <f t="shared" si="4"/>
        <v>marketing</v>
      </c>
      <c r="F50" t="str">
        <f>VLOOKUP(input_provisions[[#This Row],[concept/supplier]],'sel-prov'!F:G,2,0)</f>
        <v>google</v>
      </c>
      <c r="G50" t="str">
        <f>VLOOKUP(input_provisions[[#This Row],[concept/supplier]],'sel-prov'!F:H,3,0)</f>
        <v>Inc</v>
      </c>
      <c r="H50" t="str">
        <f>VLOOKUP(input_provisions[[#This Row],[concept/supplier]],'sel-prov'!F:I,4,0)</f>
        <v>EUR</v>
      </c>
    </row>
    <row r="51" spans="1:8" x14ac:dyDescent="0.3">
      <c r="A51" s="249">
        <v>202510</v>
      </c>
      <c r="C51" s="250" t="s">
        <v>99</v>
      </c>
      <c r="D51">
        <v>4071.8</v>
      </c>
      <c r="E51" t="str">
        <f t="shared" si="4"/>
        <v>marketing</v>
      </c>
      <c r="F51" t="str">
        <f>VLOOKUP(input_provisions[[#This Row],[concept/supplier]],'sel-prov'!F:G,2,0)</f>
        <v>meta</v>
      </c>
      <c r="G51" t="str">
        <f>VLOOKUP(input_provisions[[#This Row],[concept/supplier]],'sel-prov'!F:H,3,0)</f>
        <v>Inc</v>
      </c>
      <c r="H51" t="str">
        <f>VLOOKUP(input_provisions[[#This Row],[concept/supplier]],'sel-prov'!F:I,4,0)</f>
        <v>EUR</v>
      </c>
    </row>
    <row r="52" spans="1:8" x14ac:dyDescent="0.3">
      <c r="A52" s="249">
        <v>202511</v>
      </c>
      <c r="C52" s="242" t="s">
        <v>88</v>
      </c>
      <c r="D52" s="55">
        <v>21012.94</v>
      </c>
      <c r="E52" t="str">
        <f t="shared" ref="E52:E57" si="5">_xlfn.TEXTBEFORE(C52," - ")</f>
        <v>marketing</v>
      </c>
      <c r="F52" t="str">
        <f>VLOOKUP(input_provisions[[#This Row],[concept/supplier]],'sel-prov'!F:G,2,0)</f>
        <v>google</v>
      </c>
      <c r="G52" t="str">
        <f>VLOOKUP(input_provisions[[#This Row],[concept/supplier]],'sel-prov'!F:H,3,0)</f>
        <v>SL</v>
      </c>
      <c r="H52" t="str">
        <f>VLOOKUP(input_provisions[[#This Row],[concept/supplier]],'sel-prov'!F:I,4,0)</f>
        <v>EUR</v>
      </c>
    </row>
    <row r="53" spans="1:8" x14ac:dyDescent="0.3">
      <c r="A53" s="249">
        <v>202511</v>
      </c>
      <c r="C53" s="242" t="s">
        <v>90</v>
      </c>
      <c r="D53" s="55">
        <v>20504.560000000001</v>
      </c>
      <c r="E53" t="str">
        <f t="shared" si="5"/>
        <v>marketing</v>
      </c>
      <c r="F53" t="str">
        <f>VLOOKUP(input_provisions[[#This Row],[concept/supplier]],'sel-prov'!F:G,2,0)</f>
        <v>meta</v>
      </c>
      <c r="G53" t="str">
        <f>VLOOKUP(input_provisions[[#This Row],[concept/supplier]],'sel-prov'!F:H,3,0)</f>
        <v>SL</v>
      </c>
      <c r="H53" t="str">
        <f>VLOOKUP(input_provisions[[#This Row],[concept/supplier]],'sel-prov'!F:I,4,0)</f>
        <v>EUR</v>
      </c>
    </row>
    <row r="54" spans="1:8" x14ac:dyDescent="0.3">
      <c r="A54" s="249">
        <v>202511</v>
      </c>
      <c r="C54" s="246" t="s">
        <v>94</v>
      </c>
      <c r="D54" s="55">
        <v>6580.17</v>
      </c>
      <c r="E54" t="str">
        <f t="shared" si="5"/>
        <v>marketing</v>
      </c>
      <c r="F54" t="str">
        <f>VLOOKUP(input_provisions[[#This Row],[concept/supplier]],'sel-prov'!F:G,2,0)</f>
        <v>google</v>
      </c>
      <c r="G54" t="str">
        <f>VLOOKUP(input_provisions[[#This Row],[concept/supplier]],'sel-prov'!F:H,3,0)</f>
        <v>Ltd</v>
      </c>
      <c r="H54" t="str">
        <f>VLOOKUP(input_provisions[[#This Row],[concept/supplier]],'sel-prov'!F:I,4,0)</f>
        <v>EUR</v>
      </c>
    </row>
    <row r="55" spans="1:8" x14ac:dyDescent="0.3">
      <c r="A55" s="249">
        <v>202511</v>
      </c>
      <c r="C55" s="250" t="s">
        <v>95</v>
      </c>
      <c r="D55" s="55">
        <v>3456.23</v>
      </c>
      <c r="E55" t="str">
        <f t="shared" si="5"/>
        <v>marketing</v>
      </c>
      <c r="F55" t="str">
        <f>VLOOKUP(input_provisions[[#This Row],[concept/supplier]],'sel-prov'!F:G,2,0)</f>
        <v>meta</v>
      </c>
      <c r="G55" t="str">
        <f>VLOOKUP(input_provisions[[#This Row],[concept/supplier]],'sel-prov'!F:H,3,0)</f>
        <v>Ltd</v>
      </c>
      <c r="H55" t="str">
        <f>VLOOKUP(input_provisions[[#This Row],[concept/supplier]],'sel-prov'!F:I,4,0)</f>
        <v>EUR</v>
      </c>
    </row>
    <row r="56" spans="1:8" x14ac:dyDescent="0.3">
      <c r="A56" s="249">
        <v>202511</v>
      </c>
      <c r="C56" s="246" t="s">
        <v>98</v>
      </c>
      <c r="D56" s="55">
        <v>2499.2399999999998</v>
      </c>
      <c r="E56" t="str">
        <f t="shared" si="5"/>
        <v>marketing</v>
      </c>
      <c r="F56" t="str">
        <f>VLOOKUP(input_provisions[[#This Row],[concept/supplier]],'sel-prov'!F:G,2,0)</f>
        <v>google</v>
      </c>
      <c r="G56" t="str">
        <f>VLOOKUP(input_provisions[[#This Row],[concept/supplier]],'sel-prov'!F:H,3,0)</f>
        <v>Inc</v>
      </c>
      <c r="H56" t="str">
        <f>VLOOKUP(input_provisions[[#This Row],[concept/supplier]],'sel-prov'!F:I,4,0)</f>
        <v>EUR</v>
      </c>
    </row>
    <row r="57" spans="1:8" x14ac:dyDescent="0.3">
      <c r="A57" s="249">
        <v>202511</v>
      </c>
      <c r="C57" s="250" t="s">
        <v>99</v>
      </c>
      <c r="D57" s="55">
        <v>2990.58</v>
      </c>
      <c r="E57" t="str">
        <f t="shared" si="5"/>
        <v>marketing</v>
      </c>
      <c r="F57" t="str">
        <f>VLOOKUP(input_provisions[[#This Row],[concept/supplier]],'sel-prov'!F:G,2,0)</f>
        <v>meta</v>
      </c>
      <c r="G57" t="str">
        <f>VLOOKUP(input_provisions[[#This Row],[concept/supplier]],'sel-prov'!F:H,3,0)</f>
        <v>Inc</v>
      </c>
      <c r="H57" t="str">
        <f>VLOOKUP(input_provisions[[#This Row],[concept/supplier]],'sel-prov'!F:I,4,0)</f>
        <v>EUR</v>
      </c>
    </row>
    <row r="58" spans="1:8" x14ac:dyDescent="0.3">
      <c r="A58">
        <v>202512</v>
      </c>
      <c r="C58" s="242" t="s">
        <v>88</v>
      </c>
      <c r="D58">
        <v>12731.749999999998</v>
      </c>
      <c r="E58" t="str">
        <f t="shared" ref="E58:E63" si="6">_xlfn.TEXTBEFORE(C58," - ")</f>
        <v>marketing</v>
      </c>
      <c r="F58" t="str">
        <f>VLOOKUP(input_provisions[[#This Row],[concept/supplier]],'sel-prov'!F:G,2,0)</f>
        <v>google</v>
      </c>
      <c r="G58" t="str">
        <f>VLOOKUP(input_provisions[[#This Row],[concept/supplier]],'sel-prov'!F:H,3,0)</f>
        <v>SL</v>
      </c>
      <c r="H58" t="str">
        <f>VLOOKUP(input_provisions[[#This Row],[concept/supplier]],'sel-prov'!F:I,4,0)</f>
        <v>EUR</v>
      </c>
    </row>
    <row r="59" spans="1:8" x14ac:dyDescent="0.3">
      <c r="A59">
        <v>202512</v>
      </c>
      <c r="C59" s="242" t="s">
        <v>90</v>
      </c>
      <c r="D59">
        <v>25706.76</v>
      </c>
      <c r="E59" t="str">
        <f t="shared" si="6"/>
        <v>marketing</v>
      </c>
      <c r="F59" t="str">
        <f>VLOOKUP(input_provisions[[#This Row],[concept/supplier]],'sel-prov'!F:G,2,0)</f>
        <v>meta</v>
      </c>
      <c r="G59" t="str">
        <f>VLOOKUP(input_provisions[[#This Row],[concept/supplier]],'sel-prov'!F:H,3,0)</f>
        <v>SL</v>
      </c>
      <c r="H59" t="str">
        <f>VLOOKUP(input_provisions[[#This Row],[concept/supplier]],'sel-prov'!F:I,4,0)</f>
        <v>EUR</v>
      </c>
    </row>
    <row r="60" spans="1:8" x14ac:dyDescent="0.3">
      <c r="A60">
        <v>202512</v>
      </c>
      <c r="C60" s="246" t="s">
        <v>94</v>
      </c>
      <c r="D60">
        <v>5032.34</v>
      </c>
      <c r="E60" t="str">
        <f t="shared" si="6"/>
        <v>marketing</v>
      </c>
      <c r="F60" t="str">
        <f>VLOOKUP(input_provisions[[#This Row],[concept/supplier]],'sel-prov'!F:G,2,0)</f>
        <v>google</v>
      </c>
      <c r="G60" t="str">
        <f>VLOOKUP(input_provisions[[#This Row],[concept/supplier]],'sel-prov'!F:H,3,0)</f>
        <v>Ltd</v>
      </c>
      <c r="H60" t="str">
        <f>VLOOKUP(input_provisions[[#This Row],[concept/supplier]],'sel-prov'!F:I,4,0)</f>
        <v>EUR</v>
      </c>
    </row>
    <row r="61" spans="1:8" x14ac:dyDescent="0.3">
      <c r="A61">
        <v>202512</v>
      </c>
      <c r="C61" s="250" t="s">
        <v>95</v>
      </c>
      <c r="D61">
        <v>3933.83</v>
      </c>
      <c r="E61" t="str">
        <f t="shared" si="6"/>
        <v>marketing</v>
      </c>
      <c r="F61" t="str">
        <f>VLOOKUP(input_provisions[[#This Row],[concept/supplier]],'sel-prov'!F:G,2,0)</f>
        <v>meta</v>
      </c>
      <c r="G61" t="str">
        <f>VLOOKUP(input_provisions[[#This Row],[concept/supplier]],'sel-prov'!F:H,3,0)</f>
        <v>Ltd</v>
      </c>
      <c r="H61" t="str">
        <f>VLOOKUP(input_provisions[[#This Row],[concept/supplier]],'sel-prov'!F:I,4,0)</f>
        <v>EUR</v>
      </c>
    </row>
    <row r="62" spans="1:8" x14ac:dyDescent="0.3">
      <c r="A62">
        <v>202512</v>
      </c>
      <c r="C62" s="246" t="s">
        <v>98</v>
      </c>
      <c r="D62">
        <v>1715.76</v>
      </c>
      <c r="E62" t="str">
        <f t="shared" si="6"/>
        <v>marketing</v>
      </c>
      <c r="F62" t="str">
        <f>VLOOKUP(input_provisions[[#This Row],[concept/supplier]],'sel-prov'!F:G,2,0)</f>
        <v>google</v>
      </c>
      <c r="G62" t="str">
        <f>VLOOKUP(input_provisions[[#This Row],[concept/supplier]],'sel-prov'!F:H,3,0)</f>
        <v>Inc</v>
      </c>
      <c r="H62" t="str">
        <f>VLOOKUP(input_provisions[[#This Row],[concept/supplier]],'sel-prov'!F:I,4,0)</f>
        <v>EUR</v>
      </c>
    </row>
    <row r="63" spans="1:8" x14ac:dyDescent="0.3">
      <c r="A63">
        <v>202512</v>
      </c>
      <c r="C63" s="250" t="s">
        <v>99</v>
      </c>
      <c r="D63">
        <v>2654.92</v>
      </c>
      <c r="E63" t="str">
        <f t="shared" si="6"/>
        <v>marketing</v>
      </c>
      <c r="F63" t="str">
        <f>VLOOKUP(input_provisions[[#This Row],[concept/supplier]],'sel-prov'!F:G,2,0)</f>
        <v>meta</v>
      </c>
      <c r="G63" t="str">
        <f>VLOOKUP(input_provisions[[#This Row],[concept/supplier]],'sel-prov'!F:H,3,0)</f>
        <v>Inc</v>
      </c>
      <c r="H63" t="str">
        <f>VLOOKUP(input_provisions[[#This Row],[concept/supplier]],'sel-prov'!F:I,4,0)</f>
        <v>EUR</v>
      </c>
    </row>
    <row r="64" spans="1:8" x14ac:dyDescent="0.3">
      <c r="A64">
        <v>202601</v>
      </c>
      <c r="C64" s="242" t="s">
        <v>88</v>
      </c>
      <c r="D64" s="272">
        <v>23864.87</v>
      </c>
      <c r="E64" t="str">
        <f>_xlfn.TEXTBEFORE(C64," - ")</f>
        <v>marketing</v>
      </c>
      <c r="F64" t="str">
        <f>VLOOKUP(input_provisions[[#This Row],[concept/supplier]],'sel-prov'!F:G,2,0)</f>
        <v>google</v>
      </c>
      <c r="G64" t="str">
        <f>VLOOKUP(input_provisions[[#This Row],[concept/supplier]],'sel-prov'!F:H,3,0)</f>
        <v>SL</v>
      </c>
      <c r="H64" t="str">
        <f>VLOOKUP(input_provisions[[#This Row],[concept/supplier]],'sel-prov'!F:I,4,0)</f>
        <v>EUR</v>
      </c>
    </row>
    <row r="65" spans="1:8" x14ac:dyDescent="0.3">
      <c r="A65">
        <v>202601</v>
      </c>
      <c r="C65" s="242" t="s">
        <v>90</v>
      </c>
      <c r="D65" s="272">
        <v>20319.330000000002</v>
      </c>
      <c r="E65" t="str">
        <f t="shared" ref="E65:E69" si="7">_xlfn.TEXTBEFORE(C65," - ")</f>
        <v>marketing</v>
      </c>
      <c r="F65" t="str">
        <f>VLOOKUP(input_provisions[[#This Row],[concept/supplier]],'sel-prov'!F:G,2,0)</f>
        <v>meta</v>
      </c>
      <c r="G65" t="str">
        <f>VLOOKUP(input_provisions[[#This Row],[concept/supplier]],'sel-prov'!F:H,3,0)</f>
        <v>SL</v>
      </c>
      <c r="H65" t="str">
        <f>VLOOKUP(input_provisions[[#This Row],[concept/supplier]],'sel-prov'!F:I,4,0)</f>
        <v>EUR</v>
      </c>
    </row>
    <row r="66" spans="1:8" x14ac:dyDescent="0.3">
      <c r="A66">
        <v>202601</v>
      </c>
      <c r="C66" s="246" t="s">
        <v>94</v>
      </c>
      <c r="D66" s="55">
        <v>2620.19</v>
      </c>
      <c r="E66" t="str">
        <f t="shared" si="7"/>
        <v>marketing</v>
      </c>
      <c r="F66" t="str">
        <f>VLOOKUP(input_provisions[[#This Row],[concept/supplier]],'sel-prov'!F:G,2,0)</f>
        <v>google</v>
      </c>
      <c r="G66" t="str">
        <f>VLOOKUP(input_provisions[[#This Row],[concept/supplier]],'sel-prov'!F:H,3,0)</f>
        <v>Ltd</v>
      </c>
      <c r="H66" t="str">
        <f>VLOOKUP(input_provisions[[#This Row],[concept/supplier]],'sel-prov'!F:I,4,0)</f>
        <v>EUR</v>
      </c>
    </row>
    <row r="67" spans="1:8" x14ac:dyDescent="0.3">
      <c r="A67">
        <v>202601</v>
      </c>
      <c r="C67" s="250" t="s">
        <v>95</v>
      </c>
      <c r="D67" s="55">
        <v>3385.46</v>
      </c>
      <c r="E67" t="str">
        <f t="shared" si="7"/>
        <v>marketing</v>
      </c>
      <c r="F67" t="str">
        <f>VLOOKUP(input_provisions[[#This Row],[concept/supplier]],'sel-prov'!F:G,2,0)</f>
        <v>meta</v>
      </c>
      <c r="G67" t="str">
        <f>VLOOKUP(input_provisions[[#This Row],[concept/supplier]],'sel-prov'!F:H,3,0)</f>
        <v>Ltd</v>
      </c>
      <c r="H67" t="str">
        <f>VLOOKUP(input_provisions[[#This Row],[concept/supplier]],'sel-prov'!F:I,4,0)</f>
        <v>EUR</v>
      </c>
    </row>
    <row r="68" spans="1:8" x14ac:dyDescent="0.3">
      <c r="A68">
        <v>202601</v>
      </c>
      <c r="C68" s="246" t="s">
        <v>98</v>
      </c>
      <c r="D68" s="55">
        <v>2120.13</v>
      </c>
      <c r="E68" t="str">
        <f t="shared" si="7"/>
        <v>marketing</v>
      </c>
      <c r="F68" t="str">
        <f>VLOOKUP(input_provisions[[#This Row],[concept/supplier]],'sel-prov'!F:G,2,0)</f>
        <v>google</v>
      </c>
      <c r="G68" t="str">
        <f>VLOOKUP(input_provisions[[#This Row],[concept/supplier]],'sel-prov'!F:H,3,0)</f>
        <v>Inc</v>
      </c>
      <c r="H68" t="str">
        <f>VLOOKUP(input_provisions[[#This Row],[concept/supplier]],'sel-prov'!F:I,4,0)</f>
        <v>EUR</v>
      </c>
    </row>
    <row r="69" spans="1:8" x14ac:dyDescent="0.3">
      <c r="A69">
        <v>202601</v>
      </c>
      <c r="C69" s="250" t="s">
        <v>99</v>
      </c>
      <c r="D69" s="55">
        <v>1779.68</v>
      </c>
      <c r="E69" t="str">
        <f t="shared" si="7"/>
        <v>marketing</v>
      </c>
      <c r="F69" t="str">
        <f>VLOOKUP(input_provisions[[#This Row],[concept/supplier]],'sel-prov'!F:G,2,0)</f>
        <v>meta</v>
      </c>
      <c r="G69" t="str">
        <f>VLOOKUP(input_provisions[[#This Row],[concept/supplier]],'sel-prov'!F:H,3,0)</f>
        <v>Inc</v>
      </c>
      <c r="H69" t="str">
        <f>VLOOKUP(input_provisions[[#This Row],[concept/supplier]],'sel-prov'!F:I,4,0)</f>
        <v>EUR</v>
      </c>
    </row>
    <row r="70" spans="1:8" x14ac:dyDescent="0.3">
      <c r="A70">
        <v>202602</v>
      </c>
      <c r="C70" s="242" t="s">
        <v>88</v>
      </c>
      <c r="D70" s="55">
        <v>18700.28</v>
      </c>
      <c r="E70" t="str">
        <f t="shared" ref="E70:E75" si="8">_xlfn.TEXTBEFORE(C70," - ")</f>
        <v>marketing</v>
      </c>
      <c r="F70" t="str">
        <f>VLOOKUP(input_provisions[[#This Row],[concept/supplier]],'sel-prov'!F:G,2,0)</f>
        <v>google</v>
      </c>
      <c r="G70" t="str">
        <f>VLOOKUP(input_provisions[[#This Row],[concept/supplier]],'sel-prov'!F:H,3,0)</f>
        <v>SL</v>
      </c>
      <c r="H70" t="str">
        <f>VLOOKUP(input_provisions[[#This Row],[concept/supplier]],'sel-prov'!F:I,4,0)</f>
        <v>EUR</v>
      </c>
    </row>
    <row r="71" spans="1:8" x14ac:dyDescent="0.3">
      <c r="A71">
        <v>202602</v>
      </c>
      <c r="C71" s="242" t="s">
        <v>90</v>
      </c>
      <c r="D71" s="55">
        <v>15883.550000000001</v>
      </c>
      <c r="E71" t="str">
        <f t="shared" si="8"/>
        <v>marketing</v>
      </c>
      <c r="F71" t="str">
        <f>VLOOKUP(input_provisions[[#This Row],[concept/supplier]],'sel-prov'!F:G,2,0)</f>
        <v>meta</v>
      </c>
      <c r="G71" t="str">
        <f>VLOOKUP(input_provisions[[#This Row],[concept/supplier]],'sel-prov'!F:H,3,0)</f>
        <v>SL</v>
      </c>
      <c r="H71" t="str">
        <f>VLOOKUP(input_provisions[[#This Row],[concept/supplier]],'sel-prov'!F:I,4,0)</f>
        <v>EUR</v>
      </c>
    </row>
    <row r="72" spans="1:8" x14ac:dyDescent="0.3">
      <c r="A72">
        <v>202602</v>
      </c>
      <c r="C72" s="246" t="s">
        <v>94</v>
      </c>
      <c r="D72" s="275">
        <v>5008.3</v>
      </c>
      <c r="E72" t="str">
        <f t="shared" si="8"/>
        <v>marketing</v>
      </c>
      <c r="F72" t="str">
        <f>VLOOKUP(input_provisions[[#This Row],[concept/supplier]],'sel-prov'!F:G,2,0)</f>
        <v>google</v>
      </c>
      <c r="G72" t="str">
        <f>VLOOKUP(input_provisions[[#This Row],[concept/supplier]],'sel-prov'!F:H,3,0)</f>
        <v>Ltd</v>
      </c>
      <c r="H72" t="str">
        <f>VLOOKUP(input_provisions[[#This Row],[concept/supplier]],'sel-prov'!F:I,4,0)</f>
        <v>EUR</v>
      </c>
    </row>
    <row r="73" spans="1:8" x14ac:dyDescent="0.3">
      <c r="A73">
        <v>202602</v>
      </c>
      <c r="C73" s="250" t="s">
        <v>95</v>
      </c>
      <c r="D73" s="275">
        <v>2794.04</v>
      </c>
      <c r="E73" t="str">
        <f t="shared" si="8"/>
        <v>marketing</v>
      </c>
      <c r="F73" t="str">
        <f>VLOOKUP(input_provisions[[#This Row],[concept/supplier]],'sel-prov'!F:G,2,0)</f>
        <v>meta</v>
      </c>
      <c r="G73" t="str">
        <f>VLOOKUP(input_provisions[[#This Row],[concept/supplier]],'sel-prov'!F:H,3,0)</f>
        <v>Ltd</v>
      </c>
      <c r="H73" t="str">
        <f>VLOOKUP(input_provisions[[#This Row],[concept/supplier]],'sel-prov'!F:I,4,0)</f>
        <v>EUR</v>
      </c>
    </row>
    <row r="74" spans="1:8" x14ac:dyDescent="0.3">
      <c r="A74">
        <v>202602</v>
      </c>
      <c r="C74" s="246" t="s">
        <v>98</v>
      </c>
      <c r="D74" s="275">
        <v>3346.68</v>
      </c>
      <c r="E74" t="str">
        <f t="shared" si="8"/>
        <v>marketing</v>
      </c>
      <c r="F74" t="str">
        <f>VLOOKUP(input_provisions[[#This Row],[concept/supplier]],'sel-prov'!F:G,2,0)</f>
        <v>google</v>
      </c>
      <c r="G74" t="str">
        <f>VLOOKUP(input_provisions[[#This Row],[concept/supplier]],'sel-prov'!F:H,3,0)</f>
        <v>Inc</v>
      </c>
      <c r="H74" t="str">
        <f>VLOOKUP(input_provisions[[#This Row],[concept/supplier]],'sel-prov'!F:I,4,0)</f>
        <v>EUR</v>
      </c>
    </row>
    <row r="75" spans="1:8" x14ac:dyDescent="0.3">
      <c r="A75">
        <v>202602</v>
      </c>
      <c r="C75" s="250" t="s">
        <v>99</v>
      </c>
      <c r="D75" s="275">
        <v>1397.4</v>
      </c>
      <c r="E75" t="str">
        <f t="shared" si="8"/>
        <v>marketing</v>
      </c>
      <c r="F75" t="str">
        <f>VLOOKUP(input_provisions[[#This Row],[concept/supplier]],'sel-prov'!F:G,2,0)</f>
        <v>meta</v>
      </c>
      <c r="G75" t="str">
        <f>VLOOKUP(input_provisions[[#This Row],[concept/supplier]],'sel-prov'!F:H,3,0)</f>
        <v>Inc</v>
      </c>
      <c r="H75" t="str">
        <f>VLOOKUP(input_provisions[[#This Row],[concept/supplier]],'sel-prov'!F:I,4,0)</f>
        <v>EUR</v>
      </c>
    </row>
  </sheetData>
  <dataValidations count="1">
    <dataValidation type="decimal" allowBlank="1" showInputMessage="1" showErrorMessage="1" sqref="D2:D25" xr:uid="{E0FBBDC7-135C-4290-9E7F-50A3A2C2B97B}">
      <formula1>-9.99999999999999E+37</formula1>
      <formula2>9.99999999999999E+36</formula2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119487D-50C8-4895-BFD2-CF48F747EB5B}">
          <x14:formula1>
            <xm:f>'sel-invoice'!$D$2:$D$1048576</xm:f>
          </x14:formula1>
          <xm:sqref>C40:C41 C46:C47 C52:C53 C58:C59 C64:C65 C70:C71</xm:sqref>
        </x14:dataValidation>
        <x14:dataValidation type="list" allowBlank="1" showInputMessage="1" showErrorMessage="1" xr:uid="{5FA2672E-B55C-4188-8770-3310ADA6ACD1}">
          <x14:formula1>
            <xm:f>'sel-prov'!$F$2:$F$99996</xm:f>
          </x14:formula1>
          <xm:sqref>C2:C39</xm:sqref>
        </x14:dataValidation>
        <x14:dataValidation type="list" operator="lessThan" allowBlank="1" showInputMessage="1" showErrorMessage="1" xr:uid="{E75B9126-C094-4878-A8BF-CD721D2CB6ED}">
          <x14:formula1>
            <xm:f>'sel-yyyymm'!$A$2:$A$85</xm:f>
          </x14:formula1>
          <xm:sqref>A2:B75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F714-E9C0-4267-8D14-83FDDC54B639}">
  <sheetPr>
    <tabColor theme="1"/>
  </sheetPr>
  <dimension ref="A1:AI88"/>
  <sheetViews>
    <sheetView workbookViewId="0">
      <selection activeCell="C14" sqref="C14"/>
    </sheetView>
  </sheetViews>
  <sheetFormatPr baseColWidth="10" defaultColWidth="11.44140625" defaultRowHeight="14.4" x14ac:dyDescent="0.3"/>
  <cols>
    <col min="27" max="27" width="17.33203125" customWidth="1"/>
  </cols>
  <sheetData>
    <row r="1" spans="1:35" ht="28.2" thickBot="1" x14ac:dyDescent="0.35">
      <c r="A1" s="68" t="s">
        <v>64</v>
      </c>
      <c r="B1" s="69">
        <v>4187.0600000000004</v>
      </c>
      <c r="C1" s="69">
        <v>3568.99</v>
      </c>
      <c r="D1" s="69">
        <v>4226.34</v>
      </c>
      <c r="E1" s="69">
        <v>3639.55</v>
      </c>
      <c r="F1" s="69">
        <v>3492.5</v>
      </c>
      <c r="G1" s="69">
        <v>3221.74</v>
      </c>
      <c r="H1" s="70" t="s">
        <v>390</v>
      </c>
      <c r="M1">
        <f t="shared" ref="M1:S1" si="0">SUM(M2:M10)</f>
        <v>4900.55</v>
      </c>
      <c r="N1">
        <f t="shared" si="0"/>
        <v>4054.39</v>
      </c>
      <c r="O1">
        <f t="shared" si="0"/>
        <v>4580.8600000000015</v>
      </c>
      <c r="P1">
        <f t="shared" si="0"/>
        <v>3728.5099999999998</v>
      </c>
      <c r="Q1">
        <f t="shared" si="0"/>
        <v>0</v>
      </c>
      <c r="R1">
        <f t="shared" si="0"/>
        <v>0</v>
      </c>
      <c r="S1">
        <f t="shared" si="0"/>
        <v>0</v>
      </c>
    </row>
    <row r="2" spans="1:35" ht="15" thickBot="1" x14ac:dyDescent="0.35">
      <c r="A2" s="71" t="s">
        <v>9</v>
      </c>
      <c r="B2" s="69">
        <v>2608.2600000000002</v>
      </c>
      <c r="C2" s="69">
        <v>2225.0100000000002</v>
      </c>
      <c r="D2" s="69">
        <v>3011.75</v>
      </c>
      <c r="E2" s="69">
        <v>2405.44</v>
      </c>
      <c r="F2" s="69">
        <v>2117.6799999999998</v>
      </c>
      <c r="G2" s="69">
        <v>2073.13</v>
      </c>
      <c r="H2" s="69">
        <v>2439.54</v>
      </c>
      <c r="K2" s="67" t="s">
        <v>65</v>
      </c>
      <c r="L2" s="71" t="s">
        <v>9</v>
      </c>
      <c r="M2">
        <f t="shared" ref="M2:M11" si="1">SUMIFS(B$10:B$56,$A$10:$A$56,$L2)</f>
        <v>2608.2600000000002</v>
      </c>
      <c r="N2">
        <f t="shared" ref="N2:N11" si="2">SUMIFS(C$10:C$56,$A$10:$A$56,$L2)</f>
        <v>2225.0099999999998</v>
      </c>
      <c r="O2">
        <f t="shared" ref="O2:O11" si="3">SUMIFS(D$10:D$56,$A$10:$A$56,$L2)</f>
        <v>3011.7500000000005</v>
      </c>
      <c r="P2">
        <f t="shared" ref="P2:P11" si="4">SUMIFS(E$10:E$56,$A$10:$A$56,$L2)</f>
        <v>2405.44</v>
      </c>
      <c r="Q2">
        <f t="shared" ref="Q2:Q11" si="5">SUMIFS(F$10:F$56,$A$10:$A$56,$L2)</f>
        <v>0</v>
      </c>
      <c r="R2">
        <f t="shared" ref="R2:R11" si="6">SUMIFS(G$10:G$56,$A$10:$A$56,$L2)</f>
        <v>0</v>
      </c>
      <c r="S2">
        <f t="shared" ref="S2:S11" si="7">SUMIFS(H$10:H$56,$A$10:$A$56,$L2)</f>
        <v>0</v>
      </c>
      <c r="W2" t="s">
        <v>65</v>
      </c>
      <c r="X2">
        <v>2608.2600000000002</v>
      </c>
      <c r="Y2">
        <v>2225.0099999999998</v>
      </c>
      <c r="Z2">
        <v>3011.7500000000005</v>
      </c>
      <c r="AA2">
        <v>2405.44</v>
      </c>
      <c r="AB2">
        <v>2117.6799999999998</v>
      </c>
      <c r="AC2">
        <v>2073.13</v>
      </c>
      <c r="AD2">
        <v>2439.54</v>
      </c>
    </row>
    <row r="3" spans="1:35" ht="15" thickBot="1" x14ac:dyDescent="0.35">
      <c r="A3" s="71" t="s">
        <v>67</v>
      </c>
      <c r="B3" s="69">
        <v>1523.21</v>
      </c>
      <c r="C3" s="69">
        <v>1277.2</v>
      </c>
      <c r="D3" s="69">
        <v>1144.57</v>
      </c>
      <c r="E3" s="69">
        <v>1128.1300000000001</v>
      </c>
      <c r="F3" s="69">
        <v>1119.8699999999999</v>
      </c>
      <c r="G3" s="69">
        <v>1105.57</v>
      </c>
      <c r="H3" s="69">
        <v>1069.46</v>
      </c>
      <c r="K3" s="67" t="s">
        <v>66</v>
      </c>
      <c r="L3" s="71" t="s">
        <v>67</v>
      </c>
      <c r="M3">
        <f t="shared" si="1"/>
        <v>1523.21</v>
      </c>
      <c r="N3">
        <f t="shared" si="2"/>
        <v>1277.1999999999998</v>
      </c>
      <c r="O3">
        <f t="shared" si="3"/>
        <v>1144.57</v>
      </c>
      <c r="P3">
        <f t="shared" si="4"/>
        <v>1128.1299999999999</v>
      </c>
      <c r="Q3">
        <f t="shared" si="5"/>
        <v>0</v>
      </c>
      <c r="R3">
        <f t="shared" si="6"/>
        <v>0</v>
      </c>
      <c r="S3">
        <f t="shared" si="7"/>
        <v>0</v>
      </c>
      <c r="W3" t="s">
        <v>66</v>
      </c>
      <c r="X3">
        <v>1523.21</v>
      </c>
      <c r="Y3">
        <v>1277.1999999999998</v>
      </c>
      <c r="Z3">
        <v>1144.57</v>
      </c>
      <c r="AA3">
        <v>1128.1300000000001</v>
      </c>
      <c r="AB3">
        <v>1119.8699999999999</v>
      </c>
      <c r="AC3">
        <v>1105.57</v>
      </c>
      <c r="AD3">
        <v>1069.46</v>
      </c>
    </row>
    <row r="4" spans="1:35" ht="15" thickBot="1" x14ac:dyDescent="0.35">
      <c r="A4" s="71" t="s">
        <v>71</v>
      </c>
      <c r="B4" s="69">
        <v>48.54</v>
      </c>
      <c r="C4" s="69">
        <v>60.94</v>
      </c>
      <c r="D4" s="69">
        <v>69.27</v>
      </c>
      <c r="E4" s="69">
        <v>105.98</v>
      </c>
      <c r="F4" s="69">
        <v>37.200000000000003</v>
      </c>
      <c r="G4" s="69">
        <v>43.04</v>
      </c>
      <c r="H4" s="72"/>
      <c r="K4" s="67" t="s">
        <v>68</v>
      </c>
      <c r="L4" s="71" t="s">
        <v>69</v>
      </c>
      <c r="M4">
        <f t="shared" si="1"/>
        <v>0</v>
      </c>
      <c r="N4">
        <f t="shared" si="2"/>
        <v>0</v>
      </c>
      <c r="O4">
        <f t="shared" si="3"/>
        <v>0</v>
      </c>
      <c r="P4">
        <f t="shared" si="4"/>
        <v>0</v>
      </c>
      <c r="Q4">
        <f t="shared" si="5"/>
        <v>0</v>
      </c>
      <c r="R4">
        <f t="shared" si="6"/>
        <v>0</v>
      </c>
      <c r="S4">
        <f t="shared" si="7"/>
        <v>0</v>
      </c>
      <c r="W4" t="s">
        <v>68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5" ht="15" thickBot="1" x14ac:dyDescent="0.35">
      <c r="A5" s="71" t="s">
        <v>73</v>
      </c>
      <c r="B5" s="69">
        <v>7.05</v>
      </c>
      <c r="C5" s="69">
        <v>5.84</v>
      </c>
      <c r="D5" s="69">
        <v>0.75</v>
      </c>
      <c r="E5" s="70" t="s">
        <v>390</v>
      </c>
      <c r="F5" s="72"/>
      <c r="G5" s="72"/>
      <c r="H5" s="72"/>
      <c r="K5" s="67" t="s">
        <v>70</v>
      </c>
      <c r="L5" s="71" t="s">
        <v>71</v>
      </c>
      <c r="M5">
        <f t="shared" si="1"/>
        <v>48.54</v>
      </c>
      <c r="N5">
        <f t="shared" si="2"/>
        <v>60.94</v>
      </c>
      <c r="O5">
        <f t="shared" si="3"/>
        <v>69.27</v>
      </c>
      <c r="P5">
        <f t="shared" si="4"/>
        <v>0</v>
      </c>
      <c r="Q5">
        <f t="shared" si="5"/>
        <v>0</v>
      </c>
      <c r="R5">
        <f t="shared" si="6"/>
        <v>0</v>
      </c>
      <c r="S5">
        <f t="shared" si="7"/>
        <v>0</v>
      </c>
      <c r="W5" t="s">
        <v>70</v>
      </c>
      <c r="X5">
        <v>48.54</v>
      </c>
      <c r="Y5">
        <v>60.94</v>
      </c>
      <c r="Z5">
        <v>69.27</v>
      </c>
      <c r="AA5">
        <v>105.98</v>
      </c>
      <c r="AB5">
        <v>37.200000000000003</v>
      </c>
      <c r="AC5">
        <v>43.04</v>
      </c>
      <c r="AD5">
        <v>0</v>
      </c>
    </row>
    <row r="6" spans="1:35" ht="28.2" thickBot="1" x14ac:dyDescent="0.35">
      <c r="A6" s="71" t="s">
        <v>12</v>
      </c>
      <c r="B6" s="69">
        <v>151.46</v>
      </c>
      <c r="C6" s="69">
        <v>133.56</v>
      </c>
      <c r="D6" s="69">
        <v>137.13</v>
      </c>
      <c r="E6" s="70" t="s">
        <v>390</v>
      </c>
      <c r="F6" s="72"/>
      <c r="G6" s="72"/>
      <c r="H6" s="72"/>
      <c r="K6" s="67" t="s">
        <v>72</v>
      </c>
      <c r="L6" s="71" t="s">
        <v>73</v>
      </c>
      <c r="M6">
        <f t="shared" si="1"/>
        <v>7.05</v>
      </c>
      <c r="N6">
        <f t="shared" si="2"/>
        <v>5.84</v>
      </c>
      <c r="O6">
        <f t="shared" si="3"/>
        <v>0.75</v>
      </c>
      <c r="P6">
        <f t="shared" si="4"/>
        <v>0</v>
      </c>
      <c r="Q6">
        <f t="shared" si="5"/>
        <v>0</v>
      </c>
      <c r="R6">
        <f t="shared" si="6"/>
        <v>0</v>
      </c>
      <c r="S6">
        <f t="shared" si="7"/>
        <v>0</v>
      </c>
      <c r="W6" t="s">
        <v>72</v>
      </c>
      <c r="X6">
        <v>7.05</v>
      </c>
      <c r="Y6">
        <v>5.84</v>
      </c>
      <c r="Z6">
        <v>0.75</v>
      </c>
      <c r="AA6">
        <v>0</v>
      </c>
      <c r="AB6">
        <v>0</v>
      </c>
      <c r="AC6">
        <v>0</v>
      </c>
      <c r="AD6">
        <v>0</v>
      </c>
    </row>
    <row r="7" spans="1:35" ht="28.2" thickBot="1" x14ac:dyDescent="0.35">
      <c r="A7" s="71" t="s">
        <v>16</v>
      </c>
      <c r="B7" s="69">
        <v>562.03</v>
      </c>
      <c r="C7" s="69">
        <v>351.84</v>
      </c>
      <c r="D7" s="69">
        <v>217.39</v>
      </c>
      <c r="E7" s="69">
        <v>194.94</v>
      </c>
      <c r="F7" s="69">
        <v>135.51</v>
      </c>
      <c r="G7" s="72"/>
      <c r="H7" s="72"/>
      <c r="K7" s="67" t="s">
        <v>74</v>
      </c>
      <c r="L7" s="71" t="s">
        <v>75</v>
      </c>
      <c r="M7">
        <f t="shared" si="1"/>
        <v>0</v>
      </c>
      <c r="N7">
        <f t="shared" si="2"/>
        <v>0</v>
      </c>
      <c r="O7">
        <f t="shared" si="3"/>
        <v>0</v>
      </c>
      <c r="P7">
        <f t="shared" si="4"/>
        <v>0</v>
      </c>
      <c r="Q7">
        <f t="shared" si="5"/>
        <v>0</v>
      </c>
      <c r="R7">
        <f t="shared" si="6"/>
        <v>0</v>
      </c>
      <c r="S7">
        <f t="shared" si="7"/>
        <v>0</v>
      </c>
      <c r="W7" t="s">
        <v>74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5" ht="28.2" thickBot="1" x14ac:dyDescent="0.35">
      <c r="A8" s="71" t="s">
        <v>14</v>
      </c>
      <c r="B8" s="72"/>
      <c r="C8" s="72"/>
      <c r="D8" s="72"/>
      <c r="E8" s="72"/>
      <c r="F8" s="69">
        <v>82.24</v>
      </c>
      <c r="G8" s="72"/>
      <c r="H8" s="72"/>
      <c r="K8" s="67" t="s">
        <v>76</v>
      </c>
      <c r="L8" s="71" t="s">
        <v>12</v>
      </c>
      <c r="M8">
        <f t="shared" si="1"/>
        <v>151.45999999999998</v>
      </c>
      <c r="N8">
        <f t="shared" si="2"/>
        <v>133.56</v>
      </c>
      <c r="O8">
        <f t="shared" si="3"/>
        <v>137.13</v>
      </c>
      <c r="P8">
        <f t="shared" si="4"/>
        <v>0</v>
      </c>
      <c r="Q8">
        <f t="shared" si="5"/>
        <v>0</v>
      </c>
      <c r="R8">
        <f t="shared" si="6"/>
        <v>0</v>
      </c>
      <c r="S8">
        <f t="shared" si="7"/>
        <v>0</v>
      </c>
      <c r="W8" t="s">
        <v>76</v>
      </c>
      <c r="X8">
        <v>151.45999999999998</v>
      </c>
      <c r="Y8">
        <v>133.56</v>
      </c>
      <c r="Z8">
        <v>137.13</v>
      </c>
      <c r="AA8">
        <v>0</v>
      </c>
      <c r="AB8">
        <v>0</v>
      </c>
      <c r="AC8">
        <v>0</v>
      </c>
      <c r="AD8">
        <v>0</v>
      </c>
    </row>
    <row r="9" spans="1:35" ht="28.2" thickBot="1" x14ac:dyDescent="0.35">
      <c r="A9" s="73" t="s">
        <v>6</v>
      </c>
      <c r="B9" s="69"/>
      <c r="C9" s="69"/>
      <c r="D9" s="69"/>
      <c r="E9" s="69"/>
      <c r="F9" s="70"/>
      <c r="G9" s="70"/>
      <c r="H9" s="70"/>
      <c r="K9" s="67" t="s">
        <v>77</v>
      </c>
      <c r="L9" s="71" t="s">
        <v>16</v>
      </c>
      <c r="M9">
        <f t="shared" si="1"/>
        <v>562.03</v>
      </c>
      <c r="N9">
        <f t="shared" si="2"/>
        <v>351.84</v>
      </c>
      <c r="O9">
        <f t="shared" si="3"/>
        <v>217.39</v>
      </c>
      <c r="P9">
        <f t="shared" si="4"/>
        <v>194.94</v>
      </c>
      <c r="Q9">
        <f t="shared" si="5"/>
        <v>0</v>
      </c>
      <c r="R9">
        <f t="shared" si="6"/>
        <v>0</v>
      </c>
      <c r="S9">
        <f t="shared" si="7"/>
        <v>0</v>
      </c>
      <c r="W9" t="s">
        <v>77</v>
      </c>
      <c r="X9">
        <v>562.03</v>
      </c>
      <c r="Y9">
        <v>351.84</v>
      </c>
      <c r="Z9">
        <v>217.39</v>
      </c>
      <c r="AA9">
        <v>194.94</v>
      </c>
      <c r="AB9">
        <v>135.51</v>
      </c>
      <c r="AC9">
        <v>0</v>
      </c>
      <c r="AD9">
        <v>0</v>
      </c>
    </row>
    <row r="10" spans="1:35" ht="15" thickBot="1" x14ac:dyDescent="0.35">
      <c r="A10" s="71" t="s">
        <v>9</v>
      </c>
      <c r="B10" s="74">
        <v>2608.2600000000002</v>
      </c>
      <c r="C10" s="74">
        <v>1467.91</v>
      </c>
      <c r="D10" s="74">
        <v>2446.11</v>
      </c>
      <c r="E10" s="74">
        <v>2405.44</v>
      </c>
      <c r="F10" s="75" t="s">
        <v>390</v>
      </c>
      <c r="G10" s="75" t="s">
        <v>390</v>
      </c>
      <c r="H10" s="75" t="s">
        <v>390</v>
      </c>
      <c r="K10" s="67" t="s">
        <v>78</v>
      </c>
      <c r="L10" s="71" t="s">
        <v>15</v>
      </c>
      <c r="M10">
        <f t="shared" si="1"/>
        <v>0</v>
      </c>
      <c r="N10">
        <f t="shared" si="2"/>
        <v>0</v>
      </c>
      <c r="O10">
        <f t="shared" si="3"/>
        <v>0</v>
      </c>
      <c r="P10">
        <f t="shared" si="4"/>
        <v>0</v>
      </c>
      <c r="Q10">
        <f t="shared" si="5"/>
        <v>0</v>
      </c>
      <c r="R10">
        <f t="shared" si="6"/>
        <v>0</v>
      </c>
      <c r="S10">
        <f t="shared" si="7"/>
        <v>0</v>
      </c>
      <c r="W10" t="s">
        <v>78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5" ht="15" thickBot="1" x14ac:dyDescent="0.35">
      <c r="A11" s="71" t="s">
        <v>67</v>
      </c>
      <c r="B11" s="74">
        <v>548.16</v>
      </c>
      <c r="C11" s="74">
        <v>493.65</v>
      </c>
      <c r="D11" s="74">
        <v>417.99</v>
      </c>
      <c r="E11" s="74">
        <v>327.71</v>
      </c>
      <c r="F11" s="75" t="s">
        <v>390</v>
      </c>
      <c r="G11" s="75" t="s">
        <v>390</v>
      </c>
      <c r="H11" s="75" t="s">
        <v>390</v>
      </c>
      <c r="K11" s="67" t="s">
        <v>79</v>
      </c>
      <c r="L11" s="71" t="s">
        <v>14</v>
      </c>
      <c r="M11">
        <f t="shared" si="1"/>
        <v>0</v>
      </c>
      <c r="N11">
        <f t="shared" si="2"/>
        <v>0</v>
      </c>
      <c r="O11">
        <f t="shared" si="3"/>
        <v>0</v>
      </c>
      <c r="P11">
        <f t="shared" si="4"/>
        <v>0</v>
      </c>
      <c r="Q11">
        <f t="shared" si="5"/>
        <v>0</v>
      </c>
      <c r="R11">
        <f t="shared" si="6"/>
        <v>0</v>
      </c>
      <c r="S11">
        <f t="shared" si="7"/>
        <v>0</v>
      </c>
      <c r="W11" s="67" t="s">
        <v>79</v>
      </c>
      <c r="X11">
        <v>0</v>
      </c>
      <c r="Y11">
        <v>0</v>
      </c>
      <c r="Z11">
        <v>0</v>
      </c>
      <c r="AA11">
        <v>0</v>
      </c>
      <c r="AB11">
        <v>82.24</v>
      </c>
      <c r="AC11">
        <v>0</v>
      </c>
      <c r="AD11">
        <v>0</v>
      </c>
    </row>
    <row r="12" spans="1:35" ht="15" thickBot="1" x14ac:dyDescent="0.35">
      <c r="A12" s="71" t="s">
        <v>69</v>
      </c>
      <c r="B12" s="75" t="s">
        <v>390</v>
      </c>
      <c r="C12" s="75" t="s">
        <v>390</v>
      </c>
      <c r="D12" s="75" t="s">
        <v>390</v>
      </c>
      <c r="E12" s="75" t="s">
        <v>390</v>
      </c>
      <c r="F12" s="75" t="s">
        <v>390</v>
      </c>
      <c r="G12" s="75" t="s">
        <v>390</v>
      </c>
      <c r="H12" s="75" t="s">
        <v>390</v>
      </c>
    </row>
    <row r="13" spans="1:35" ht="15" thickBot="1" x14ac:dyDescent="0.35">
      <c r="A13" s="71" t="s">
        <v>71</v>
      </c>
      <c r="B13" s="74">
        <v>48.54</v>
      </c>
      <c r="C13" s="74">
        <v>60.94</v>
      </c>
      <c r="D13" s="74">
        <v>69.27</v>
      </c>
      <c r="E13" s="75" t="s">
        <v>390</v>
      </c>
      <c r="F13" s="75" t="s">
        <v>390</v>
      </c>
      <c r="G13" s="75" t="s">
        <v>390</v>
      </c>
      <c r="H13" s="75" t="s">
        <v>390</v>
      </c>
    </row>
    <row r="14" spans="1:35" ht="15" thickBot="1" x14ac:dyDescent="0.35">
      <c r="A14" s="71" t="s">
        <v>73</v>
      </c>
      <c r="B14" s="74">
        <v>7.05</v>
      </c>
      <c r="C14" s="74">
        <v>5.22</v>
      </c>
      <c r="D14" s="74">
        <v>0.75</v>
      </c>
      <c r="E14" s="75" t="s">
        <v>390</v>
      </c>
      <c r="F14" s="75" t="s">
        <v>390</v>
      </c>
      <c r="G14" s="75" t="s">
        <v>390</v>
      </c>
      <c r="H14" s="75" t="s">
        <v>390</v>
      </c>
    </row>
    <row r="15" spans="1:35" ht="15" thickBot="1" x14ac:dyDescent="0.35">
      <c r="A15" s="71" t="s">
        <v>75</v>
      </c>
      <c r="B15" s="75" t="s">
        <v>390</v>
      </c>
      <c r="C15" s="75" t="s">
        <v>390</v>
      </c>
      <c r="D15" s="75" t="s">
        <v>390</v>
      </c>
      <c r="E15" s="75" t="s">
        <v>390</v>
      </c>
      <c r="F15" s="75" t="s">
        <v>390</v>
      </c>
      <c r="G15" s="75" t="s">
        <v>390</v>
      </c>
      <c r="H15" s="75" t="s">
        <v>390</v>
      </c>
      <c r="M15">
        <f t="shared" ref="M15:S15" si="8">SUM(M16:M24)</f>
        <v>4900.55</v>
      </c>
      <c r="N15">
        <f t="shared" si="8"/>
        <v>4054.3900000000003</v>
      </c>
      <c r="O15">
        <f t="shared" si="8"/>
        <v>4580.8600000000006</v>
      </c>
      <c r="P15">
        <f t="shared" si="8"/>
        <v>3834.4900000000002</v>
      </c>
      <c r="Q15">
        <f t="shared" si="8"/>
        <v>3410.2599999999993</v>
      </c>
      <c r="R15">
        <f t="shared" si="8"/>
        <v>3221.74</v>
      </c>
      <c r="S15">
        <f t="shared" si="8"/>
        <v>3509</v>
      </c>
    </row>
    <row r="16" spans="1:35" ht="28.2" thickBot="1" x14ac:dyDescent="0.35">
      <c r="A16" s="71" t="s">
        <v>12</v>
      </c>
      <c r="B16" s="74">
        <v>81.260000000000005</v>
      </c>
      <c r="C16" s="74">
        <v>86.88</v>
      </c>
      <c r="D16" s="74">
        <v>52.35</v>
      </c>
      <c r="E16" s="75" t="s">
        <v>390</v>
      </c>
      <c r="F16" s="75" t="s">
        <v>390</v>
      </c>
      <c r="G16" s="75" t="s">
        <v>390</v>
      </c>
      <c r="H16" s="75" t="s">
        <v>390</v>
      </c>
      <c r="K16" s="67" t="s">
        <v>65</v>
      </c>
      <c r="L16" s="71" t="s">
        <v>9</v>
      </c>
      <c r="M16">
        <f t="shared" ref="M16:M25" si="9">SUMIFS(B$2:B$8,$A$2:$A$8,$L16)</f>
        <v>2608.2600000000002</v>
      </c>
      <c r="N16">
        <f t="shared" ref="N16:N25" si="10">SUMIFS(C$2:C$8,$A$2:$A$8,$L16)</f>
        <v>2225.0100000000002</v>
      </c>
      <c r="O16">
        <f t="shared" ref="O16:O25" si="11">SUMIFS(D$2:D$8,$A$2:$A$8,$L16)</f>
        <v>3011.75</v>
      </c>
      <c r="P16">
        <f t="shared" ref="P16:P25" si="12">SUMIFS(E$2:E$8,$A$2:$A$8,$L16)</f>
        <v>2405.44</v>
      </c>
      <c r="Q16">
        <f t="shared" ref="Q16:Q25" si="13">SUMIFS(F$2:F$8,$A$2:$A$8,$L16)</f>
        <v>2117.6799999999998</v>
      </c>
      <c r="R16">
        <f t="shared" ref="R16:R25" si="14">SUMIFS(G$2:G$8,$A$2:$A$8,$L16)</f>
        <v>2073.13</v>
      </c>
      <c r="S16">
        <f t="shared" ref="S16:S25" si="15">SUMIFS(H$2:H$8,$A$2:$A$8,$L16)</f>
        <v>2439.54</v>
      </c>
      <c r="W16" s="76">
        <v>202501</v>
      </c>
      <c r="X16" s="77"/>
      <c r="Y16" s="78"/>
      <c r="Z16" s="78"/>
      <c r="AA16" s="66" t="s">
        <v>68</v>
      </c>
      <c r="AB16" s="79"/>
      <c r="AC16" s="79"/>
      <c r="AD16" s="66">
        <v>0</v>
      </c>
      <c r="AE16" s="66" t="str">
        <f>_xlfn.TEXTBEFORE(AA16," - ")</f>
        <v>payment-suppliers</v>
      </c>
      <c r="AF16" s="66"/>
      <c r="AG16" s="66" t="e">
        <f>VLOOKUP(input_invoice[[#This Row],[concept/supplier]],'sel-invoice'!Z:AA,2,0)</f>
        <v>#N/A</v>
      </c>
      <c r="AH16" s="66" t="e">
        <f>VLOOKUP(input_invoice[[#This Row],[concept/supplier]],'sel-invoice'!Z:AB,3,0)</f>
        <v>#N/A</v>
      </c>
      <c r="AI16" s="80" t="str">
        <f>IF(input_invoice[[#This Row],[entity]]="SL","EUR",IF(input_invoice[[#This Row],[entity]]="Ltd","GBP",IF(input_invoice[[#This Row],[entity]]="Inc","USD","XXX")))</f>
        <v>GBP</v>
      </c>
    </row>
    <row r="17" spans="1:35" ht="28.2" thickBot="1" x14ac:dyDescent="0.35">
      <c r="A17" s="71" t="s">
        <v>16</v>
      </c>
      <c r="B17" s="74">
        <v>562.03</v>
      </c>
      <c r="C17" s="74">
        <v>351.84</v>
      </c>
      <c r="D17" s="74">
        <v>217.39</v>
      </c>
      <c r="E17" s="74">
        <v>194.94</v>
      </c>
      <c r="F17" s="75" t="s">
        <v>390</v>
      </c>
      <c r="G17" s="75" t="s">
        <v>390</v>
      </c>
      <c r="H17" s="75" t="s">
        <v>390</v>
      </c>
      <c r="K17" s="67" t="s">
        <v>66</v>
      </c>
      <c r="L17" s="71" t="s">
        <v>67</v>
      </c>
      <c r="M17">
        <f t="shared" si="9"/>
        <v>1523.21</v>
      </c>
      <c r="N17">
        <f t="shared" si="10"/>
        <v>1277.2</v>
      </c>
      <c r="O17">
        <f t="shared" si="11"/>
        <v>1144.57</v>
      </c>
      <c r="P17">
        <f t="shared" si="12"/>
        <v>1128.1300000000001</v>
      </c>
      <c r="Q17">
        <f t="shared" si="13"/>
        <v>1119.8699999999999</v>
      </c>
      <c r="R17">
        <f t="shared" si="14"/>
        <v>1105.57</v>
      </c>
      <c r="S17">
        <f t="shared" si="15"/>
        <v>1069.46</v>
      </c>
    </row>
    <row r="18" spans="1:35" ht="15" thickBot="1" x14ac:dyDescent="0.35">
      <c r="A18" s="71" t="s">
        <v>15</v>
      </c>
      <c r="B18" s="75" t="s">
        <v>390</v>
      </c>
      <c r="C18" s="75" t="s">
        <v>390</v>
      </c>
      <c r="D18" s="75" t="s">
        <v>390</v>
      </c>
      <c r="E18" s="75" t="s">
        <v>390</v>
      </c>
      <c r="F18" s="75" t="s">
        <v>390</v>
      </c>
      <c r="G18" s="75" t="s">
        <v>390</v>
      </c>
      <c r="H18" s="75" t="s">
        <v>390</v>
      </c>
      <c r="K18" s="67" t="s">
        <v>68</v>
      </c>
      <c r="L18" s="71" t="s">
        <v>69</v>
      </c>
      <c r="M18">
        <f t="shared" si="9"/>
        <v>0</v>
      </c>
      <c r="N18">
        <f t="shared" si="10"/>
        <v>0</v>
      </c>
      <c r="O18">
        <f t="shared" si="11"/>
        <v>0</v>
      </c>
      <c r="P18">
        <f t="shared" si="12"/>
        <v>0</v>
      </c>
      <c r="Q18">
        <f t="shared" si="13"/>
        <v>0</v>
      </c>
      <c r="R18">
        <f t="shared" si="14"/>
        <v>0</v>
      </c>
      <c r="S18">
        <f t="shared" si="15"/>
        <v>0</v>
      </c>
      <c r="W18" s="84" t="s">
        <v>239</v>
      </c>
      <c r="X18" s="85" t="s">
        <v>240</v>
      </c>
      <c r="Y18" s="86" t="s">
        <v>241</v>
      </c>
      <c r="Z18" s="86" t="s">
        <v>242</v>
      </c>
      <c r="AA18" s="84" t="s">
        <v>243</v>
      </c>
      <c r="AB18" s="87" t="s">
        <v>244</v>
      </c>
      <c r="AC18" s="87" t="s">
        <v>245</v>
      </c>
      <c r="AD18" s="87" t="s">
        <v>246</v>
      </c>
      <c r="AE18" s="84" t="s">
        <v>247</v>
      </c>
      <c r="AF18" s="84" t="s">
        <v>248</v>
      </c>
      <c r="AG18" s="84" t="s">
        <v>249</v>
      </c>
      <c r="AH18" s="84" t="s">
        <v>250</v>
      </c>
      <c r="AI18" s="84" t="s">
        <v>251</v>
      </c>
    </row>
    <row r="19" spans="1:35" ht="15" thickBot="1" x14ac:dyDescent="0.35">
      <c r="A19" s="72"/>
      <c r="B19" s="72"/>
      <c r="C19" s="72"/>
      <c r="D19" s="72"/>
      <c r="E19" s="72"/>
      <c r="F19" s="72"/>
      <c r="G19" s="72"/>
      <c r="H19" s="72"/>
      <c r="K19" s="67" t="s">
        <v>70</v>
      </c>
      <c r="L19" s="71" t="s">
        <v>71</v>
      </c>
      <c r="M19">
        <f t="shared" si="9"/>
        <v>48.54</v>
      </c>
      <c r="N19">
        <f t="shared" si="10"/>
        <v>60.94</v>
      </c>
      <c r="O19">
        <f t="shared" si="11"/>
        <v>69.27</v>
      </c>
      <c r="P19">
        <f t="shared" si="12"/>
        <v>105.98</v>
      </c>
      <c r="Q19">
        <f t="shared" si="13"/>
        <v>37.200000000000003</v>
      </c>
      <c r="R19">
        <f t="shared" si="14"/>
        <v>43.04</v>
      </c>
      <c r="S19">
        <f t="shared" si="15"/>
        <v>0</v>
      </c>
      <c r="W19" s="66">
        <v>202501</v>
      </c>
      <c r="X19" s="77"/>
      <c r="Y19" s="78"/>
      <c r="Z19" s="78"/>
      <c r="AA19" t="s">
        <v>65</v>
      </c>
      <c r="AB19" s="79"/>
      <c r="AC19" s="79"/>
      <c r="AD19">
        <v>2608.2600000000002</v>
      </c>
      <c r="AE19" s="66" t="str">
        <f t="shared" ref="AE19:AE50" si="16">_xlfn.TEXTBEFORE(AA19," - ")</f>
        <v>payment-suppliers</v>
      </c>
      <c r="AF19" s="66">
        <v>21</v>
      </c>
      <c r="AG19" s="66" t="e">
        <f>VLOOKUP(input_invoice[[#This Row],[concept/supplier]],'sel-invoice'!Z:AA,2,0)</f>
        <v>#N/A</v>
      </c>
      <c r="AH19" s="66" t="e">
        <f>VLOOKUP(input_invoice[[#This Row],[concept/supplier]],'sel-invoice'!Z:AB,3,0)</f>
        <v>#N/A</v>
      </c>
      <c r="AI19" s="66" t="str">
        <f>IF(input_invoice[[#This Row],[entity]]="SL","EUR",IF(input_invoice[[#This Row],[entity]]="Ltd","GBP",IF(input_invoice[[#This Row],[entity]]="Inc","USD","XXX")))</f>
        <v>EUR</v>
      </c>
    </row>
    <row r="20" spans="1:35" ht="15" thickBot="1" x14ac:dyDescent="0.35">
      <c r="A20" s="73" t="s">
        <v>17</v>
      </c>
      <c r="B20" s="69"/>
      <c r="C20" s="69"/>
      <c r="D20" s="69"/>
      <c r="E20" s="69"/>
      <c r="F20" s="70"/>
      <c r="G20" s="70"/>
      <c r="H20" s="70"/>
      <c r="K20" s="67" t="s">
        <v>72</v>
      </c>
      <c r="L20" s="71" t="s">
        <v>73</v>
      </c>
      <c r="M20">
        <f t="shared" si="9"/>
        <v>7.05</v>
      </c>
      <c r="N20">
        <f t="shared" si="10"/>
        <v>5.84</v>
      </c>
      <c r="O20">
        <f t="shared" si="11"/>
        <v>0.75</v>
      </c>
      <c r="P20">
        <f t="shared" si="12"/>
        <v>0</v>
      </c>
      <c r="Q20">
        <f t="shared" si="13"/>
        <v>0</v>
      </c>
      <c r="R20">
        <f t="shared" si="14"/>
        <v>0</v>
      </c>
      <c r="S20">
        <f t="shared" si="15"/>
        <v>0</v>
      </c>
      <c r="W20" s="66">
        <v>202501</v>
      </c>
      <c r="X20" s="81"/>
      <c r="Y20" s="82"/>
      <c r="Z20" s="82"/>
      <c r="AA20" t="s">
        <v>66</v>
      </c>
      <c r="AB20" s="83"/>
      <c r="AC20" s="83"/>
      <c r="AD20">
        <v>1523.21</v>
      </c>
      <c r="AE20" s="67" t="str">
        <f t="shared" si="16"/>
        <v>payment-suppliers</v>
      </c>
      <c r="AF20" s="67"/>
      <c r="AG20" s="67" t="e">
        <f>VLOOKUP(input_invoice[[#This Row],[concept/supplier]],'sel-invoice'!Z:AA,2,0)</f>
        <v>#N/A</v>
      </c>
      <c r="AH20" s="67" t="e">
        <f>VLOOKUP(input_invoice[[#This Row],[concept/supplier]],'sel-invoice'!Z:AB,3,0)</f>
        <v>#N/A</v>
      </c>
      <c r="AI20" s="67" t="str">
        <f>IF(input_invoice[[#This Row],[entity]]="SL","EUR",IF(input_invoice[[#This Row],[entity]]="Ltd","GBP",IF(input_invoice[[#This Row],[entity]]="Inc","USD","XXX")))</f>
        <v>EUR</v>
      </c>
    </row>
    <row r="21" spans="1:35" ht="15" thickBot="1" x14ac:dyDescent="0.35">
      <c r="A21" s="71" t="s">
        <v>9</v>
      </c>
      <c r="B21" s="75" t="s">
        <v>390</v>
      </c>
      <c r="C21" s="74">
        <v>347.27</v>
      </c>
      <c r="D21" s="74">
        <v>203.13</v>
      </c>
      <c r="E21" s="75" t="s">
        <v>390</v>
      </c>
      <c r="F21" s="75" t="s">
        <v>390</v>
      </c>
      <c r="G21" s="75" t="s">
        <v>390</v>
      </c>
      <c r="H21" s="75" t="s">
        <v>390</v>
      </c>
      <c r="K21" s="67" t="s">
        <v>74</v>
      </c>
      <c r="L21" s="71" t="s">
        <v>75</v>
      </c>
      <c r="M21">
        <f t="shared" si="9"/>
        <v>0</v>
      </c>
      <c r="N21">
        <f t="shared" si="10"/>
        <v>0</v>
      </c>
      <c r="O21">
        <f t="shared" si="11"/>
        <v>0</v>
      </c>
      <c r="P21">
        <f t="shared" si="12"/>
        <v>0</v>
      </c>
      <c r="Q21">
        <f t="shared" si="13"/>
        <v>0</v>
      </c>
      <c r="R21">
        <f t="shared" si="14"/>
        <v>0</v>
      </c>
      <c r="S21">
        <f t="shared" si="15"/>
        <v>0</v>
      </c>
      <c r="W21" s="66">
        <v>202501</v>
      </c>
      <c r="X21" s="81"/>
      <c r="Y21" s="82"/>
      <c r="Z21" s="82"/>
      <c r="AA21" t="s">
        <v>68</v>
      </c>
      <c r="AB21" s="83"/>
      <c r="AC21" s="83"/>
      <c r="AD21">
        <v>0</v>
      </c>
      <c r="AE21" s="67" t="str">
        <f t="shared" si="16"/>
        <v>payment-suppliers</v>
      </c>
      <c r="AF21" s="67"/>
      <c r="AG21" s="67" t="e">
        <f>VLOOKUP(input_invoice[[#This Row],[concept/supplier]],'sel-invoice'!Z:AA,2,0)</f>
        <v>#N/A</v>
      </c>
      <c r="AH21" s="67" t="e">
        <f>VLOOKUP(input_invoice[[#This Row],[concept/supplier]],'sel-invoice'!Z:AB,3,0)</f>
        <v>#N/A</v>
      </c>
      <c r="AI21" s="67" t="str">
        <f>IF(input_invoice[[#This Row],[entity]]="SL","EUR",IF(input_invoice[[#This Row],[entity]]="Ltd","GBP",IF(input_invoice[[#This Row],[entity]]="Inc","USD","XXX")))</f>
        <v>EUR</v>
      </c>
    </row>
    <row r="22" spans="1:35" ht="28.2" thickBot="1" x14ac:dyDescent="0.35">
      <c r="A22" s="71" t="s">
        <v>67</v>
      </c>
      <c r="B22" s="74">
        <v>732.65</v>
      </c>
      <c r="C22" s="74">
        <v>605.01</v>
      </c>
      <c r="D22" s="74">
        <v>577.52</v>
      </c>
      <c r="E22" s="74">
        <v>800.42</v>
      </c>
      <c r="F22" s="75" t="s">
        <v>390</v>
      </c>
      <c r="G22" s="75" t="s">
        <v>390</v>
      </c>
      <c r="H22" s="75" t="s">
        <v>390</v>
      </c>
      <c r="K22" s="67" t="s">
        <v>76</v>
      </c>
      <c r="L22" s="71" t="s">
        <v>12</v>
      </c>
      <c r="M22">
        <f t="shared" si="9"/>
        <v>151.46</v>
      </c>
      <c r="N22">
        <f t="shared" si="10"/>
        <v>133.56</v>
      </c>
      <c r="O22">
        <f t="shared" si="11"/>
        <v>137.13</v>
      </c>
      <c r="P22">
        <f t="shared" si="12"/>
        <v>0</v>
      </c>
      <c r="Q22">
        <f t="shared" si="13"/>
        <v>0</v>
      </c>
      <c r="R22">
        <f t="shared" si="14"/>
        <v>0</v>
      </c>
      <c r="S22">
        <f t="shared" si="15"/>
        <v>0</v>
      </c>
      <c r="W22" s="66">
        <v>202501</v>
      </c>
      <c r="X22" s="81"/>
      <c r="Y22" s="82"/>
      <c r="Z22" s="82"/>
      <c r="AA22" t="s">
        <v>70</v>
      </c>
      <c r="AB22" s="83"/>
      <c r="AC22" s="83"/>
      <c r="AD22">
        <v>48.54</v>
      </c>
      <c r="AE22" s="67" t="str">
        <f t="shared" si="16"/>
        <v>payment-suppliers</v>
      </c>
      <c r="AF22" s="67"/>
      <c r="AG22" s="67" t="e">
        <f>VLOOKUP(input_invoice[[#This Row],[concept/supplier]],'sel-invoice'!Z:AA,2,0)</f>
        <v>#N/A</v>
      </c>
      <c r="AH22" s="67" t="e">
        <f>VLOOKUP(input_invoice[[#This Row],[concept/supplier]],'sel-invoice'!Z:AB,3,0)</f>
        <v>#N/A</v>
      </c>
      <c r="AI22" s="67" t="str">
        <f>IF(input_invoice[[#This Row],[entity]]="SL","EUR",IF(input_invoice[[#This Row],[entity]]="Ltd","GBP",IF(input_invoice[[#This Row],[entity]]="Inc","USD","XXX")))</f>
        <v>EUR</v>
      </c>
    </row>
    <row r="23" spans="1:35" ht="28.2" thickBot="1" x14ac:dyDescent="0.35">
      <c r="A23" s="71" t="s">
        <v>69</v>
      </c>
      <c r="B23" s="75" t="s">
        <v>390</v>
      </c>
      <c r="C23" s="75" t="s">
        <v>390</v>
      </c>
      <c r="D23" s="75" t="s">
        <v>390</v>
      </c>
      <c r="E23" s="75" t="s">
        <v>390</v>
      </c>
      <c r="F23" s="75" t="s">
        <v>390</v>
      </c>
      <c r="G23" s="75" t="s">
        <v>390</v>
      </c>
      <c r="H23" s="75" t="s">
        <v>390</v>
      </c>
      <c r="K23" s="67" t="s">
        <v>77</v>
      </c>
      <c r="L23" s="71" t="s">
        <v>16</v>
      </c>
      <c r="M23">
        <f t="shared" si="9"/>
        <v>562.03</v>
      </c>
      <c r="N23">
        <f t="shared" si="10"/>
        <v>351.84</v>
      </c>
      <c r="O23">
        <f t="shared" si="11"/>
        <v>217.39</v>
      </c>
      <c r="P23">
        <f t="shared" si="12"/>
        <v>194.94</v>
      </c>
      <c r="Q23">
        <f t="shared" si="13"/>
        <v>135.51</v>
      </c>
      <c r="R23">
        <f t="shared" si="14"/>
        <v>0</v>
      </c>
      <c r="S23">
        <f t="shared" si="15"/>
        <v>0</v>
      </c>
      <c r="W23" s="66">
        <v>202501</v>
      </c>
      <c r="X23" s="81"/>
      <c r="Y23" s="82"/>
      <c r="Z23" s="82"/>
      <c r="AA23" t="s">
        <v>72</v>
      </c>
      <c r="AB23" s="83"/>
      <c r="AC23" s="83"/>
      <c r="AD23">
        <v>7.05</v>
      </c>
      <c r="AE23" s="67" t="str">
        <f t="shared" si="16"/>
        <v>payment-suppliers</v>
      </c>
      <c r="AF23" s="67"/>
      <c r="AG23" s="67" t="e">
        <f>VLOOKUP(input_invoice[[#This Row],[concept/supplier]],'sel-invoice'!Z:AA,2,0)</f>
        <v>#N/A</v>
      </c>
      <c r="AH23" s="67" t="e">
        <f>VLOOKUP(input_invoice[[#This Row],[concept/supplier]],'sel-invoice'!Z:AB,3,0)</f>
        <v>#N/A</v>
      </c>
      <c r="AI23" s="67" t="str">
        <f>IF(input_invoice[[#This Row],[entity]]="SL","EUR",IF(input_invoice[[#This Row],[entity]]="Ltd","GBP",IF(input_invoice[[#This Row],[entity]]="Inc","USD","XXX")))</f>
        <v>EUR</v>
      </c>
    </row>
    <row r="24" spans="1:35" ht="15" thickBot="1" x14ac:dyDescent="0.35">
      <c r="A24" s="71" t="s">
        <v>71</v>
      </c>
      <c r="B24" s="75" t="s">
        <v>390</v>
      </c>
      <c r="C24" s="75" t="s">
        <v>390</v>
      </c>
      <c r="D24" s="75" t="s">
        <v>390</v>
      </c>
      <c r="E24" s="75" t="s">
        <v>390</v>
      </c>
      <c r="F24" s="75" t="s">
        <v>390</v>
      </c>
      <c r="G24" s="75" t="s">
        <v>390</v>
      </c>
      <c r="H24" s="75" t="s">
        <v>390</v>
      </c>
      <c r="K24" s="67" t="s">
        <v>78</v>
      </c>
      <c r="L24" s="71" t="s">
        <v>15</v>
      </c>
      <c r="M24">
        <f t="shared" si="9"/>
        <v>0</v>
      </c>
      <c r="N24">
        <f t="shared" si="10"/>
        <v>0</v>
      </c>
      <c r="O24">
        <f t="shared" si="11"/>
        <v>0</v>
      </c>
      <c r="P24">
        <f t="shared" si="12"/>
        <v>0</v>
      </c>
      <c r="Q24">
        <f t="shared" si="13"/>
        <v>0</v>
      </c>
      <c r="R24">
        <f t="shared" si="14"/>
        <v>0</v>
      </c>
      <c r="S24">
        <f t="shared" si="15"/>
        <v>0</v>
      </c>
      <c r="W24" s="66">
        <v>202501</v>
      </c>
      <c r="X24" s="81"/>
      <c r="Y24" s="82"/>
      <c r="Z24" s="82"/>
      <c r="AA24" t="s">
        <v>74</v>
      </c>
      <c r="AB24" s="83"/>
      <c r="AC24" s="83"/>
      <c r="AD24">
        <v>0</v>
      </c>
      <c r="AE24" s="67" t="str">
        <f t="shared" si="16"/>
        <v>payment-suppliers</v>
      </c>
      <c r="AF24" s="67"/>
      <c r="AG24" s="67" t="e">
        <f>VLOOKUP(input_invoice[[#This Row],[concept/supplier]],'sel-invoice'!Z:AA,2,0)</f>
        <v>#N/A</v>
      </c>
      <c r="AH24" s="67" t="e">
        <f>VLOOKUP(input_invoice[[#This Row],[concept/supplier]],'sel-invoice'!Z:AB,3,0)</f>
        <v>#N/A</v>
      </c>
      <c r="AI24" s="67" t="str">
        <f>IF(input_invoice[[#This Row],[entity]]="SL","EUR",IF(input_invoice[[#This Row],[entity]]="Ltd","GBP",IF(input_invoice[[#This Row],[entity]]="Inc","USD","XXX")))</f>
        <v>EUR</v>
      </c>
    </row>
    <row r="25" spans="1:35" ht="15" thickBot="1" x14ac:dyDescent="0.35">
      <c r="A25" s="71" t="s">
        <v>73</v>
      </c>
      <c r="B25" s="75" t="s">
        <v>390</v>
      </c>
      <c r="C25" s="74">
        <v>0.62</v>
      </c>
      <c r="D25" s="75" t="s">
        <v>390</v>
      </c>
      <c r="E25" s="75" t="s">
        <v>390</v>
      </c>
      <c r="F25" s="75" t="s">
        <v>390</v>
      </c>
      <c r="G25" s="75" t="s">
        <v>390</v>
      </c>
      <c r="H25" s="75" t="s">
        <v>390</v>
      </c>
      <c r="K25" s="67" t="s">
        <v>79</v>
      </c>
      <c r="L25" s="71" t="s">
        <v>14</v>
      </c>
      <c r="M25">
        <f t="shared" si="9"/>
        <v>0</v>
      </c>
      <c r="N25">
        <f t="shared" si="10"/>
        <v>0</v>
      </c>
      <c r="O25">
        <f t="shared" si="11"/>
        <v>0</v>
      </c>
      <c r="P25">
        <f t="shared" si="12"/>
        <v>0</v>
      </c>
      <c r="Q25">
        <f t="shared" si="13"/>
        <v>82.24</v>
      </c>
      <c r="R25">
        <f t="shared" si="14"/>
        <v>0</v>
      </c>
      <c r="S25">
        <f t="shared" si="15"/>
        <v>0</v>
      </c>
      <c r="W25" s="66">
        <v>202501</v>
      </c>
      <c r="X25" s="81"/>
      <c r="Y25" s="82"/>
      <c r="Z25" s="82"/>
      <c r="AA25" t="s">
        <v>76</v>
      </c>
      <c r="AB25" s="83"/>
      <c r="AC25" s="83"/>
      <c r="AD25">
        <v>151.45999999999998</v>
      </c>
      <c r="AE25" s="67" t="str">
        <f t="shared" si="16"/>
        <v>payment-suppliers</v>
      </c>
      <c r="AF25" s="67"/>
      <c r="AG25" s="67" t="e">
        <f>VLOOKUP(input_invoice[[#This Row],[concept/supplier]],'sel-invoice'!Z:AA,2,0)</f>
        <v>#N/A</v>
      </c>
      <c r="AH25" s="67" t="e">
        <f>VLOOKUP(input_invoice[[#This Row],[concept/supplier]],'sel-invoice'!Z:AB,3,0)</f>
        <v>#N/A</v>
      </c>
      <c r="AI25" s="67" t="str">
        <f>IF(input_invoice[[#This Row],[entity]]="SL","EUR",IF(input_invoice[[#This Row],[entity]]="Ltd","GBP",IF(input_invoice[[#This Row],[entity]]="Inc","USD","XXX")))</f>
        <v>EUR</v>
      </c>
    </row>
    <row r="26" spans="1:35" ht="28.2" thickBot="1" x14ac:dyDescent="0.35">
      <c r="A26" s="71" t="s">
        <v>12</v>
      </c>
      <c r="B26" s="74">
        <v>53.56</v>
      </c>
      <c r="C26" s="74">
        <v>42.06</v>
      </c>
      <c r="D26" s="74">
        <v>61.08</v>
      </c>
      <c r="E26" s="75" t="s">
        <v>390</v>
      </c>
      <c r="F26" s="75" t="s">
        <v>390</v>
      </c>
      <c r="G26" s="75" t="s">
        <v>390</v>
      </c>
      <c r="H26" s="75" t="s">
        <v>390</v>
      </c>
      <c r="W26" s="66">
        <v>202501</v>
      </c>
      <c r="X26" s="81"/>
      <c r="Y26" s="82"/>
      <c r="Z26" s="82"/>
      <c r="AA26" t="s">
        <v>77</v>
      </c>
      <c r="AB26" s="83"/>
      <c r="AC26" s="83"/>
      <c r="AD26">
        <v>562.03</v>
      </c>
      <c r="AE26" s="67" t="str">
        <f t="shared" si="16"/>
        <v>payment-suppliers</v>
      </c>
      <c r="AF26" s="67"/>
      <c r="AG26" s="67" t="e">
        <f>VLOOKUP(input_invoice[[#This Row],[concept/supplier]],'sel-invoice'!Z:AA,2,0)</f>
        <v>#N/A</v>
      </c>
      <c r="AH26" s="67" t="e">
        <f>VLOOKUP(input_invoice[[#This Row],[concept/supplier]],'sel-invoice'!Z:AB,3,0)</f>
        <v>#N/A</v>
      </c>
      <c r="AI26" s="67" t="str">
        <f>IF(input_invoice[[#This Row],[entity]]="SL","EUR",IF(input_invoice[[#This Row],[entity]]="Ltd","GBP",IF(input_invoice[[#This Row],[entity]]="Inc","USD","XXX")))</f>
        <v>EUR</v>
      </c>
    </row>
    <row r="27" spans="1:35" ht="28.2" thickBot="1" x14ac:dyDescent="0.35">
      <c r="A27" s="71" t="s">
        <v>16</v>
      </c>
      <c r="B27" s="75" t="s">
        <v>390</v>
      </c>
      <c r="C27" s="75" t="s">
        <v>390</v>
      </c>
      <c r="D27" s="75" t="s">
        <v>390</v>
      </c>
      <c r="E27" s="75" t="s">
        <v>390</v>
      </c>
      <c r="F27" s="75" t="s">
        <v>390</v>
      </c>
      <c r="G27" s="75" t="s">
        <v>390</v>
      </c>
      <c r="H27" s="75" t="s">
        <v>390</v>
      </c>
      <c r="W27" s="66">
        <v>202501</v>
      </c>
      <c r="X27" s="81"/>
      <c r="Y27" s="82"/>
      <c r="Z27" s="82"/>
      <c r="AA27" t="s">
        <v>78</v>
      </c>
      <c r="AB27" s="83"/>
      <c r="AC27" s="83"/>
      <c r="AD27">
        <v>0</v>
      </c>
      <c r="AE27" s="67" t="str">
        <f t="shared" si="16"/>
        <v>payment-suppliers</v>
      </c>
      <c r="AF27" s="67"/>
      <c r="AG27" s="67" t="e">
        <f>VLOOKUP(input_invoice[[#This Row],[concept/supplier]],'sel-invoice'!Z:AA,2,0)</f>
        <v>#N/A</v>
      </c>
      <c r="AH27" s="67" t="e">
        <f>VLOOKUP(input_invoice[[#This Row],[concept/supplier]],'sel-invoice'!Z:AB,3,0)</f>
        <v>#N/A</v>
      </c>
      <c r="AI27" s="67" t="str">
        <f>IF(input_invoice[[#This Row],[entity]]="SL","EUR",IF(input_invoice[[#This Row],[entity]]="Ltd","GBP",IF(input_invoice[[#This Row],[entity]]="Inc","USD","XXX")))</f>
        <v>EUR</v>
      </c>
    </row>
    <row r="28" spans="1:35" ht="15" thickBot="1" x14ac:dyDescent="0.35">
      <c r="A28" s="71" t="s">
        <v>15</v>
      </c>
      <c r="B28" s="75" t="s">
        <v>390</v>
      </c>
      <c r="C28" s="75" t="s">
        <v>390</v>
      </c>
      <c r="D28" s="75" t="s">
        <v>390</v>
      </c>
      <c r="E28" s="75" t="s">
        <v>390</v>
      </c>
      <c r="F28" s="75" t="s">
        <v>390</v>
      </c>
      <c r="G28" s="75" t="s">
        <v>390</v>
      </c>
      <c r="H28" s="75" t="s">
        <v>390</v>
      </c>
      <c r="W28" s="66">
        <v>202501</v>
      </c>
      <c r="X28" s="81"/>
      <c r="Y28" s="82"/>
      <c r="Z28" s="82"/>
      <c r="AA28" s="67" t="s">
        <v>79</v>
      </c>
      <c r="AB28" s="83"/>
      <c r="AC28" s="83"/>
      <c r="AD28">
        <v>0</v>
      </c>
      <c r="AE28" s="67" t="str">
        <f t="shared" si="16"/>
        <v>payment-suppliers</v>
      </c>
      <c r="AF28" s="67"/>
      <c r="AG28" s="67" t="e">
        <f>VLOOKUP(input_invoice[[#This Row],[concept/supplier]],'sel-invoice'!Z:AA,2,0)</f>
        <v>#N/A</v>
      </c>
      <c r="AH28" s="67" t="e">
        <f>VLOOKUP(input_invoice[[#This Row],[concept/supplier]],'sel-invoice'!Z:AB,3,0)</f>
        <v>#N/A</v>
      </c>
      <c r="AI28" s="67" t="str">
        <f>IF(input_invoice[[#This Row],[entity]]="SL","EUR",IF(input_invoice[[#This Row],[entity]]="Ltd","GBP",IF(input_invoice[[#This Row],[entity]]="Inc","USD","XXX")))</f>
        <v>EUR</v>
      </c>
    </row>
    <row r="29" spans="1:35" ht="15" thickBot="1" x14ac:dyDescent="0.35">
      <c r="A29" s="71" t="s">
        <v>14</v>
      </c>
      <c r="B29" s="75" t="s">
        <v>390</v>
      </c>
      <c r="C29" s="75" t="s">
        <v>390</v>
      </c>
      <c r="D29" s="75" t="s">
        <v>390</v>
      </c>
      <c r="E29" s="75" t="s">
        <v>390</v>
      </c>
      <c r="F29" s="75" t="s">
        <v>390</v>
      </c>
      <c r="G29" s="75" t="s">
        <v>390</v>
      </c>
      <c r="H29" s="75" t="s">
        <v>390</v>
      </c>
      <c r="W29" s="66">
        <f t="shared" ref="W29:W60" si="17">+W19+1</f>
        <v>202502</v>
      </c>
      <c r="X29" s="77"/>
      <c r="Y29" s="78"/>
      <c r="Z29" s="78"/>
      <c r="AA29" t="s">
        <v>65</v>
      </c>
      <c r="AB29" s="79"/>
      <c r="AC29" s="79"/>
      <c r="AD29">
        <v>2225.0099999999998</v>
      </c>
      <c r="AE29" s="66" t="str">
        <f t="shared" si="16"/>
        <v>payment-suppliers</v>
      </c>
      <c r="AF29" s="66">
        <v>21</v>
      </c>
      <c r="AG29" s="66" t="e">
        <f>VLOOKUP(input_invoice[[#This Row],[concept/supplier]],'sel-invoice'!Z:AA,2,0)</f>
        <v>#N/A</v>
      </c>
      <c r="AH29" s="66" t="e">
        <f>VLOOKUP(input_invoice[[#This Row],[concept/supplier]],'sel-invoice'!Z:AB,3,0)</f>
        <v>#N/A</v>
      </c>
      <c r="AI29" s="66" t="str">
        <f>IF(input_invoice[[#This Row],[entity]]="SL","EUR",IF(input_invoice[[#This Row],[entity]]="Ltd","GBP",IF(input_invoice[[#This Row],[entity]]="Inc","USD","XXX")))</f>
        <v>EUR</v>
      </c>
    </row>
    <row r="30" spans="1:35" ht="15" thickBot="1" x14ac:dyDescent="0.35">
      <c r="A30" s="72"/>
      <c r="B30" s="72"/>
      <c r="C30" s="72"/>
      <c r="D30" s="72"/>
      <c r="E30" s="72"/>
      <c r="F30" s="72"/>
      <c r="G30" s="72"/>
      <c r="H30" s="72"/>
      <c r="W30" s="66">
        <f t="shared" si="17"/>
        <v>202502</v>
      </c>
      <c r="X30" s="81"/>
      <c r="Y30" s="82"/>
      <c r="Z30" s="82"/>
      <c r="AA30" t="s">
        <v>66</v>
      </c>
      <c r="AB30" s="83"/>
      <c r="AC30" s="83"/>
      <c r="AD30">
        <v>1277.1999999999998</v>
      </c>
      <c r="AE30" s="67" t="str">
        <f t="shared" si="16"/>
        <v>payment-suppliers</v>
      </c>
      <c r="AF30" s="67"/>
      <c r="AG30" s="67" t="e">
        <f>VLOOKUP(input_invoice[[#This Row],[concept/supplier]],'sel-invoice'!Z:AA,2,0)</f>
        <v>#N/A</v>
      </c>
      <c r="AH30" s="67" t="e">
        <f>VLOOKUP(input_invoice[[#This Row],[concept/supplier]],'sel-invoice'!Z:AB,3,0)</f>
        <v>#N/A</v>
      </c>
      <c r="AI30" s="67" t="str">
        <f>IF(input_invoice[[#This Row],[entity]]="SL","EUR",IF(input_invoice[[#This Row],[entity]]="Ltd","GBP",IF(input_invoice[[#This Row],[entity]]="Inc","USD","XXX")))</f>
        <v>EUR</v>
      </c>
    </row>
    <row r="31" spans="1:35" ht="15" thickBot="1" x14ac:dyDescent="0.35">
      <c r="A31" s="73" t="s">
        <v>19</v>
      </c>
      <c r="B31" s="69"/>
      <c r="C31" s="69"/>
      <c r="D31" s="69"/>
      <c r="E31" s="70"/>
      <c r="F31" s="70"/>
      <c r="G31" s="70"/>
      <c r="H31" s="70"/>
      <c r="W31" s="66">
        <f t="shared" si="17"/>
        <v>202502</v>
      </c>
      <c r="X31" s="81"/>
      <c r="Y31" s="82"/>
      <c r="Z31" s="82"/>
      <c r="AA31" t="s">
        <v>68</v>
      </c>
      <c r="AB31" s="83"/>
      <c r="AC31" s="83"/>
      <c r="AD31">
        <v>0</v>
      </c>
      <c r="AE31" s="67" t="str">
        <f t="shared" si="16"/>
        <v>payment-suppliers</v>
      </c>
      <c r="AF31" s="67"/>
      <c r="AG31" s="67" t="e">
        <f>VLOOKUP(input_invoice[[#This Row],[concept/supplier]],'sel-invoice'!Z:AA,2,0)</f>
        <v>#N/A</v>
      </c>
      <c r="AH31" s="67" t="e">
        <f>VLOOKUP(input_invoice[[#This Row],[concept/supplier]],'sel-invoice'!Z:AB,3,0)</f>
        <v>#N/A</v>
      </c>
      <c r="AI31" s="67" t="str">
        <f>IF(input_invoice[[#This Row],[entity]]="SL","EUR",IF(input_invoice[[#This Row],[entity]]="Ltd","GBP",IF(input_invoice[[#This Row],[entity]]="Inc","USD","XXX")))</f>
        <v>EUR</v>
      </c>
    </row>
    <row r="32" spans="1:35" ht="15" thickBot="1" x14ac:dyDescent="0.35">
      <c r="A32" s="71" t="s">
        <v>9</v>
      </c>
      <c r="B32" s="75" t="s">
        <v>390</v>
      </c>
      <c r="C32" s="74">
        <v>313.73</v>
      </c>
      <c r="D32" s="74">
        <v>231.84</v>
      </c>
      <c r="E32" s="75" t="s">
        <v>390</v>
      </c>
      <c r="F32" s="75" t="s">
        <v>390</v>
      </c>
      <c r="G32" s="75" t="s">
        <v>390</v>
      </c>
      <c r="H32" s="75" t="s">
        <v>390</v>
      </c>
      <c r="W32" s="66">
        <f t="shared" si="17"/>
        <v>202502</v>
      </c>
      <c r="X32" s="81"/>
      <c r="Y32" s="82"/>
      <c r="Z32" s="82"/>
      <c r="AA32" t="s">
        <v>70</v>
      </c>
      <c r="AB32" s="83"/>
      <c r="AC32" s="83"/>
      <c r="AD32">
        <v>60.94</v>
      </c>
      <c r="AE32" s="67" t="str">
        <f t="shared" si="16"/>
        <v>payment-suppliers</v>
      </c>
      <c r="AF32" s="67"/>
      <c r="AG32" s="67" t="e">
        <f>VLOOKUP(input_invoice[[#This Row],[concept/supplier]],'sel-invoice'!Z:AA,2,0)</f>
        <v>#N/A</v>
      </c>
      <c r="AH32" s="67" t="e">
        <f>VLOOKUP(input_invoice[[#This Row],[concept/supplier]],'sel-invoice'!Z:AB,3,0)</f>
        <v>#N/A</v>
      </c>
      <c r="AI32" s="67" t="str">
        <f>IF(input_invoice[[#This Row],[entity]]="SL","EUR",IF(input_invoice[[#This Row],[entity]]="Ltd","GBP",IF(input_invoice[[#This Row],[entity]]="Inc","USD","XXX")))</f>
        <v>EUR</v>
      </c>
    </row>
    <row r="33" spans="1:35" ht="15" thickBot="1" x14ac:dyDescent="0.35">
      <c r="A33" s="71" t="s">
        <v>67</v>
      </c>
      <c r="B33" s="74">
        <v>122.66</v>
      </c>
      <c r="C33" s="74">
        <v>106.3</v>
      </c>
      <c r="D33" s="74">
        <v>88.35</v>
      </c>
      <c r="E33" s="75" t="s">
        <v>390</v>
      </c>
      <c r="F33" s="75" t="s">
        <v>390</v>
      </c>
      <c r="G33" s="75" t="s">
        <v>390</v>
      </c>
      <c r="H33" s="75" t="s">
        <v>390</v>
      </c>
      <c r="W33" s="66">
        <f t="shared" si="17"/>
        <v>202502</v>
      </c>
      <c r="X33" s="81"/>
      <c r="Y33" s="82"/>
      <c r="Z33" s="82"/>
      <c r="AA33" t="s">
        <v>72</v>
      </c>
      <c r="AB33" s="83"/>
      <c r="AC33" s="83"/>
      <c r="AD33">
        <v>5.84</v>
      </c>
      <c r="AE33" s="67" t="str">
        <f t="shared" si="16"/>
        <v>payment-suppliers</v>
      </c>
      <c r="AF33" s="67"/>
      <c r="AG33" s="67" t="e">
        <f>VLOOKUP(input_invoice[[#This Row],[concept/supplier]],'sel-invoice'!Z:AA,2,0)</f>
        <v>#N/A</v>
      </c>
      <c r="AH33" s="67" t="e">
        <f>VLOOKUP(input_invoice[[#This Row],[concept/supplier]],'sel-invoice'!Z:AB,3,0)</f>
        <v>#N/A</v>
      </c>
      <c r="AI33" s="67" t="str">
        <f>IF(input_invoice[[#This Row],[entity]]="SL","EUR",IF(input_invoice[[#This Row],[entity]]="Ltd","GBP",IF(input_invoice[[#This Row],[entity]]="Inc","USD","XXX")))</f>
        <v>EUR</v>
      </c>
    </row>
    <row r="34" spans="1:35" ht="15" thickBot="1" x14ac:dyDescent="0.35">
      <c r="A34" s="71" t="s">
        <v>69</v>
      </c>
      <c r="B34" s="75" t="s">
        <v>390</v>
      </c>
      <c r="C34" s="75" t="s">
        <v>390</v>
      </c>
      <c r="D34" s="75" t="s">
        <v>390</v>
      </c>
      <c r="E34" s="75" t="s">
        <v>390</v>
      </c>
      <c r="F34" s="75" t="s">
        <v>390</v>
      </c>
      <c r="G34" s="75" t="s">
        <v>390</v>
      </c>
      <c r="H34" s="75" t="s">
        <v>390</v>
      </c>
      <c r="W34" s="66">
        <f t="shared" si="17"/>
        <v>202502</v>
      </c>
      <c r="X34" s="81"/>
      <c r="Y34" s="82"/>
      <c r="Z34" s="82"/>
      <c r="AA34" t="s">
        <v>74</v>
      </c>
      <c r="AB34" s="83"/>
      <c r="AC34" s="83"/>
      <c r="AD34">
        <v>0</v>
      </c>
      <c r="AE34" s="67" t="str">
        <f t="shared" si="16"/>
        <v>payment-suppliers</v>
      </c>
      <c r="AF34" s="67"/>
      <c r="AG34" s="67" t="e">
        <f>VLOOKUP(input_invoice[[#This Row],[concept/supplier]],'sel-invoice'!Z:AA,2,0)</f>
        <v>#N/A</v>
      </c>
      <c r="AH34" s="67" t="e">
        <f>VLOOKUP(input_invoice[[#This Row],[concept/supplier]],'sel-invoice'!Z:AB,3,0)</f>
        <v>#N/A</v>
      </c>
      <c r="AI34" s="67" t="str">
        <f>IF(input_invoice[[#This Row],[entity]]="SL","EUR",IF(input_invoice[[#This Row],[entity]]="Ltd","GBP",IF(input_invoice[[#This Row],[entity]]="Inc","USD","XXX")))</f>
        <v>EUR</v>
      </c>
    </row>
    <row r="35" spans="1:35" ht="15" thickBot="1" x14ac:dyDescent="0.35">
      <c r="A35" s="71" t="s">
        <v>71</v>
      </c>
      <c r="B35" s="75" t="s">
        <v>390</v>
      </c>
      <c r="C35" s="75" t="s">
        <v>390</v>
      </c>
      <c r="D35" s="75" t="s">
        <v>390</v>
      </c>
      <c r="E35" s="75" t="s">
        <v>390</v>
      </c>
      <c r="F35" s="75" t="s">
        <v>390</v>
      </c>
      <c r="G35" s="75" t="s">
        <v>390</v>
      </c>
      <c r="H35" s="75" t="s">
        <v>390</v>
      </c>
      <c r="W35" s="66">
        <f t="shared" si="17"/>
        <v>202502</v>
      </c>
      <c r="X35" s="81"/>
      <c r="Y35" s="82"/>
      <c r="Z35" s="82"/>
      <c r="AA35" t="s">
        <v>76</v>
      </c>
      <c r="AB35" s="83"/>
      <c r="AC35" s="83"/>
      <c r="AD35">
        <v>133.56</v>
      </c>
      <c r="AE35" s="67" t="str">
        <f t="shared" si="16"/>
        <v>payment-suppliers</v>
      </c>
      <c r="AF35" s="67"/>
      <c r="AG35" s="67" t="e">
        <f>VLOOKUP(input_invoice[[#This Row],[concept/supplier]],'sel-invoice'!Z:AA,2,0)</f>
        <v>#N/A</v>
      </c>
      <c r="AH35" s="67" t="e">
        <f>VLOOKUP(input_invoice[[#This Row],[concept/supplier]],'sel-invoice'!Z:AB,3,0)</f>
        <v>#N/A</v>
      </c>
      <c r="AI35" s="67" t="str">
        <f>IF(input_invoice[[#This Row],[entity]]="SL","EUR",IF(input_invoice[[#This Row],[entity]]="Ltd","GBP",IF(input_invoice[[#This Row],[entity]]="Inc","USD","XXX")))</f>
        <v>USD</v>
      </c>
    </row>
    <row r="36" spans="1:35" ht="15" thickBot="1" x14ac:dyDescent="0.35">
      <c r="A36" s="71" t="s">
        <v>73</v>
      </c>
      <c r="B36" s="75" t="s">
        <v>390</v>
      </c>
      <c r="C36" s="75" t="s">
        <v>390</v>
      </c>
      <c r="D36" s="75" t="s">
        <v>390</v>
      </c>
      <c r="E36" s="75" t="s">
        <v>390</v>
      </c>
      <c r="F36" s="75" t="s">
        <v>390</v>
      </c>
      <c r="G36" s="75" t="s">
        <v>390</v>
      </c>
      <c r="H36" s="75" t="s">
        <v>390</v>
      </c>
      <c r="W36" s="66">
        <f t="shared" si="17"/>
        <v>202502</v>
      </c>
      <c r="X36" s="81"/>
      <c r="Y36" s="82"/>
      <c r="Z36" s="82"/>
      <c r="AA36" t="s">
        <v>77</v>
      </c>
      <c r="AB36" s="83"/>
      <c r="AC36" s="83"/>
      <c r="AD36">
        <v>351.84</v>
      </c>
      <c r="AE36" s="67" t="str">
        <f t="shared" si="16"/>
        <v>payment-suppliers</v>
      </c>
      <c r="AF36" s="67"/>
      <c r="AG36" s="67" t="e">
        <f>VLOOKUP(input_invoice[[#This Row],[concept/supplier]],'sel-invoice'!Z:AA,2,0)</f>
        <v>#N/A</v>
      </c>
      <c r="AH36" s="67" t="e">
        <f>VLOOKUP(input_invoice[[#This Row],[concept/supplier]],'sel-invoice'!Z:AB,3,0)</f>
        <v>#N/A</v>
      </c>
      <c r="AI36" s="67" t="str">
        <f>IF(input_invoice[[#This Row],[entity]]="SL","EUR",IF(input_invoice[[#This Row],[entity]]="Ltd","GBP",IF(input_invoice[[#This Row],[entity]]="Inc","USD","XXX")))</f>
        <v>USD</v>
      </c>
    </row>
    <row r="37" spans="1:35" ht="28.2" thickBot="1" x14ac:dyDescent="0.35">
      <c r="A37" s="71" t="s">
        <v>12</v>
      </c>
      <c r="B37" s="75" t="s">
        <v>390</v>
      </c>
      <c r="C37" s="75" t="s">
        <v>390</v>
      </c>
      <c r="D37" s="75" t="s">
        <v>390</v>
      </c>
      <c r="E37" s="75" t="s">
        <v>390</v>
      </c>
      <c r="F37" s="75" t="s">
        <v>390</v>
      </c>
      <c r="G37" s="75" t="s">
        <v>390</v>
      </c>
      <c r="H37" s="75" t="s">
        <v>390</v>
      </c>
      <c r="W37" s="66">
        <f t="shared" si="17"/>
        <v>202502</v>
      </c>
      <c r="X37" s="81"/>
      <c r="Y37" s="82"/>
      <c r="Z37" s="82"/>
      <c r="AA37" t="s">
        <v>78</v>
      </c>
      <c r="AB37" s="83"/>
      <c r="AC37" s="83"/>
      <c r="AD37">
        <v>0</v>
      </c>
      <c r="AE37" s="67" t="str">
        <f t="shared" si="16"/>
        <v>payment-suppliers</v>
      </c>
      <c r="AF37" s="67"/>
      <c r="AG37" s="67" t="e">
        <f>VLOOKUP(input_invoice[[#This Row],[concept/supplier]],'sel-invoice'!Z:AA,2,0)</f>
        <v>#N/A</v>
      </c>
      <c r="AH37" s="67" t="e">
        <f>VLOOKUP(input_invoice[[#This Row],[concept/supplier]],'sel-invoice'!Z:AB,3,0)</f>
        <v>#N/A</v>
      </c>
      <c r="AI37" s="67" t="str">
        <f>IF(input_invoice[[#This Row],[entity]]="SL","EUR",IF(input_invoice[[#This Row],[entity]]="Ltd","GBP",IF(input_invoice[[#This Row],[entity]]="Inc","USD","XXX")))</f>
        <v>EUR</v>
      </c>
    </row>
    <row r="38" spans="1:35" ht="15" thickBot="1" x14ac:dyDescent="0.35">
      <c r="A38" s="71" t="s">
        <v>13</v>
      </c>
      <c r="B38" s="75" t="s">
        <v>390</v>
      </c>
      <c r="C38" s="75" t="s">
        <v>390</v>
      </c>
      <c r="D38" s="75" t="s">
        <v>390</v>
      </c>
      <c r="E38" s="75" t="s">
        <v>390</v>
      </c>
      <c r="F38" s="75" t="s">
        <v>390</v>
      </c>
      <c r="G38" s="75" t="s">
        <v>390</v>
      </c>
      <c r="H38" s="75" t="s">
        <v>390</v>
      </c>
      <c r="W38" s="66">
        <f t="shared" si="17"/>
        <v>202502</v>
      </c>
      <c r="X38" s="81"/>
      <c r="Y38" s="82"/>
      <c r="Z38" s="82"/>
      <c r="AA38" s="67" t="s">
        <v>79</v>
      </c>
      <c r="AB38" s="83"/>
      <c r="AC38" s="83"/>
      <c r="AD38">
        <v>0</v>
      </c>
      <c r="AE38" s="67" t="str">
        <f t="shared" si="16"/>
        <v>payment-suppliers</v>
      </c>
      <c r="AF38" s="67"/>
      <c r="AG38" s="67" t="e">
        <f>VLOOKUP(input_invoice[[#This Row],[concept/supplier]],'sel-invoice'!Z:AA,2,0)</f>
        <v>#N/A</v>
      </c>
      <c r="AH38" s="67" t="e">
        <f>VLOOKUP(input_invoice[[#This Row],[concept/supplier]],'sel-invoice'!Z:AB,3,0)</f>
        <v>#N/A</v>
      </c>
      <c r="AI38" s="67" t="str">
        <f>IF(input_invoice[[#This Row],[entity]]="SL","EUR",IF(input_invoice[[#This Row],[entity]]="Ltd","GBP",IF(input_invoice[[#This Row],[entity]]="Inc","USD","XXX")))</f>
        <v>EUR</v>
      </c>
    </row>
    <row r="39" spans="1:35" ht="28.2" thickBot="1" x14ac:dyDescent="0.35">
      <c r="A39" s="71" t="s">
        <v>16</v>
      </c>
      <c r="B39" s="75" t="s">
        <v>390</v>
      </c>
      <c r="C39" s="75" t="s">
        <v>390</v>
      </c>
      <c r="D39" s="75" t="s">
        <v>390</v>
      </c>
      <c r="E39" s="75" t="s">
        <v>390</v>
      </c>
      <c r="F39" s="75" t="s">
        <v>390</v>
      </c>
      <c r="G39" s="75" t="s">
        <v>390</v>
      </c>
      <c r="H39" s="75" t="s">
        <v>390</v>
      </c>
      <c r="W39" s="66">
        <f t="shared" si="17"/>
        <v>202503</v>
      </c>
      <c r="X39" s="81"/>
      <c r="Y39" s="82"/>
      <c r="Z39" s="82"/>
      <c r="AA39" t="s">
        <v>65</v>
      </c>
      <c r="AB39" s="83"/>
      <c r="AC39" s="83"/>
      <c r="AD39">
        <v>3011.7500000000005</v>
      </c>
      <c r="AE39" s="67" t="str">
        <f t="shared" si="16"/>
        <v>payment-suppliers</v>
      </c>
      <c r="AF39" s="67"/>
      <c r="AG39" s="67" t="e">
        <f>VLOOKUP(input_invoice[[#This Row],[concept/supplier]],'sel-invoice'!Z:AA,2,0)</f>
        <v>#N/A</v>
      </c>
      <c r="AH39" s="67" t="e">
        <f>VLOOKUP(input_invoice[[#This Row],[concept/supplier]],'sel-invoice'!Z:AB,3,0)</f>
        <v>#N/A</v>
      </c>
      <c r="AI39" s="67" t="str">
        <f>IF(input_invoice[[#This Row],[entity]]="SL","EUR",IF(input_invoice[[#This Row],[entity]]="Ltd","GBP",IF(input_invoice[[#This Row],[entity]]="Inc","USD","XXX")))</f>
        <v>EUR</v>
      </c>
    </row>
    <row r="40" spans="1:35" ht="15" thickBot="1" x14ac:dyDescent="0.35">
      <c r="A40" s="71" t="s">
        <v>15</v>
      </c>
      <c r="B40" s="75" t="s">
        <v>390</v>
      </c>
      <c r="C40" s="75" t="s">
        <v>390</v>
      </c>
      <c r="D40" s="75" t="s">
        <v>390</v>
      </c>
      <c r="E40" s="75" t="s">
        <v>390</v>
      </c>
      <c r="F40" s="75" t="s">
        <v>390</v>
      </c>
      <c r="G40" s="75" t="s">
        <v>390</v>
      </c>
      <c r="H40" s="75" t="s">
        <v>390</v>
      </c>
      <c r="W40" s="66">
        <f t="shared" si="17"/>
        <v>202503</v>
      </c>
      <c r="X40" s="81"/>
      <c r="Y40" s="82"/>
      <c r="Z40" s="82"/>
      <c r="AA40" t="s">
        <v>66</v>
      </c>
      <c r="AB40" s="83"/>
      <c r="AC40" s="83"/>
      <c r="AD40">
        <v>1144.57</v>
      </c>
      <c r="AE40" s="67" t="str">
        <f t="shared" si="16"/>
        <v>payment-suppliers</v>
      </c>
      <c r="AF40" s="67"/>
      <c r="AG40" s="67" t="e">
        <f>VLOOKUP(input_invoice[[#This Row],[concept/supplier]],'sel-invoice'!Z:AA,2,0)</f>
        <v>#N/A</v>
      </c>
      <c r="AH40" s="67" t="e">
        <f>VLOOKUP(input_invoice[[#This Row],[concept/supplier]],'sel-invoice'!Z:AB,3,0)</f>
        <v>#N/A</v>
      </c>
      <c r="AI40" s="67" t="str">
        <f>IF(input_invoice[[#This Row],[entity]]="SL","EUR",IF(input_invoice[[#This Row],[entity]]="Ltd","GBP",IF(input_invoice[[#This Row],[entity]]="Inc","USD","XXX")))</f>
        <v>EUR</v>
      </c>
    </row>
    <row r="41" spans="1:35" ht="15" thickBot="1" x14ac:dyDescent="0.35">
      <c r="A41" s="72"/>
      <c r="B41" s="72"/>
      <c r="C41" s="72"/>
      <c r="D41" s="72"/>
      <c r="E41" s="72"/>
      <c r="F41" s="72"/>
      <c r="G41" s="72"/>
      <c r="H41" s="72"/>
      <c r="W41" s="66">
        <f t="shared" si="17"/>
        <v>202503</v>
      </c>
      <c r="X41" s="81"/>
      <c r="Y41" s="82"/>
      <c r="Z41" s="82"/>
      <c r="AA41" t="s">
        <v>68</v>
      </c>
      <c r="AB41" s="83"/>
      <c r="AC41" s="83"/>
      <c r="AD41">
        <v>0</v>
      </c>
      <c r="AE41" s="67" t="str">
        <f t="shared" si="16"/>
        <v>payment-suppliers</v>
      </c>
      <c r="AF41" s="67"/>
      <c r="AG41" s="67" t="e">
        <f>VLOOKUP(input_invoice[[#This Row],[concept/supplier]],'sel-invoice'!Z:AA,2,0)</f>
        <v>#N/A</v>
      </c>
      <c r="AH41" s="67" t="e">
        <f>VLOOKUP(input_invoice[[#This Row],[concept/supplier]],'sel-invoice'!Z:AB,3,0)</f>
        <v>#N/A</v>
      </c>
      <c r="AI41" s="67" t="str">
        <f>IF(input_invoice[[#This Row],[entity]]="SL","EUR",IF(input_invoice[[#This Row],[entity]]="Ltd","GBP",IF(input_invoice[[#This Row],[entity]]="Inc","USD","XXX")))</f>
        <v>EUR</v>
      </c>
    </row>
    <row r="42" spans="1:35" ht="15" thickBot="1" x14ac:dyDescent="0.35">
      <c r="A42" s="73" t="s">
        <v>21</v>
      </c>
      <c r="B42" s="69"/>
      <c r="C42" s="69"/>
      <c r="D42" s="69"/>
      <c r="E42" s="70"/>
      <c r="F42" s="70"/>
      <c r="G42" s="70"/>
      <c r="H42" s="70"/>
      <c r="W42" s="66">
        <f t="shared" si="17"/>
        <v>202503</v>
      </c>
      <c r="X42" s="81"/>
      <c r="Y42" s="82"/>
      <c r="Z42" s="82"/>
      <c r="AA42" t="s">
        <v>70</v>
      </c>
      <c r="AB42" s="83"/>
      <c r="AC42" s="83"/>
      <c r="AD42">
        <v>69.27</v>
      </c>
      <c r="AE42" s="67" t="str">
        <f t="shared" si="16"/>
        <v>payment-suppliers</v>
      </c>
      <c r="AF42" s="67"/>
      <c r="AG42" s="67" t="e">
        <f>VLOOKUP(input_invoice[[#This Row],[concept/supplier]],'sel-invoice'!Z:AA,2,0)</f>
        <v>#N/A</v>
      </c>
      <c r="AH42" s="67" t="e">
        <f>VLOOKUP(input_invoice[[#This Row],[concept/supplier]],'sel-invoice'!Z:AB,3,0)</f>
        <v>#N/A</v>
      </c>
      <c r="AI42" s="67" t="str">
        <f>IF(input_invoice[[#This Row],[entity]]="SL","EUR",IF(input_invoice[[#This Row],[entity]]="Ltd","GBP",IF(input_invoice[[#This Row],[entity]]="Inc","USD","XXX")))</f>
        <v>GBP</v>
      </c>
    </row>
    <row r="43" spans="1:35" ht="15" thickBot="1" x14ac:dyDescent="0.35">
      <c r="A43" s="71" t="s">
        <v>9</v>
      </c>
      <c r="B43" s="75" t="s">
        <v>390</v>
      </c>
      <c r="C43" s="74">
        <v>72.739999999999995</v>
      </c>
      <c r="D43" s="74">
        <v>118.89</v>
      </c>
      <c r="E43" s="75" t="s">
        <v>390</v>
      </c>
      <c r="F43" s="75" t="s">
        <v>390</v>
      </c>
      <c r="G43" s="75" t="s">
        <v>390</v>
      </c>
      <c r="H43" s="75" t="s">
        <v>390</v>
      </c>
      <c r="W43" s="66">
        <f t="shared" si="17"/>
        <v>202503</v>
      </c>
      <c r="X43" s="81"/>
      <c r="Y43" s="82"/>
      <c r="Z43" s="82"/>
      <c r="AA43" t="s">
        <v>72</v>
      </c>
      <c r="AB43" s="83"/>
      <c r="AC43" s="83"/>
      <c r="AD43">
        <v>0.75</v>
      </c>
      <c r="AE43" s="67" t="str">
        <f t="shared" si="16"/>
        <v>payment-suppliers</v>
      </c>
      <c r="AF43" s="67"/>
      <c r="AG43" s="67" t="e">
        <f>VLOOKUP(input_invoice[[#This Row],[concept/supplier]],'sel-invoice'!Z:AA,2,0)</f>
        <v>#N/A</v>
      </c>
      <c r="AH43" s="67" t="e">
        <f>VLOOKUP(input_invoice[[#This Row],[concept/supplier]],'sel-invoice'!Z:AB,3,0)</f>
        <v>#N/A</v>
      </c>
      <c r="AI43" s="67" t="str">
        <f>IF(input_invoice[[#This Row],[entity]]="SL","EUR",IF(input_invoice[[#This Row],[entity]]="Ltd","GBP",IF(input_invoice[[#This Row],[entity]]="Inc","USD","XXX")))</f>
        <v>EUR</v>
      </c>
    </row>
    <row r="44" spans="1:35" ht="15" thickBot="1" x14ac:dyDescent="0.35">
      <c r="A44" s="71" t="s">
        <v>67</v>
      </c>
      <c r="B44" s="74">
        <v>103.19</v>
      </c>
      <c r="C44" s="74">
        <v>58.47</v>
      </c>
      <c r="D44" s="74">
        <v>48.03</v>
      </c>
      <c r="E44" s="75" t="s">
        <v>390</v>
      </c>
      <c r="F44" s="75" t="s">
        <v>390</v>
      </c>
      <c r="G44" s="75" t="s">
        <v>390</v>
      </c>
      <c r="H44" s="75" t="s">
        <v>390</v>
      </c>
      <c r="W44" s="66">
        <f t="shared" si="17"/>
        <v>202503</v>
      </c>
      <c r="X44" s="81"/>
      <c r="Y44" s="82"/>
      <c r="Z44" s="82"/>
      <c r="AA44" t="s">
        <v>74</v>
      </c>
      <c r="AB44" s="83"/>
      <c r="AC44" s="83"/>
      <c r="AD44">
        <v>0</v>
      </c>
      <c r="AE44" s="67" t="str">
        <f t="shared" si="16"/>
        <v>payment-suppliers</v>
      </c>
      <c r="AF44" s="67"/>
      <c r="AG44" s="67" t="e">
        <f>VLOOKUP(input_invoice[[#This Row],[concept/supplier]],'sel-invoice'!Z:AA,2,0)</f>
        <v>#N/A</v>
      </c>
      <c r="AH44" s="67" t="e">
        <f>VLOOKUP(input_invoice[[#This Row],[concept/supplier]],'sel-invoice'!Z:AB,3,0)</f>
        <v>#N/A</v>
      </c>
      <c r="AI44" s="67" t="str">
        <f>IF(input_invoice[[#This Row],[entity]]="SL","EUR",IF(input_invoice[[#This Row],[entity]]="Ltd","GBP",IF(input_invoice[[#This Row],[entity]]="Inc","USD","XXX")))</f>
        <v>EUR</v>
      </c>
    </row>
    <row r="45" spans="1:35" ht="15" thickBot="1" x14ac:dyDescent="0.35">
      <c r="A45" s="71" t="s">
        <v>69</v>
      </c>
      <c r="B45" s="75" t="s">
        <v>390</v>
      </c>
      <c r="C45" s="75" t="s">
        <v>390</v>
      </c>
      <c r="D45" s="75" t="s">
        <v>390</v>
      </c>
      <c r="E45" s="75" t="s">
        <v>390</v>
      </c>
      <c r="F45" s="75" t="s">
        <v>390</v>
      </c>
      <c r="G45" s="75" t="s">
        <v>390</v>
      </c>
      <c r="H45" s="75" t="s">
        <v>390</v>
      </c>
      <c r="W45" s="66">
        <f t="shared" si="17"/>
        <v>202503</v>
      </c>
      <c r="X45" s="81"/>
      <c r="Y45" s="82"/>
      <c r="Z45" s="82"/>
      <c r="AA45" t="s">
        <v>76</v>
      </c>
      <c r="AB45" s="83"/>
      <c r="AC45" s="83"/>
      <c r="AD45">
        <v>137.13</v>
      </c>
      <c r="AE45" s="67" t="str">
        <f t="shared" si="16"/>
        <v>payment-suppliers</v>
      </c>
      <c r="AF45" s="67"/>
      <c r="AG45" s="67" t="e">
        <f>VLOOKUP(input_invoice[[#This Row],[concept/supplier]],'sel-invoice'!Z:AA,2,0)</f>
        <v>#N/A</v>
      </c>
      <c r="AH45" s="67" t="e">
        <f>VLOOKUP(input_invoice[[#This Row],[concept/supplier]],'sel-invoice'!Z:AB,3,0)</f>
        <v>#N/A</v>
      </c>
      <c r="AI45" s="67" t="str">
        <f>IF(input_invoice[[#This Row],[entity]]="SL","EUR",IF(input_invoice[[#This Row],[entity]]="Ltd","GBP",IF(input_invoice[[#This Row],[entity]]="Inc","USD","XXX")))</f>
        <v>USD</v>
      </c>
    </row>
    <row r="46" spans="1:35" ht="15" thickBot="1" x14ac:dyDescent="0.35">
      <c r="A46" s="71" t="s">
        <v>71</v>
      </c>
      <c r="B46" s="75" t="s">
        <v>390</v>
      </c>
      <c r="C46" s="75" t="s">
        <v>390</v>
      </c>
      <c r="D46" s="75" t="s">
        <v>390</v>
      </c>
      <c r="E46" s="75" t="s">
        <v>390</v>
      </c>
      <c r="F46" s="75" t="s">
        <v>390</v>
      </c>
      <c r="G46" s="75" t="s">
        <v>390</v>
      </c>
      <c r="H46" s="75" t="s">
        <v>390</v>
      </c>
      <c r="W46" s="66">
        <f t="shared" si="17"/>
        <v>202503</v>
      </c>
      <c r="X46" s="81"/>
      <c r="Y46" s="82"/>
      <c r="Z46" s="82"/>
      <c r="AA46" t="s">
        <v>77</v>
      </c>
      <c r="AB46" s="83"/>
      <c r="AC46" s="83"/>
      <c r="AD46">
        <v>217.39</v>
      </c>
      <c r="AE46" s="67" t="str">
        <f t="shared" si="16"/>
        <v>payment-suppliers</v>
      </c>
      <c r="AF46" s="67"/>
      <c r="AG46" s="67" t="e">
        <f>VLOOKUP(input_invoice[[#This Row],[concept/supplier]],'sel-invoice'!Z:AA,2,0)</f>
        <v>#N/A</v>
      </c>
      <c r="AH46" s="67" t="e">
        <f>VLOOKUP(input_invoice[[#This Row],[concept/supplier]],'sel-invoice'!Z:AB,3,0)</f>
        <v>#N/A</v>
      </c>
      <c r="AI46" s="67" t="str">
        <f>IF(input_invoice[[#This Row],[entity]]="SL","EUR",IF(input_invoice[[#This Row],[entity]]="Ltd","GBP",IF(input_invoice[[#This Row],[entity]]="Inc","USD","XXX")))</f>
        <v>EUR</v>
      </c>
    </row>
    <row r="47" spans="1:35" ht="15" thickBot="1" x14ac:dyDescent="0.35">
      <c r="A47" s="71" t="s">
        <v>73</v>
      </c>
      <c r="B47" s="75" t="s">
        <v>390</v>
      </c>
      <c r="C47" s="75" t="s">
        <v>390</v>
      </c>
      <c r="D47" s="75" t="s">
        <v>390</v>
      </c>
      <c r="E47" s="75" t="s">
        <v>390</v>
      </c>
      <c r="F47" s="75" t="s">
        <v>390</v>
      </c>
      <c r="G47" s="75" t="s">
        <v>390</v>
      </c>
      <c r="H47" s="75" t="s">
        <v>390</v>
      </c>
      <c r="W47" s="66">
        <f t="shared" si="17"/>
        <v>202503</v>
      </c>
      <c r="X47" s="81"/>
      <c r="Y47" s="82"/>
      <c r="Z47" s="82"/>
      <c r="AA47" t="s">
        <v>78</v>
      </c>
      <c r="AB47" s="83"/>
      <c r="AC47" s="83"/>
      <c r="AD47">
        <v>0</v>
      </c>
      <c r="AE47" s="67" t="str">
        <f t="shared" si="16"/>
        <v>payment-suppliers</v>
      </c>
      <c r="AF47" s="67"/>
      <c r="AG47" s="67" t="e">
        <f>VLOOKUP(input_invoice[[#This Row],[concept/supplier]],'sel-invoice'!Z:AA,2,0)</f>
        <v>#N/A</v>
      </c>
      <c r="AH47" s="67" t="e">
        <f>VLOOKUP(input_invoice[[#This Row],[concept/supplier]],'sel-invoice'!Z:AB,3,0)</f>
        <v>#N/A</v>
      </c>
      <c r="AI47" s="67" t="str">
        <f>IF(input_invoice[[#This Row],[entity]]="SL","EUR",IF(input_invoice[[#This Row],[entity]]="Ltd","GBP",IF(input_invoice[[#This Row],[entity]]="Inc","USD","XXX")))</f>
        <v>EUR</v>
      </c>
    </row>
    <row r="48" spans="1:35" ht="28.2" thickBot="1" x14ac:dyDescent="0.35">
      <c r="A48" s="71" t="s">
        <v>12</v>
      </c>
      <c r="B48" s="74">
        <v>16.64</v>
      </c>
      <c r="C48" s="74">
        <v>4.62</v>
      </c>
      <c r="D48" s="74">
        <v>23.7</v>
      </c>
      <c r="E48" s="75" t="s">
        <v>390</v>
      </c>
      <c r="F48" s="75" t="s">
        <v>390</v>
      </c>
      <c r="G48" s="75" t="s">
        <v>390</v>
      </c>
      <c r="H48" s="75" t="s">
        <v>390</v>
      </c>
      <c r="W48" s="66">
        <f t="shared" si="17"/>
        <v>202503</v>
      </c>
      <c r="X48" s="81"/>
      <c r="Y48" s="82"/>
      <c r="Z48" s="82"/>
      <c r="AA48" s="67" t="s">
        <v>79</v>
      </c>
      <c r="AB48" s="83"/>
      <c r="AC48" s="83"/>
      <c r="AD48">
        <v>0</v>
      </c>
      <c r="AE48" s="67" t="str">
        <f t="shared" si="16"/>
        <v>payment-suppliers</v>
      </c>
      <c r="AF48" s="67"/>
      <c r="AG48" s="67" t="e">
        <f>VLOOKUP(input_invoice[[#This Row],[concept/supplier]],'sel-invoice'!Z:AA,2,0)</f>
        <v>#N/A</v>
      </c>
      <c r="AH48" s="67" t="e">
        <f>VLOOKUP(input_invoice[[#This Row],[concept/supplier]],'sel-invoice'!Z:AB,3,0)</f>
        <v>#N/A</v>
      </c>
      <c r="AI48" s="67" t="str">
        <f>IF(input_invoice[[#This Row],[entity]]="SL","EUR",IF(input_invoice[[#This Row],[entity]]="Ltd","GBP",IF(input_invoice[[#This Row],[entity]]="Inc","USD","XXX")))</f>
        <v>EUR</v>
      </c>
    </row>
    <row r="49" spans="1:35" ht="15" thickBot="1" x14ac:dyDescent="0.35">
      <c r="A49" s="72"/>
      <c r="B49" s="72"/>
      <c r="C49" s="72"/>
      <c r="D49" s="72"/>
      <c r="E49" s="72"/>
      <c r="F49" s="72"/>
      <c r="G49" s="72"/>
      <c r="H49" s="72"/>
      <c r="W49" s="66">
        <f t="shared" si="17"/>
        <v>202504</v>
      </c>
      <c r="X49" s="81"/>
      <c r="Y49" s="82"/>
      <c r="Z49" s="82"/>
      <c r="AA49" t="s">
        <v>65</v>
      </c>
      <c r="AB49" s="83"/>
      <c r="AC49" s="83"/>
      <c r="AD49">
        <v>2405.44</v>
      </c>
      <c r="AE49" s="67" t="str">
        <f t="shared" si="16"/>
        <v>payment-suppliers</v>
      </c>
      <c r="AF49" s="67"/>
      <c r="AG49" s="67" t="e">
        <f>VLOOKUP(input_invoice[[#This Row],[concept/supplier]],'sel-invoice'!Z:AA,2,0)</f>
        <v>#N/A</v>
      </c>
      <c r="AH49" s="67" t="e">
        <f>VLOOKUP(input_invoice[[#This Row],[concept/supplier]],'sel-invoice'!Z:AB,3,0)</f>
        <v>#N/A</v>
      </c>
      <c r="AI49" s="67" t="str">
        <f>IF(input_invoice[[#This Row],[entity]]="SL","EUR",IF(input_invoice[[#This Row],[entity]]="Ltd","GBP",IF(input_invoice[[#This Row],[entity]]="Inc","USD","XXX")))</f>
        <v>EUR</v>
      </c>
    </row>
    <row r="50" spans="1:35" ht="15" thickBot="1" x14ac:dyDescent="0.35">
      <c r="A50" s="73" t="s">
        <v>391</v>
      </c>
      <c r="B50" s="69"/>
      <c r="C50" s="69"/>
      <c r="D50" s="69"/>
      <c r="E50" s="70"/>
      <c r="F50" s="70"/>
      <c r="G50" s="70"/>
      <c r="H50" s="70"/>
      <c r="W50" s="66">
        <f t="shared" si="17"/>
        <v>202504</v>
      </c>
      <c r="X50" s="81"/>
      <c r="Y50" s="82"/>
      <c r="Z50" s="82"/>
      <c r="AA50" t="s">
        <v>66</v>
      </c>
      <c r="AB50" s="83"/>
      <c r="AC50" s="83"/>
      <c r="AD50">
        <v>1128.1300000000001</v>
      </c>
      <c r="AE50" s="67" t="str">
        <f t="shared" si="16"/>
        <v>payment-suppliers</v>
      </c>
      <c r="AF50" s="67"/>
      <c r="AG50" s="67" t="e">
        <f>VLOOKUP(input_invoice[[#This Row],[concept/supplier]],'sel-invoice'!Z:AA,2,0)</f>
        <v>#N/A</v>
      </c>
      <c r="AH50" s="67" t="e">
        <f>VLOOKUP(input_invoice[[#This Row],[concept/supplier]],'sel-invoice'!Z:AB,3,0)</f>
        <v>#N/A</v>
      </c>
      <c r="AI50" s="67" t="str">
        <f>IF(input_invoice[[#This Row],[entity]]="SL","EUR",IF(input_invoice[[#This Row],[entity]]="Ltd","GBP",IF(input_invoice[[#This Row],[entity]]="Inc","USD","XXX")))</f>
        <v>EUR</v>
      </c>
    </row>
    <row r="51" spans="1:35" ht="15" thickBot="1" x14ac:dyDescent="0.35">
      <c r="A51" s="71" t="s">
        <v>9</v>
      </c>
      <c r="B51" s="75" t="s">
        <v>390</v>
      </c>
      <c r="C51" s="74">
        <v>23.36</v>
      </c>
      <c r="D51" s="74">
        <v>11.78</v>
      </c>
      <c r="E51" s="75" t="s">
        <v>390</v>
      </c>
      <c r="F51" s="75" t="s">
        <v>390</v>
      </c>
      <c r="G51" s="75" t="s">
        <v>390</v>
      </c>
      <c r="H51" s="75" t="s">
        <v>390</v>
      </c>
      <c r="W51" s="66">
        <f t="shared" si="17"/>
        <v>202504</v>
      </c>
      <c r="X51" s="81"/>
      <c r="Y51" s="82"/>
      <c r="Z51" s="82"/>
      <c r="AA51" t="s">
        <v>68</v>
      </c>
      <c r="AB51" s="83"/>
      <c r="AC51" s="83"/>
      <c r="AD51">
        <v>0</v>
      </c>
      <c r="AE51" s="67" t="str">
        <f t="shared" ref="AE51:AE82" si="18">_xlfn.TEXTBEFORE(AA51," - ")</f>
        <v>payment-suppliers</v>
      </c>
      <c r="AF51" s="67"/>
      <c r="AG51" s="67" t="e">
        <f>VLOOKUP(input_invoice[[#This Row],[concept/supplier]],'sel-invoice'!Z:AA,2,0)</f>
        <v>#N/A</v>
      </c>
      <c r="AH51" s="67" t="e">
        <f>VLOOKUP(input_invoice[[#This Row],[concept/supplier]],'sel-invoice'!Z:AB,3,0)</f>
        <v>#N/A</v>
      </c>
      <c r="AI51" s="67" t="str">
        <f>IF(input_invoice[[#This Row],[entity]]="SL","EUR",IF(input_invoice[[#This Row],[entity]]="Ltd","GBP",IF(input_invoice[[#This Row],[entity]]="Inc","USD","XXX")))</f>
        <v>EUR</v>
      </c>
    </row>
    <row r="52" spans="1:35" ht="15" thickBot="1" x14ac:dyDescent="0.35">
      <c r="A52" s="71" t="s">
        <v>67</v>
      </c>
      <c r="B52" s="74">
        <v>16.55</v>
      </c>
      <c r="C52" s="74">
        <v>13.77</v>
      </c>
      <c r="D52" s="74">
        <v>12.68</v>
      </c>
      <c r="E52" s="75" t="s">
        <v>390</v>
      </c>
      <c r="F52" s="75" t="s">
        <v>390</v>
      </c>
      <c r="G52" s="75" t="s">
        <v>390</v>
      </c>
      <c r="H52" s="75" t="s">
        <v>390</v>
      </c>
      <c r="W52" s="66">
        <f t="shared" si="17"/>
        <v>202504</v>
      </c>
      <c r="X52" s="81"/>
      <c r="Y52" s="82"/>
      <c r="Z52" s="82"/>
      <c r="AA52" t="s">
        <v>70</v>
      </c>
      <c r="AB52" s="83"/>
      <c r="AC52" s="83"/>
      <c r="AD52">
        <v>105.98</v>
      </c>
      <c r="AE52" s="67" t="str">
        <f t="shared" si="18"/>
        <v>payment-suppliers</v>
      </c>
      <c r="AF52" s="67"/>
      <c r="AG52" s="67" t="e">
        <f>VLOOKUP(input_invoice[[#This Row],[concept/supplier]],'sel-invoice'!Z:AA,2,0)</f>
        <v>#N/A</v>
      </c>
      <c r="AH52" s="67" t="e">
        <f>VLOOKUP(input_invoice[[#This Row],[concept/supplier]],'sel-invoice'!Z:AB,3,0)</f>
        <v>#N/A</v>
      </c>
      <c r="AI52" s="67" t="str">
        <f>IF(input_invoice[[#This Row],[entity]]="SL","EUR",IF(input_invoice[[#This Row],[entity]]="Ltd","GBP",IF(input_invoice[[#This Row],[entity]]="Inc","USD","XXX")))</f>
        <v>EUR</v>
      </c>
    </row>
    <row r="53" spans="1:35" ht="15" thickBot="1" x14ac:dyDescent="0.35">
      <c r="A53" s="71" t="s">
        <v>69</v>
      </c>
      <c r="B53" s="75" t="s">
        <v>390</v>
      </c>
      <c r="C53" s="75" t="s">
        <v>390</v>
      </c>
      <c r="D53" s="75" t="s">
        <v>390</v>
      </c>
      <c r="E53" s="75" t="s">
        <v>390</v>
      </c>
      <c r="F53" s="75" t="s">
        <v>390</v>
      </c>
      <c r="G53" s="75" t="s">
        <v>390</v>
      </c>
      <c r="H53" s="75" t="s">
        <v>390</v>
      </c>
      <c r="W53" s="66">
        <f t="shared" si="17"/>
        <v>202504</v>
      </c>
      <c r="X53" s="81"/>
      <c r="Y53" s="82"/>
      <c r="Z53" s="82"/>
      <c r="AA53" t="s">
        <v>72</v>
      </c>
      <c r="AB53" s="83"/>
      <c r="AC53" s="83"/>
      <c r="AD53">
        <v>0</v>
      </c>
      <c r="AE53" s="67" t="str">
        <f t="shared" si="18"/>
        <v>payment-suppliers</v>
      </c>
      <c r="AF53" s="67"/>
      <c r="AG53" s="67" t="e">
        <f>VLOOKUP(input_invoice[[#This Row],[concept/supplier]],'sel-invoice'!Z:AA,2,0)</f>
        <v>#N/A</v>
      </c>
      <c r="AH53" s="67" t="e">
        <f>VLOOKUP(input_invoice[[#This Row],[concept/supplier]],'sel-invoice'!Z:AB,3,0)</f>
        <v>#N/A</v>
      </c>
      <c r="AI53" s="67" t="str">
        <f>IF(input_invoice[[#This Row],[entity]]="SL","EUR",IF(input_invoice[[#This Row],[entity]]="Ltd","GBP",IF(input_invoice[[#This Row],[entity]]="Inc","USD","XXX")))</f>
        <v>EUR</v>
      </c>
    </row>
    <row r="54" spans="1:35" ht="15" thickBot="1" x14ac:dyDescent="0.35">
      <c r="A54" s="71" t="s">
        <v>71</v>
      </c>
      <c r="B54" s="75" t="s">
        <v>390</v>
      </c>
      <c r="C54" s="75" t="s">
        <v>390</v>
      </c>
      <c r="D54" s="75" t="s">
        <v>390</v>
      </c>
      <c r="E54" s="75" t="s">
        <v>390</v>
      </c>
      <c r="F54" s="75" t="s">
        <v>390</v>
      </c>
      <c r="G54" s="75" t="s">
        <v>390</v>
      </c>
      <c r="H54" s="75" t="s">
        <v>390</v>
      </c>
      <c r="W54" s="66">
        <f t="shared" si="17"/>
        <v>202504</v>
      </c>
      <c r="X54" s="81"/>
      <c r="Y54" s="82"/>
      <c r="Z54" s="82"/>
      <c r="AA54" t="s">
        <v>74</v>
      </c>
      <c r="AB54" s="83"/>
      <c r="AC54" s="83"/>
      <c r="AD54">
        <v>0</v>
      </c>
      <c r="AE54" s="67" t="str">
        <f t="shared" si="18"/>
        <v>payment-suppliers</v>
      </c>
      <c r="AF54" s="67"/>
      <c r="AG54" s="67" t="e">
        <f>VLOOKUP(input_invoice[[#This Row],[concept/supplier]],'sel-invoice'!Z:AA,2,0)</f>
        <v>#N/A</v>
      </c>
      <c r="AH54" s="67" t="e">
        <f>VLOOKUP(input_invoice[[#This Row],[concept/supplier]],'sel-invoice'!Z:AB,3,0)</f>
        <v>#N/A</v>
      </c>
      <c r="AI54" s="67" t="str">
        <f>IF(input_invoice[[#This Row],[entity]]="SL","EUR",IF(input_invoice[[#This Row],[entity]]="Ltd","GBP",IF(input_invoice[[#This Row],[entity]]="Inc","USD","XXX")))</f>
        <v>GBP</v>
      </c>
    </row>
    <row r="55" spans="1:35" ht="15" thickBot="1" x14ac:dyDescent="0.35">
      <c r="A55" s="71" t="s">
        <v>73</v>
      </c>
      <c r="B55" s="75" t="s">
        <v>390</v>
      </c>
      <c r="C55" s="75" t="s">
        <v>390</v>
      </c>
      <c r="D55" s="75" t="s">
        <v>390</v>
      </c>
      <c r="E55" s="75" t="s">
        <v>390</v>
      </c>
      <c r="F55" s="75" t="s">
        <v>390</v>
      </c>
      <c r="G55" s="75" t="s">
        <v>390</v>
      </c>
      <c r="H55" s="75" t="s">
        <v>390</v>
      </c>
      <c r="W55" s="66">
        <f t="shared" si="17"/>
        <v>202504</v>
      </c>
      <c r="X55" s="81"/>
      <c r="Y55" s="82"/>
      <c r="Z55" s="82"/>
      <c r="AA55" t="s">
        <v>76</v>
      </c>
      <c r="AB55" s="83"/>
      <c r="AC55" s="83"/>
      <c r="AD55">
        <v>0</v>
      </c>
      <c r="AE55" s="67" t="str">
        <f t="shared" si="18"/>
        <v>payment-suppliers</v>
      </c>
      <c r="AF55" s="67"/>
      <c r="AG55" s="67" t="e">
        <f>VLOOKUP(input_invoice[[#This Row],[concept/supplier]],'sel-invoice'!Z:AA,2,0)</f>
        <v>#N/A</v>
      </c>
      <c r="AH55" s="67" t="e">
        <f>VLOOKUP(input_invoice[[#This Row],[concept/supplier]],'sel-invoice'!Z:AB,3,0)</f>
        <v>#N/A</v>
      </c>
      <c r="AI55" s="67" t="str">
        <f>IF(input_invoice[[#This Row],[entity]]="SL","EUR",IF(input_invoice[[#This Row],[entity]]="Ltd","GBP",IF(input_invoice[[#This Row],[entity]]="Inc","USD","XXX")))</f>
        <v>EUR</v>
      </c>
    </row>
    <row r="56" spans="1:35" ht="28.2" thickBot="1" x14ac:dyDescent="0.35">
      <c r="A56" s="71" t="s">
        <v>12</v>
      </c>
      <c r="B56" s="75" t="s">
        <v>390</v>
      </c>
      <c r="C56" s="75" t="s">
        <v>390</v>
      </c>
      <c r="D56" s="75" t="s">
        <v>390</v>
      </c>
      <c r="E56" s="75" t="s">
        <v>390</v>
      </c>
      <c r="F56" s="75" t="s">
        <v>390</v>
      </c>
      <c r="G56" s="75" t="s">
        <v>390</v>
      </c>
      <c r="H56" s="75" t="s">
        <v>390</v>
      </c>
      <c r="W56" s="66">
        <f t="shared" si="17"/>
        <v>202504</v>
      </c>
      <c r="X56" s="81"/>
      <c r="Y56" s="82"/>
      <c r="Z56" s="82"/>
      <c r="AA56" t="s">
        <v>77</v>
      </c>
      <c r="AB56" s="83"/>
      <c r="AC56" s="83"/>
      <c r="AD56">
        <v>194.94</v>
      </c>
      <c r="AE56" s="67" t="str">
        <f t="shared" si="18"/>
        <v>payment-suppliers</v>
      </c>
      <c r="AF56" s="67"/>
      <c r="AG56" s="67" t="e">
        <f>VLOOKUP(input_invoice[[#This Row],[concept/supplier]],'sel-invoice'!Z:AA,2,0)</f>
        <v>#N/A</v>
      </c>
      <c r="AH56" s="67" t="e">
        <f>VLOOKUP(input_invoice[[#This Row],[concept/supplier]],'sel-invoice'!Z:AB,3,0)</f>
        <v>#N/A</v>
      </c>
      <c r="AI56" s="67" t="str">
        <f>IF(input_invoice[[#This Row],[entity]]="SL","EUR",IF(input_invoice[[#This Row],[entity]]="Ltd","GBP",IF(input_invoice[[#This Row],[entity]]="Inc","USD","XXX")))</f>
        <v>EUR</v>
      </c>
    </row>
    <row r="57" spans="1:35" x14ac:dyDescent="0.3">
      <c r="W57" s="66">
        <f t="shared" si="17"/>
        <v>202504</v>
      </c>
      <c r="X57" s="81"/>
      <c r="Y57" s="82"/>
      <c r="Z57" s="82"/>
      <c r="AA57" t="s">
        <v>78</v>
      </c>
      <c r="AB57" s="83"/>
      <c r="AC57" s="83"/>
      <c r="AD57">
        <v>0</v>
      </c>
      <c r="AE57" s="67" t="str">
        <f t="shared" si="18"/>
        <v>payment-suppliers</v>
      </c>
      <c r="AF57" s="67"/>
      <c r="AG57" s="67" t="e">
        <f>VLOOKUP(input_invoice[[#This Row],[concept/supplier]],'sel-invoice'!Z:AA,2,0)</f>
        <v>#N/A</v>
      </c>
      <c r="AH57" s="67" t="e">
        <f>VLOOKUP(input_invoice[[#This Row],[concept/supplier]],'sel-invoice'!Z:AB,3,0)</f>
        <v>#N/A</v>
      </c>
      <c r="AI57" s="67" t="str">
        <f>IF(input_invoice[[#This Row],[entity]]="SL","EUR",IF(input_invoice[[#This Row],[entity]]="Ltd","GBP",IF(input_invoice[[#This Row],[entity]]="Inc","USD","XXX")))</f>
        <v>EUR</v>
      </c>
    </row>
    <row r="58" spans="1:35" x14ac:dyDescent="0.3">
      <c r="W58" s="66">
        <f t="shared" si="17"/>
        <v>202504</v>
      </c>
      <c r="X58" s="81"/>
      <c r="Y58" s="82"/>
      <c r="Z58" s="82"/>
      <c r="AA58" s="67" t="s">
        <v>79</v>
      </c>
      <c r="AB58" s="83"/>
      <c r="AC58" s="83"/>
      <c r="AD58">
        <v>0</v>
      </c>
      <c r="AE58" s="67" t="str">
        <f t="shared" si="18"/>
        <v>payment-suppliers</v>
      </c>
      <c r="AF58" s="67"/>
      <c r="AG58" s="67" t="e">
        <f>VLOOKUP(input_invoice[[#This Row],[concept/supplier]],'sel-invoice'!Z:AA,2,0)</f>
        <v>#N/A</v>
      </c>
      <c r="AH58" s="67" t="e">
        <f>VLOOKUP(input_invoice[[#This Row],[concept/supplier]],'sel-invoice'!Z:AB,3,0)</f>
        <v>#N/A</v>
      </c>
      <c r="AI58" s="67" t="str">
        <f>IF(input_invoice[[#This Row],[entity]]="SL","EUR",IF(input_invoice[[#This Row],[entity]]="Ltd","GBP",IF(input_invoice[[#This Row],[entity]]="Inc","USD","XXX")))</f>
        <v>EUR</v>
      </c>
    </row>
    <row r="59" spans="1:35" x14ac:dyDescent="0.3">
      <c r="W59" s="66">
        <f t="shared" si="17"/>
        <v>202505</v>
      </c>
      <c r="X59" s="81"/>
      <c r="Y59" s="82"/>
      <c r="Z59" s="82"/>
      <c r="AA59" t="s">
        <v>65</v>
      </c>
      <c r="AB59" s="83"/>
      <c r="AC59" s="83"/>
      <c r="AD59">
        <v>2117.6799999999998</v>
      </c>
      <c r="AE59" s="67" t="str">
        <f t="shared" si="18"/>
        <v>payment-suppliers</v>
      </c>
      <c r="AF59" s="67"/>
      <c r="AG59" s="67" t="e">
        <f>VLOOKUP(input_invoice[[#This Row],[concept/supplier]],'sel-invoice'!Z:AA,2,0)</f>
        <v>#N/A</v>
      </c>
      <c r="AH59" s="67" t="e">
        <f>VLOOKUP(input_invoice[[#This Row],[concept/supplier]],'sel-invoice'!Z:AB,3,0)</f>
        <v>#N/A</v>
      </c>
      <c r="AI59" s="67" t="str">
        <f>IF(input_invoice[[#This Row],[entity]]="SL","EUR",IF(input_invoice[[#This Row],[entity]]="Ltd","GBP",IF(input_invoice[[#This Row],[entity]]="Inc","USD","XXX")))</f>
        <v>EUR</v>
      </c>
    </row>
    <row r="60" spans="1:35" x14ac:dyDescent="0.3">
      <c r="W60" s="66">
        <f t="shared" si="17"/>
        <v>202505</v>
      </c>
      <c r="X60" s="81"/>
      <c r="Y60" s="82"/>
      <c r="Z60" s="82"/>
      <c r="AA60" t="s">
        <v>66</v>
      </c>
      <c r="AB60" s="83"/>
      <c r="AC60" s="83"/>
      <c r="AD60">
        <v>1119.8699999999999</v>
      </c>
      <c r="AE60" s="67" t="str">
        <f t="shared" si="18"/>
        <v>payment-suppliers</v>
      </c>
      <c r="AF60" s="67"/>
      <c r="AG60" s="67" t="e">
        <f>VLOOKUP(input_invoice[[#This Row],[concept/supplier]],'sel-invoice'!Z:AA,2,0)</f>
        <v>#N/A</v>
      </c>
      <c r="AH60" s="67" t="e">
        <f>VLOOKUP(input_invoice[[#This Row],[concept/supplier]],'sel-invoice'!Z:AB,3,0)</f>
        <v>#N/A</v>
      </c>
      <c r="AI60" s="67" t="str">
        <f>IF(input_invoice[[#This Row],[entity]]="SL","EUR",IF(input_invoice[[#This Row],[entity]]="Ltd","GBP",IF(input_invoice[[#This Row],[entity]]="Inc","USD","XXX")))</f>
        <v>EUR</v>
      </c>
    </row>
    <row r="61" spans="1:35" x14ac:dyDescent="0.3">
      <c r="W61" s="66">
        <f t="shared" ref="W61:W88" si="19">+W51+1</f>
        <v>202505</v>
      </c>
      <c r="X61" s="81"/>
      <c r="Y61" s="82"/>
      <c r="Z61" s="82"/>
      <c r="AA61" t="s">
        <v>68</v>
      </c>
      <c r="AB61" s="83"/>
      <c r="AC61" s="83"/>
      <c r="AD61">
        <v>0</v>
      </c>
      <c r="AE61" s="67" t="str">
        <f t="shared" si="18"/>
        <v>payment-suppliers</v>
      </c>
      <c r="AF61" s="67"/>
      <c r="AG61" s="67" t="e">
        <f>VLOOKUP(input_invoice[[#This Row],[concept/supplier]],'sel-invoice'!Z:AA,2,0)</f>
        <v>#N/A</v>
      </c>
      <c r="AH61" s="67" t="e">
        <f>VLOOKUP(input_invoice[[#This Row],[concept/supplier]],'sel-invoice'!Z:AB,3,0)</f>
        <v>#N/A</v>
      </c>
      <c r="AI61" s="67" t="str">
        <f>IF(input_invoice[[#This Row],[entity]]="SL","EUR",IF(input_invoice[[#This Row],[entity]]="Ltd","GBP",IF(input_invoice[[#This Row],[entity]]="Inc","USD","XXX")))</f>
        <v>EUR</v>
      </c>
    </row>
    <row r="62" spans="1:35" x14ac:dyDescent="0.3">
      <c r="W62" s="66">
        <f t="shared" si="19"/>
        <v>202505</v>
      </c>
      <c r="X62" s="81"/>
      <c r="Y62" s="82"/>
      <c r="Z62" s="82"/>
      <c r="AA62" t="s">
        <v>70</v>
      </c>
      <c r="AB62" s="83"/>
      <c r="AC62" s="83"/>
      <c r="AD62">
        <v>37.200000000000003</v>
      </c>
      <c r="AE62" s="67" t="str">
        <f t="shared" si="18"/>
        <v>payment-suppliers</v>
      </c>
      <c r="AF62" s="67"/>
      <c r="AG62" s="67" t="e">
        <f>VLOOKUP(input_invoice[[#This Row],[concept/supplier]],'sel-invoice'!Z:AA,2,0)</f>
        <v>#N/A</v>
      </c>
      <c r="AH62" s="67" t="e">
        <f>VLOOKUP(input_invoice[[#This Row],[concept/supplier]],'sel-invoice'!Z:AB,3,0)</f>
        <v>#N/A</v>
      </c>
      <c r="AI62" s="67" t="str">
        <f>IF(input_invoice[[#This Row],[entity]]="SL","EUR",IF(input_invoice[[#This Row],[entity]]="Ltd","GBP",IF(input_invoice[[#This Row],[entity]]="Inc","USD","XXX")))</f>
        <v>EUR</v>
      </c>
    </row>
    <row r="63" spans="1:35" x14ac:dyDescent="0.3">
      <c r="W63" s="66">
        <f t="shared" si="19"/>
        <v>202505</v>
      </c>
      <c r="X63" s="81"/>
      <c r="Y63" s="82"/>
      <c r="Z63" s="82"/>
      <c r="AA63" t="s">
        <v>72</v>
      </c>
      <c r="AB63" s="83"/>
      <c r="AC63" s="83"/>
      <c r="AD63">
        <v>0</v>
      </c>
      <c r="AE63" s="67" t="str">
        <f t="shared" si="18"/>
        <v>payment-suppliers</v>
      </c>
      <c r="AF63" s="67"/>
      <c r="AG63" s="67" t="e">
        <f>VLOOKUP(input_invoice[[#This Row],[concept/supplier]],'sel-invoice'!Z:AA,2,0)</f>
        <v>#N/A</v>
      </c>
      <c r="AH63" s="67" t="e">
        <f>VLOOKUP(input_invoice[[#This Row],[concept/supplier]],'sel-invoice'!Z:AB,3,0)</f>
        <v>#N/A</v>
      </c>
      <c r="AI63" s="67" t="str">
        <f>IF(input_invoice[[#This Row],[entity]]="SL","EUR",IF(input_invoice[[#This Row],[entity]]="Ltd","GBP",IF(input_invoice[[#This Row],[entity]]="Inc","USD","XXX")))</f>
        <v>EUR</v>
      </c>
    </row>
    <row r="64" spans="1:35" x14ac:dyDescent="0.3">
      <c r="W64" s="66">
        <f t="shared" si="19"/>
        <v>202505</v>
      </c>
      <c r="X64" s="81"/>
      <c r="Y64" s="82"/>
      <c r="Z64" s="82"/>
      <c r="AA64" t="s">
        <v>74</v>
      </c>
      <c r="AB64" s="83"/>
      <c r="AC64" s="83"/>
      <c r="AD64">
        <v>0</v>
      </c>
      <c r="AE64" s="67" t="str">
        <f t="shared" si="18"/>
        <v>payment-suppliers</v>
      </c>
      <c r="AF64" s="67"/>
      <c r="AG64" s="67" t="e">
        <f>VLOOKUP(input_invoice[[#This Row],[concept/supplier]],'sel-invoice'!Z:AA,2,0)</f>
        <v>#N/A</v>
      </c>
      <c r="AH64" s="67" t="e">
        <f>VLOOKUP(input_invoice[[#This Row],[concept/supplier]],'sel-invoice'!Z:AB,3,0)</f>
        <v>#N/A</v>
      </c>
      <c r="AI64" s="67" t="str">
        <f>IF(input_invoice[[#This Row],[entity]]="SL","EUR",IF(input_invoice[[#This Row],[entity]]="Ltd","GBP",IF(input_invoice[[#This Row],[entity]]="Inc","USD","XXX")))</f>
        <v>EUR</v>
      </c>
    </row>
    <row r="65" spans="23:35" x14ac:dyDescent="0.3">
      <c r="W65" s="66">
        <f t="shared" si="19"/>
        <v>202505</v>
      </c>
      <c r="X65" s="81"/>
      <c r="Y65" s="82"/>
      <c r="Z65" s="82"/>
      <c r="AA65" t="s">
        <v>76</v>
      </c>
      <c r="AB65" s="83"/>
      <c r="AC65" s="83"/>
      <c r="AD65">
        <v>0</v>
      </c>
      <c r="AE65" s="67" t="str">
        <f t="shared" si="18"/>
        <v>payment-suppliers</v>
      </c>
      <c r="AF65" s="67"/>
      <c r="AG65" s="67" t="e">
        <f>VLOOKUP(input_invoice[[#This Row],[concept/supplier]],'sel-invoice'!Z:AA,2,0)</f>
        <v>#N/A</v>
      </c>
      <c r="AH65" s="67" t="e">
        <f>VLOOKUP(input_invoice[[#This Row],[concept/supplier]],'sel-invoice'!Z:AB,3,0)</f>
        <v>#N/A</v>
      </c>
      <c r="AI65" s="67" t="str">
        <f>IF(input_invoice[[#This Row],[entity]]="SL","EUR",IF(input_invoice[[#This Row],[entity]]="Ltd","GBP",IF(input_invoice[[#This Row],[entity]]="Inc","USD","XXX")))</f>
        <v>EUR</v>
      </c>
    </row>
    <row r="66" spans="23:35" x14ac:dyDescent="0.3">
      <c r="W66" s="66">
        <f t="shared" si="19"/>
        <v>202505</v>
      </c>
      <c r="X66" s="81"/>
      <c r="Y66" s="82"/>
      <c r="Z66" s="82"/>
      <c r="AA66" t="s">
        <v>77</v>
      </c>
      <c r="AB66" s="83"/>
      <c r="AC66" s="83"/>
      <c r="AD66">
        <v>135.51</v>
      </c>
      <c r="AE66" s="67" t="str">
        <f t="shared" si="18"/>
        <v>payment-suppliers</v>
      </c>
      <c r="AF66" s="67"/>
      <c r="AG66" s="67" t="e">
        <f>VLOOKUP(input_invoice[[#This Row],[concept/supplier]],'sel-invoice'!Z:AA,2,0)</f>
        <v>#N/A</v>
      </c>
      <c r="AH66" s="67" t="e">
        <f>VLOOKUP(input_invoice[[#This Row],[concept/supplier]],'sel-invoice'!Z:AB,3,0)</f>
        <v>#N/A</v>
      </c>
      <c r="AI66" s="67" t="str">
        <f>IF(input_invoice[[#This Row],[entity]]="SL","EUR",IF(input_invoice[[#This Row],[entity]]="Ltd","GBP",IF(input_invoice[[#This Row],[entity]]="Inc","USD","XXX")))</f>
        <v>EUR</v>
      </c>
    </row>
    <row r="67" spans="23:35" x14ac:dyDescent="0.3">
      <c r="W67" s="66">
        <f t="shared" si="19"/>
        <v>202505</v>
      </c>
      <c r="X67" s="81"/>
      <c r="Y67" s="82"/>
      <c r="Z67" s="82"/>
      <c r="AA67" t="s">
        <v>78</v>
      </c>
      <c r="AB67" s="83"/>
      <c r="AC67" s="83"/>
      <c r="AD67">
        <v>0</v>
      </c>
      <c r="AE67" s="67" t="str">
        <f t="shared" si="18"/>
        <v>payment-suppliers</v>
      </c>
      <c r="AF67" s="67"/>
      <c r="AG67" s="67" t="e">
        <f>VLOOKUP(input_invoice[[#This Row],[concept/supplier]],'sel-invoice'!Z:AA,2,0)</f>
        <v>#N/A</v>
      </c>
      <c r="AH67" s="67" t="e">
        <f>VLOOKUP(input_invoice[[#This Row],[concept/supplier]],'sel-invoice'!Z:AB,3,0)</f>
        <v>#N/A</v>
      </c>
      <c r="AI67" s="67" t="str">
        <f>IF(input_invoice[[#This Row],[entity]]="SL","EUR",IF(input_invoice[[#This Row],[entity]]="Ltd","GBP",IF(input_invoice[[#This Row],[entity]]="Inc","USD","XXX")))</f>
        <v>EUR</v>
      </c>
    </row>
    <row r="68" spans="23:35" x14ac:dyDescent="0.3">
      <c r="W68" s="66">
        <f t="shared" si="19"/>
        <v>202505</v>
      </c>
      <c r="X68" s="81"/>
      <c r="Y68" s="82"/>
      <c r="Z68" s="82"/>
      <c r="AA68" s="67" t="s">
        <v>79</v>
      </c>
      <c r="AB68" s="83"/>
      <c r="AC68" s="83"/>
      <c r="AD68">
        <v>82.24</v>
      </c>
      <c r="AE68" s="67" t="str">
        <f t="shared" si="18"/>
        <v>payment-suppliers</v>
      </c>
      <c r="AF68" s="67"/>
      <c r="AG68" s="67" t="e">
        <f>VLOOKUP(input_invoice[[#This Row],[concept/supplier]],'sel-invoice'!Z:AA,2,0)</f>
        <v>#N/A</v>
      </c>
      <c r="AH68" s="67" t="e">
        <f>VLOOKUP(input_invoice[[#This Row],[concept/supplier]],'sel-invoice'!Z:AB,3,0)</f>
        <v>#N/A</v>
      </c>
      <c r="AI68" s="67" t="str">
        <f>IF(input_invoice[[#This Row],[entity]]="SL","EUR",IF(input_invoice[[#This Row],[entity]]="Ltd","GBP",IF(input_invoice[[#This Row],[entity]]="Inc","USD","XXX")))</f>
        <v>EUR</v>
      </c>
    </row>
    <row r="69" spans="23:35" x14ac:dyDescent="0.3">
      <c r="W69" s="66">
        <f t="shared" si="19"/>
        <v>202506</v>
      </c>
      <c r="X69" s="81"/>
      <c r="Y69" s="82"/>
      <c r="Z69" s="82"/>
      <c r="AA69" t="s">
        <v>65</v>
      </c>
      <c r="AB69" s="83"/>
      <c r="AC69" s="83"/>
      <c r="AD69">
        <v>2073.13</v>
      </c>
      <c r="AE69" s="67" t="str">
        <f t="shared" si="18"/>
        <v>payment-suppliers</v>
      </c>
      <c r="AF69" s="67"/>
      <c r="AG69" s="67" t="e">
        <f>VLOOKUP(input_invoice[[#This Row],[concept/supplier]],'sel-invoice'!Z:AA,2,0)</f>
        <v>#N/A</v>
      </c>
      <c r="AH69" s="67" t="e">
        <f>VLOOKUP(input_invoice[[#This Row],[concept/supplier]],'sel-invoice'!Z:AB,3,0)</f>
        <v>#N/A</v>
      </c>
      <c r="AI69" s="67" t="str">
        <f>IF(input_invoice[[#This Row],[entity]]="SL","EUR",IF(input_invoice[[#This Row],[entity]]="Ltd","GBP",IF(input_invoice[[#This Row],[entity]]="Inc","USD","XXX")))</f>
        <v>GBP</v>
      </c>
    </row>
    <row r="70" spans="23:35" x14ac:dyDescent="0.3">
      <c r="W70" s="66">
        <f t="shared" si="19"/>
        <v>202506</v>
      </c>
      <c r="X70" s="81"/>
      <c r="Y70" s="82"/>
      <c r="Z70" s="82"/>
      <c r="AA70" t="s">
        <v>66</v>
      </c>
      <c r="AB70" s="83"/>
      <c r="AC70" s="83"/>
      <c r="AD70">
        <v>1105.57</v>
      </c>
      <c r="AE70" s="67" t="str">
        <f t="shared" si="18"/>
        <v>payment-suppliers</v>
      </c>
      <c r="AF70" s="67"/>
      <c r="AG70" s="67" t="e">
        <f>VLOOKUP(input_invoice[[#This Row],[concept/supplier]],'sel-invoice'!Z:AA,2,0)</f>
        <v>#N/A</v>
      </c>
      <c r="AH70" s="67" t="e">
        <f>VLOOKUP(input_invoice[[#This Row],[concept/supplier]],'sel-invoice'!Z:AB,3,0)</f>
        <v>#N/A</v>
      </c>
      <c r="AI70" s="67" t="str">
        <f>IF(input_invoice[[#This Row],[entity]]="SL","EUR",IF(input_invoice[[#This Row],[entity]]="Ltd","GBP",IF(input_invoice[[#This Row],[entity]]="Inc","USD","XXX")))</f>
        <v>GBP</v>
      </c>
    </row>
    <row r="71" spans="23:35" x14ac:dyDescent="0.3">
      <c r="W71" s="66">
        <f t="shared" si="19"/>
        <v>202506</v>
      </c>
      <c r="X71" s="81"/>
      <c r="Y71" s="82"/>
      <c r="Z71" s="82"/>
      <c r="AA71" t="s">
        <v>68</v>
      </c>
      <c r="AB71" s="83"/>
      <c r="AC71" s="83"/>
      <c r="AD71">
        <v>0</v>
      </c>
      <c r="AE71" s="67" t="str">
        <f t="shared" si="18"/>
        <v>payment-suppliers</v>
      </c>
      <c r="AF71" s="67"/>
      <c r="AG71" s="67" t="e">
        <f>VLOOKUP(input_invoice[[#This Row],[concept/supplier]],'sel-invoice'!Z:AA,2,0)</f>
        <v>#N/A</v>
      </c>
      <c r="AH71" s="67" t="e">
        <f>VLOOKUP(input_invoice[[#This Row],[concept/supplier]],'sel-invoice'!Z:AB,3,0)</f>
        <v>#N/A</v>
      </c>
      <c r="AI71" s="67" t="str">
        <f>IF(input_invoice[[#This Row],[entity]]="SL","EUR",IF(input_invoice[[#This Row],[entity]]="Ltd","GBP",IF(input_invoice[[#This Row],[entity]]="Inc","USD","XXX")))</f>
        <v>EUR</v>
      </c>
    </row>
    <row r="72" spans="23:35" x14ac:dyDescent="0.3">
      <c r="W72" s="66">
        <f t="shared" si="19"/>
        <v>202506</v>
      </c>
      <c r="X72" s="81"/>
      <c r="Y72" s="82"/>
      <c r="Z72" s="82"/>
      <c r="AA72" t="s">
        <v>70</v>
      </c>
      <c r="AB72" s="83"/>
      <c r="AC72" s="83"/>
      <c r="AD72">
        <v>43.04</v>
      </c>
      <c r="AE72" s="67" t="str">
        <f t="shared" si="18"/>
        <v>payment-suppliers</v>
      </c>
      <c r="AF72" s="67"/>
      <c r="AG72" s="67" t="e">
        <f>VLOOKUP(input_invoice[[#This Row],[concept/supplier]],'sel-invoice'!Z:AA,2,0)</f>
        <v>#N/A</v>
      </c>
      <c r="AH72" s="67" t="e">
        <f>VLOOKUP(input_invoice[[#This Row],[concept/supplier]],'sel-invoice'!Z:AB,3,0)</f>
        <v>#N/A</v>
      </c>
      <c r="AI72" s="67" t="str">
        <f>IF(input_invoice[[#This Row],[entity]]="SL","EUR",IF(input_invoice[[#This Row],[entity]]="Ltd","GBP",IF(input_invoice[[#This Row],[entity]]="Inc","USD","XXX")))</f>
        <v>GBP</v>
      </c>
    </row>
    <row r="73" spans="23:35" x14ac:dyDescent="0.3">
      <c r="W73" s="66">
        <f t="shared" si="19"/>
        <v>202506</v>
      </c>
      <c r="X73" s="81"/>
      <c r="Y73" s="82"/>
      <c r="Z73" s="82"/>
      <c r="AA73" t="s">
        <v>72</v>
      </c>
      <c r="AB73" s="83"/>
      <c r="AC73" s="83"/>
      <c r="AD73">
        <v>0</v>
      </c>
      <c r="AE73" s="67" t="str">
        <f t="shared" si="18"/>
        <v>payment-suppliers</v>
      </c>
      <c r="AF73" s="67"/>
      <c r="AG73" s="67" t="e">
        <f>VLOOKUP(input_invoice[[#This Row],[concept/supplier]],'sel-invoice'!Z:AA,2,0)</f>
        <v>#N/A</v>
      </c>
      <c r="AH73" s="67" t="e">
        <f>VLOOKUP(input_invoice[[#This Row],[concept/supplier]],'sel-invoice'!Z:AB,3,0)</f>
        <v>#N/A</v>
      </c>
      <c r="AI73" s="67" t="str">
        <f>IF(input_invoice[[#This Row],[entity]]="SL","EUR",IF(input_invoice[[#This Row],[entity]]="Ltd","GBP",IF(input_invoice[[#This Row],[entity]]="Inc","USD","XXX")))</f>
        <v>EUR</v>
      </c>
    </row>
    <row r="74" spans="23:35" x14ac:dyDescent="0.3">
      <c r="W74" s="66">
        <f t="shared" si="19"/>
        <v>202506</v>
      </c>
      <c r="X74" s="81"/>
      <c r="Y74" s="82"/>
      <c r="Z74" s="82"/>
      <c r="AA74" t="s">
        <v>74</v>
      </c>
      <c r="AB74" s="83"/>
      <c r="AC74" s="83"/>
      <c r="AD74">
        <v>0</v>
      </c>
      <c r="AE74" s="67" t="str">
        <f t="shared" si="18"/>
        <v>payment-suppliers</v>
      </c>
      <c r="AF74" s="67"/>
      <c r="AG74" s="67" t="e">
        <f>VLOOKUP(input_invoice[[#This Row],[concept/supplier]],'sel-invoice'!Z:AA,2,0)</f>
        <v>#N/A</v>
      </c>
      <c r="AH74" s="67" t="e">
        <f>VLOOKUP(input_invoice[[#This Row],[concept/supplier]],'sel-invoice'!Z:AB,3,0)</f>
        <v>#N/A</v>
      </c>
      <c r="AI74" s="67" t="str">
        <f>IF(input_invoice[[#This Row],[entity]]="SL","EUR",IF(input_invoice[[#This Row],[entity]]="Ltd","GBP",IF(input_invoice[[#This Row],[entity]]="Inc","USD","XXX")))</f>
        <v>EUR</v>
      </c>
    </row>
    <row r="75" spans="23:35" x14ac:dyDescent="0.3">
      <c r="W75" s="66">
        <f t="shared" si="19"/>
        <v>202506</v>
      </c>
      <c r="X75" s="81"/>
      <c r="Y75" s="82"/>
      <c r="Z75" s="82"/>
      <c r="AA75" t="s">
        <v>76</v>
      </c>
      <c r="AB75" s="83"/>
      <c r="AC75" s="83"/>
      <c r="AD75">
        <v>0</v>
      </c>
      <c r="AE75" s="67" t="str">
        <f t="shared" si="18"/>
        <v>payment-suppliers</v>
      </c>
      <c r="AF75" s="67"/>
      <c r="AG75" s="67" t="e">
        <f>VLOOKUP(input_invoice[[#This Row],[concept/supplier]],'sel-invoice'!Z:AA,2,0)</f>
        <v>#N/A</v>
      </c>
      <c r="AH75" s="67" t="e">
        <f>VLOOKUP(input_invoice[[#This Row],[concept/supplier]],'sel-invoice'!Z:AB,3,0)</f>
        <v>#N/A</v>
      </c>
      <c r="AI75" s="67" t="str">
        <f>IF(input_invoice[[#This Row],[entity]]="SL","EUR",IF(input_invoice[[#This Row],[entity]]="Ltd","GBP",IF(input_invoice[[#This Row],[entity]]="Inc","USD","XXX")))</f>
        <v>EUR</v>
      </c>
    </row>
    <row r="76" spans="23:35" x14ac:dyDescent="0.3">
      <c r="W76" s="66">
        <f t="shared" si="19"/>
        <v>202506</v>
      </c>
      <c r="X76" s="81"/>
      <c r="Y76" s="82"/>
      <c r="Z76" s="82"/>
      <c r="AA76" t="s">
        <v>77</v>
      </c>
      <c r="AB76" s="83"/>
      <c r="AC76" s="83"/>
      <c r="AD76">
        <v>0</v>
      </c>
      <c r="AE76" s="67" t="str">
        <f t="shared" si="18"/>
        <v>payment-suppliers</v>
      </c>
      <c r="AF76" s="67"/>
      <c r="AG76" s="67" t="e">
        <f>VLOOKUP(input_invoice[[#This Row],[concept/supplier]],'sel-invoice'!Z:AA,2,0)</f>
        <v>#N/A</v>
      </c>
      <c r="AH76" s="67" t="e">
        <f>VLOOKUP(input_invoice[[#This Row],[concept/supplier]],'sel-invoice'!Z:AB,3,0)</f>
        <v>#N/A</v>
      </c>
      <c r="AI76" s="67" t="str">
        <f>IF(input_invoice[[#This Row],[entity]]="SL","EUR",IF(input_invoice[[#This Row],[entity]]="Ltd","GBP",IF(input_invoice[[#This Row],[entity]]="Inc","USD","XXX")))</f>
        <v>EUR</v>
      </c>
    </row>
    <row r="77" spans="23:35" x14ac:dyDescent="0.3">
      <c r="W77" s="66">
        <f t="shared" si="19"/>
        <v>202506</v>
      </c>
      <c r="X77" s="81"/>
      <c r="Y77" s="82"/>
      <c r="Z77" s="82"/>
      <c r="AA77" t="s">
        <v>78</v>
      </c>
      <c r="AB77" s="83"/>
      <c r="AC77" s="83"/>
      <c r="AD77">
        <v>0</v>
      </c>
      <c r="AE77" s="67" t="str">
        <f t="shared" si="18"/>
        <v>payment-suppliers</v>
      </c>
      <c r="AF77" s="67"/>
      <c r="AG77" s="67" t="e">
        <f>VLOOKUP(input_invoice[[#This Row],[concept/supplier]],'sel-invoice'!Z:AA,2,0)</f>
        <v>#N/A</v>
      </c>
      <c r="AH77" s="67" t="e">
        <f>VLOOKUP(input_invoice[[#This Row],[concept/supplier]],'sel-invoice'!Z:AB,3,0)</f>
        <v>#N/A</v>
      </c>
      <c r="AI77" s="67" t="str">
        <f>IF(input_invoice[[#This Row],[entity]]="SL","EUR",IF(input_invoice[[#This Row],[entity]]="Ltd","GBP",IF(input_invoice[[#This Row],[entity]]="Inc","USD","XXX")))</f>
        <v>EUR</v>
      </c>
    </row>
    <row r="78" spans="23:35" x14ac:dyDescent="0.3">
      <c r="W78" s="66">
        <f t="shared" si="19"/>
        <v>202506</v>
      </c>
      <c r="X78" s="81"/>
      <c r="Y78" s="82"/>
      <c r="Z78" s="82"/>
      <c r="AA78" s="67" t="s">
        <v>79</v>
      </c>
      <c r="AB78" s="83"/>
      <c r="AC78" s="83"/>
      <c r="AD78">
        <v>0</v>
      </c>
      <c r="AE78" s="67" t="str">
        <f t="shared" si="18"/>
        <v>payment-suppliers</v>
      </c>
      <c r="AF78" s="67"/>
      <c r="AG78" s="67" t="e">
        <f>VLOOKUP(input_invoice[[#This Row],[concept/supplier]],'sel-invoice'!Z:AA,2,0)</f>
        <v>#N/A</v>
      </c>
      <c r="AH78" s="67" t="e">
        <f>VLOOKUP(input_invoice[[#This Row],[concept/supplier]],'sel-invoice'!Z:AB,3,0)</f>
        <v>#N/A</v>
      </c>
      <c r="AI78" s="67" t="str">
        <f>IF(input_invoice[[#This Row],[entity]]="SL","EUR",IF(input_invoice[[#This Row],[entity]]="Ltd","GBP",IF(input_invoice[[#This Row],[entity]]="Inc","USD","XXX")))</f>
        <v>EUR</v>
      </c>
    </row>
    <row r="79" spans="23:35" x14ac:dyDescent="0.3">
      <c r="W79" s="66">
        <f t="shared" si="19"/>
        <v>202507</v>
      </c>
      <c r="X79" s="81"/>
      <c r="Y79" s="82"/>
      <c r="Z79" s="82"/>
      <c r="AA79" t="s">
        <v>65</v>
      </c>
      <c r="AB79" s="83"/>
      <c r="AC79" s="83"/>
      <c r="AD79">
        <v>2439.54</v>
      </c>
      <c r="AE79" s="67" t="str">
        <f t="shared" si="18"/>
        <v>payment-suppliers</v>
      </c>
      <c r="AF79" s="67"/>
      <c r="AG79" s="67" t="e">
        <f>VLOOKUP(input_invoice[[#This Row],[concept/supplier]],'sel-invoice'!Z:AA,2,0)</f>
        <v>#N/A</v>
      </c>
      <c r="AH79" s="67" t="e">
        <f>VLOOKUP(input_invoice[[#This Row],[concept/supplier]],'sel-invoice'!Z:AB,3,0)</f>
        <v>#N/A</v>
      </c>
      <c r="AI79" s="67" t="str">
        <f>IF(input_invoice[[#This Row],[entity]]="SL","EUR",IF(input_invoice[[#This Row],[entity]]="Ltd","GBP",IF(input_invoice[[#This Row],[entity]]="Inc","USD","XXX")))</f>
        <v>EUR</v>
      </c>
    </row>
    <row r="80" spans="23:35" x14ac:dyDescent="0.3">
      <c r="W80" s="66">
        <f t="shared" si="19"/>
        <v>202507</v>
      </c>
      <c r="X80" s="81"/>
      <c r="Y80" s="82"/>
      <c r="Z80" s="82"/>
      <c r="AA80" t="s">
        <v>66</v>
      </c>
      <c r="AB80" s="83"/>
      <c r="AC80" s="83"/>
      <c r="AD80">
        <v>1069.46</v>
      </c>
      <c r="AE80" s="67" t="str">
        <f t="shared" si="18"/>
        <v>payment-suppliers</v>
      </c>
      <c r="AF80" s="67"/>
      <c r="AG80" s="67" t="e">
        <f>VLOOKUP(input_invoice[[#This Row],[concept/supplier]],'sel-invoice'!Z:AA,2,0)</f>
        <v>#N/A</v>
      </c>
      <c r="AH80" s="67" t="e">
        <f>VLOOKUP(input_invoice[[#This Row],[concept/supplier]],'sel-invoice'!Z:AB,3,0)</f>
        <v>#N/A</v>
      </c>
      <c r="AI80" s="67" t="str">
        <f>IF(input_invoice[[#This Row],[entity]]="SL","EUR",IF(input_invoice[[#This Row],[entity]]="Ltd","GBP",IF(input_invoice[[#This Row],[entity]]="Inc","USD","XXX")))</f>
        <v>EUR</v>
      </c>
    </row>
    <row r="81" spans="23:35" x14ac:dyDescent="0.3">
      <c r="W81" s="66">
        <f t="shared" si="19"/>
        <v>202507</v>
      </c>
      <c r="X81" s="81"/>
      <c r="Y81" s="82"/>
      <c r="Z81" s="82"/>
      <c r="AA81" t="s">
        <v>68</v>
      </c>
      <c r="AB81" s="83"/>
      <c r="AC81" s="83"/>
      <c r="AD81">
        <v>0</v>
      </c>
      <c r="AE81" s="67" t="str">
        <f t="shared" si="18"/>
        <v>payment-suppliers</v>
      </c>
      <c r="AF81" s="67"/>
      <c r="AG81" s="67" t="e">
        <f>VLOOKUP(input_invoice[[#This Row],[concept/supplier]],'sel-invoice'!Z:AA,2,0)</f>
        <v>#N/A</v>
      </c>
      <c r="AH81" s="67" t="e">
        <f>VLOOKUP(input_invoice[[#This Row],[concept/supplier]],'sel-invoice'!Z:AB,3,0)</f>
        <v>#N/A</v>
      </c>
      <c r="AI81" s="67" t="str">
        <f>IF(input_invoice[[#This Row],[entity]]="SL","EUR",IF(input_invoice[[#This Row],[entity]]="Ltd","GBP",IF(input_invoice[[#This Row],[entity]]="Inc","USD","XXX")))</f>
        <v>GBP</v>
      </c>
    </row>
    <row r="82" spans="23:35" x14ac:dyDescent="0.3">
      <c r="W82" s="66">
        <f t="shared" si="19"/>
        <v>202507</v>
      </c>
      <c r="X82" s="81"/>
      <c r="Y82" s="82"/>
      <c r="Z82" s="82"/>
      <c r="AA82" t="s">
        <v>70</v>
      </c>
      <c r="AB82" s="83"/>
      <c r="AC82" s="83"/>
      <c r="AD82">
        <v>0</v>
      </c>
      <c r="AE82" s="67" t="str">
        <f t="shared" si="18"/>
        <v>payment-suppliers</v>
      </c>
      <c r="AF82" s="67"/>
      <c r="AG82" s="67" t="e">
        <f>VLOOKUP(input_invoice[[#This Row],[concept/supplier]],'sel-invoice'!Z:AA,2,0)</f>
        <v>#N/A</v>
      </c>
      <c r="AH82" s="67" t="e">
        <f>VLOOKUP(input_invoice[[#This Row],[concept/supplier]],'sel-invoice'!Z:AB,3,0)</f>
        <v>#N/A</v>
      </c>
      <c r="AI82" s="67" t="str">
        <f>IF(input_invoice[[#This Row],[entity]]="SL","EUR",IF(input_invoice[[#This Row],[entity]]="Ltd","GBP",IF(input_invoice[[#This Row],[entity]]="Inc","USD","XXX")))</f>
        <v>GBP</v>
      </c>
    </row>
    <row r="83" spans="23:35" x14ac:dyDescent="0.3">
      <c r="W83" s="66">
        <f t="shared" si="19"/>
        <v>202507</v>
      </c>
      <c r="X83" s="81"/>
      <c r="Y83" s="82"/>
      <c r="Z83" s="82"/>
      <c r="AA83" t="s">
        <v>72</v>
      </c>
      <c r="AB83" s="83"/>
      <c r="AC83" s="83"/>
      <c r="AD83">
        <v>0</v>
      </c>
      <c r="AE83" s="67" t="str">
        <f t="shared" ref="AE83:AE88" si="20">_xlfn.TEXTBEFORE(AA83," - ")</f>
        <v>payment-suppliers</v>
      </c>
      <c r="AF83" s="67"/>
      <c r="AG83" s="67" t="e">
        <f>VLOOKUP(input_invoice[[#This Row],[concept/supplier]],'sel-invoice'!Z:AA,2,0)</f>
        <v>#N/A</v>
      </c>
      <c r="AH83" s="67" t="e">
        <f>VLOOKUP(input_invoice[[#This Row],[concept/supplier]],'sel-invoice'!Z:AB,3,0)</f>
        <v>#N/A</v>
      </c>
      <c r="AI83" s="67" t="str">
        <f>IF(input_invoice[[#This Row],[entity]]="SL","EUR",IF(input_invoice[[#This Row],[entity]]="Ltd","GBP",IF(input_invoice[[#This Row],[entity]]="Inc","USD","XXX")))</f>
        <v>GBP</v>
      </c>
    </row>
    <row r="84" spans="23:35" x14ac:dyDescent="0.3">
      <c r="W84" s="66">
        <f t="shared" si="19"/>
        <v>202507</v>
      </c>
      <c r="X84" s="81"/>
      <c r="Y84" s="82"/>
      <c r="Z84" s="82"/>
      <c r="AA84" t="s">
        <v>74</v>
      </c>
      <c r="AB84" s="83"/>
      <c r="AC84" s="83"/>
      <c r="AD84">
        <v>0</v>
      </c>
      <c r="AE84" s="67" t="str">
        <f t="shared" si="20"/>
        <v>payment-suppliers</v>
      </c>
      <c r="AF84" s="67"/>
      <c r="AG84" s="67" t="e">
        <f>VLOOKUP(input_invoice[[#This Row],[concept/supplier]],'sel-invoice'!Z:AA,2,0)</f>
        <v>#N/A</v>
      </c>
      <c r="AH84" s="67" t="e">
        <f>VLOOKUP(input_invoice[[#This Row],[concept/supplier]],'sel-invoice'!Z:AB,3,0)</f>
        <v>#N/A</v>
      </c>
      <c r="AI84" s="67" t="str">
        <f>IF(input_invoice[[#This Row],[entity]]="SL","EUR",IF(input_invoice[[#This Row],[entity]]="Ltd","GBP",IF(input_invoice[[#This Row],[entity]]="Inc","USD","XXX")))</f>
        <v>EUR</v>
      </c>
    </row>
    <row r="85" spans="23:35" x14ac:dyDescent="0.3">
      <c r="W85" s="66">
        <f t="shared" si="19"/>
        <v>202507</v>
      </c>
      <c r="X85" s="81"/>
      <c r="Y85" s="82"/>
      <c r="Z85" s="82"/>
      <c r="AA85" t="s">
        <v>76</v>
      </c>
      <c r="AB85" s="83"/>
      <c r="AC85" s="83"/>
      <c r="AD85">
        <v>0</v>
      </c>
      <c r="AE85" s="67" t="str">
        <f t="shared" si="20"/>
        <v>payment-suppliers</v>
      </c>
      <c r="AF85" s="67"/>
      <c r="AG85" s="67" t="e">
        <f>VLOOKUP(input_invoice[[#This Row],[concept/supplier]],'sel-invoice'!Z:AA,2,0)</f>
        <v>#N/A</v>
      </c>
      <c r="AH85" s="67" t="e">
        <f>VLOOKUP(input_invoice[[#This Row],[concept/supplier]],'sel-invoice'!Z:AB,3,0)</f>
        <v>#N/A</v>
      </c>
      <c r="AI85" s="67" t="str">
        <f>IF(input_invoice[[#This Row],[entity]]="SL","EUR",IF(input_invoice[[#This Row],[entity]]="Ltd","GBP",IF(input_invoice[[#This Row],[entity]]="Inc","USD","XXX")))</f>
        <v>EUR</v>
      </c>
    </row>
    <row r="86" spans="23:35" x14ac:dyDescent="0.3">
      <c r="W86" s="66">
        <f t="shared" si="19"/>
        <v>202507</v>
      </c>
      <c r="X86" s="81"/>
      <c r="Y86" s="82"/>
      <c r="Z86" s="82"/>
      <c r="AA86" t="s">
        <v>77</v>
      </c>
      <c r="AB86" s="83"/>
      <c r="AC86" s="83"/>
      <c r="AD86">
        <v>0</v>
      </c>
      <c r="AE86" s="67" t="str">
        <f t="shared" si="20"/>
        <v>payment-suppliers</v>
      </c>
      <c r="AF86" s="67"/>
      <c r="AG86" s="67" t="e">
        <f>VLOOKUP(input_invoice[[#This Row],[concept/supplier]],'sel-invoice'!Z:AA,2,0)</f>
        <v>#N/A</v>
      </c>
      <c r="AH86" s="67" t="e">
        <f>VLOOKUP(input_invoice[[#This Row],[concept/supplier]],'sel-invoice'!Z:AB,3,0)</f>
        <v>#N/A</v>
      </c>
      <c r="AI86" s="67" t="str">
        <f>IF(input_invoice[[#This Row],[entity]]="SL","EUR",IF(input_invoice[[#This Row],[entity]]="Ltd","GBP",IF(input_invoice[[#This Row],[entity]]="Inc","USD","XXX")))</f>
        <v>EUR</v>
      </c>
    </row>
    <row r="87" spans="23:35" x14ac:dyDescent="0.3">
      <c r="W87" s="66">
        <f t="shared" si="19"/>
        <v>202507</v>
      </c>
      <c r="X87" s="81"/>
      <c r="Y87" s="82"/>
      <c r="Z87" s="82"/>
      <c r="AA87" t="s">
        <v>78</v>
      </c>
      <c r="AB87" s="83"/>
      <c r="AC87" s="83"/>
      <c r="AD87">
        <v>0</v>
      </c>
      <c r="AE87" s="67" t="str">
        <f t="shared" si="20"/>
        <v>payment-suppliers</v>
      </c>
      <c r="AF87" s="67"/>
      <c r="AG87" s="67" t="e">
        <f>VLOOKUP(input_invoice[[#This Row],[concept/supplier]],'sel-invoice'!Z:AA,2,0)</f>
        <v>#N/A</v>
      </c>
      <c r="AH87" s="67" t="e">
        <f>VLOOKUP(input_invoice[[#This Row],[concept/supplier]],'sel-invoice'!Z:AB,3,0)</f>
        <v>#N/A</v>
      </c>
      <c r="AI87" s="67" t="str">
        <f>IF(input_invoice[[#This Row],[entity]]="SL","EUR",IF(input_invoice[[#This Row],[entity]]="Ltd","GBP",IF(input_invoice[[#This Row],[entity]]="Inc","USD","XXX")))</f>
        <v>USD</v>
      </c>
    </row>
    <row r="88" spans="23:35" x14ac:dyDescent="0.3">
      <c r="W88" s="66">
        <f t="shared" si="19"/>
        <v>202507</v>
      </c>
      <c r="X88" s="81"/>
      <c r="Y88" s="82"/>
      <c r="Z88" s="82"/>
      <c r="AA88" s="67" t="s">
        <v>79</v>
      </c>
      <c r="AB88" s="83"/>
      <c r="AC88" s="83"/>
      <c r="AD88">
        <v>0</v>
      </c>
      <c r="AE88" s="67" t="str">
        <f t="shared" si="20"/>
        <v>payment-suppliers</v>
      </c>
      <c r="AF88" s="67"/>
      <c r="AG88" s="67" t="e">
        <f>VLOOKUP(input_invoice[[#This Row],[concept/supplier]],'sel-invoice'!Z:AA,2,0)</f>
        <v>#N/A</v>
      </c>
      <c r="AH88" s="67" t="e">
        <f>VLOOKUP(input_invoice[[#This Row],[concept/supplier]],'sel-invoice'!Z:AB,3,0)</f>
        <v>#N/A</v>
      </c>
      <c r="AI88" s="67" t="str">
        <f>IF(input_invoice[[#This Row],[entity]]="SL","EUR",IF(input_invoice[[#This Row],[entity]]="Ltd","GBP",IF(input_invoice[[#This Row],[entity]]="Inc","USD","XXX")))</f>
        <v>EUR</v>
      </c>
    </row>
  </sheetData>
  <dataValidations count="1">
    <dataValidation type="decimal" allowBlank="1" showInputMessage="1" showErrorMessage="1" sqref="AD16" xr:uid="{0B71FA12-60F0-4F67-AFAA-167492C88120}">
      <formula1>-9.99999999999999E+37</formula1>
      <formula2>9.99999999999999E+36</formula2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lessThan" allowBlank="1" showInputMessage="1" showErrorMessage="1" xr:uid="{54ED0524-627A-4717-A7F7-18A882021DA7}">
          <x14:formula1>
            <xm:f>'sel-yyyymm'!$A$2:$A$85</xm:f>
          </x14:formula1>
          <xm:sqref>W16 W19:W88</xm:sqref>
        </x14:dataValidation>
        <x14:dataValidation type="list" allowBlank="1" showInputMessage="1" showErrorMessage="1" xr:uid="{4D78A425-91D5-4CDB-8ADE-35B61B4D3C83}">
          <x14:formula1>
            <xm:f>'sel-invoice'!$D$2:$D$1048576</xm:f>
          </x14:formula1>
          <xm:sqref>K2:K11 AA88 AA78 AA68 AA58 AA48 AA38 AA28 W11 K16:K25 AA16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1C4C-8FC3-494B-8686-755B1F6F0B7A}">
  <sheetPr>
    <tabColor theme="1"/>
  </sheetPr>
  <dimension ref="A1:D44"/>
  <sheetViews>
    <sheetView topLeftCell="A22" workbookViewId="0">
      <selection activeCell="C45" sqref="C45"/>
    </sheetView>
  </sheetViews>
  <sheetFormatPr baseColWidth="10" defaultColWidth="11.44140625" defaultRowHeight="14.4" x14ac:dyDescent="0.3"/>
  <cols>
    <col min="2" max="2" width="21.6640625" bestFit="1" customWidth="1"/>
  </cols>
  <sheetData>
    <row r="1" spans="1:4" x14ac:dyDescent="0.3">
      <c r="A1" s="58" t="s">
        <v>239</v>
      </c>
      <c r="B1" s="58" t="s">
        <v>243</v>
      </c>
      <c r="C1" s="58" t="s">
        <v>392</v>
      </c>
      <c r="D1" s="58" t="s">
        <v>393</v>
      </c>
    </row>
    <row r="2" spans="1:4" x14ac:dyDescent="0.3">
      <c r="A2">
        <v>202501</v>
      </c>
      <c r="B2" t="s">
        <v>103</v>
      </c>
      <c r="C2" s="59">
        <v>6170.27</v>
      </c>
      <c r="D2" t="str">
        <f>VLOOKUP(input_staff[[#This Row],[concept/supplier]],'sel-staff'!C:D,2,0)</f>
        <v>SL</v>
      </c>
    </row>
    <row r="3" spans="1:4" x14ac:dyDescent="0.3">
      <c r="A3">
        <v>202501</v>
      </c>
      <c r="B3" t="s">
        <v>105</v>
      </c>
      <c r="C3" s="59">
        <v>6170.27</v>
      </c>
      <c r="D3" t="str">
        <f>VLOOKUP(input_staff[[#This Row],[concept/supplier]],'sel-staff'!C:D,2,0)</f>
        <v>SL</v>
      </c>
    </row>
    <row r="4" spans="1:4" x14ac:dyDescent="0.3">
      <c r="A4">
        <v>202501</v>
      </c>
      <c r="B4" t="s">
        <v>107</v>
      </c>
      <c r="C4" s="59">
        <v>2162</v>
      </c>
      <c r="D4" t="str">
        <f>VLOOKUP(input_staff[[#This Row],[concept/supplier]],'sel-staff'!C:D,2,0)</f>
        <v>SL</v>
      </c>
    </row>
    <row r="5" spans="1:4" x14ac:dyDescent="0.3">
      <c r="A5">
        <f>+A2+1</f>
        <v>202502</v>
      </c>
      <c r="B5" t="s">
        <v>103</v>
      </c>
      <c r="C5" s="59">
        <v>6170.27</v>
      </c>
      <c r="D5" t="str">
        <f>VLOOKUP(input_staff[[#This Row],[concept/supplier]],'sel-staff'!C:D,2,0)</f>
        <v>SL</v>
      </c>
    </row>
    <row r="6" spans="1:4" x14ac:dyDescent="0.3">
      <c r="A6">
        <f t="shared" ref="A6:A31" si="0">+A3+1</f>
        <v>202502</v>
      </c>
      <c r="B6" t="s">
        <v>105</v>
      </c>
      <c r="C6" s="59">
        <v>6170.27</v>
      </c>
      <c r="D6" t="str">
        <f>VLOOKUP(input_staff[[#This Row],[concept/supplier]],'sel-staff'!C:D,2,0)</f>
        <v>SL</v>
      </c>
    </row>
    <row r="7" spans="1:4" x14ac:dyDescent="0.3">
      <c r="A7">
        <f t="shared" si="0"/>
        <v>202502</v>
      </c>
      <c r="B7" t="s">
        <v>107</v>
      </c>
      <c r="C7" s="59">
        <v>2382.36</v>
      </c>
      <c r="D7" t="str">
        <f>VLOOKUP(input_staff[[#This Row],[concept/supplier]],'sel-staff'!C:D,2,0)</f>
        <v>SL</v>
      </c>
    </row>
    <row r="8" spans="1:4" x14ac:dyDescent="0.3">
      <c r="A8">
        <f>+A5+1</f>
        <v>202503</v>
      </c>
      <c r="B8" t="s">
        <v>103</v>
      </c>
      <c r="C8" s="59">
        <v>6170.27</v>
      </c>
      <c r="D8" t="str">
        <f>VLOOKUP(input_staff[[#This Row],[concept/supplier]],'sel-staff'!C:D,2,0)</f>
        <v>SL</v>
      </c>
    </row>
    <row r="9" spans="1:4" x14ac:dyDescent="0.3">
      <c r="A9">
        <f t="shared" si="0"/>
        <v>202503</v>
      </c>
      <c r="B9" t="s">
        <v>105</v>
      </c>
      <c r="C9" s="59">
        <v>6170.27</v>
      </c>
      <c r="D9" t="str">
        <f>VLOOKUP(input_staff[[#This Row],[concept/supplier]],'sel-staff'!C:D,2,0)</f>
        <v>SL</v>
      </c>
    </row>
    <row r="10" spans="1:4" x14ac:dyDescent="0.3">
      <c r="A10">
        <f t="shared" si="0"/>
        <v>202503</v>
      </c>
      <c r="B10" t="s">
        <v>107</v>
      </c>
      <c r="C10" s="59">
        <v>2382.36</v>
      </c>
      <c r="D10" t="str">
        <f>VLOOKUP(input_staff[[#This Row],[concept/supplier]],'sel-staff'!C:D,2,0)</f>
        <v>SL</v>
      </c>
    </row>
    <row r="11" spans="1:4" x14ac:dyDescent="0.3">
      <c r="A11">
        <f>+A8+1</f>
        <v>202504</v>
      </c>
      <c r="B11" t="s">
        <v>103</v>
      </c>
      <c r="C11" s="59">
        <v>6170.27</v>
      </c>
      <c r="D11" t="str">
        <f>VLOOKUP(input_staff[[#This Row],[concept/supplier]],'sel-staff'!C:D,2,0)</f>
        <v>SL</v>
      </c>
    </row>
    <row r="12" spans="1:4" x14ac:dyDescent="0.3">
      <c r="A12">
        <f t="shared" si="0"/>
        <v>202504</v>
      </c>
      <c r="B12" t="s">
        <v>105</v>
      </c>
      <c r="C12" s="59">
        <v>6170.27</v>
      </c>
      <c r="D12" t="str">
        <f>VLOOKUP(input_staff[[#This Row],[concept/supplier]],'sel-staff'!C:D,2,0)</f>
        <v>SL</v>
      </c>
    </row>
    <row r="13" spans="1:4" x14ac:dyDescent="0.3">
      <c r="A13">
        <f t="shared" si="0"/>
        <v>202504</v>
      </c>
      <c r="B13" t="s">
        <v>107</v>
      </c>
      <c r="C13" s="59">
        <v>2382.36</v>
      </c>
      <c r="D13" t="str">
        <f>VLOOKUP(input_staff[[#This Row],[concept/supplier]],'sel-staff'!C:D,2,0)</f>
        <v>SL</v>
      </c>
    </row>
    <row r="14" spans="1:4" x14ac:dyDescent="0.3">
      <c r="A14">
        <f>+A11+1</f>
        <v>202505</v>
      </c>
      <c r="B14" t="s">
        <v>103</v>
      </c>
      <c r="C14" s="59">
        <v>6170.27</v>
      </c>
      <c r="D14" t="str">
        <f>VLOOKUP(input_staff[[#This Row],[concept/supplier]],'sel-staff'!C:D,2,0)</f>
        <v>SL</v>
      </c>
    </row>
    <row r="15" spans="1:4" x14ac:dyDescent="0.3">
      <c r="A15">
        <f t="shared" si="0"/>
        <v>202505</v>
      </c>
      <c r="B15" t="s">
        <v>105</v>
      </c>
      <c r="C15" s="59">
        <v>6170.27</v>
      </c>
      <c r="D15" t="str">
        <f>VLOOKUP(input_staff[[#This Row],[concept/supplier]],'sel-staff'!C:D,2,0)</f>
        <v>SL</v>
      </c>
    </row>
    <row r="16" spans="1:4" x14ac:dyDescent="0.3">
      <c r="A16">
        <f t="shared" si="0"/>
        <v>202505</v>
      </c>
      <c r="B16" t="s">
        <v>107</v>
      </c>
      <c r="C16" s="59">
        <v>2382.36</v>
      </c>
      <c r="D16" t="str">
        <f>VLOOKUP(input_staff[[#This Row],[concept/supplier]],'sel-staff'!C:D,2,0)</f>
        <v>SL</v>
      </c>
    </row>
    <row r="17" spans="1:4" x14ac:dyDescent="0.3">
      <c r="A17">
        <f>+A14+1</f>
        <v>202506</v>
      </c>
      <c r="B17" t="s">
        <v>103</v>
      </c>
      <c r="C17" s="59">
        <v>6170.27</v>
      </c>
      <c r="D17" t="str">
        <f>VLOOKUP(input_staff[[#This Row],[concept/supplier]],'sel-staff'!C:D,2,0)</f>
        <v>SL</v>
      </c>
    </row>
    <row r="18" spans="1:4" x14ac:dyDescent="0.3">
      <c r="A18">
        <f t="shared" si="0"/>
        <v>202506</v>
      </c>
      <c r="B18" t="s">
        <v>105</v>
      </c>
      <c r="C18" s="59">
        <v>6170.27</v>
      </c>
      <c r="D18" t="str">
        <f>VLOOKUP(input_staff[[#This Row],[concept/supplier]],'sel-staff'!C:D,2,0)</f>
        <v>SL</v>
      </c>
    </row>
    <row r="19" spans="1:4" x14ac:dyDescent="0.3">
      <c r="A19">
        <f t="shared" si="0"/>
        <v>202506</v>
      </c>
      <c r="B19" t="s">
        <v>107</v>
      </c>
      <c r="C19" s="59">
        <v>2382.36</v>
      </c>
      <c r="D19" t="str">
        <f>VLOOKUP(input_staff[[#This Row],[concept/supplier]],'sel-staff'!C:D,2,0)</f>
        <v>SL</v>
      </c>
    </row>
    <row r="20" spans="1:4" x14ac:dyDescent="0.3">
      <c r="A20">
        <f>+A17+1</f>
        <v>202507</v>
      </c>
      <c r="B20" t="s">
        <v>103</v>
      </c>
      <c r="C20" s="59">
        <v>6170.27</v>
      </c>
      <c r="D20" t="str">
        <f>VLOOKUP(input_staff[[#This Row],[concept/supplier]],'sel-staff'!C:D,2,0)</f>
        <v>SL</v>
      </c>
    </row>
    <row r="21" spans="1:4" x14ac:dyDescent="0.3">
      <c r="A21">
        <f t="shared" si="0"/>
        <v>202507</v>
      </c>
      <c r="B21" t="s">
        <v>105</v>
      </c>
      <c r="C21" s="59">
        <v>6170.27</v>
      </c>
      <c r="D21" t="str">
        <f>VLOOKUP(input_staff[[#This Row],[concept/supplier]],'sel-staff'!C:D,2,0)</f>
        <v>SL</v>
      </c>
    </row>
    <row r="22" spans="1:4" x14ac:dyDescent="0.3">
      <c r="A22">
        <f t="shared" si="0"/>
        <v>202507</v>
      </c>
      <c r="B22" t="s">
        <v>107</v>
      </c>
      <c r="C22" s="59">
        <v>2382.36</v>
      </c>
      <c r="D22" t="str">
        <f>VLOOKUP(input_staff[[#This Row],[concept/supplier]],'sel-staff'!C:D,2,0)</f>
        <v>SL</v>
      </c>
    </row>
    <row r="23" spans="1:4" x14ac:dyDescent="0.3">
      <c r="A23">
        <f>+A20+1</f>
        <v>202508</v>
      </c>
      <c r="B23" t="s">
        <v>103</v>
      </c>
      <c r="C23" s="59">
        <v>6170.27</v>
      </c>
      <c r="D23" t="str">
        <f>VLOOKUP(input_staff[[#This Row],[concept/supplier]],'sel-staff'!C:D,2,0)</f>
        <v>SL</v>
      </c>
    </row>
    <row r="24" spans="1:4" x14ac:dyDescent="0.3">
      <c r="A24">
        <f t="shared" si="0"/>
        <v>202508</v>
      </c>
      <c r="B24" t="s">
        <v>105</v>
      </c>
      <c r="C24" s="59">
        <v>6170.27</v>
      </c>
      <c r="D24" t="str">
        <f>VLOOKUP(input_staff[[#This Row],[concept/supplier]],'sel-staff'!C:D,2,0)</f>
        <v>SL</v>
      </c>
    </row>
    <row r="25" spans="1:4" x14ac:dyDescent="0.3">
      <c r="A25">
        <f t="shared" si="0"/>
        <v>202508</v>
      </c>
      <c r="B25" t="s">
        <v>107</v>
      </c>
      <c r="C25" s="59">
        <v>2382.36</v>
      </c>
      <c r="D25" t="str">
        <f>VLOOKUP(input_staff[[#This Row],[concept/supplier]],'sel-staff'!C:D,2,0)</f>
        <v>SL</v>
      </c>
    </row>
    <row r="26" spans="1:4" x14ac:dyDescent="0.3">
      <c r="A26">
        <f>+A23+1</f>
        <v>202509</v>
      </c>
      <c r="B26" t="s">
        <v>103</v>
      </c>
      <c r="C26" s="59">
        <v>6170.27</v>
      </c>
      <c r="D26" t="str">
        <f>VLOOKUP(input_staff[[#This Row],[concept/supplier]],'sel-staff'!C:D,2,0)</f>
        <v>SL</v>
      </c>
    </row>
    <row r="27" spans="1:4" x14ac:dyDescent="0.3">
      <c r="A27">
        <f t="shared" si="0"/>
        <v>202509</v>
      </c>
      <c r="B27" t="s">
        <v>105</v>
      </c>
      <c r="C27" s="59">
        <v>6170.27</v>
      </c>
      <c r="D27" t="str">
        <f>VLOOKUP(input_staff[[#This Row],[concept/supplier]],'sel-staff'!C:D,2,0)</f>
        <v>SL</v>
      </c>
    </row>
    <row r="28" spans="1:4" x14ac:dyDescent="0.3">
      <c r="A28">
        <f t="shared" si="0"/>
        <v>202509</v>
      </c>
      <c r="B28" t="s">
        <v>107</v>
      </c>
      <c r="C28" s="59">
        <v>2382.36</v>
      </c>
      <c r="D28" t="str">
        <f>VLOOKUP(input_staff[[#This Row],[concept/supplier]],'sel-staff'!C:D,2,0)</f>
        <v>SL</v>
      </c>
    </row>
    <row r="29" spans="1:4" x14ac:dyDescent="0.3">
      <c r="A29">
        <f>+A26+1</f>
        <v>202510</v>
      </c>
      <c r="B29" t="s">
        <v>103</v>
      </c>
      <c r="C29" s="59">
        <v>6170.27</v>
      </c>
      <c r="D29" t="str">
        <f>VLOOKUP(input_staff[[#This Row],[concept/supplier]],'sel-staff'!C:D,2,0)</f>
        <v>SL</v>
      </c>
    </row>
    <row r="30" spans="1:4" x14ac:dyDescent="0.3">
      <c r="A30">
        <f t="shared" si="0"/>
        <v>202510</v>
      </c>
      <c r="B30" t="s">
        <v>105</v>
      </c>
      <c r="C30" s="59">
        <v>6170.27</v>
      </c>
      <c r="D30" t="str">
        <f>VLOOKUP(input_staff[[#This Row],[concept/supplier]],'sel-staff'!C:D,2,0)</f>
        <v>SL</v>
      </c>
    </row>
    <row r="31" spans="1:4" x14ac:dyDescent="0.3">
      <c r="A31">
        <f t="shared" si="0"/>
        <v>202510</v>
      </c>
      <c r="B31" t="s">
        <v>107</v>
      </c>
      <c r="C31" s="59">
        <v>2382.36</v>
      </c>
      <c r="D31" t="str">
        <f>VLOOKUP(input_staff[[#This Row],[concept/supplier]],'sel-staff'!C:D,2,0)</f>
        <v>SL</v>
      </c>
    </row>
    <row r="32" spans="1:4" x14ac:dyDescent="0.3">
      <c r="A32">
        <f t="shared" ref="A32:A37" si="1">+A29+1</f>
        <v>202511</v>
      </c>
      <c r="B32" t="s">
        <v>103</v>
      </c>
      <c r="C32" s="59">
        <v>6170.27</v>
      </c>
      <c r="D32" t="str">
        <f>VLOOKUP(input_staff[[#This Row],[concept/supplier]],'sel-staff'!C:D,2,0)</f>
        <v>SL</v>
      </c>
    </row>
    <row r="33" spans="1:4" x14ac:dyDescent="0.3">
      <c r="A33">
        <f t="shared" si="1"/>
        <v>202511</v>
      </c>
      <c r="B33" t="s">
        <v>105</v>
      </c>
      <c r="C33" s="59">
        <v>6170.27</v>
      </c>
      <c r="D33" t="str">
        <f>VLOOKUP(input_staff[[#This Row],[concept/supplier]],'sel-staff'!C:D,2,0)</f>
        <v>SL</v>
      </c>
    </row>
    <row r="34" spans="1:4" x14ac:dyDescent="0.3">
      <c r="A34">
        <f t="shared" si="1"/>
        <v>202511</v>
      </c>
      <c r="B34" t="s">
        <v>107</v>
      </c>
      <c r="C34" s="59">
        <v>2382.36</v>
      </c>
      <c r="D34" t="str">
        <f>VLOOKUP(input_staff[[#This Row],[concept/supplier]],'sel-staff'!C:D,2,0)</f>
        <v>SL</v>
      </c>
    </row>
    <row r="35" spans="1:4" x14ac:dyDescent="0.3">
      <c r="A35">
        <f t="shared" si="1"/>
        <v>202512</v>
      </c>
      <c r="B35" t="s">
        <v>103</v>
      </c>
      <c r="C35" s="59">
        <v>6170.27</v>
      </c>
      <c r="D35" t="str">
        <f>VLOOKUP(input_staff[[#This Row],[concept/supplier]],'sel-staff'!C:D,2,0)</f>
        <v>SL</v>
      </c>
    </row>
    <row r="36" spans="1:4" x14ac:dyDescent="0.3">
      <c r="A36">
        <f t="shared" si="1"/>
        <v>202512</v>
      </c>
      <c r="B36" t="s">
        <v>105</v>
      </c>
      <c r="C36" s="59">
        <v>6170.27</v>
      </c>
      <c r="D36" t="str">
        <f>VLOOKUP(input_staff[[#This Row],[concept/supplier]],'sel-staff'!C:D,2,0)</f>
        <v>SL</v>
      </c>
    </row>
    <row r="37" spans="1:4" x14ac:dyDescent="0.3">
      <c r="A37">
        <f t="shared" si="1"/>
        <v>202512</v>
      </c>
      <c r="B37" t="s">
        <v>107</v>
      </c>
      <c r="C37" s="59">
        <v>2382.36</v>
      </c>
      <c r="D37" t="str">
        <f>VLOOKUP(input_staff[[#This Row],[concept/supplier]],'sel-staff'!C:D,2,0)</f>
        <v>SL</v>
      </c>
    </row>
    <row r="38" spans="1:4" x14ac:dyDescent="0.3">
      <c r="A38">
        <v>202601</v>
      </c>
      <c r="B38" t="s">
        <v>103</v>
      </c>
      <c r="C38" s="59">
        <v>6174.01</v>
      </c>
      <c r="D38" t="str">
        <f>VLOOKUP(input_staff[[#This Row],[concept/supplier]],'sel-staff'!C:D,2,0)</f>
        <v>SL</v>
      </c>
    </row>
    <row r="39" spans="1:4" x14ac:dyDescent="0.3">
      <c r="A39">
        <v>202601</v>
      </c>
      <c r="B39" t="s">
        <v>105</v>
      </c>
      <c r="C39" s="59">
        <v>6174.01</v>
      </c>
      <c r="D39" t="str">
        <f>VLOOKUP(input_staff[[#This Row],[concept/supplier]],'sel-staff'!C:D,2,0)</f>
        <v>SL</v>
      </c>
    </row>
    <row r="40" spans="1:4" x14ac:dyDescent="0.3">
      <c r="A40">
        <v>202601</v>
      </c>
      <c r="B40" t="s">
        <v>107</v>
      </c>
      <c r="C40" s="59">
        <v>2383.8200000000002</v>
      </c>
      <c r="D40" t="str">
        <f>VLOOKUP(input_staff[[#This Row],[concept/supplier]],'sel-staff'!C:D,2,0)</f>
        <v>SL</v>
      </c>
    </row>
    <row r="41" spans="1:4" x14ac:dyDescent="0.3">
      <c r="A41">
        <v>202602</v>
      </c>
      <c r="B41" t="s">
        <v>103</v>
      </c>
      <c r="C41" s="59">
        <v>6174.01</v>
      </c>
      <c r="D41" t="str">
        <f>VLOOKUP(input_staff[[#This Row],[concept/supplier]],'sel-staff'!C:D,2,0)</f>
        <v>SL</v>
      </c>
    </row>
    <row r="42" spans="1:4" x14ac:dyDescent="0.3">
      <c r="A42">
        <v>202602</v>
      </c>
      <c r="B42" t="s">
        <v>105</v>
      </c>
      <c r="C42" s="59">
        <v>6174.01</v>
      </c>
      <c r="D42" t="str">
        <f>VLOOKUP(input_staff[[#This Row],[concept/supplier]],'sel-staff'!C:D,2,0)</f>
        <v>SL</v>
      </c>
    </row>
    <row r="43" spans="1:4" x14ac:dyDescent="0.3">
      <c r="A43">
        <v>202602</v>
      </c>
      <c r="B43" t="s">
        <v>107</v>
      </c>
      <c r="C43" s="59">
        <v>2383.8200000000002</v>
      </c>
      <c r="D43" t="str">
        <f>VLOOKUP(input_staff[[#This Row],[concept/supplier]],'sel-staff'!C:D,2,0)</f>
        <v>SL</v>
      </c>
    </row>
    <row r="44" spans="1:4" x14ac:dyDescent="0.3">
      <c r="A44">
        <v>202602</v>
      </c>
      <c r="B44" t="s">
        <v>1567</v>
      </c>
      <c r="C44" s="59">
        <v>183.84</v>
      </c>
      <c r="D44" t="str">
        <f>VLOOKUP(input_staff[[#This Row],[concept/supplier]],'sel-staff'!C:D,2,0)</f>
        <v>SL</v>
      </c>
    </row>
  </sheetData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D97CE0-FE5C-4078-964F-5F7E43C5735D}">
          <x14:formula1>
            <xm:f>'sel-staff'!$C$2:$C$993</xm:f>
          </x14:formula1>
          <xm:sqref>B2:B44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4380-837E-47FC-8AFE-E8CC97DC6FD1}">
  <dimension ref="A1:D5"/>
  <sheetViews>
    <sheetView workbookViewId="0">
      <selection activeCell="A6" sqref="A6"/>
    </sheetView>
  </sheetViews>
  <sheetFormatPr baseColWidth="10" defaultColWidth="11.44140625" defaultRowHeight="14.4" x14ac:dyDescent="0.3"/>
  <cols>
    <col min="1" max="1" width="14.6640625" bestFit="1" customWidth="1"/>
    <col min="2" max="2" width="23" customWidth="1"/>
    <col min="3" max="3" width="37" bestFit="1" customWidth="1"/>
  </cols>
  <sheetData>
    <row r="1" spans="1:4" x14ac:dyDescent="0.3">
      <c r="A1" t="s">
        <v>394</v>
      </c>
      <c r="B1" t="s">
        <v>395</v>
      </c>
      <c r="C1" t="s">
        <v>396</v>
      </c>
      <c r="D1" t="s">
        <v>393</v>
      </c>
    </row>
    <row r="2" spans="1:4" ht="15" customHeight="1" x14ac:dyDescent="0.3">
      <c r="A2" s="25" t="s">
        <v>397</v>
      </c>
      <c r="B2" s="25" t="s">
        <v>398</v>
      </c>
      <c r="C2" t="str">
        <f>B2&amp;" - "&amp;A2&amp;" -&gt; "&amp;D2</f>
        <v>staff - nomina-ceo -&gt; SL</v>
      </c>
      <c r="D2" t="s">
        <v>399</v>
      </c>
    </row>
    <row r="3" spans="1:4" ht="15" customHeight="1" x14ac:dyDescent="0.3">
      <c r="A3" s="25" t="s">
        <v>400</v>
      </c>
      <c r="B3" s="25" t="s">
        <v>398</v>
      </c>
      <c r="C3" t="str">
        <f t="shared" ref="C3:C4" si="0">B3&amp;" - "&amp;A3&amp;" -&gt; "&amp;D3</f>
        <v>staff - nomina-coo -&gt; SL</v>
      </c>
      <c r="D3" t="s">
        <v>399</v>
      </c>
    </row>
    <row r="4" spans="1:4" ht="15" customHeight="1" x14ac:dyDescent="0.3">
      <c r="A4" s="25" t="s">
        <v>401</v>
      </c>
      <c r="B4" s="25" t="s">
        <v>398</v>
      </c>
      <c r="C4" t="str">
        <f t="shared" si="0"/>
        <v>staff - nomina-sac -&gt; SL</v>
      </c>
      <c r="D4" t="s">
        <v>399</v>
      </c>
    </row>
    <row r="5" spans="1:4" x14ac:dyDescent="0.3">
      <c r="A5" s="25" t="s">
        <v>1566</v>
      </c>
      <c r="B5" s="25" t="s">
        <v>398</v>
      </c>
      <c r="C5" t="str">
        <f t="shared" ref="C5" si="1">B5&amp;" - "&amp;A5&amp;" -&gt; "&amp;D5</f>
        <v>staff - nomina-mkt -&gt; SL</v>
      </c>
      <c r="D5" t="s">
        <v>399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76C3-43AB-4AFB-A417-46B82F649472}">
  <dimension ref="A1:I145"/>
  <sheetViews>
    <sheetView workbookViewId="0">
      <pane ySplit="1" topLeftCell="A115" activePane="bottomLeft" state="frozen"/>
      <selection pane="bottomLeft" activeCell="D145" sqref="D145"/>
    </sheetView>
  </sheetViews>
  <sheetFormatPr baseColWidth="10" defaultColWidth="11.44140625" defaultRowHeight="14.4" x14ac:dyDescent="0.3"/>
  <cols>
    <col min="1" max="1" width="22.44140625" bestFit="1" customWidth="1"/>
    <col min="2" max="2" width="14.6640625" bestFit="1" customWidth="1"/>
    <col min="3" max="3" width="23" customWidth="1"/>
    <col min="4" max="4" width="37" bestFit="1" customWidth="1"/>
  </cols>
  <sheetData>
    <row r="1" spans="1:9" x14ac:dyDescent="0.3">
      <c r="A1" t="s">
        <v>402</v>
      </c>
      <c r="B1" t="s">
        <v>394</v>
      </c>
      <c r="C1" t="s">
        <v>395</v>
      </c>
      <c r="D1" t="s">
        <v>396</v>
      </c>
      <c r="E1" t="s">
        <v>402</v>
      </c>
      <c r="F1" t="s">
        <v>393</v>
      </c>
      <c r="G1" t="s">
        <v>403</v>
      </c>
    </row>
    <row r="2" spans="1:9" ht="15" customHeight="1" x14ac:dyDescent="0.3">
      <c r="A2" s="25" t="s">
        <v>404</v>
      </c>
      <c r="B2" s="25"/>
      <c r="C2" s="25" t="s">
        <v>405</v>
      </c>
      <c r="D2" t="str">
        <f t="shared" ref="D2:D40" si="0">C2&amp;" - "&amp;A2&amp;" "&amp;B2&amp;" -&gt; "&amp;F2</f>
        <v>manufacturing - Apphoto España  -&gt; SL</v>
      </c>
      <c r="E2" t="str">
        <f t="shared" ref="E2:E33" si="1">+A2</f>
        <v>Apphoto España</v>
      </c>
      <c r="F2" t="s">
        <v>399</v>
      </c>
    </row>
    <row r="3" spans="1:9" ht="15" customHeight="1" x14ac:dyDescent="0.3">
      <c r="A3" s="25" t="s">
        <v>406</v>
      </c>
      <c r="B3" s="25"/>
      <c r="C3" s="25" t="s">
        <v>405</v>
      </c>
      <c r="D3" t="str">
        <f t="shared" si="0"/>
        <v>manufacturing - Apphoto Canarias  -&gt; SL</v>
      </c>
      <c r="E3" t="str">
        <f t="shared" si="1"/>
        <v>Apphoto Canarias</v>
      </c>
      <c r="F3" t="s">
        <v>399</v>
      </c>
    </row>
    <row r="4" spans="1:9" ht="15" customHeight="1" x14ac:dyDescent="0.3">
      <c r="A4" s="25" t="s">
        <v>407</v>
      </c>
      <c r="B4" s="25"/>
      <c r="C4" s="25" t="s">
        <v>405</v>
      </c>
      <c r="D4" t="str">
        <f t="shared" si="0"/>
        <v>manufacturing - Pressing  -&gt; SL</v>
      </c>
      <c r="E4" t="str">
        <f t="shared" si="1"/>
        <v>Pressing</v>
      </c>
      <c r="F4" t="s">
        <v>399</v>
      </c>
    </row>
    <row r="5" spans="1:9" ht="15" customHeight="1" x14ac:dyDescent="0.3">
      <c r="A5" s="25" t="s">
        <v>408</v>
      </c>
      <c r="B5" s="25"/>
      <c r="C5" s="25" t="s">
        <v>405</v>
      </c>
      <c r="D5" t="str">
        <f t="shared" si="0"/>
        <v>manufacturing - DCT  -&gt; SL</v>
      </c>
      <c r="E5" t="str">
        <f t="shared" si="1"/>
        <v>DCT</v>
      </c>
      <c r="F5" t="s">
        <v>399</v>
      </c>
    </row>
    <row r="6" spans="1:9" ht="15" customHeight="1" x14ac:dyDescent="0.3">
      <c r="A6" s="25" t="s">
        <v>409</v>
      </c>
      <c r="B6" s="25"/>
      <c r="C6" s="25" t="s">
        <v>405</v>
      </c>
      <c r="D6" t="str">
        <f t="shared" si="0"/>
        <v>manufacturing - MB Editions  -&gt; SL</v>
      </c>
      <c r="E6" t="str">
        <f t="shared" si="1"/>
        <v>MB Editions</v>
      </c>
      <c r="F6" t="s">
        <v>399</v>
      </c>
    </row>
    <row r="7" spans="1:9" x14ac:dyDescent="0.3">
      <c r="A7" s="25" t="s">
        <v>410</v>
      </c>
      <c r="B7" s="25" t="s">
        <v>411</v>
      </c>
      <c r="C7" s="25" t="s">
        <v>405</v>
      </c>
      <c r="D7" t="str">
        <f t="shared" si="0"/>
        <v>manufacturing - Proco print -&gt; Ltd</v>
      </c>
      <c r="E7" t="str">
        <f t="shared" si="1"/>
        <v>Proco</v>
      </c>
      <c r="F7" t="s">
        <v>412</v>
      </c>
    </row>
    <row r="8" spans="1:9" x14ac:dyDescent="0.3">
      <c r="A8" s="25" t="s">
        <v>410</v>
      </c>
      <c r="B8" s="25" t="s">
        <v>413</v>
      </c>
      <c r="C8" s="25" t="s">
        <v>414</v>
      </c>
      <c r="D8" t="str">
        <f t="shared" si="0"/>
        <v>logistics - Proco carriage -&gt; Ltd</v>
      </c>
      <c r="E8" t="str">
        <f t="shared" si="1"/>
        <v>Proco</v>
      </c>
      <c r="F8" t="s">
        <v>412</v>
      </c>
    </row>
    <row r="9" spans="1:9" x14ac:dyDescent="0.3">
      <c r="A9" s="25" t="s">
        <v>410</v>
      </c>
      <c r="B9" s="25" t="s">
        <v>415</v>
      </c>
      <c r="C9" s="25" t="s">
        <v>414</v>
      </c>
      <c r="D9" t="str">
        <f t="shared" si="0"/>
        <v>logistics - Proco postage -&gt; Ltd</v>
      </c>
      <c r="E9" t="str">
        <f t="shared" si="1"/>
        <v>Proco</v>
      </c>
      <c r="F9" t="s">
        <v>412</v>
      </c>
    </row>
    <row r="10" spans="1:9" x14ac:dyDescent="0.3">
      <c r="A10" s="25" t="s">
        <v>410</v>
      </c>
      <c r="B10" s="25" t="s">
        <v>416</v>
      </c>
      <c r="C10" s="25" t="s">
        <v>405</v>
      </c>
      <c r="D10" t="str">
        <f t="shared" si="0"/>
        <v>manufacturing - Proco direct mailing -&gt; Ltd</v>
      </c>
      <c r="E10" t="str">
        <f t="shared" si="1"/>
        <v>Proco</v>
      </c>
      <c r="F10" t="s">
        <v>412</v>
      </c>
      <c r="H10" s="431"/>
      <c r="I10" s="444"/>
    </row>
    <row r="11" spans="1:9" x14ac:dyDescent="0.3">
      <c r="A11" s="25" t="s">
        <v>410</v>
      </c>
      <c r="B11" s="25" t="s">
        <v>417</v>
      </c>
      <c r="C11" s="25" t="s">
        <v>405</v>
      </c>
      <c r="D11" t="str">
        <f t="shared" si="0"/>
        <v>manufacturing - Proco Storage -&gt; Ltd</v>
      </c>
      <c r="E11" t="str">
        <f t="shared" si="1"/>
        <v>Proco</v>
      </c>
      <c r="F11" t="s">
        <v>412</v>
      </c>
      <c r="H11" s="431"/>
      <c r="I11" s="444"/>
    </row>
    <row r="12" spans="1:9" x14ac:dyDescent="0.3">
      <c r="A12" s="25" t="s">
        <v>418</v>
      </c>
      <c r="B12" s="25"/>
      <c r="C12" s="25" t="s">
        <v>405</v>
      </c>
      <c r="D12" t="str">
        <f t="shared" si="0"/>
        <v>manufacturing - jondo  -&gt; Ltd</v>
      </c>
      <c r="E12" t="str">
        <f t="shared" si="1"/>
        <v>jondo</v>
      </c>
      <c r="F12" t="s">
        <v>412</v>
      </c>
      <c r="H12" s="431"/>
      <c r="I12" s="444"/>
    </row>
    <row r="13" spans="1:9" x14ac:dyDescent="0.3">
      <c r="A13" s="25" t="s">
        <v>418</v>
      </c>
      <c r="B13" s="25"/>
      <c r="C13" s="25" t="s">
        <v>414</v>
      </c>
      <c r="D13" t="str">
        <f t="shared" si="0"/>
        <v>logistics - jondo  -&gt; Ltd</v>
      </c>
      <c r="E13" t="str">
        <f t="shared" si="1"/>
        <v>jondo</v>
      </c>
      <c r="F13" t="s">
        <v>412</v>
      </c>
      <c r="H13" s="431"/>
      <c r="I13" s="444"/>
    </row>
    <row r="14" spans="1:9" x14ac:dyDescent="0.3">
      <c r="A14" s="25" t="s">
        <v>419</v>
      </c>
      <c r="B14" s="25"/>
      <c r="C14" s="25" t="s">
        <v>405</v>
      </c>
      <c r="D14" t="str">
        <f t="shared" si="0"/>
        <v>manufacturing - TGI Inc  -&gt; Inc</v>
      </c>
      <c r="E14" t="str">
        <f t="shared" si="1"/>
        <v>TGI Inc</v>
      </c>
      <c r="F14" t="s">
        <v>420</v>
      </c>
      <c r="H14" s="431"/>
      <c r="I14" s="444"/>
    </row>
    <row r="15" spans="1:9" x14ac:dyDescent="0.3">
      <c r="A15" s="25" t="s">
        <v>419</v>
      </c>
      <c r="B15" s="25"/>
      <c r="C15" s="25" t="s">
        <v>414</v>
      </c>
      <c r="D15" t="str">
        <f t="shared" si="0"/>
        <v>logistics - TGI Inc  -&gt; Inc</v>
      </c>
      <c r="E15" t="str">
        <f t="shared" si="1"/>
        <v>TGI Inc</v>
      </c>
      <c r="F15" t="s">
        <v>420</v>
      </c>
      <c r="H15" s="431"/>
      <c r="I15" s="444"/>
    </row>
    <row r="16" spans="1:9" x14ac:dyDescent="0.3">
      <c r="A16" s="25" t="s">
        <v>418</v>
      </c>
      <c r="B16" s="25"/>
      <c r="C16" s="25" t="s">
        <v>405</v>
      </c>
      <c r="D16" t="str">
        <f t="shared" si="0"/>
        <v>manufacturing - jondo  -&gt; Inc</v>
      </c>
      <c r="E16" t="str">
        <f t="shared" si="1"/>
        <v>jondo</v>
      </c>
      <c r="F16" t="s">
        <v>420</v>
      </c>
    </row>
    <row r="17" spans="1:6" x14ac:dyDescent="0.3">
      <c r="A17" s="25" t="s">
        <v>418</v>
      </c>
      <c r="B17" s="25"/>
      <c r="C17" s="25" t="s">
        <v>414</v>
      </c>
      <c r="D17" t="str">
        <f t="shared" si="0"/>
        <v>logistics - jondo  -&gt; Inc</v>
      </c>
      <c r="E17" t="str">
        <f t="shared" si="1"/>
        <v>jondo</v>
      </c>
      <c r="F17" t="s">
        <v>420</v>
      </c>
    </row>
    <row r="18" spans="1:6" x14ac:dyDescent="0.3">
      <c r="A18" s="25" t="s">
        <v>421</v>
      </c>
      <c r="B18" s="25"/>
      <c r="C18" s="25" t="s">
        <v>414</v>
      </c>
      <c r="D18" t="str">
        <f t="shared" si="0"/>
        <v>logistics - GLS  -&gt; SL</v>
      </c>
      <c r="E18" t="str">
        <f t="shared" si="1"/>
        <v>GLS</v>
      </c>
      <c r="F18" t="s">
        <v>399</v>
      </c>
    </row>
    <row r="19" spans="1:6" x14ac:dyDescent="0.3">
      <c r="A19" s="25" t="s">
        <v>422</v>
      </c>
      <c r="B19" s="25"/>
      <c r="C19" s="25" t="s">
        <v>414</v>
      </c>
      <c r="D19" t="str">
        <f t="shared" si="0"/>
        <v>logistics - Correos  -&gt; SL</v>
      </c>
      <c r="E19" t="str">
        <f t="shared" si="1"/>
        <v>Correos</v>
      </c>
      <c r="F19" t="s">
        <v>399</v>
      </c>
    </row>
    <row r="20" spans="1:6" x14ac:dyDescent="0.3">
      <c r="A20" s="25" t="s">
        <v>423</v>
      </c>
      <c r="B20" s="25"/>
      <c r="C20" s="25" t="s">
        <v>414</v>
      </c>
      <c r="D20" t="str">
        <f t="shared" si="0"/>
        <v>logistics - Oxperta  -&gt; SL</v>
      </c>
      <c r="E20" t="str">
        <f t="shared" si="1"/>
        <v>Oxperta</v>
      </c>
      <c r="F20" t="s">
        <v>399</v>
      </c>
    </row>
    <row r="21" spans="1:6" x14ac:dyDescent="0.3">
      <c r="A21" s="25" t="s">
        <v>424</v>
      </c>
      <c r="B21" s="25"/>
      <c r="C21" s="25" t="s">
        <v>414</v>
      </c>
      <c r="D21" t="str">
        <f t="shared" si="0"/>
        <v>logistics - Asendia  -&gt; SL</v>
      </c>
      <c r="E21" t="str">
        <f t="shared" si="1"/>
        <v>Asendia</v>
      </c>
      <c r="F21" t="s">
        <v>399</v>
      </c>
    </row>
    <row r="22" spans="1:6" x14ac:dyDescent="0.3">
      <c r="A22" s="25" t="s">
        <v>425</v>
      </c>
      <c r="B22" s="25"/>
      <c r="C22" s="25" t="s">
        <v>414</v>
      </c>
      <c r="D22" t="str">
        <f t="shared" si="0"/>
        <v>logistics - Spring  -&gt; SL</v>
      </c>
      <c r="E22" t="str">
        <f t="shared" si="1"/>
        <v>Spring</v>
      </c>
      <c r="F22" t="s">
        <v>399</v>
      </c>
    </row>
    <row r="23" spans="1:6" x14ac:dyDescent="0.3">
      <c r="A23" s="25" t="s">
        <v>426</v>
      </c>
      <c r="B23" s="25"/>
      <c r="C23" s="25" t="s">
        <v>414</v>
      </c>
      <c r="D23" t="str">
        <f t="shared" si="0"/>
        <v>logistics - UPS FR  -&gt; SL</v>
      </c>
      <c r="E23" t="str">
        <f t="shared" si="1"/>
        <v>UPS FR</v>
      </c>
      <c r="F23" t="s">
        <v>399</v>
      </c>
    </row>
    <row r="24" spans="1:6" x14ac:dyDescent="0.3">
      <c r="A24" s="25" t="s">
        <v>427</v>
      </c>
      <c r="B24" s="25"/>
      <c r="C24" s="25" t="s">
        <v>414</v>
      </c>
      <c r="D24" t="str">
        <f t="shared" si="0"/>
        <v>logistics - UPS DE  -&gt; SL</v>
      </c>
      <c r="E24" t="str">
        <f t="shared" si="1"/>
        <v>UPS DE</v>
      </c>
      <c r="F24" t="s">
        <v>399</v>
      </c>
    </row>
    <row r="25" spans="1:6" x14ac:dyDescent="0.3">
      <c r="A25" s="25" t="s">
        <v>428</v>
      </c>
      <c r="B25" s="25"/>
      <c r="C25" s="25" t="s">
        <v>429</v>
      </c>
      <c r="D25" t="str">
        <f t="shared" si="0"/>
        <v>royalties - Artistas  -&gt; SL</v>
      </c>
      <c r="E25" t="str">
        <f t="shared" si="1"/>
        <v>Artistas</v>
      </c>
      <c r="F25" t="s">
        <v>399</v>
      </c>
    </row>
    <row r="26" spans="1:6" x14ac:dyDescent="0.3">
      <c r="A26" s="25" t="s">
        <v>428</v>
      </c>
      <c r="B26" s="25"/>
      <c r="C26" s="25" t="s">
        <v>429</v>
      </c>
      <c r="D26" t="str">
        <f t="shared" si="0"/>
        <v>royalties - Artistas  -&gt; Ltd</v>
      </c>
      <c r="E26" t="str">
        <f t="shared" si="1"/>
        <v>Artistas</v>
      </c>
      <c r="F26" t="s">
        <v>412</v>
      </c>
    </row>
    <row r="27" spans="1:6" x14ac:dyDescent="0.3">
      <c r="A27" s="25" t="s">
        <v>428</v>
      </c>
      <c r="B27" s="25"/>
      <c r="C27" s="25" t="s">
        <v>429</v>
      </c>
      <c r="D27" t="str">
        <f t="shared" si="0"/>
        <v>royalties - Artistas  -&gt; Inc</v>
      </c>
      <c r="E27" t="str">
        <f t="shared" si="1"/>
        <v>Artistas</v>
      </c>
      <c r="F27" t="s">
        <v>420</v>
      </c>
    </row>
    <row r="28" spans="1:6" x14ac:dyDescent="0.3">
      <c r="A28" s="25" t="s">
        <v>9</v>
      </c>
      <c r="B28" s="25"/>
      <c r="C28" s="25" t="s">
        <v>430</v>
      </c>
      <c r="D28" t="str">
        <f t="shared" si="0"/>
        <v>payment-suppliers - Shopify  -&gt; SL</v>
      </c>
      <c r="E28" t="str">
        <f t="shared" si="1"/>
        <v>Shopify</v>
      </c>
      <c r="F28" t="s">
        <v>399</v>
      </c>
    </row>
    <row r="29" spans="1:6" x14ac:dyDescent="0.3">
      <c r="A29" s="25" t="s">
        <v>67</v>
      </c>
      <c r="B29" s="25"/>
      <c r="C29" s="25" t="s">
        <v>430</v>
      </c>
      <c r="D29" t="str">
        <f t="shared" si="0"/>
        <v>payment-suppliers - Paypal  -&gt; SL</v>
      </c>
      <c r="E29" t="str">
        <f t="shared" si="1"/>
        <v>Paypal</v>
      </c>
      <c r="F29" t="s">
        <v>399</v>
      </c>
    </row>
    <row r="30" spans="1:6" x14ac:dyDescent="0.3">
      <c r="A30" s="25" t="s">
        <v>69</v>
      </c>
      <c r="B30" s="25"/>
      <c r="C30" s="25" t="s">
        <v>430</v>
      </c>
      <c r="D30" t="str">
        <f t="shared" si="0"/>
        <v>payment-suppliers - Amazon Pay  -&gt; SL</v>
      </c>
      <c r="E30" t="str">
        <f t="shared" si="1"/>
        <v>Amazon Pay</v>
      </c>
      <c r="F30" t="s">
        <v>399</v>
      </c>
    </row>
    <row r="31" spans="1:6" x14ac:dyDescent="0.3">
      <c r="A31" s="25" t="s">
        <v>71</v>
      </c>
      <c r="B31" s="25"/>
      <c r="C31" s="25" t="s">
        <v>430</v>
      </c>
      <c r="D31" t="str">
        <f t="shared" si="0"/>
        <v>payment-suppliers - Klarna  -&gt; SL</v>
      </c>
      <c r="E31" t="str">
        <f t="shared" si="1"/>
        <v>Klarna</v>
      </c>
      <c r="F31" t="s">
        <v>399</v>
      </c>
    </row>
    <row r="32" spans="1:6" x14ac:dyDescent="0.3">
      <c r="A32" s="25" t="s">
        <v>73</v>
      </c>
      <c r="B32" s="25"/>
      <c r="C32" s="25" t="s">
        <v>430</v>
      </c>
      <c r="D32" t="str">
        <f t="shared" si="0"/>
        <v>payment-suppliers - Revolut  -&gt; SL</v>
      </c>
      <c r="E32" t="str">
        <f t="shared" si="1"/>
        <v>Revolut</v>
      </c>
      <c r="F32" t="s">
        <v>399</v>
      </c>
    </row>
    <row r="33" spans="1:6" x14ac:dyDescent="0.3">
      <c r="A33" s="25" t="s">
        <v>75</v>
      </c>
      <c r="B33" s="25"/>
      <c r="C33" s="25" t="s">
        <v>430</v>
      </c>
      <c r="D33" t="str">
        <f t="shared" si="0"/>
        <v>payment-suppliers - SeQura  -&gt; SL</v>
      </c>
      <c r="E33" t="str">
        <f t="shared" si="1"/>
        <v>SeQura</v>
      </c>
      <c r="F33" t="s">
        <v>399</v>
      </c>
    </row>
    <row r="34" spans="1:6" x14ac:dyDescent="0.3">
      <c r="A34" s="25" t="s">
        <v>12</v>
      </c>
      <c r="B34" s="25"/>
      <c r="C34" s="25" t="s">
        <v>430</v>
      </c>
      <c r="D34" t="str">
        <f t="shared" si="0"/>
        <v>payment-suppliers - Amazon Seller  -&gt; SL</v>
      </c>
      <c r="E34" t="str">
        <f t="shared" ref="E34:E66" si="2">+A34</f>
        <v>Amazon Seller</v>
      </c>
      <c r="F34" t="s">
        <v>399</v>
      </c>
    </row>
    <row r="35" spans="1:6" x14ac:dyDescent="0.3">
      <c r="A35" s="25" t="s">
        <v>16</v>
      </c>
      <c r="B35" s="25"/>
      <c r="C35" s="25" t="s">
        <v>430</v>
      </c>
      <c r="D35" t="str">
        <f t="shared" si="0"/>
        <v>payment-suppliers - Maisons du Monde  -&gt; SL</v>
      </c>
      <c r="E35" t="str">
        <f t="shared" si="2"/>
        <v>Maisons du Monde</v>
      </c>
      <c r="F35" t="s">
        <v>399</v>
      </c>
    </row>
    <row r="36" spans="1:6" x14ac:dyDescent="0.3">
      <c r="A36" s="25" t="s">
        <v>15</v>
      </c>
      <c r="B36" s="25"/>
      <c r="C36" s="25" t="s">
        <v>430</v>
      </c>
      <c r="D36" t="str">
        <f t="shared" si="0"/>
        <v>payment-suppliers - Leroy Merlin  -&gt; SL</v>
      </c>
      <c r="E36" t="str">
        <f t="shared" si="2"/>
        <v>Leroy Merlin</v>
      </c>
      <c r="F36" t="s">
        <v>399</v>
      </c>
    </row>
    <row r="37" spans="1:6" x14ac:dyDescent="0.3">
      <c r="A37" s="25" t="s">
        <v>14</v>
      </c>
      <c r="B37" s="25"/>
      <c r="C37" s="25" t="s">
        <v>430</v>
      </c>
      <c r="D37" t="str">
        <f t="shared" si="0"/>
        <v>payment-suppliers - Home24  -&gt; SL</v>
      </c>
      <c r="E37" t="str">
        <f t="shared" si="2"/>
        <v>Home24</v>
      </c>
      <c r="F37" t="s">
        <v>399</v>
      </c>
    </row>
    <row r="38" spans="1:6" x14ac:dyDescent="0.3">
      <c r="A38" s="25" t="s">
        <v>431</v>
      </c>
      <c r="B38" s="25"/>
      <c r="C38" s="25" t="s">
        <v>432</v>
      </c>
      <c r="D38" t="str">
        <f t="shared" si="0"/>
        <v>returns - rever  -&gt; SL</v>
      </c>
      <c r="E38" t="str">
        <f t="shared" si="2"/>
        <v>rever</v>
      </c>
      <c r="F38" t="s">
        <v>399</v>
      </c>
    </row>
    <row r="39" spans="1:6" x14ac:dyDescent="0.3">
      <c r="A39" s="25" t="s">
        <v>89</v>
      </c>
      <c r="C39" s="25" t="s">
        <v>433</v>
      </c>
      <c r="D39" t="str">
        <f t="shared" si="0"/>
        <v>marketing - google  -&gt; SL</v>
      </c>
      <c r="E39" t="str">
        <f t="shared" si="2"/>
        <v>google</v>
      </c>
      <c r="F39" t="s">
        <v>399</v>
      </c>
    </row>
    <row r="40" spans="1:6" x14ac:dyDescent="0.3">
      <c r="A40" s="25" t="s">
        <v>91</v>
      </c>
      <c r="C40" s="25" t="s">
        <v>433</v>
      </c>
      <c r="D40" t="str">
        <f t="shared" si="0"/>
        <v>marketing - meta  -&gt; SL</v>
      </c>
      <c r="E40" t="str">
        <f t="shared" si="2"/>
        <v>meta</v>
      </c>
      <c r="F40" t="s">
        <v>399</v>
      </c>
    </row>
    <row r="41" spans="1:6" x14ac:dyDescent="0.3">
      <c r="A41" s="25" t="s">
        <v>92</v>
      </c>
      <c r="C41" s="25" t="s">
        <v>433</v>
      </c>
      <c r="D41" t="str">
        <f t="shared" ref="D41:D42" si="3">C41&amp;" - "&amp;A41&amp;" "&amp;B41&amp;" -&gt; "&amp;F41</f>
        <v>marketing - tiktok  -&gt; SL</v>
      </c>
      <c r="E41" t="str">
        <f t="shared" si="2"/>
        <v>tiktok</v>
      </c>
      <c r="F41" t="s">
        <v>399</v>
      </c>
    </row>
    <row r="42" spans="1:6" x14ac:dyDescent="0.3">
      <c r="A42" s="25" t="s">
        <v>93</v>
      </c>
      <c r="C42" s="25" t="s">
        <v>433</v>
      </c>
      <c r="D42" t="str">
        <f t="shared" si="3"/>
        <v>marketing - pinterest  -&gt; SL</v>
      </c>
      <c r="E42" t="str">
        <f t="shared" si="2"/>
        <v>pinterest</v>
      </c>
      <c r="F42" t="s">
        <v>399</v>
      </c>
    </row>
    <row r="43" spans="1:6" x14ac:dyDescent="0.3">
      <c r="A43" s="25" t="s">
        <v>89</v>
      </c>
      <c r="C43" s="25" t="s">
        <v>433</v>
      </c>
      <c r="D43" t="str">
        <f>C43&amp;" - "&amp;A43&amp;" "&amp;B43&amp;" -&gt; "&amp;F43</f>
        <v>marketing - google  -&gt; Ltd</v>
      </c>
      <c r="E43" t="str">
        <f t="shared" si="2"/>
        <v>google</v>
      </c>
      <c r="F43" t="s">
        <v>412</v>
      </c>
    </row>
    <row r="44" spans="1:6" x14ac:dyDescent="0.3">
      <c r="A44" s="25" t="s">
        <v>91</v>
      </c>
      <c r="C44" s="25" t="s">
        <v>433</v>
      </c>
      <c r="D44" t="str">
        <f>C44&amp;" - "&amp;A44&amp;" "&amp;B44&amp;" -&gt; "&amp;F44</f>
        <v>marketing - meta  -&gt; Ltd</v>
      </c>
      <c r="E44" t="str">
        <f t="shared" si="2"/>
        <v>meta</v>
      </c>
      <c r="F44" t="s">
        <v>412</v>
      </c>
    </row>
    <row r="45" spans="1:6" x14ac:dyDescent="0.3">
      <c r="A45" s="25" t="s">
        <v>92</v>
      </c>
      <c r="C45" s="25" t="s">
        <v>433</v>
      </c>
      <c r="D45" t="str">
        <f t="shared" ref="D45:D46" si="4">C45&amp;" - "&amp;A45&amp;" "&amp;B45&amp;" -&gt; "&amp;F45</f>
        <v>marketing - tiktok  -&gt; Ltd</v>
      </c>
      <c r="E45" t="str">
        <f t="shared" si="2"/>
        <v>tiktok</v>
      </c>
      <c r="F45" t="s">
        <v>412</v>
      </c>
    </row>
    <row r="46" spans="1:6" x14ac:dyDescent="0.3">
      <c r="A46" s="25" t="s">
        <v>93</v>
      </c>
      <c r="C46" s="25" t="s">
        <v>433</v>
      </c>
      <c r="D46" t="str">
        <f t="shared" si="4"/>
        <v>marketing - pinterest  -&gt; Ltd</v>
      </c>
      <c r="E46" t="str">
        <f t="shared" si="2"/>
        <v>pinterest</v>
      </c>
      <c r="F46" t="s">
        <v>412</v>
      </c>
    </row>
    <row r="47" spans="1:6" x14ac:dyDescent="0.3">
      <c r="A47" s="25" t="s">
        <v>89</v>
      </c>
      <c r="C47" s="25" t="s">
        <v>433</v>
      </c>
      <c r="D47" t="str">
        <f>C47&amp;" - "&amp;A47&amp;" "&amp;B47&amp;" -&gt; "&amp;F47</f>
        <v>marketing - google  -&gt; Inc</v>
      </c>
      <c r="E47" t="str">
        <f t="shared" si="2"/>
        <v>google</v>
      </c>
      <c r="F47" t="s">
        <v>420</v>
      </c>
    </row>
    <row r="48" spans="1:6" x14ac:dyDescent="0.3">
      <c r="A48" s="25" t="s">
        <v>91</v>
      </c>
      <c r="C48" s="25" t="s">
        <v>433</v>
      </c>
      <c r="D48" t="str">
        <f>C48&amp;" - "&amp;A48&amp;" "&amp;B48&amp;" -&gt; "&amp;F48</f>
        <v>marketing - meta  -&gt; Inc</v>
      </c>
      <c r="E48" t="str">
        <f t="shared" si="2"/>
        <v>meta</v>
      </c>
      <c r="F48" t="s">
        <v>420</v>
      </c>
    </row>
    <row r="49" spans="1:6" x14ac:dyDescent="0.3">
      <c r="A49" s="25" t="s">
        <v>92</v>
      </c>
      <c r="C49" s="25" t="s">
        <v>433</v>
      </c>
      <c r="D49" t="str">
        <f t="shared" ref="D49:D50" si="5">C49&amp;" - "&amp;A49&amp;" "&amp;B49&amp;" -&gt; "&amp;F49</f>
        <v>marketing - tiktok  -&gt; Inc</v>
      </c>
      <c r="E49" t="str">
        <f t="shared" si="2"/>
        <v>tiktok</v>
      </c>
      <c r="F49" t="s">
        <v>420</v>
      </c>
    </row>
    <row r="50" spans="1:6" x14ac:dyDescent="0.3">
      <c r="A50" s="25" t="s">
        <v>93</v>
      </c>
      <c r="C50" s="25" t="s">
        <v>433</v>
      </c>
      <c r="D50" t="str">
        <f t="shared" si="5"/>
        <v>marketing - pinterest  -&gt; Inc</v>
      </c>
      <c r="E50" t="str">
        <f t="shared" si="2"/>
        <v>pinterest</v>
      </c>
      <c r="F50" t="s">
        <v>420</v>
      </c>
    </row>
    <row r="51" spans="1:6" x14ac:dyDescent="0.3">
      <c r="A51" s="25" t="s">
        <v>434</v>
      </c>
      <c r="C51" s="25" t="s">
        <v>435</v>
      </c>
      <c r="D51" t="str">
        <f t="shared" ref="D51:D83" si="6">C51&amp;" - "&amp;A51&amp;" "&amp;B51&amp;" -&gt; "&amp;F51</f>
        <v>administrative - Claris Gestio  -&gt; SL</v>
      </c>
      <c r="E51" t="str">
        <f t="shared" si="2"/>
        <v>Claris Gestio</v>
      </c>
      <c r="F51" t="s">
        <v>399</v>
      </c>
    </row>
    <row r="52" spans="1:6" x14ac:dyDescent="0.3">
      <c r="A52" s="25" t="s">
        <v>9</v>
      </c>
      <c r="C52" s="25" t="s">
        <v>430</v>
      </c>
      <c r="D52" t="str">
        <f t="shared" si="6"/>
        <v>payment-suppliers - Shopify  -&gt; SL</v>
      </c>
      <c r="E52" t="str">
        <f t="shared" si="2"/>
        <v>Shopify</v>
      </c>
      <c r="F52" t="s">
        <v>399</v>
      </c>
    </row>
    <row r="53" spans="1:6" x14ac:dyDescent="0.3">
      <c r="A53" s="25" t="s">
        <v>9</v>
      </c>
      <c r="C53" s="25" t="s">
        <v>436</v>
      </c>
      <c r="D53" t="str">
        <f t="shared" si="6"/>
        <v>it - Shopify  -&gt; SL</v>
      </c>
      <c r="E53" t="str">
        <f t="shared" si="2"/>
        <v>Shopify</v>
      </c>
      <c r="F53" t="s">
        <v>399</v>
      </c>
    </row>
    <row r="54" spans="1:6" x14ac:dyDescent="0.3">
      <c r="A54" s="25" t="s">
        <v>437</v>
      </c>
      <c r="C54" s="25" t="s">
        <v>435</v>
      </c>
      <c r="D54" t="str">
        <f t="shared" si="6"/>
        <v>administrative - Preving Adeplus  -&gt; SL</v>
      </c>
      <c r="E54" t="str">
        <f t="shared" si="2"/>
        <v>Preving Adeplus</v>
      </c>
      <c r="F54" t="s">
        <v>399</v>
      </c>
    </row>
    <row r="55" spans="1:6" x14ac:dyDescent="0.3">
      <c r="A55" s="25" t="s">
        <v>114</v>
      </c>
      <c r="C55" s="25" t="s">
        <v>435</v>
      </c>
      <c r="D55" t="str">
        <f t="shared" si="6"/>
        <v>administrative - Torras y asociados  -&gt; SL</v>
      </c>
      <c r="E55" t="str">
        <f t="shared" si="2"/>
        <v>Torras y asociados</v>
      </c>
      <c r="F55" t="s">
        <v>399</v>
      </c>
    </row>
    <row r="56" spans="1:6" x14ac:dyDescent="0.3">
      <c r="A56" s="25" t="s">
        <v>438</v>
      </c>
      <c r="C56" s="25" t="s">
        <v>435</v>
      </c>
      <c r="D56" t="str">
        <f t="shared" ref="D56" si="7">C56&amp;" - "&amp;A56&amp;" "&amp;B56&amp;" -&gt; "&amp;F56</f>
        <v>administrative - otros  -&gt; SL</v>
      </c>
      <c r="E56" t="str">
        <f t="shared" ref="E56" si="8">+A56</f>
        <v>otros</v>
      </c>
      <c r="F56" t="s">
        <v>399</v>
      </c>
    </row>
    <row r="57" spans="1:6" x14ac:dyDescent="0.3">
      <c r="A57" s="25" t="s">
        <v>439</v>
      </c>
      <c r="C57" s="25" t="s">
        <v>436</v>
      </c>
      <c r="D57" t="str">
        <f t="shared" si="6"/>
        <v>it - Microsoft  -&gt; SL</v>
      </c>
      <c r="E57" t="str">
        <f t="shared" si="2"/>
        <v>Microsoft</v>
      </c>
      <c r="F57" t="s">
        <v>399</v>
      </c>
    </row>
    <row r="58" spans="1:6" x14ac:dyDescent="0.3">
      <c r="A58" s="25" t="s">
        <v>132</v>
      </c>
      <c r="C58" s="25" t="s">
        <v>436</v>
      </c>
      <c r="D58" t="str">
        <f t="shared" si="6"/>
        <v>it - Product Hero  -&gt; SL</v>
      </c>
      <c r="E58" t="str">
        <f t="shared" si="2"/>
        <v>Product Hero</v>
      </c>
      <c r="F58" t="s">
        <v>399</v>
      </c>
    </row>
    <row r="59" spans="1:6" x14ac:dyDescent="0.3">
      <c r="A59" s="25" t="s">
        <v>440</v>
      </c>
      <c r="C59" s="25" t="s">
        <v>436</v>
      </c>
      <c r="D59" t="str">
        <f t="shared" si="6"/>
        <v>it - Railway  -&gt; SL</v>
      </c>
      <c r="E59" t="str">
        <f t="shared" si="2"/>
        <v>Railway</v>
      </c>
      <c r="F59" t="s">
        <v>399</v>
      </c>
    </row>
    <row r="60" spans="1:6" x14ac:dyDescent="0.3">
      <c r="A60" s="25" t="s">
        <v>441</v>
      </c>
      <c r="C60" s="25" t="s">
        <v>436</v>
      </c>
      <c r="D60" t="str">
        <f t="shared" si="6"/>
        <v>it - Geotargetly  -&gt; SL</v>
      </c>
      <c r="E60" t="str">
        <f t="shared" si="2"/>
        <v>Geotargetly</v>
      </c>
      <c r="F60" t="s">
        <v>399</v>
      </c>
    </row>
    <row r="61" spans="1:6" x14ac:dyDescent="0.3">
      <c r="A61" s="25" t="s">
        <v>442</v>
      </c>
      <c r="C61" s="25" t="s">
        <v>436</v>
      </c>
      <c r="D61" t="str">
        <f t="shared" si="6"/>
        <v>it - Mas Movil  -&gt; SL</v>
      </c>
      <c r="E61" t="str">
        <f t="shared" si="2"/>
        <v>Mas Movil</v>
      </c>
      <c r="F61" t="s">
        <v>399</v>
      </c>
    </row>
    <row r="62" spans="1:6" x14ac:dyDescent="0.3">
      <c r="A62" s="25" t="s">
        <v>142</v>
      </c>
      <c r="C62" s="25" t="s">
        <v>436</v>
      </c>
      <c r="D62" t="str">
        <f t="shared" si="6"/>
        <v>it - Symio  -&gt; SL</v>
      </c>
      <c r="E62" t="str">
        <f t="shared" si="2"/>
        <v>Symio</v>
      </c>
      <c r="F62" t="s">
        <v>399</v>
      </c>
    </row>
    <row r="63" spans="1:6" x14ac:dyDescent="0.3">
      <c r="A63" s="25" t="s">
        <v>443</v>
      </c>
      <c r="C63" s="25" t="s">
        <v>436</v>
      </c>
      <c r="D63" t="str">
        <f t="shared" si="6"/>
        <v>it - Konvo  -&gt; SL</v>
      </c>
      <c r="E63" t="str">
        <f t="shared" si="2"/>
        <v>Konvo</v>
      </c>
      <c r="F63" t="s">
        <v>399</v>
      </c>
    </row>
    <row r="64" spans="1:6" x14ac:dyDescent="0.3">
      <c r="A64" s="25" t="s">
        <v>146</v>
      </c>
      <c r="C64" s="25" t="s">
        <v>436</v>
      </c>
      <c r="D64" t="str">
        <f t="shared" si="6"/>
        <v>it - Gorgias  -&gt; SL</v>
      </c>
      <c r="E64" t="str">
        <f t="shared" si="2"/>
        <v>Gorgias</v>
      </c>
      <c r="F64" t="s">
        <v>399</v>
      </c>
    </row>
    <row r="65" spans="1:6" x14ac:dyDescent="0.3">
      <c r="A65" s="25" t="s">
        <v>149</v>
      </c>
      <c r="C65" s="25" t="s">
        <v>436</v>
      </c>
      <c r="D65" t="str">
        <f t="shared" si="6"/>
        <v>it - Yuma  -&gt; SL</v>
      </c>
      <c r="E65" t="str">
        <f t="shared" si="2"/>
        <v>Yuma</v>
      </c>
      <c r="F65" t="s">
        <v>399</v>
      </c>
    </row>
    <row r="66" spans="1:6" x14ac:dyDescent="0.3">
      <c r="A66" s="25" t="s">
        <v>444</v>
      </c>
      <c r="C66" s="25" t="s">
        <v>436</v>
      </c>
      <c r="D66" t="str">
        <f t="shared" si="6"/>
        <v>it - Godaddy  -&gt; SL</v>
      </c>
      <c r="E66" t="str">
        <f t="shared" si="2"/>
        <v>Godaddy</v>
      </c>
      <c r="F66" t="s">
        <v>399</v>
      </c>
    </row>
    <row r="67" spans="1:6" x14ac:dyDescent="0.3">
      <c r="A67" s="25" t="s">
        <v>128</v>
      </c>
      <c r="C67" s="25" t="s">
        <v>436</v>
      </c>
      <c r="D67" t="str">
        <f t="shared" si="6"/>
        <v>it - Hetzner  -&gt; SL</v>
      </c>
      <c r="E67" t="str">
        <f t="shared" ref="E67:E97" si="9">+A67</f>
        <v>Hetzner</v>
      </c>
      <c r="F67" t="s">
        <v>399</v>
      </c>
    </row>
    <row r="68" spans="1:6" x14ac:dyDescent="0.3">
      <c r="A68" s="25" t="s">
        <v>144</v>
      </c>
      <c r="C68" s="25" t="s">
        <v>436</v>
      </c>
      <c r="D68" t="str">
        <f t="shared" si="6"/>
        <v>it - Canva  -&gt; SL</v>
      </c>
      <c r="E68" t="str">
        <f t="shared" si="9"/>
        <v>Canva</v>
      </c>
      <c r="F68" t="s">
        <v>399</v>
      </c>
    </row>
    <row r="69" spans="1:6" x14ac:dyDescent="0.3">
      <c r="A69" s="25" t="s">
        <v>134</v>
      </c>
      <c r="C69" s="25" t="s">
        <v>436</v>
      </c>
      <c r="D69" t="str">
        <f t="shared" si="6"/>
        <v>it - Gsuite  -&gt; SL</v>
      </c>
      <c r="E69" t="str">
        <f t="shared" si="9"/>
        <v>Gsuite</v>
      </c>
      <c r="F69" t="s">
        <v>399</v>
      </c>
    </row>
    <row r="70" spans="1:6" x14ac:dyDescent="0.3">
      <c r="A70" s="25" t="s">
        <v>445</v>
      </c>
      <c r="C70" s="25" t="s">
        <v>446</v>
      </c>
      <c r="D70" t="str">
        <f t="shared" si="6"/>
        <v>tributos - Basuras - España  -&gt; SL</v>
      </c>
      <c r="E70" t="str">
        <f t="shared" si="9"/>
        <v>Basuras - España</v>
      </c>
      <c r="F70" t="s">
        <v>399</v>
      </c>
    </row>
    <row r="71" spans="1:6" x14ac:dyDescent="0.3">
      <c r="A71" s="25" t="s">
        <v>447</v>
      </c>
      <c r="C71" s="25" t="s">
        <v>446</v>
      </c>
      <c r="D71" t="str">
        <f t="shared" si="6"/>
        <v>tributos - Basuras - Alemania  -&gt; SL</v>
      </c>
      <c r="E71" t="str">
        <f t="shared" si="9"/>
        <v>Basuras - Alemania</v>
      </c>
      <c r="F71" t="s">
        <v>399</v>
      </c>
    </row>
    <row r="72" spans="1:6" x14ac:dyDescent="0.3">
      <c r="A72" s="25" t="s">
        <v>448</v>
      </c>
      <c r="C72" s="25" t="s">
        <v>446</v>
      </c>
      <c r="D72" t="str">
        <f t="shared" si="6"/>
        <v>tributos - Basuras - Francia  -&gt; SL</v>
      </c>
      <c r="E72" t="str">
        <f t="shared" si="9"/>
        <v>Basuras - Francia</v>
      </c>
      <c r="F72" t="s">
        <v>399</v>
      </c>
    </row>
    <row r="73" spans="1:6" x14ac:dyDescent="0.3">
      <c r="A73" s="25" t="s">
        <v>449</v>
      </c>
      <c r="C73" s="25" t="s">
        <v>450</v>
      </c>
      <c r="D73" t="str">
        <f t="shared" si="6"/>
        <v>tools - personal tools  -&gt; SL</v>
      </c>
      <c r="E73" t="str">
        <f t="shared" si="9"/>
        <v>personal tools</v>
      </c>
      <c r="F73" t="s">
        <v>399</v>
      </c>
    </row>
    <row r="74" spans="1:6" x14ac:dyDescent="0.3">
      <c r="A74" s="25" t="s">
        <v>451</v>
      </c>
      <c r="C74" s="25" t="s">
        <v>452</v>
      </c>
      <c r="D74" t="str">
        <f t="shared" si="6"/>
        <v>comisiones - caixabank  -&gt; SL</v>
      </c>
      <c r="E74" t="str">
        <f t="shared" si="9"/>
        <v>caixabank</v>
      </c>
      <c r="F74" t="s">
        <v>399</v>
      </c>
    </row>
    <row r="75" spans="1:6" x14ac:dyDescent="0.3">
      <c r="A75" s="25" t="s">
        <v>453</v>
      </c>
      <c r="C75" s="25" t="s">
        <v>452</v>
      </c>
      <c r="D75" t="str">
        <f t="shared" si="6"/>
        <v>comisiones - paypal  -&gt; SL</v>
      </c>
      <c r="E75" t="str">
        <f t="shared" si="9"/>
        <v>paypal</v>
      </c>
      <c r="F75" t="s">
        <v>399</v>
      </c>
    </row>
    <row r="76" spans="1:6" x14ac:dyDescent="0.3">
      <c r="A76" s="25" t="s">
        <v>9</v>
      </c>
      <c r="C76" s="25" t="s">
        <v>430</v>
      </c>
      <c r="D76" t="str">
        <f t="shared" si="6"/>
        <v>payment-suppliers - Shopify  -&gt; Ltd</v>
      </c>
      <c r="E76" t="str">
        <f t="shared" si="9"/>
        <v>Shopify</v>
      </c>
      <c r="F76" t="s">
        <v>412</v>
      </c>
    </row>
    <row r="77" spans="1:6" x14ac:dyDescent="0.3">
      <c r="A77" s="25" t="s">
        <v>9</v>
      </c>
      <c r="C77" s="25" t="s">
        <v>436</v>
      </c>
      <c r="D77" t="str">
        <f t="shared" si="6"/>
        <v>it - Shopify  -&gt; Ltd</v>
      </c>
      <c r="E77" t="str">
        <f t="shared" si="9"/>
        <v>Shopify</v>
      </c>
      <c r="F77" t="s">
        <v>412</v>
      </c>
    </row>
    <row r="78" spans="1:6" x14ac:dyDescent="0.3">
      <c r="A78" t="s">
        <v>12</v>
      </c>
      <c r="C78" t="s">
        <v>430</v>
      </c>
      <c r="D78" t="str">
        <f t="shared" si="6"/>
        <v>payment-suppliers - Amazon Seller  -&gt; Ltd</v>
      </c>
      <c r="E78" t="str">
        <f t="shared" si="9"/>
        <v>Amazon Seller</v>
      </c>
      <c r="F78" t="s">
        <v>412</v>
      </c>
    </row>
    <row r="79" spans="1:6" x14ac:dyDescent="0.3">
      <c r="A79" t="s">
        <v>69</v>
      </c>
      <c r="C79" t="s">
        <v>430</v>
      </c>
      <c r="D79" t="str">
        <f t="shared" si="6"/>
        <v>payment-suppliers - Amazon Pay  -&gt; Ltd</v>
      </c>
      <c r="E79" t="str">
        <f t="shared" si="9"/>
        <v>Amazon Pay</v>
      </c>
      <c r="F79" t="s">
        <v>412</v>
      </c>
    </row>
    <row r="80" spans="1:6" x14ac:dyDescent="0.3">
      <c r="A80" t="s">
        <v>69</v>
      </c>
      <c r="C80" t="s">
        <v>430</v>
      </c>
      <c r="D80" t="str">
        <f t="shared" si="6"/>
        <v>payment-suppliers - Amazon Pay  -&gt; SL</v>
      </c>
      <c r="E80" t="str">
        <f t="shared" si="9"/>
        <v>Amazon Pay</v>
      </c>
      <c r="F80" t="s">
        <v>399</v>
      </c>
    </row>
    <row r="81" spans="1:6" x14ac:dyDescent="0.3">
      <c r="A81" t="s">
        <v>454</v>
      </c>
      <c r="C81" t="s">
        <v>432</v>
      </c>
      <c r="D81" t="str">
        <f t="shared" si="6"/>
        <v>returns - Rever  -&gt; Ltd</v>
      </c>
      <c r="E81" t="str">
        <f t="shared" si="9"/>
        <v>Rever</v>
      </c>
      <c r="F81" t="s">
        <v>412</v>
      </c>
    </row>
    <row r="82" spans="1:6" x14ac:dyDescent="0.3">
      <c r="A82" t="s">
        <v>455</v>
      </c>
      <c r="B82" t="s">
        <v>433</v>
      </c>
      <c r="C82" t="s">
        <v>456</v>
      </c>
      <c r="D82" t="str">
        <f t="shared" si="6"/>
        <v>shared-services - ArtestaSL marketing -&gt; Ltd</v>
      </c>
      <c r="E82" t="str">
        <f t="shared" si="9"/>
        <v>ArtestaSL</v>
      </c>
      <c r="F82" t="s">
        <v>412</v>
      </c>
    </row>
    <row r="83" spans="1:6" x14ac:dyDescent="0.3">
      <c r="A83" t="s">
        <v>455</v>
      </c>
      <c r="B83" t="s">
        <v>429</v>
      </c>
      <c r="C83" t="s">
        <v>456</v>
      </c>
      <c r="D83" t="str">
        <f t="shared" si="6"/>
        <v>shared-services - ArtestaSL royalties -&gt; Ltd</v>
      </c>
      <c r="E83" t="str">
        <f t="shared" si="9"/>
        <v>ArtestaSL</v>
      </c>
      <c r="F83" t="s">
        <v>412</v>
      </c>
    </row>
    <row r="84" spans="1:6" x14ac:dyDescent="0.3">
      <c r="A84" t="s">
        <v>455</v>
      </c>
      <c r="B84" t="s">
        <v>457</v>
      </c>
      <c r="C84" t="s">
        <v>456</v>
      </c>
      <c r="D84" t="str">
        <f t="shared" ref="D84:D114" si="10">C84&amp;" - "&amp;A84&amp;" "&amp;B84&amp;" -&gt; "&amp;F84</f>
        <v>shared-services - ArtestaSL tools-software -&gt; Ltd</v>
      </c>
      <c r="E84" t="str">
        <f t="shared" si="9"/>
        <v>ArtestaSL</v>
      </c>
      <c r="F84" t="s">
        <v>412</v>
      </c>
    </row>
    <row r="85" spans="1:6" x14ac:dyDescent="0.3">
      <c r="A85" t="s">
        <v>455</v>
      </c>
      <c r="B85" t="s">
        <v>398</v>
      </c>
      <c r="C85" t="s">
        <v>456</v>
      </c>
      <c r="D85" t="str">
        <f t="shared" si="10"/>
        <v>shared-services - ArtestaSL staff -&gt; Ltd</v>
      </c>
      <c r="E85" t="str">
        <f t="shared" si="9"/>
        <v>ArtestaSL</v>
      </c>
      <c r="F85" t="s">
        <v>412</v>
      </c>
    </row>
    <row r="86" spans="1:6" x14ac:dyDescent="0.3">
      <c r="A86" t="s">
        <v>455</v>
      </c>
      <c r="B86" t="s">
        <v>433</v>
      </c>
      <c r="C86" t="s">
        <v>456</v>
      </c>
      <c r="D86" t="str">
        <f t="shared" si="10"/>
        <v>shared-services - ArtestaSL marketing -&gt; Inc</v>
      </c>
      <c r="E86" t="str">
        <f t="shared" si="9"/>
        <v>ArtestaSL</v>
      </c>
      <c r="F86" t="s">
        <v>420</v>
      </c>
    </row>
    <row r="87" spans="1:6" x14ac:dyDescent="0.3">
      <c r="A87" t="s">
        <v>455</v>
      </c>
      <c r="B87" t="s">
        <v>429</v>
      </c>
      <c r="C87" t="s">
        <v>456</v>
      </c>
      <c r="D87" t="str">
        <f t="shared" si="10"/>
        <v>shared-services - ArtestaSL royalties -&gt; Inc</v>
      </c>
      <c r="E87" t="str">
        <f t="shared" si="9"/>
        <v>ArtestaSL</v>
      </c>
      <c r="F87" t="s">
        <v>420</v>
      </c>
    </row>
    <row r="88" spans="1:6" x14ac:dyDescent="0.3">
      <c r="A88" t="s">
        <v>455</v>
      </c>
      <c r="B88" t="s">
        <v>457</v>
      </c>
      <c r="C88" t="s">
        <v>456</v>
      </c>
      <c r="D88" t="str">
        <f t="shared" si="10"/>
        <v>shared-services - ArtestaSL tools-software -&gt; Inc</v>
      </c>
      <c r="E88" t="str">
        <f t="shared" si="9"/>
        <v>ArtestaSL</v>
      </c>
      <c r="F88" t="s">
        <v>420</v>
      </c>
    </row>
    <row r="89" spans="1:6" x14ac:dyDescent="0.3">
      <c r="A89" t="s">
        <v>455</v>
      </c>
      <c r="B89" t="s">
        <v>398</v>
      </c>
      <c r="C89" t="s">
        <v>456</v>
      </c>
      <c r="D89" t="str">
        <f t="shared" si="10"/>
        <v>shared-services - ArtestaSL staff -&gt; Inc</v>
      </c>
      <c r="E89" t="str">
        <f t="shared" si="9"/>
        <v>ArtestaSL</v>
      </c>
      <c r="F89" t="s">
        <v>420</v>
      </c>
    </row>
    <row r="90" spans="1:6" x14ac:dyDescent="0.3">
      <c r="A90" t="s">
        <v>458</v>
      </c>
      <c r="C90" s="25" t="s">
        <v>435</v>
      </c>
      <c r="D90" t="str">
        <f t="shared" si="10"/>
        <v>administrative - Certax  -&gt; Ltd</v>
      </c>
      <c r="E90" t="str">
        <f t="shared" si="9"/>
        <v>Certax</v>
      </c>
      <c r="F90" t="s">
        <v>412</v>
      </c>
    </row>
    <row r="91" spans="1:6" x14ac:dyDescent="0.3">
      <c r="A91" t="s">
        <v>124</v>
      </c>
      <c r="C91" s="25" t="s">
        <v>436</v>
      </c>
      <c r="D91" t="str">
        <f t="shared" si="10"/>
        <v>it - Amazon Subscription  -&gt; Ltd</v>
      </c>
      <c r="E91" t="str">
        <f t="shared" si="9"/>
        <v>Amazon Subscription</v>
      </c>
      <c r="F91" t="s">
        <v>412</v>
      </c>
    </row>
    <row r="92" spans="1:6" x14ac:dyDescent="0.3">
      <c r="A92" t="s">
        <v>459</v>
      </c>
      <c r="C92" s="25" t="s">
        <v>452</v>
      </c>
      <c r="D92" t="str">
        <f t="shared" si="10"/>
        <v>comisiones - Wise  -&gt; Ltd</v>
      </c>
      <c r="E92" t="str">
        <f t="shared" si="9"/>
        <v>Wise</v>
      </c>
      <c r="F92" t="s">
        <v>412</v>
      </c>
    </row>
    <row r="93" spans="1:6" x14ac:dyDescent="0.3">
      <c r="A93" t="s">
        <v>231</v>
      </c>
      <c r="C93" s="25" t="s">
        <v>435</v>
      </c>
      <c r="D93" t="str">
        <f t="shared" si="10"/>
        <v>administrative - Continuum  -&gt; Inc</v>
      </c>
      <c r="E93" t="str">
        <f t="shared" si="9"/>
        <v>Continuum</v>
      </c>
      <c r="F93" t="s">
        <v>420</v>
      </c>
    </row>
    <row r="94" spans="1:6" x14ac:dyDescent="0.3">
      <c r="A94" t="s">
        <v>9</v>
      </c>
      <c r="C94" s="25" t="s">
        <v>430</v>
      </c>
      <c r="D94" t="str">
        <f t="shared" si="10"/>
        <v>payment-suppliers - Shopify  -&gt; Inc</v>
      </c>
      <c r="E94" t="str">
        <f t="shared" si="9"/>
        <v>Shopify</v>
      </c>
      <c r="F94" t="s">
        <v>420</v>
      </c>
    </row>
    <row r="95" spans="1:6" x14ac:dyDescent="0.3">
      <c r="A95" s="25" t="s">
        <v>9</v>
      </c>
      <c r="C95" s="25" t="s">
        <v>436</v>
      </c>
      <c r="D95" t="str">
        <f t="shared" si="10"/>
        <v>it - Shopify  -&gt; Inc</v>
      </c>
      <c r="E95" t="str">
        <f t="shared" si="9"/>
        <v>Shopify</v>
      </c>
      <c r="F95" t="s">
        <v>420</v>
      </c>
    </row>
    <row r="96" spans="1:6" x14ac:dyDescent="0.3">
      <c r="A96" t="s">
        <v>460</v>
      </c>
      <c r="C96" s="25" t="s">
        <v>430</v>
      </c>
      <c r="D96" t="str">
        <f t="shared" si="10"/>
        <v>payment-suppliers - revolut  -&gt; Inc</v>
      </c>
      <c r="E96" t="str">
        <f t="shared" si="9"/>
        <v>revolut</v>
      </c>
      <c r="F96" t="s">
        <v>420</v>
      </c>
    </row>
    <row r="97" spans="1:6" x14ac:dyDescent="0.3">
      <c r="A97" t="s">
        <v>460</v>
      </c>
      <c r="C97" s="25" t="s">
        <v>452</v>
      </c>
      <c r="D97" t="str">
        <f t="shared" si="10"/>
        <v>comisiones - revolut  -&gt; Inc</v>
      </c>
      <c r="E97" t="str">
        <f t="shared" si="9"/>
        <v>revolut</v>
      </c>
      <c r="F97" t="s">
        <v>420</v>
      </c>
    </row>
    <row r="98" spans="1:6" x14ac:dyDescent="0.3">
      <c r="A98" t="s">
        <v>461</v>
      </c>
      <c r="C98" s="25" t="s">
        <v>435</v>
      </c>
      <c r="D98" t="str">
        <f t="shared" si="10"/>
        <v>administrative - regus  -&gt; Inc</v>
      </c>
      <c r="E98" t="str">
        <f t="shared" ref="E98:E124" si="11">+A98</f>
        <v>regus</v>
      </c>
      <c r="F98" t="s">
        <v>420</v>
      </c>
    </row>
    <row r="99" spans="1:6" x14ac:dyDescent="0.3">
      <c r="A99" t="s">
        <v>462</v>
      </c>
      <c r="C99" s="25" t="s">
        <v>435</v>
      </c>
      <c r="D99" t="str">
        <f t="shared" si="10"/>
        <v>administrative - ipostal  -&gt; Inc</v>
      </c>
      <c r="E99" t="str">
        <f t="shared" si="11"/>
        <v>ipostal</v>
      </c>
      <c r="F99" t="s">
        <v>420</v>
      </c>
    </row>
    <row r="100" spans="1:6" x14ac:dyDescent="0.3">
      <c r="A100" t="s">
        <v>463</v>
      </c>
      <c r="C100" s="25" t="s">
        <v>435</v>
      </c>
      <c r="D100" t="str">
        <f t="shared" si="10"/>
        <v>administrative - Corporate fillings  -&gt; Inc</v>
      </c>
      <c r="E100" t="str">
        <f t="shared" si="11"/>
        <v>Corporate fillings</v>
      </c>
      <c r="F100" t="s">
        <v>420</v>
      </c>
    </row>
    <row r="101" spans="1:6" x14ac:dyDescent="0.3">
      <c r="A101" t="s">
        <v>464</v>
      </c>
      <c r="C101" s="25" t="s">
        <v>435</v>
      </c>
      <c r="D101" t="str">
        <f t="shared" si="10"/>
        <v>administrative - Cegid  -&gt; Inc</v>
      </c>
      <c r="E101" t="str">
        <f t="shared" si="11"/>
        <v>Cegid</v>
      </c>
      <c r="F101" t="s">
        <v>420</v>
      </c>
    </row>
    <row r="102" spans="1:6" x14ac:dyDescent="0.3">
      <c r="A102" t="s">
        <v>465</v>
      </c>
      <c r="C102" t="s">
        <v>436</v>
      </c>
      <c r="D102" t="str">
        <f t="shared" si="10"/>
        <v>it - SkedSocial  -&gt; SL</v>
      </c>
      <c r="E102" t="str">
        <f t="shared" si="11"/>
        <v>SkedSocial</v>
      </c>
      <c r="F102" t="s">
        <v>399</v>
      </c>
    </row>
    <row r="103" spans="1:6" x14ac:dyDescent="0.3">
      <c r="A103" s="25" t="s">
        <v>449</v>
      </c>
      <c r="C103" s="25" t="s">
        <v>450</v>
      </c>
      <c r="D103" t="str">
        <f t="shared" si="10"/>
        <v>tools - personal tools  -&gt; Inc</v>
      </c>
      <c r="E103" t="str">
        <f t="shared" si="11"/>
        <v>personal tools</v>
      </c>
      <c r="F103" t="s">
        <v>420</v>
      </c>
    </row>
    <row r="104" spans="1:6" x14ac:dyDescent="0.3">
      <c r="A104" s="25" t="s">
        <v>67</v>
      </c>
      <c r="B104" s="25"/>
      <c r="C104" s="25" t="s">
        <v>430</v>
      </c>
      <c r="D104" t="str">
        <f t="shared" si="10"/>
        <v>payment-suppliers - Paypal  -&gt; Ltd</v>
      </c>
      <c r="E104" t="str">
        <f t="shared" si="11"/>
        <v>Paypal</v>
      </c>
      <c r="F104" t="s">
        <v>412</v>
      </c>
    </row>
    <row r="105" spans="1:6" x14ac:dyDescent="0.3">
      <c r="A105" s="25" t="s">
        <v>69</v>
      </c>
      <c r="B105" s="25"/>
      <c r="C105" s="25" t="s">
        <v>430</v>
      </c>
      <c r="D105" t="str">
        <f t="shared" si="10"/>
        <v>payment-suppliers - Amazon Pay  -&gt; Ltd</v>
      </c>
      <c r="E105" t="str">
        <f t="shared" si="11"/>
        <v>Amazon Pay</v>
      </c>
      <c r="F105" t="s">
        <v>412</v>
      </c>
    </row>
    <row r="106" spans="1:6" x14ac:dyDescent="0.3">
      <c r="A106" s="25" t="s">
        <v>71</v>
      </c>
      <c r="B106" s="25"/>
      <c r="C106" s="25" t="s">
        <v>430</v>
      </c>
      <c r="D106" t="str">
        <f t="shared" si="10"/>
        <v>payment-suppliers - Klarna  -&gt; Ltd</v>
      </c>
      <c r="E106" t="str">
        <f t="shared" si="11"/>
        <v>Klarna</v>
      </c>
      <c r="F106" t="s">
        <v>412</v>
      </c>
    </row>
    <row r="107" spans="1:6" x14ac:dyDescent="0.3">
      <c r="A107" s="25" t="s">
        <v>73</v>
      </c>
      <c r="B107" s="25"/>
      <c r="C107" s="25" t="s">
        <v>430</v>
      </c>
      <c r="D107" t="str">
        <f t="shared" si="10"/>
        <v>payment-suppliers - Revolut  -&gt; Ltd</v>
      </c>
      <c r="E107" t="str">
        <f t="shared" si="11"/>
        <v>Revolut</v>
      </c>
      <c r="F107" t="s">
        <v>412</v>
      </c>
    </row>
    <row r="108" spans="1:6" x14ac:dyDescent="0.3">
      <c r="A108" s="25" t="s">
        <v>67</v>
      </c>
      <c r="B108" s="25"/>
      <c r="C108" s="25" t="s">
        <v>430</v>
      </c>
      <c r="D108" t="str">
        <f t="shared" si="10"/>
        <v>payment-suppliers - Paypal  -&gt; Inc</v>
      </c>
      <c r="E108" t="str">
        <f t="shared" si="11"/>
        <v>Paypal</v>
      </c>
      <c r="F108" t="s">
        <v>420</v>
      </c>
    </row>
    <row r="109" spans="1:6" x14ac:dyDescent="0.3">
      <c r="A109" s="25" t="s">
        <v>69</v>
      </c>
      <c r="B109" s="25"/>
      <c r="C109" s="25" t="s">
        <v>430</v>
      </c>
      <c r="D109" t="str">
        <f t="shared" si="10"/>
        <v>payment-suppliers - Amazon Pay  -&gt; Inc</v>
      </c>
      <c r="E109" t="str">
        <f t="shared" si="11"/>
        <v>Amazon Pay</v>
      </c>
      <c r="F109" t="s">
        <v>420</v>
      </c>
    </row>
    <row r="110" spans="1:6" x14ac:dyDescent="0.3">
      <c r="A110" s="25" t="s">
        <v>71</v>
      </c>
      <c r="B110" s="25"/>
      <c r="C110" s="25" t="s">
        <v>430</v>
      </c>
      <c r="D110" t="str">
        <f t="shared" si="10"/>
        <v>payment-suppliers - Klarna  -&gt; Inc</v>
      </c>
      <c r="E110" t="str">
        <f t="shared" si="11"/>
        <v>Klarna</v>
      </c>
      <c r="F110" t="s">
        <v>420</v>
      </c>
    </row>
    <row r="111" spans="1:6" x14ac:dyDescent="0.3">
      <c r="A111" s="25" t="s">
        <v>73</v>
      </c>
      <c r="B111" s="25"/>
      <c r="C111" s="25" t="s">
        <v>430</v>
      </c>
      <c r="D111" t="str">
        <f t="shared" si="10"/>
        <v>payment-suppliers - Revolut  -&gt; Inc</v>
      </c>
      <c r="E111" t="str">
        <f t="shared" si="11"/>
        <v>Revolut</v>
      </c>
      <c r="F111" t="s">
        <v>420</v>
      </c>
    </row>
    <row r="112" spans="1:6" x14ac:dyDescent="0.3">
      <c r="A112" t="s">
        <v>466</v>
      </c>
      <c r="C112" t="s">
        <v>405</v>
      </c>
      <c r="D112" t="str">
        <f t="shared" si="10"/>
        <v>manufacturing - artlink  -&gt; SL</v>
      </c>
      <c r="E112" t="str">
        <f t="shared" si="11"/>
        <v>artlink</v>
      </c>
      <c r="F112" t="s">
        <v>399</v>
      </c>
    </row>
    <row r="113" spans="1:6" x14ac:dyDescent="0.3">
      <c r="A113" t="s">
        <v>466</v>
      </c>
      <c r="C113" t="s">
        <v>414</v>
      </c>
      <c r="D113" t="str">
        <f t="shared" si="10"/>
        <v>logistics - artlink  -&gt; SL</v>
      </c>
      <c r="E113" t="str">
        <f t="shared" si="11"/>
        <v>artlink</v>
      </c>
      <c r="F113" t="s">
        <v>399</v>
      </c>
    </row>
    <row r="114" spans="1:6" x14ac:dyDescent="0.3">
      <c r="A114" t="s">
        <v>466</v>
      </c>
      <c r="C114" t="s">
        <v>405</v>
      </c>
      <c r="D114" t="str">
        <f t="shared" si="10"/>
        <v>manufacturing - artlink  -&gt; Ltd</v>
      </c>
      <c r="E114" t="str">
        <f t="shared" si="11"/>
        <v>artlink</v>
      </c>
      <c r="F114" t="s">
        <v>412</v>
      </c>
    </row>
    <row r="115" spans="1:6" x14ac:dyDescent="0.3">
      <c r="A115" t="s">
        <v>466</v>
      </c>
      <c r="C115" t="s">
        <v>414</v>
      </c>
      <c r="D115" t="str">
        <f t="shared" ref="D115:D124" si="12">C115&amp;" - "&amp;A115&amp;" "&amp;B115&amp;" -&gt; "&amp;F115</f>
        <v>logistics - artlink  -&gt; Ltd</v>
      </c>
      <c r="E115" t="str">
        <f t="shared" si="11"/>
        <v>artlink</v>
      </c>
      <c r="F115" t="s">
        <v>412</v>
      </c>
    </row>
    <row r="116" spans="1:6" x14ac:dyDescent="0.3">
      <c r="A116" t="s">
        <v>466</v>
      </c>
      <c r="C116" t="s">
        <v>405</v>
      </c>
      <c r="D116" t="str">
        <f t="shared" si="12"/>
        <v>manufacturing - artlink  -&gt; Inc</v>
      </c>
      <c r="E116" t="str">
        <f t="shared" si="11"/>
        <v>artlink</v>
      </c>
      <c r="F116" t="s">
        <v>420</v>
      </c>
    </row>
    <row r="117" spans="1:6" x14ac:dyDescent="0.3">
      <c r="A117" t="s">
        <v>466</v>
      </c>
      <c r="C117" t="s">
        <v>414</v>
      </c>
      <c r="D117" t="str">
        <f t="shared" si="12"/>
        <v>logistics - artlink  -&gt; Inc</v>
      </c>
      <c r="E117" t="str">
        <f t="shared" si="11"/>
        <v>artlink</v>
      </c>
      <c r="F117" t="s">
        <v>420</v>
      </c>
    </row>
    <row r="118" spans="1:6" x14ac:dyDescent="0.3">
      <c r="A118" t="s">
        <v>467</v>
      </c>
      <c r="C118" t="s">
        <v>405</v>
      </c>
      <c r="D118" t="str">
        <f t="shared" si="12"/>
        <v>manufacturing - debex  -&gt; SL</v>
      </c>
      <c r="E118" t="str">
        <f t="shared" si="11"/>
        <v>debex</v>
      </c>
      <c r="F118" t="s">
        <v>399</v>
      </c>
    </row>
    <row r="119" spans="1:6" x14ac:dyDescent="0.3">
      <c r="A119" t="s">
        <v>467</v>
      </c>
      <c r="C119" t="s">
        <v>414</v>
      </c>
      <c r="D119" t="str">
        <f t="shared" si="12"/>
        <v>logistics - debex  -&gt; SL</v>
      </c>
      <c r="E119" t="str">
        <f t="shared" si="11"/>
        <v>debex</v>
      </c>
      <c r="F119" t="s">
        <v>399</v>
      </c>
    </row>
    <row r="120" spans="1:6" x14ac:dyDescent="0.3">
      <c r="A120" t="s">
        <v>467</v>
      </c>
      <c r="C120" t="s">
        <v>405</v>
      </c>
      <c r="D120" t="str">
        <f t="shared" si="12"/>
        <v>manufacturing - debex  -&gt; Ltd</v>
      </c>
      <c r="E120" t="str">
        <f t="shared" si="11"/>
        <v>debex</v>
      </c>
      <c r="F120" t="s">
        <v>412</v>
      </c>
    </row>
    <row r="121" spans="1:6" x14ac:dyDescent="0.3">
      <c r="A121" t="s">
        <v>467</v>
      </c>
      <c r="C121" t="s">
        <v>414</v>
      </c>
      <c r="D121" t="str">
        <f t="shared" si="12"/>
        <v>logistics - debex  -&gt; Ltd</v>
      </c>
      <c r="E121" t="str">
        <f t="shared" si="11"/>
        <v>debex</v>
      </c>
      <c r="F121" t="s">
        <v>412</v>
      </c>
    </row>
    <row r="122" spans="1:6" x14ac:dyDescent="0.3">
      <c r="A122" t="s">
        <v>467</v>
      </c>
      <c r="C122" t="s">
        <v>405</v>
      </c>
      <c r="D122" t="str">
        <f t="shared" si="12"/>
        <v>manufacturing - debex  -&gt; Inc</v>
      </c>
      <c r="E122" t="str">
        <f t="shared" si="11"/>
        <v>debex</v>
      </c>
      <c r="F122" t="s">
        <v>420</v>
      </c>
    </row>
    <row r="123" spans="1:6" x14ac:dyDescent="0.3">
      <c r="A123" t="s">
        <v>467</v>
      </c>
      <c r="C123" t="s">
        <v>414</v>
      </c>
      <c r="D123" t="str">
        <f t="shared" si="12"/>
        <v>logistics - debex  -&gt; Inc</v>
      </c>
      <c r="E123" t="str">
        <f t="shared" si="11"/>
        <v>debex</v>
      </c>
      <c r="F123" t="s">
        <v>420</v>
      </c>
    </row>
    <row r="124" spans="1:6" x14ac:dyDescent="0.3">
      <c r="A124" t="s">
        <v>468</v>
      </c>
      <c r="C124" t="s">
        <v>456</v>
      </c>
      <c r="D124" t="str">
        <f t="shared" si="12"/>
        <v>shared-services - hannun  -&gt; SL</v>
      </c>
      <c r="E124" t="str">
        <f t="shared" si="11"/>
        <v>hannun</v>
      </c>
      <c r="F124" t="s">
        <v>399</v>
      </c>
    </row>
    <row r="125" spans="1:6" x14ac:dyDescent="0.3">
      <c r="A125" t="s">
        <v>469</v>
      </c>
      <c r="C125" t="s">
        <v>436</v>
      </c>
      <c r="D125" t="str">
        <f>C125&amp;" - "&amp;A125&amp;" "&amp;B125&amp;" -&gt; "&amp;F125</f>
        <v>it - etsy  -&gt; SL</v>
      </c>
      <c r="E125" t="str">
        <f>+A125</f>
        <v>etsy</v>
      </c>
      <c r="F125" t="s">
        <v>399</v>
      </c>
    </row>
    <row r="126" spans="1:6" x14ac:dyDescent="0.3">
      <c r="A126" s="24" t="s">
        <v>470</v>
      </c>
      <c r="C126" t="s">
        <v>405</v>
      </c>
      <c r="D126" t="str">
        <f>C126&amp;" - "&amp;A126&amp;" "&amp;B126&amp;" -&gt; "&amp;F126</f>
        <v>manufacturing - euroembalaje  -&gt; SL</v>
      </c>
      <c r="E126" t="str">
        <f>+A126</f>
        <v>euroembalaje</v>
      </c>
      <c r="F126" t="s">
        <v>399</v>
      </c>
    </row>
    <row r="127" spans="1:6" x14ac:dyDescent="0.3">
      <c r="A127" t="s">
        <v>471</v>
      </c>
      <c r="C127" t="s">
        <v>436</v>
      </c>
      <c r="D127" t="str">
        <f>C127&amp;" - "&amp;A127&amp;" "&amp;B127&amp;" -&gt; "&amp;F127</f>
        <v>it - adobe  -&gt; SL</v>
      </c>
      <c r="E127" t="str">
        <f>+A127</f>
        <v>adobe</v>
      </c>
      <c r="F127" t="s">
        <v>399</v>
      </c>
    </row>
    <row r="128" spans="1:6" x14ac:dyDescent="0.3">
      <c r="A128" t="s">
        <v>472</v>
      </c>
      <c r="C128" t="s">
        <v>436</v>
      </c>
      <c r="D128" t="str">
        <f>C128&amp;" - "&amp;A128&amp;" "&amp;B128&amp;" -&gt; "&amp;F128</f>
        <v>it - lingpad  -&gt; SL</v>
      </c>
      <c r="E128" t="str">
        <f>+A128</f>
        <v>lingpad</v>
      </c>
      <c r="F128" t="s">
        <v>399</v>
      </c>
    </row>
    <row r="129" spans="1:6" x14ac:dyDescent="0.3">
      <c r="A129" t="s">
        <v>473</v>
      </c>
      <c r="C129" t="s">
        <v>436</v>
      </c>
      <c r="D129" t="str">
        <f>C129&amp;" - "&amp;A129&amp;" "&amp;B129&amp;" -&gt; "&amp;F129</f>
        <v>it - epi  -&gt; SL</v>
      </c>
      <c r="E129" t="str">
        <f>+A129</f>
        <v>epi</v>
      </c>
      <c r="F129" t="s">
        <v>399</v>
      </c>
    </row>
    <row r="130" spans="1:6" x14ac:dyDescent="0.3">
      <c r="A130" t="s">
        <v>468</v>
      </c>
      <c r="C130" t="s">
        <v>435</v>
      </c>
      <c r="D130" t="str">
        <f t="shared" ref="D130" si="13">C130&amp;" - "&amp;A130&amp;" "&amp;B130&amp;" -&gt; "&amp;F130</f>
        <v>administrative - hannun  -&gt; SL</v>
      </c>
      <c r="E130" t="str">
        <f t="shared" ref="E130" si="14">+A130</f>
        <v>hannun</v>
      </c>
      <c r="F130" t="s">
        <v>399</v>
      </c>
    </row>
    <row r="131" spans="1:6" x14ac:dyDescent="0.3">
      <c r="A131" t="s">
        <v>474</v>
      </c>
      <c r="C131" t="s">
        <v>436</v>
      </c>
      <c r="D131" t="str">
        <f t="shared" ref="D131:D141" si="15">C131&amp;" - "&amp;A131&amp;" "&amp;B131&amp;" -&gt; "&amp;F131</f>
        <v>it - hushed  -&gt; Inc</v>
      </c>
      <c r="E131" t="str">
        <f t="shared" ref="E131:E141" si="16">+A131</f>
        <v>hushed</v>
      </c>
      <c r="F131" t="s">
        <v>420</v>
      </c>
    </row>
    <row r="132" spans="1:6" x14ac:dyDescent="0.3">
      <c r="A132" t="s">
        <v>418</v>
      </c>
      <c r="C132" t="s">
        <v>405</v>
      </c>
      <c r="D132" t="str">
        <f t="shared" si="15"/>
        <v>manufacturing - jondo  -&gt; Inc</v>
      </c>
      <c r="E132" t="str">
        <f t="shared" si="16"/>
        <v>jondo</v>
      </c>
      <c r="F132" t="s">
        <v>420</v>
      </c>
    </row>
    <row r="133" spans="1:6" x14ac:dyDescent="0.3">
      <c r="A133" t="s">
        <v>410</v>
      </c>
      <c r="B133" t="s">
        <v>475</v>
      </c>
      <c r="C133" t="s">
        <v>405</v>
      </c>
      <c r="D133" t="str">
        <f t="shared" si="15"/>
        <v>manufacturing - Proco frames -&gt; Ltd</v>
      </c>
      <c r="E133" t="str">
        <f t="shared" si="16"/>
        <v>Proco</v>
      </c>
      <c r="F133" t="s">
        <v>412</v>
      </c>
    </row>
    <row r="134" spans="1:6" x14ac:dyDescent="0.3">
      <c r="A134" t="s">
        <v>476</v>
      </c>
      <c r="C134" t="s">
        <v>435</v>
      </c>
      <c r="D134" t="str">
        <f t="shared" si="15"/>
        <v>administrative - youraccountsntaxes  -&gt; Ltd</v>
      </c>
      <c r="E134" t="str">
        <f t="shared" si="16"/>
        <v>youraccountsntaxes</v>
      </c>
      <c r="F134" t="s">
        <v>412</v>
      </c>
    </row>
    <row r="135" spans="1:6" x14ac:dyDescent="0.3">
      <c r="A135" s="152" t="s">
        <v>438</v>
      </c>
      <c r="C135" s="152" t="s">
        <v>435</v>
      </c>
      <c r="D135" t="str">
        <f t="shared" si="15"/>
        <v>administrative - otros  -&gt; Ltd</v>
      </c>
      <c r="E135" t="str">
        <f t="shared" si="16"/>
        <v>otros</v>
      </c>
      <c r="F135" t="s">
        <v>412</v>
      </c>
    </row>
    <row r="136" spans="1:6" x14ac:dyDescent="0.3">
      <c r="A136" s="152" t="s">
        <v>438</v>
      </c>
      <c r="C136" s="152" t="s">
        <v>435</v>
      </c>
      <c r="D136" t="str">
        <f t="shared" si="15"/>
        <v>administrative - otros  -&gt; Inc</v>
      </c>
      <c r="E136" t="str">
        <f t="shared" si="16"/>
        <v>otros</v>
      </c>
      <c r="F136" t="s">
        <v>420</v>
      </c>
    </row>
    <row r="137" spans="1:6" x14ac:dyDescent="0.3">
      <c r="A137" t="s">
        <v>477</v>
      </c>
      <c r="C137" t="s">
        <v>478</v>
      </c>
      <c r="D137" t="str">
        <f t="shared" si="15"/>
        <v>uncategorized - incomes  -&gt; Ltd</v>
      </c>
      <c r="E137" t="str">
        <f t="shared" si="16"/>
        <v>incomes</v>
      </c>
      <c r="F137" t="s">
        <v>412</v>
      </c>
    </row>
    <row r="138" spans="1:6" x14ac:dyDescent="0.3">
      <c r="A138" t="s">
        <v>479</v>
      </c>
      <c r="C138" t="s">
        <v>478</v>
      </c>
      <c r="D138" t="str">
        <f t="shared" si="15"/>
        <v>uncategorized - expenses  -&gt; Ltd</v>
      </c>
      <c r="E138" t="str">
        <f t="shared" si="16"/>
        <v>expenses</v>
      </c>
      <c r="F138" t="s">
        <v>412</v>
      </c>
    </row>
    <row r="139" spans="1:6" x14ac:dyDescent="0.3">
      <c r="A139" t="s">
        <v>410</v>
      </c>
      <c r="B139" t="s">
        <v>480</v>
      </c>
      <c r="C139" t="s">
        <v>405</v>
      </c>
      <c r="D139" t="str">
        <f t="shared" si="15"/>
        <v>manufacturing - Proco others -&gt; Ltd</v>
      </c>
      <c r="E139" t="str">
        <f t="shared" si="16"/>
        <v>Proco</v>
      </c>
      <c r="F139" t="s">
        <v>412</v>
      </c>
    </row>
    <row r="140" spans="1:6" x14ac:dyDescent="0.3">
      <c r="A140" t="s">
        <v>124</v>
      </c>
      <c r="C140" s="25" t="s">
        <v>436</v>
      </c>
      <c r="D140" t="str">
        <f t="shared" si="15"/>
        <v>it - Amazon Subscription  -&gt; SL</v>
      </c>
      <c r="E140" t="str">
        <f t="shared" si="16"/>
        <v>Amazon Subscription</v>
      </c>
      <c r="F140" t="s">
        <v>399</v>
      </c>
    </row>
    <row r="141" spans="1:6" x14ac:dyDescent="0.3">
      <c r="A141" t="s">
        <v>124</v>
      </c>
      <c r="C141" s="25" t="s">
        <v>436</v>
      </c>
      <c r="D141" t="str">
        <f t="shared" si="15"/>
        <v>it - Amazon Subscription  -&gt; Inc</v>
      </c>
      <c r="E141" t="str">
        <f t="shared" si="16"/>
        <v>Amazon Subscription</v>
      </c>
      <c r="F141" t="s">
        <v>420</v>
      </c>
    </row>
    <row r="142" spans="1:6" x14ac:dyDescent="0.3">
      <c r="A142" t="s">
        <v>481</v>
      </c>
      <c r="C142" t="s">
        <v>435</v>
      </c>
      <c r="D142" t="str">
        <f t="shared" ref="D142" si="17">C142&amp;" - "&amp;A142&amp;" "&amp;B142&amp;" -&gt; "&amp;F142</f>
        <v>administrative - continuum  -&gt; Inc</v>
      </c>
      <c r="E142" t="str">
        <f t="shared" ref="E142" si="18">+A142</f>
        <v>continuum</v>
      </c>
      <c r="F142" t="s">
        <v>420</v>
      </c>
    </row>
    <row r="143" spans="1:6" x14ac:dyDescent="0.3">
      <c r="A143" t="s">
        <v>508</v>
      </c>
      <c r="C143" t="s">
        <v>405</v>
      </c>
      <c r="D143" t="str">
        <f>C143&amp;" - "&amp;A143&amp;" "&amp;B143&amp;" -&gt; "&amp;F143</f>
        <v>manufacturing - Frame consumos  -&gt; Inc</v>
      </c>
      <c r="E143" t="str">
        <f>+A143</f>
        <v>Frame consumos</v>
      </c>
      <c r="F143" t="s">
        <v>420</v>
      </c>
    </row>
    <row r="144" spans="1:6" x14ac:dyDescent="0.3">
      <c r="A144" t="s">
        <v>922</v>
      </c>
      <c r="C144" t="s">
        <v>436</v>
      </c>
      <c r="D144" t="str">
        <f>C144&amp;" - "&amp;A144&amp;" "&amp;B144&amp;" -&gt; "&amp;F144</f>
        <v>it - konvo  -&gt; SL</v>
      </c>
      <c r="E144" t="str">
        <f>+A144</f>
        <v>konvo</v>
      </c>
      <c r="F144" t="s">
        <v>399</v>
      </c>
    </row>
    <row r="145" spans="1:6" x14ac:dyDescent="0.3">
      <c r="A145" t="s">
        <v>1082</v>
      </c>
      <c r="C145" t="s">
        <v>436</v>
      </c>
      <c r="D145" t="str">
        <f>C145&amp;" - "&amp;A145&amp;" "&amp;B145&amp;" -&gt; "&amp;F145</f>
        <v>it - mirakl  -&gt; SL</v>
      </c>
      <c r="E145" t="str">
        <f>+A145</f>
        <v>mirakl</v>
      </c>
      <c r="F145" t="s">
        <v>399</v>
      </c>
    </row>
  </sheetData>
  <autoFilter ref="A1:G143" xr:uid="{570C76C3-43AB-4AFB-A417-46B82F649472}"/>
  <mergeCells count="6">
    <mergeCell ref="H15:I15"/>
    <mergeCell ref="H10:I10"/>
    <mergeCell ref="H11:I11"/>
    <mergeCell ref="H12:I12"/>
    <mergeCell ref="H13:I13"/>
    <mergeCell ref="H14:I1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8608-7E8B-46D0-A86E-A98D72316117}">
  <dimension ref="A1:I4"/>
  <sheetViews>
    <sheetView topLeftCell="C1" zoomScale="115" zoomScaleNormal="115" workbookViewId="0">
      <selection activeCell="C5" sqref="A5:XFD17"/>
    </sheetView>
  </sheetViews>
  <sheetFormatPr baseColWidth="10" defaultColWidth="11.44140625" defaultRowHeight="14.4" x14ac:dyDescent="0.3"/>
  <cols>
    <col min="1" max="1" width="22.44140625" bestFit="1" customWidth="1"/>
    <col min="2" max="2" width="23" customWidth="1"/>
    <col min="3" max="3" width="15.44140625" bestFit="1" customWidth="1"/>
    <col min="4" max="4" width="12.33203125" bestFit="1" customWidth="1"/>
    <col min="5" max="5" width="10.6640625" bestFit="1" customWidth="1"/>
    <col min="6" max="6" width="26.109375" bestFit="1" customWidth="1"/>
    <col min="7" max="9" width="17" bestFit="1" customWidth="1"/>
  </cols>
  <sheetData>
    <row r="1" spans="1:9" x14ac:dyDescent="0.3">
      <c r="A1" s="44" t="s">
        <v>250</v>
      </c>
      <c r="B1" s="25"/>
      <c r="C1" s="46" t="s">
        <v>402</v>
      </c>
      <c r="D1" s="46" t="s">
        <v>394</v>
      </c>
      <c r="E1" s="46" t="s">
        <v>395</v>
      </c>
      <c r="F1" s="46" t="s">
        <v>396</v>
      </c>
      <c r="G1" s="46" t="s">
        <v>402</v>
      </c>
      <c r="H1" s="46" t="s">
        <v>393</v>
      </c>
      <c r="I1" s="46" t="s">
        <v>393</v>
      </c>
    </row>
    <row r="2" spans="1:9" x14ac:dyDescent="0.3">
      <c r="A2" s="45" t="s">
        <v>399</v>
      </c>
      <c r="B2" s="25"/>
      <c r="C2" s="45" t="s">
        <v>428</v>
      </c>
      <c r="D2" s="45"/>
      <c r="E2" s="45" t="s">
        <v>429</v>
      </c>
      <c r="F2" s="45" t="str">
        <f t="shared" ref="F2:F4" si="0">E2&amp;" - "&amp;C2&amp;" "&amp;D2&amp;" -&gt; "&amp;H2</f>
        <v>royalties - Artistas  -&gt; SL</v>
      </c>
      <c r="G2" s="46" t="str">
        <f>+C2</f>
        <v>Artistas</v>
      </c>
      <c r="H2" s="46" t="s">
        <v>399</v>
      </c>
      <c r="I2" s="46" t="s">
        <v>488</v>
      </c>
    </row>
    <row r="3" spans="1:9" x14ac:dyDescent="0.3">
      <c r="A3" s="45" t="s">
        <v>412</v>
      </c>
      <c r="B3" s="25"/>
      <c r="C3" s="45" t="s">
        <v>428</v>
      </c>
      <c r="D3" s="45"/>
      <c r="E3" s="45" t="s">
        <v>429</v>
      </c>
      <c r="F3" s="45" t="str">
        <f t="shared" si="0"/>
        <v>royalties - Artistas  -&gt; Ltd</v>
      </c>
      <c r="G3" s="46" t="str">
        <f t="shared" ref="G3:G4" si="1">+C3</f>
        <v>Artistas</v>
      </c>
      <c r="H3" s="46" t="s">
        <v>412</v>
      </c>
      <c r="I3" s="46" t="s">
        <v>488</v>
      </c>
    </row>
    <row r="4" spans="1:9" x14ac:dyDescent="0.3">
      <c r="A4" s="45" t="s">
        <v>420</v>
      </c>
      <c r="B4" s="25"/>
      <c r="C4" s="45" t="s">
        <v>428</v>
      </c>
      <c r="D4" s="45"/>
      <c r="E4" s="45" t="s">
        <v>429</v>
      </c>
      <c r="F4" s="45" t="str">
        <f t="shared" si="0"/>
        <v>royalties - Artistas  -&gt; Inc</v>
      </c>
      <c r="G4" s="46" t="str">
        <f t="shared" si="1"/>
        <v>Artistas</v>
      </c>
      <c r="H4" s="46" t="s">
        <v>420</v>
      </c>
      <c r="I4" s="46" t="s">
        <v>488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A21B-4887-4E33-9CC5-076E3DBBC861}">
  <dimension ref="A1:I17"/>
  <sheetViews>
    <sheetView topLeftCell="C11" zoomScale="115" zoomScaleNormal="115" workbookViewId="0">
      <selection activeCell="C18" sqref="A18:XFD20"/>
    </sheetView>
  </sheetViews>
  <sheetFormatPr baseColWidth="10" defaultColWidth="11.44140625" defaultRowHeight="14.4" x14ac:dyDescent="0.3"/>
  <cols>
    <col min="1" max="1" width="22.44140625" bestFit="1" customWidth="1"/>
    <col min="2" max="2" width="23" customWidth="1"/>
    <col min="3" max="3" width="15.44140625" bestFit="1" customWidth="1"/>
    <col min="4" max="4" width="12.33203125" bestFit="1" customWidth="1"/>
    <col min="5" max="5" width="10.6640625" bestFit="1" customWidth="1"/>
    <col min="6" max="6" width="26.109375" bestFit="1" customWidth="1"/>
    <col min="7" max="9" width="17" bestFit="1" customWidth="1"/>
  </cols>
  <sheetData>
    <row r="1" spans="1:9" x14ac:dyDescent="0.3">
      <c r="A1" s="44" t="s">
        <v>250</v>
      </c>
      <c r="B1" s="25"/>
      <c r="C1" s="46" t="s">
        <v>402</v>
      </c>
      <c r="D1" s="46" t="s">
        <v>394</v>
      </c>
      <c r="E1" s="46" t="s">
        <v>395</v>
      </c>
      <c r="F1" s="46" t="s">
        <v>396</v>
      </c>
      <c r="G1" s="46" t="s">
        <v>402</v>
      </c>
      <c r="H1" s="46" t="s">
        <v>393</v>
      </c>
      <c r="I1" s="46" t="s">
        <v>393</v>
      </c>
    </row>
    <row r="2" spans="1:9" x14ac:dyDescent="0.3">
      <c r="A2" s="45" t="s">
        <v>399</v>
      </c>
      <c r="B2" s="25"/>
      <c r="C2" s="45" t="s">
        <v>91</v>
      </c>
      <c r="D2" s="45"/>
      <c r="E2" s="45" t="s">
        <v>433</v>
      </c>
      <c r="F2" s="45" t="str">
        <f t="shared" ref="F2:F11" si="0">E2&amp;" - "&amp;C2&amp;" "&amp;D2&amp;" -&gt; "&amp;H2</f>
        <v>marketing - meta  -&gt; SL</v>
      </c>
      <c r="G2" s="46" t="str">
        <f>+C2</f>
        <v>meta</v>
      </c>
      <c r="H2" s="46" t="s">
        <v>399</v>
      </c>
      <c r="I2" s="46" t="s">
        <v>488</v>
      </c>
    </row>
    <row r="3" spans="1:9" x14ac:dyDescent="0.3">
      <c r="A3" s="45" t="s">
        <v>412</v>
      </c>
      <c r="B3" s="25"/>
      <c r="C3" s="45" t="s">
        <v>89</v>
      </c>
      <c r="D3" s="45"/>
      <c r="E3" s="45" t="s">
        <v>433</v>
      </c>
      <c r="F3" s="45" t="str">
        <f t="shared" si="0"/>
        <v>marketing - google  -&gt; SL</v>
      </c>
      <c r="G3" s="46" t="str">
        <f t="shared" ref="G3:G6" si="1">+C3</f>
        <v>google</v>
      </c>
      <c r="H3" s="46" t="s">
        <v>399</v>
      </c>
      <c r="I3" s="46" t="s">
        <v>488</v>
      </c>
    </row>
    <row r="4" spans="1:9" x14ac:dyDescent="0.3">
      <c r="A4" s="45" t="s">
        <v>420</v>
      </c>
      <c r="B4" s="25"/>
      <c r="C4" s="45" t="s">
        <v>92</v>
      </c>
      <c r="D4" s="45"/>
      <c r="E4" s="45" t="s">
        <v>433</v>
      </c>
      <c r="F4" s="45" t="str">
        <f t="shared" si="0"/>
        <v>marketing - tiktok  -&gt; SL</v>
      </c>
      <c r="G4" s="46" t="str">
        <f t="shared" si="1"/>
        <v>tiktok</v>
      </c>
      <c r="H4" s="46" t="s">
        <v>399</v>
      </c>
      <c r="I4" s="46" t="s">
        <v>488</v>
      </c>
    </row>
    <row r="5" spans="1:9" x14ac:dyDescent="0.3">
      <c r="A5" s="25"/>
      <c r="B5" s="25"/>
      <c r="C5" s="45" t="s">
        <v>93</v>
      </c>
      <c r="D5" s="45"/>
      <c r="E5" s="45" t="s">
        <v>433</v>
      </c>
      <c r="F5" s="45" t="str">
        <f t="shared" si="0"/>
        <v>marketing - pinterest  -&gt; SL</v>
      </c>
      <c r="G5" s="46" t="str">
        <f t="shared" si="1"/>
        <v>pinterest</v>
      </c>
      <c r="H5" s="46" t="s">
        <v>399</v>
      </c>
      <c r="I5" s="46" t="s">
        <v>488</v>
      </c>
    </row>
    <row r="6" spans="1:9" x14ac:dyDescent="0.3">
      <c r="A6" s="25"/>
      <c r="B6" s="25"/>
      <c r="C6" s="45" t="s">
        <v>431</v>
      </c>
      <c r="D6" s="45"/>
      <c r="E6" s="45" t="s">
        <v>433</v>
      </c>
      <c r="F6" s="45" t="str">
        <f t="shared" si="0"/>
        <v>marketing - rever  -&gt; SL</v>
      </c>
      <c r="G6" s="46" t="str">
        <f t="shared" si="1"/>
        <v>rever</v>
      </c>
      <c r="H6" s="46" t="s">
        <v>399</v>
      </c>
      <c r="I6" s="46" t="s">
        <v>488</v>
      </c>
    </row>
    <row r="7" spans="1:9" x14ac:dyDescent="0.3">
      <c r="A7" s="25"/>
      <c r="B7" s="25"/>
      <c r="C7" s="45" t="s">
        <v>91</v>
      </c>
      <c r="D7" s="45"/>
      <c r="E7" s="45" t="s">
        <v>433</v>
      </c>
      <c r="F7" s="45" t="str">
        <f t="shared" si="0"/>
        <v>marketing - meta  -&gt; Ltd</v>
      </c>
      <c r="G7" s="46" t="str">
        <f>+C7</f>
        <v>meta</v>
      </c>
      <c r="H7" s="46" t="s">
        <v>412</v>
      </c>
      <c r="I7" s="46" t="s">
        <v>488</v>
      </c>
    </row>
    <row r="8" spans="1:9" x14ac:dyDescent="0.3">
      <c r="A8" s="25"/>
      <c r="B8" s="25"/>
      <c r="C8" s="45" t="s">
        <v>89</v>
      </c>
      <c r="D8" s="45"/>
      <c r="E8" s="45" t="s">
        <v>433</v>
      </c>
      <c r="F8" s="45" t="str">
        <f t="shared" si="0"/>
        <v>marketing - google  -&gt; Ltd</v>
      </c>
      <c r="G8" s="46" t="str">
        <f t="shared" ref="G8:G11" si="2">+C8</f>
        <v>google</v>
      </c>
      <c r="H8" s="46" t="s">
        <v>412</v>
      </c>
      <c r="I8" s="46" t="s">
        <v>488</v>
      </c>
    </row>
    <row r="9" spans="1:9" x14ac:dyDescent="0.3">
      <c r="A9" s="25"/>
      <c r="B9" s="25"/>
      <c r="C9" s="45" t="s">
        <v>92</v>
      </c>
      <c r="D9" s="45"/>
      <c r="E9" s="45" t="s">
        <v>433</v>
      </c>
      <c r="F9" s="45" t="str">
        <f t="shared" si="0"/>
        <v>marketing - tiktok  -&gt; Ltd</v>
      </c>
      <c r="G9" s="46" t="str">
        <f t="shared" si="2"/>
        <v>tiktok</v>
      </c>
      <c r="H9" s="46" t="s">
        <v>412</v>
      </c>
      <c r="I9" s="46" t="s">
        <v>488</v>
      </c>
    </row>
    <row r="10" spans="1:9" x14ac:dyDescent="0.3">
      <c r="A10" s="25"/>
      <c r="B10" s="25"/>
      <c r="C10" s="45" t="s">
        <v>93</v>
      </c>
      <c r="D10" s="45"/>
      <c r="E10" s="45" t="s">
        <v>433</v>
      </c>
      <c r="F10" s="45" t="str">
        <f t="shared" si="0"/>
        <v>marketing - pinterest  -&gt; Ltd</v>
      </c>
      <c r="G10" s="46" t="str">
        <f t="shared" si="2"/>
        <v>pinterest</v>
      </c>
      <c r="H10" s="46" t="s">
        <v>412</v>
      </c>
      <c r="I10" s="46" t="s">
        <v>488</v>
      </c>
    </row>
    <row r="11" spans="1:9" x14ac:dyDescent="0.3">
      <c r="A11" s="25"/>
      <c r="B11" s="25"/>
      <c r="C11" s="45" t="s">
        <v>431</v>
      </c>
      <c r="D11" s="45"/>
      <c r="E11" s="45" t="s">
        <v>433</v>
      </c>
      <c r="F11" s="45" t="str">
        <f t="shared" si="0"/>
        <v>marketing - rever  -&gt; Ltd</v>
      </c>
      <c r="G11" s="46" t="str">
        <f t="shared" si="2"/>
        <v>rever</v>
      </c>
      <c r="H11" s="46" t="s">
        <v>412</v>
      </c>
      <c r="I11" s="46" t="s">
        <v>488</v>
      </c>
    </row>
    <row r="12" spans="1:9" x14ac:dyDescent="0.3">
      <c r="A12" s="25"/>
      <c r="B12" s="25"/>
      <c r="C12" s="45" t="s">
        <v>91</v>
      </c>
      <c r="D12" s="45"/>
      <c r="E12" s="45" t="s">
        <v>433</v>
      </c>
      <c r="F12" s="45" t="str">
        <f t="shared" ref="F12:F16" si="3">E12&amp;" - "&amp;C12&amp;" "&amp;D12&amp;" -&gt; "&amp;H12</f>
        <v>marketing - meta  -&gt; Inc</v>
      </c>
      <c r="G12" s="46" t="str">
        <f>+C12</f>
        <v>meta</v>
      </c>
      <c r="H12" s="46" t="s">
        <v>420</v>
      </c>
      <c r="I12" s="46" t="s">
        <v>488</v>
      </c>
    </row>
    <row r="13" spans="1:9" x14ac:dyDescent="0.3">
      <c r="A13" s="25"/>
      <c r="B13" s="25"/>
      <c r="C13" s="45" t="s">
        <v>89</v>
      </c>
      <c r="D13" s="45"/>
      <c r="E13" s="45" t="s">
        <v>433</v>
      </c>
      <c r="F13" s="45" t="str">
        <f t="shared" si="3"/>
        <v>marketing - google  -&gt; Inc</v>
      </c>
      <c r="G13" s="46" t="str">
        <f t="shared" ref="G13:G16" si="4">+C13</f>
        <v>google</v>
      </c>
      <c r="H13" s="46" t="s">
        <v>420</v>
      </c>
      <c r="I13" s="46" t="s">
        <v>488</v>
      </c>
    </row>
    <row r="14" spans="1:9" x14ac:dyDescent="0.3">
      <c r="A14" s="25"/>
      <c r="B14" s="25"/>
      <c r="C14" s="45" t="s">
        <v>92</v>
      </c>
      <c r="D14" s="45"/>
      <c r="E14" s="45" t="s">
        <v>433</v>
      </c>
      <c r="F14" s="45" t="str">
        <f t="shared" si="3"/>
        <v>marketing - tiktok  -&gt; Inc</v>
      </c>
      <c r="G14" s="46" t="str">
        <f t="shared" si="4"/>
        <v>tiktok</v>
      </c>
      <c r="H14" s="46" t="s">
        <v>420</v>
      </c>
      <c r="I14" s="46" t="s">
        <v>488</v>
      </c>
    </row>
    <row r="15" spans="1:9" x14ac:dyDescent="0.3">
      <c r="C15" s="45" t="s">
        <v>93</v>
      </c>
      <c r="D15" s="45"/>
      <c r="E15" s="45" t="s">
        <v>433</v>
      </c>
      <c r="F15" s="45" t="str">
        <f t="shared" si="3"/>
        <v>marketing - pinterest  -&gt; Inc</v>
      </c>
      <c r="G15" s="46" t="str">
        <f t="shared" si="4"/>
        <v>pinterest</v>
      </c>
      <c r="H15" s="46" t="s">
        <v>420</v>
      </c>
      <c r="I15" s="46" t="s">
        <v>488</v>
      </c>
    </row>
    <row r="16" spans="1:9" x14ac:dyDescent="0.3">
      <c r="C16" s="45" t="s">
        <v>431</v>
      </c>
      <c r="D16" s="45"/>
      <c r="E16" s="45" t="s">
        <v>433</v>
      </c>
      <c r="F16" s="45" t="str">
        <f t="shared" si="3"/>
        <v>marketing - rever  -&gt; Inc</v>
      </c>
      <c r="G16" s="46" t="str">
        <f t="shared" si="4"/>
        <v>rever</v>
      </c>
      <c r="H16" s="46" t="s">
        <v>420</v>
      </c>
      <c r="I16" s="46" t="s">
        <v>488</v>
      </c>
    </row>
    <row r="17" spans="3:9" ht="27.6" x14ac:dyDescent="0.3">
      <c r="C17" s="45" t="s">
        <v>475</v>
      </c>
      <c r="D17" s="45"/>
      <c r="E17" s="45" t="s">
        <v>405</v>
      </c>
      <c r="F17" s="45" t="str">
        <f>E17&amp;" - "&amp;C17&amp;" "&amp;D17&amp;" -&gt; "&amp;H17</f>
        <v>manufacturing - frames  -&gt; Inc</v>
      </c>
      <c r="G17" s="46" t="str">
        <f>+C17</f>
        <v>frames</v>
      </c>
      <c r="H17" s="46" t="s">
        <v>420</v>
      </c>
      <c r="I17" s="46" t="s">
        <v>488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E9D0-7E8C-43B6-83B1-B46253FE1D81}">
  <dimension ref="A1:A85"/>
  <sheetViews>
    <sheetView topLeftCell="A66" workbookViewId="0">
      <selection activeCell="A14" sqref="A14:A85"/>
    </sheetView>
  </sheetViews>
  <sheetFormatPr baseColWidth="10" defaultColWidth="11.44140625" defaultRowHeight="14.4" x14ac:dyDescent="0.3"/>
  <sheetData>
    <row r="1" spans="1:1" x14ac:dyDescent="0.3">
      <c r="A1" t="s">
        <v>239</v>
      </c>
    </row>
    <row r="2" spans="1:1" x14ac:dyDescent="0.3">
      <c r="A2">
        <v>202501</v>
      </c>
    </row>
    <row r="3" spans="1:1" x14ac:dyDescent="0.3">
      <c r="A3">
        <v>202502</v>
      </c>
    </row>
    <row r="4" spans="1:1" x14ac:dyDescent="0.3">
      <c r="A4">
        <v>202503</v>
      </c>
    </row>
    <row r="5" spans="1:1" x14ac:dyDescent="0.3">
      <c r="A5">
        <v>202504</v>
      </c>
    </row>
    <row r="6" spans="1:1" x14ac:dyDescent="0.3">
      <c r="A6">
        <v>202505</v>
      </c>
    </row>
    <row r="7" spans="1:1" x14ac:dyDescent="0.3">
      <c r="A7">
        <v>202506</v>
      </c>
    </row>
    <row r="8" spans="1:1" x14ac:dyDescent="0.3">
      <c r="A8">
        <v>202507</v>
      </c>
    </row>
    <row r="9" spans="1:1" x14ac:dyDescent="0.3">
      <c r="A9">
        <v>202508</v>
      </c>
    </row>
    <row r="10" spans="1:1" x14ac:dyDescent="0.3">
      <c r="A10">
        <v>202509</v>
      </c>
    </row>
    <row r="11" spans="1:1" x14ac:dyDescent="0.3">
      <c r="A11">
        <v>202510</v>
      </c>
    </row>
    <row r="12" spans="1:1" x14ac:dyDescent="0.3">
      <c r="A12">
        <v>202511</v>
      </c>
    </row>
    <row r="13" spans="1:1" x14ac:dyDescent="0.3">
      <c r="A13">
        <v>202512</v>
      </c>
    </row>
    <row r="14" spans="1:1" x14ac:dyDescent="0.3">
      <c r="A14">
        <f>+A2+100</f>
        <v>202601</v>
      </c>
    </row>
    <row r="15" spans="1:1" x14ac:dyDescent="0.3">
      <c r="A15">
        <f t="shared" ref="A15:A78" si="0">+A3+100</f>
        <v>202602</v>
      </c>
    </row>
    <row r="16" spans="1:1" x14ac:dyDescent="0.3">
      <c r="A16">
        <f t="shared" si="0"/>
        <v>202603</v>
      </c>
    </row>
    <row r="17" spans="1:1" x14ac:dyDescent="0.3">
      <c r="A17">
        <f t="shared" si="0"/>
        <v>202604</v>
      </c>
    </row>
    <row r="18" spans="1:1" x14ac:dyDescent="0.3">
      <c r="A18">
        <f t="shared" si="0"/>
        <v>202605</v>
      </c>
    </row>
    <row r="19" spans="1:1" x14ac:dyDescent="0.3">
      <c r="A19">
        <f t="shared" si="0"/>
        <v>202606</v>
      </c>
    </row>
    <row r="20" spans="1:1" x14ac:dyDescent="0.3">
      <c r="A20">
        <f t="shared" si="0"/>
        <v>202607</v>
      </c>
    </row>
    <row r="21" spans="1:1" x14ac:dyDescent="0.3">
      <c r="A21">
        <f t="shared" si="0"/>
        <v>202608</v>
      </c>
    </row>
    <row r="22" spans="1:1" x14ac:dyDescent="0.3">
      <c r="A22">
        <f t="shared" si="0"/>
        <v>202609</v>
      </c>
    </row>
    <row r="23" spans="1:1" x14ac:dyDescent="0.3">
      <c r="A23">
        <f t="shared" si="0"/>
        <v>202610</v>
      </c>
    </row>
    <row r="24" spans="1:1" x14ac:dyDescent="0.3">
      <c r="A24">
        <f t="shared" si="0"/>
        <v>202611</v>
      </c>
    </row>
    <row r="25" spans="1:1" x14ac:dyDescent="0.3">
      <c r="A25">
        <f t="shared" si="0"/>
        <v>202612</v>
      </c>
    </row>
    <row r="26" spans="1:1" x14ac:dyDescent="0.3">
      <c r="A26">
        <f t="shared" si="0"/>
        <v>202701</v>
      </c>
    </row>
    <row r="27" spans="1:1" x14ac:dyDescent="0.3">
      <c r="A27">
        <f t="shared" si="0"/>
        <v>202702</v>
      </c>
    </row>
    <row r="28" spans="1:1" x14ac:dyDescent="0.3">
      <c r="A28">
        <f t="shared" si="0"/>
        <v>202703</v>
      </c>
    </row>
    <row r="29" spans="1:1" x14ac:dyDescent="0.3">
      <c r="A29">
        <f t="shared" si="0"/>
        <v>202704</v>
      </c>
    </row>
    <row r="30" spans="1:1" x14ac:dyDescent="0.3">
      <c r="A30">
        <f t="shared" si="0"/>
        <v>202705</v>
      </c>
    </row>
    <row r="31" spans="1:1" x14ac:dyDescent="0.3">
      <c r="A31">
        <f t="shared" si="0"/>
        <v>202706</v>
      </c>
    </row>
    <row r="32" spans="1:1" x14ac:dyDescent="0.3">
      <c r="A32">
        <f t="shared" si="0"/>
        <v>202707</v>
      </c>
    </row>
    <row r="33" spans="1:1" x14ac:dyDescent="0.3">
      <c r="A33">
        <f t="shared" si="0"/>
        <v>202708</v>
      </c>
    </row>
    <row r="34" spans="1:1" x14ac:dyDescent="0.3">
      <c r="A34">
        <f t="shared" si="0"/>
        <v>202709</v>
      </c>
    </row>
    <row r="35" spans="1:1" x14ac:dyDescent="0.3">
      <c r="A35">
        <f t="shared" si="0"/>
        <v>202710</v>
      </c>
    </row>
    <row r="36" spans="1:1" x14ac:dyDescent="0.3">
      <c r="A36">
        <f t="shared" si="0"/>
        <v>202711</v>
      </c>
    </row>
    <row r="37" spans="1:1" x14ac:dyDescent="0.3">
      <c r="A37">
        <f t="shared" si="0"/>
        <v>202712</v>
      </c>
    </row>
    <row r="38" spans="1:1" x14ac:dyDescent="0.3">
      <c r="A38">
        <f t="shared" si="0"/>
        <v>202801</v>
      </c>
    </row>
    <row r="39" spans="1:1" x14ac:dyDescent="0.3">
      <c r="A39">
        <f t="shared" si="0"/>
        <v>202802</v>
      </c>
    </row>
    <row r="40" spans="1:1" x14ac:dyDescent="0.3">
      <c r="A40">
        <f t="shared" si="0"/>
        <v>202803</v>
      </c>
    </row>
    <row r="41" spans="1:1" x14ac:dyDescent="0.3">
      <c r="A41">
        <f t="shared" si="0"/>
        <v>202804</v>
      </c>
    </row>
    <row r="42" spans="1:1" x14ac:dyDescent="0.3">
      <c r="A42">
        <f t="shared" si="0"/>
        <v>202805</v>
      </c>
    </row>
    <row r="43" spans="1:1" x14ac:dyDescent="0.3">
      <c r="A43">
        <f t="shared" si="0"/>
        <v>202806</v>
      </c>
    </row>
    <row r="44" spans="1:1" x14ac:dyDescent="0.3">
      <c r="A44">
        <f t="shared" si="0"/>
        <v>202807</v>
      </c>
    </row>
    <row r="45" spans="1:1" x14ac:dyDescent="0.3">
      <c r="A45">
        <f t="shared" si="0"/>
        <v>202808</v>
      </c>
    </row>
    <row r="46" spans="1:1" x14ac:dyDescent="0.3">
      <c r="A46">
        <f t="shared" si="0"/>
        <v>202809</v>
      </c>
    </row>
    <row r="47" spans="1:1" x14ac:dyDescent="0.3">
      <c r="A47">
        <f t="shared" si="0"/>
        <v>202810</v>
      </c>
    </row>
    <row r="48" spans="1:1" x14ac:dyDescent="0.3">
      <c r="A48">
        <f t="shared" si="0"/>
        <v>202811</v>
      </c>
    </row>
    <row r="49" spans="1:1" x14ac:dyDescent="0.3">
      <c r="A49">
        <f t="shared" si="0"/>
        <v>202812</v>
      </c>
    </row>
    <row r="50" spans="1:1" x14ac:dyDescent="0.3">
      <c r="A50">
        <f t="shared" si="0"/>
        <v>202901</v>
      </c>
    </row>
    <row r="51" spans="1:1" x14ac:dyDescent="0.3">
      <c r="A51">
        <f t="shared" si="0"/>
        <v>202902</v>
      </c>
    </row>
    <row r="52" spans="1:1" x14ac:dyDescent="0.3">
      <c r="A52">
        <f t="shared" si="0"/>
        <v>202903</v>
      </c>
    </row>
    <row r="53" spans="1:1" x14ac:dyDescent="0.3">
      <c r="A53">
        <f t="shared" si="0"/>
        <v>202904</v>
      </c>
    </row>
    <row r="54" spans="1:1" x14ac:dyDescent="0.3">
      <c r="A54">
        <f t="shared" si="0"/>
        <v>202905</v>
      </c>
    </row>
    <row r="55" spans="1:1" x14ac:dyDescent="0.3">
      <c r="A55">
        <f t="shared" si="0"/>
        <v>202906</v>
      </c>
    </row>
    <row r="56" spans="1:1" x14ac:dyDescent="0.3">
      <c r="A56">
        <f t="shared" si="0"/>
        <v>202907</v>
      </c>
    </row>
    <row r="57" spans="1:1" x14ac:dyDescent="0.3">
      <c r="A57">
        <f t="shared" si="0"/>
        <v>202908</v>
      </c>
    </row>
    <row r="58" spans="1:1" x14ac:dyDescent="0.3">
      <c r="A58">
        <f>+A46+100</f>
        <v>202909</v>
      </c>
    </row>
    <row r="59" spans="1:1" x14ac:dyDescent="0.3">
      <c r="A59">
        <f t="shared" si="0"/>
        <v>202910</v>
      </c>
    </row>
    <row r="60" spans="1:1" x14ac:dyDescent="0.3">
      <c r="A60">
        <f t="shared" si="0"/>
        <v>202911</v>
      </c>
    </row>
    <row r="61" spans="1:1" x14ac:dyDescent="0.3">
      <c r="A61">
        <f t="shared" si="0"/>
        <v>202912</v>
      </c>
    </row>
    <row r="62" spans="1:1" x14ac:dyDescent="0.3">
      <c r="A62">
        <f t="shared" si="0"/>
        <v>203001</v>
      </c>
    </row>
    <row r="63" spans="1:1" x14ac:dyDescent="0.3">
      <c r="A63">
        <f t="shared" si="0"/>
        <v>203002</v>
      </c>
    </row>
    <row r="64" spans="1:1" x14ac:dyDescent="0.3">
      <c r="A64">
        <f t="shared" si="0"/>
        <v>203003</v>
      </c>
    </row>
    <row r="65" spans="1:1" x14ac:dyDescent="0.3">
      <c r="A65">
        <f t="shared" si="0"/>
        <v>203004</v>
      </c>
    </row>
    <row r="66" spans="1:1" x14ac:dyDescent="0.3">
      <c r="A66">
        <f t="shared" si="0"/>
        <v>203005</v>
      </c>
    </row>
    <row r="67" spans="1:1" x14ac:dyDescent="0.3">
      <c r="A67">
        <f t="shared" si="0"/>
        <v>203006</v>
      </c>
    </row>
    <row r="68" spans="1:1" x14ac:dyDescent="0.3">
      <c r="A68">
        <f t="shared" si="0"/>
        <v>203007</v>
      </c>
    </row>
    <row r="69" spans="1:1" x14ac:dyDescent="0.3">
      <c r="A69">
        <f t="shared" si="0"/>
        <v>203008</v>
      </c>
    </row>
    <row r="70" spans="1:1" x14ac:dyDescent="0.3">
      <c r="A70">
        <f t="shared" si="0"/>
        <v>203009</v>
      </c>
    </row>
    <row r="71" spans="1:1" x14ac:dyDescent="0.3">
      <c r="A71">
        <f t="shared" si="0"/>
        <v>203010</v>
      </c>
    </row>
    <row r="72" spans="1:1" x14ac:dyDescent="0.3">
      <c r="A72">
        <f t="shared" si="0"/>
        <v>203011</v>
      </c>
    </row>
    <row r="73" spans="1:1" x14ac:dyDescent="0.3">
      <c r="A73">
        <f t="shared" si="0"/>
        <v>203012</v>
      </c>
    </row>
    <row r="74" spans="1:1" x14ac:dyDescent="0.3">
      <c r="A74">
        <f t="shared" si="0"/>
        <v>203101</v>
      </c>
    </row>
    <row r="75" spans="1:1" x14ac:dyDescent="0.3">
      <c r="A75">
        <f t="shared" si="0"/>
        <v>203102</v>
      </c>
    </row>
    <row r="76" spans="1:1" x14ac:dyDescent="0.3">
      <c r="A76">
        <f t="shared" si="0"/>
        <v>203103</v>
      </c>
    </row>
    <row r="77" spans="1:1" x14ac:dyDescent="0.3">
      <c r="A77">
        <f t="shared" si="0"/>
        <v>203104</v>
      </c>
    </row>
    <row r="78" spans="1:1" x14ac:dyDescent="0.3">
      <c r="A78">
        <f t="shared" si="0"/>
        <v>203105</v>
      </c>
    </row>
    <row r="79" spans="1:1" x14ac:dyDescent="0.3">
      <c r="A79">
        <f t="shared" ref="A79:A85" si="1">+A67+100</f>
        <v>203106</v>
      </c>
    </row>
    <row r="80" spans="1:1" x14ac:dyDescent="0.3">
      <c r="A80">
        <f t="shared" si="1"/>
        <v>203107</v>
      </c>
    </row>
    <row r="81" spans="1:1" x14ac:dyDescent="0.3">
      <c r="A81">
        <f t="shared" si="1"/>
        <v>203108</v>
      </c>
    </row>
    <row r="82" spans="1:1" x14ac:dyDescent="0.3">
      <c r="A82">
        <f t="shared" si="1"/>
        <v>203109</v>
      </c>
    </row>
    <row r="83" spans="1:1" x14ac:dyDescent="0.3">
      <c r="A83">
        <f t="shared" si="1"/>
        <v>203110</v>
      </c>
    </row>
    <row r="84" spans="1:1" x14ac:dyDescent="0.3">
      <c r="A84">
        <f t="shared" si="1"/>
        <v>203111</v>
      </c>
    </row>
    <row r="85" spans="1:1" x14ac:dyDescent="0.3">
      <c r="A85">
        <f t="shared" si="1"/>
        <v>203112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A961C-6DD9-4C11-9958-F357E08324CD}">
  <sheetPr>
    <tabColor theme="1"/>
  </sheetPr>
  <dimension ref="A1:K8"/>
  <sheetViews>
    <sheetView workbookViewId="0">
      <selection activeCell="F15" sqref="F15"/>
    </sheetView>
  </sheetViews>
  <sheetFormatPr baseColWidth="10" defaultColWidth="11.44140625" defaultRowHeight="14.4" x14ac:dyDescent="0.3"/>
  <cols>
    <col min="1" max="1" width="10.6640625" bestFit="1" customWidth="1"/>
    <col min="2" max="2" width="18.44140625" customWidth="1"/>
    <col min="3" max="3" width="8.33203125" bestFit="1" customWidth="1"/>
    <col min="4" max="4" width="6" bestFit="1" customWidth="1"/>
    <col min="5" max="5" width="7" bestFit="1" customWidth="1"/>
    <col min="6" max="7" width="10.33203125" bestFit="1" customWidth="1"/>
    <col min="11" max="11" width="85.33203125" customWidth="1"/>
  </cols>
  <sheetData>
    <row r="1" spans="1:11" x14ac:dyDescent="0.3">
      <c r="A1" s="98" t="s">
        <v>239</v>
      </c>
      <c r="B1" s="98" t="s">
        <v>243</v>
      </c>
      <c r="C1" s="99" t="s">
        <v>244</v>
      </c>
      <c r="D1" s="99" t="s">
        <v>245</v>
      </c>
      <c r="E1" s="99" t="s">
        <v>246</v>
      </c>
      <c r="F1" s="98" t="s">
        <v>247</v>
      </c>
      <c r="G1" s="98" t="s">
        <v>248</v>
      </c>
      <c r="H1" s="98" t="s">
        <v>249</v>
      </c>
      <c r="I1" s="98" t="s">
        <v>250</v>
      </c>
      <c r="J1" s="98" t="s">
        <v>251</v>
      </c>
      <c r="K1" s="98" t="s">
        <v>493</v>
      </c>
    </row>
    <row r="2" spans="1:11" x14ac:dyDescent="0.3">
      <c r="A2" s="67">
        <v>202501</v>
      </c>
      <c r="B2" s="67" t="s">
        <v>160</v>
      </c>
      <c r="C2" s="83">
        <f>MAX(+input_tributos[[#This Row],[net]]+input_tributos[[#This Row],[tax]],input_tributos[[#This Row],[net]])</f>
        <v>24.58</v>
      </c>
      <c r="D2" s="83">
        <f>input_tributos[[#This Row],[net]]*(MAX(input_tributos[[#This Row],[tax_rate]],0)/100)</f>
        <v>0</v>
      </c>
      <c r="E2" s="83">
        <v>24.58</v>
      </c>
      <c r="F2" s="67" t="str">
        <f t="shared" ref="F2:F3" si="0">_xlfn.TEXTBEFORE(B2," - ")</f>
        <v>tributos</v>
      </c>
      <c r="G2" s="67">
        <v>0</v>
      </c>
      <c r="H2" s="67" t="str">
        <f>VLOOKUP(input_tributos[[#This Row],[concept/supplier]],'sel-tributos'!D:E,2,0)</f>
        <v>Amortización inmovilizado</v>
      </c>
      <c r="I2" s="67" t="str">
        <f>VLOOKUP(input_tributos[[#This Row],[concept/supplier]],'sel-tributos'!D:F,3,0)</f>
        <v>SL</v>
      </c>
      <c r="J2" s="67" t="str">
        <f>IF(input_tributos[[#This Row],[entity]]="SL","EUR",IF(input_tributos[[#This Row],[entity]]="Ltd","GBP",IF(input_tributos[[#This Row],[entity]]="Inc","USD","XXX")))</f>
        <v>EUR</v>
      </c>
    </row>
    <row r="3" spans="1:11" x14ac:dyDescent="0.3">
      <c r="A3" s="100">
        <v>202501</v>
      </c>
      <c r="B3" s="67" t="s">
        <v>164</v>
      </c>
      <c r="C3" s="83">
        <f>MAX(+input_tributos[[#This Row],[net]]+input_tributos[[#This Row],[tax]],input_tributos[[#This Row],[net]])</f>
        <v>16.940000000000001</v>
      </c>
      <c r="D3" s="101">
        <f>input_tributos[[#This Row],[net]]*(MAX(input_tributos[[#This Row],[tax_rate]],0)/100)</f>
        <v>0</v>
      </c>
      <c r="E3" s="101">
        <v>16.940000000000001</v>
      </c>
      <c r="F3" s="100" t="str">
        <f t="shared" si="0"/>
        <v>tributos</v>
      </c>
      <c r="G3" s="100">
        <v>0</v>
      </c>
      <c r="H3" s="67" t="str">
        <f>VLOOKUP(input_tributos[[#This Row],[concept/supplier]],'sel-tributos'!D:E,2,0)</f>
        <v>Comisiones bancarias</v>
      </c>
      <c r="I3" s="100" t="str">
        <f>VLOOKUP(input_tributos[[#This Row],[concept/supplier]],'sel-tributos'!D:F,3,0)</f>
        <v>SL</v>
      </c>
      <c r="J3" s="100" t="str">
        <f>IF(input_tributos[[#This Row],[entity]]="SL","EUR",IF(input_tributos[[#This Row],[entity]]="Ltd","GBP",IF(input_tributos[[#This Row],[entity]]="Inc","USD","XXX")))</f>
        <v>EUR</v>
      </c>
    </row>
    <row r="4" spans="1:11" x14ac:dyDescent="0.3">
      <c r="A4">
        <v>202501</v>
      </c>
      <c r="B4" t="s">
        <v>166</v>
      </c>
      <c r="C4">
        <f>MAX(+input_tributos[[#This Row],[net]]+input_tributos[[#This Row],[tax]],input_tributos[[#This Row],[net]])</f>
        <v>19.75</v>
      </c>
      <c r="D4" s="47">
        <f>input_tributos[[#This Row],[net]]*(MAX(input_tributos[[#This Row],[tax_rate]],0)/100)</f>
        <v>0</v>
      </c>
      <c r="E4">
        <v>19.75</v>
      </c>
      <c r="F4" t="str">
        <f>_xlfn.TEXTBEFORE(B4," - ")</f>
        <v>tributos</v>
      </c>
      <c r="G4">
        <v>0</v>
      </c>
      <c r="H4" t="str">
        <f>VLOOKUP(input_tributos[[#This Row],[concept/supplier]],'sel-tributos'!D:E,2,0)</f>
        <v>Seguros</v>
      </c>
      <c r="I4" t="str">
        <f>VLOOKUP(input_tributos[[#This Row],[concept/supplier]],'sel-tributos'!D:F,3,0)</f>
        <v>SL</v>
      </c>
      <c r="J4" t="str">
        <f>IF(input_tributos[[#This Row],[entity]]="SL","EUR",IF(input_tributos[[#This Row],[entity]]="Ltd","GBP",IF(input_tributos[[#This Row],[entity]]="Inc","USD","XXX")))</f>
        <v>EUR</v>
      </c>
      <c r="K4" t="s">
        <v>494</v>
      </c>
    </row>
    <row r="5" spans="1:11" x14ac:dyDescent="0.3">
      <c r="A5">
        <v>202502</v>
      </c>
      <c r="B5" t="s">
        <v>160</v>
      </c>
      <c r="C5">
        <f>MAX(+input_tributos[[#This Row],[net]]+input_tributos[[#This Row],[tax]],input_tributos[[#This Row],[net]])</f>
        <v>34.33</v>
      </c>
      <c r="D5" s="47">
        <f>input_tributos[[#This Row],[net]]*(MAX(input_tributos[[#This Row],[tax_rate]],0)/100)</f>
        <v>0</v>
      </c>
      <c r="E5">
        <v>34.33</v>
      </c>
      <c r="F5" t="str">
        <f>_xlfn.TEXTBEFORE(B5," - ")</f>
        <v>tributos</v>
      </c>
      <c r="G5">
        <v>0</v>
      </c>
      <c r="H5" t="str">
        <f>VLOOKUP(input_tributos[[#This Row],[concept/supplier]],'sel-tributos'!D:E,2,0)</f>
        <v>Amortización inmovilizado</v>
      </c>
      <c r="I5" t="str">
        <f>VLOOKUP(input_tributos[[#This Row],[concept/supplier]],'sel-tributos'!D:F,3,0)</f>
        <v>SL</v>
      </c>
      <c r="J5" t="str">
        <f>IF(input_tributos[[#This Row],[entity]]="SL","EUR",IF(input_tributos[[#This Row],[entity]]="Ltd","GBP",IF(input_tributos[[#This Row],[entity]]="Inc","USD","XXX")))</f>
        <v>EUR</v>
      </c>
    </row>
    <row r="6" spans="1:11" x14ac:dyDescent="0.3">
      <c r="A6">
        <v>202502</v>
      </c>
      <c r="B6" t="s">
        <v>164</v>
      </c>
      <c r="C6">
        <f>MAX(+input_tributos[[#This Row],[net]]+input_tributos[[#This Row],[tax]],input_tributos[[#This Row],[net]])</f>
        <v>153.99</v>
      </c>
      <c r="D6" s="47">
        <f>input_tributos[[#This Row],[net]]*(MAX(input_tributos[[#This Row],[tax_rate]],0)/100)</f>
        <v>0</v>
      </c>
      <c r="E6">
        <v>153.99</v>
      </c>
      <c r="F6" t="str">
        <f>_xlfn.TEXTBEFORE(B6," - ")</f>
        <v>tributos</v>
      </c>
      <c r="G6">
        <v>0</v>
      </c>
      <c r="H6" t="str">
        <f>VLOOKUP(input_tributos[[#This Row],[concept/supplier]],'sel-tributos'!D:E,2,0)</f>
        <v>Comisiones bancarias</v>
      </c>
      <c r="I6" t="str">
        <f>VLOOKUP(input_tributos[[#This Row],[concept/supplier]],'sel-tributos'!D:F,3,0)</f>
        <v>SL</v>
      </c>
      <c r="J6" t="str">
        <f>IF(input_tributos[[#This Row],[entity]]="SL","EUR",IF(input_tributos[[#This Row],[entity]]="Ltd","GBP",IF(input_tributos[[#This Row],[entity]]="Inc","USD","XXX")))</f>
        <v>EUR</v>
      </c>
    </row>
    <row r="7" spans="1:11" x14ac:dyDescent="0.3">
      <c r="A7">
        <v>202502</v>
      </c>
      <c r="B7" t="s">
        <v>168</v>
      </c>
      <c r="C7">
        <f>MAX(+input_tributos[[#This Row],[net]]+input_tributos[[#This Row],[tax]],input_tributos[[#This Row],[net]])</f>
        <v>-429.18</v>
      </c>
      <c r="D7" s="47">
        <f>input_tributos[[#This Row],[net]]*(MAX(input_tributos[[#This Row],[tax_rate]],0)/100)</f>
        <v>0</v>
      </c>
      <c r="E7">
        <v>-429.18</v>
      </c>
      <c r="F7" t="str">
        <f>_xlfn.TEXTBEFORE(B7," - ")</f>
        <v>tributos</v>
      </c>
      <c r="G7">
        <v>0</v>
      </c>
      <c r="H7" t="str">
        <f>VLOOKUP(input_tributos[[#This Row],[concept/supplier]],'sel-tributos'!D:E,2,0)</f>
        <v>Otros gastos de gestión</v>
      </c>
      <c r="I7" t="str">
        <f>VLOOKUP(input_tributos[[#This Row],[concept/supplier]],'sel-tributos'!D:F,3,0)</f>
        <v>SL</v>
      </c>
      <c r="J7" t="str">
        <f>IF(input_tributos[[#This Row],[entity]]="SL","EUR",IF(input_tributos[[#This Row],[entity]]="Ltd","GBP",IF(input_tributos[[#This Row],[entity]]="Inc","USD","XXX")))</f>
        <v>EUR</v>
      </c>
    </row>
    <row r="8" spans="1:11" x14ac:dyDescent="0.3">
      <c r="A8">
        <v>202512</v>
      </c>
      <c r="B8" t="s">
        <v>168</v>
      </c>
      <c r="C8">
        <f>MAX(+input_tributos[[#This Row],[net]]+input_tributos[[#This Row],[tax]],input_tributos[[#This Row],[net]])</f>
        <v>407.96</v>
      </c>
      <c r="D8" s="47">
        <f>input_tributos[[#This Row],[net]]*(MAX(input_tributos[[#This Row],[tax_rate]],0)/100)</f>
        <v>0</v>
      </c>
      <c r="E8">
        <v>407.96</v>
      </c>
      <c r="F8" t="str">
        <f>_xlfn.TEXTBEFORE(B8," - ")</f>
        <v>tributos</v>
      </c>
      <c r="H8" t="str">
        <f>VLOOKUP(input_tributos[[#This Row],[concept/supplier]],'sel-tributos'!D:E,2,0)</f>
        <v>Otros gastos de gestión</v>
      </c>
      <c r="I8" t="str">
        <f>VLOOKUP(input_tributos[[#This Row],[concept/supplier]],'sel-tributos'!D:F,3,0)</f>
        <v>SL</v>
      </c>
      <c r="J8" t="str">
        <f>IF(input_tributos[[#This Row],[entity]]="SL","EUR",IF(input_tributos[[#This Row],[entity]]="Ltd","GBP",IF(input_tributos[[#This Row],[entity]]="Inc","USD","XXX")))</f>
        <v>EUR</v>
      </c>
      <c r="K8" s="199" t="s">
        <v>1226</v>
      </c>
    </row>
  </sheetData>
  <dataValidations count="1">
    <dataValidation type="decimal" allowBlank="1" showInputMessage="1" showErrorMessage="1" sqref="E2:E8" xr:uid="{448750A3-81A9-4ABD-B5EC-4B8EEACBAA88}">
      <formula1>-9.99999999999999E+37</formula1>
      <formula2>9.99999999999999E+36</formula2>
    </dataValidation>
  </dataValidations>
  <hyperlinks>
    <hyperlink ref="K8" r:id="rId1" display="../../../../:f:/s/ARTESTA/IgAyinyNqfMXQrJOo1QZz2ECAQ25qAxawlHm2LJIwQhZYuc?e=cAGmcO" xr:uid="{703364CD-3D7B-4C92-BB38-BAA96DC29AC8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lessThan" allowBlank="1" showInputMessage="1" showErrorMessage="1" xr:uid="{A0687EA7-0EA8-412E-969C-9C6235A76247}">
          <x14:formula1>
            <xm:f>'sel-yyyymm'!$A$2:$A$85</xm:f>
          </x14:formula1>
          <xm:sqref>A2:A8</xm:sqref>
        </x14:dataValidation>
        <x14:dataValidation type="list" allowBlank="1" showInputMessage="1" showErrorMessage="1" xr:uid="{459AF8D7-B790-4924-B1C6-790908E73FF9}">
          <x14:formula1>
            <xm:f>'sel-tributos'!$D$2:$D$1048576</xm:f>
          </x14:formula1>
          <xm:sqref>B2:B8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7A18-963C-4F84-94C1-78C584384002}">
  <sheetPr>
    <tabColor theme="1"/>
  </sheetPr>
  <dimension ref="A1:O7"/>
  <sheetViews>
    <sheetView topLeftCell="A2" workbookViewId="0">
      <selection activeCell="N5" sqref="N5"/>
    </sheetView>
  </sheetViews>
  <sheetFormatPr baseColWidth="10" defaultColWidth="10.6640625" defaultRowHeight="14.4" x14ac:dyDescent="0.3"/>
  <sheetData>
    <row r="1" spans="1:15" s="22" customFormat="1" hidden="1" x14ac:dyDescent="0.3">
      <c r="B1" s="256">
        <v>202501</v>
      </c>
      <c r="C1" s="256">
        <v>202502</v>
      </c>
      <c r="D1" s="256">
        <v>202503</v>
      </c>
      <c r="E1" s="256">
        <v>202504</v>
      </c>
      <c r="F1" s="256">
        <v>202505</v>
      </c>
      <c r="G1" s="256">
        <v>202506</v>
      </c>
      <c r="H1" s="256">
        <v>202507</v>
      </c>
      <c r="I1" s="256">
        <v>202508</v>
      </c>
      <c r="J1" s="256">
        <v>202509</v>
      </c>
      <c r="K1" s="256">
        <v>202510</v>
      </c>
      <c r="L1" s="256">
        <v>202511</v>
      </c>
      <c r="M1" s="256">
        <v>202512</v>
      </c>
    </row>
    <row r="2" spans="1:15" s="22" customFormat="1" x14ac:dyDescent="0.3">
      <c r="B2" s="256">
        <v>202501</v>
      </c>
      <c r="C2" s="256">
        <v>202502</v>
      </c>
      <c r="D2" s="256">
        <v>202503</v>
      </c>
      <c r="E2" s="256">
        <v>202504</v>
      </c>
      <c r="F2" s="256">
        <v>202505</v>
      </c>
      <c r="G2" s="256">
        <v>202506</v>
      </c>
      <c r="H2" s="256">
        <v>202507</v>
      </c>
      <c r="I2" s="256">
        <v>202508</v>
      </c>
      <c r="J2" s="256">
        <v>202509</v>
      </c>
      <c r="K2" s="256">
        <v>202510</v>
      </c>
      <c r="L2" s="256">
        <v>202511</v>
      </c>
      <c r="M2" s="256">
        <v>202512</v>
      </c>
      <c r="N2" s="22">
        <v>202601</v>
      </c>
      <c r="O2" s="22">
        <v>202602</v>
      </c>
    </row>
    <row r="3" spans="1:15" x14ac:dyDescent="0.3">
      <c r="B3" s="288">
        <v>45658</v>
      </c>
      <c r="C3" s="288">
        <v>45689</v>
      </c>
      <c r="D3" s="288">
        <v>45717</v>
      </c>
      <c r="E3" s="288">
        <v>45748</v>
      </c>
      <c r="F3" s="288">
        <v>45778</v>
      </c>
      <c r="G3" s="288">
        <v>45809</v>
      </c>
      <c r="H3" s="288">
        <v>45839</v>
      </c>
      <c r="I3" s="288">
        <v>45870</v>
      </c>
      <c r="J3" s="288">
        <v>45901</v>
      </c>
      <c r="K3" s="288">
        <v>45931</v>
      </c>
      <c r="L3" s="288">
        <v>45962</v>
      </c>
      <c r="M3" s="288">
        <v>45992</v>
      </c>
      <c r="N3" s="288">
        <v>46023</v>
      </c>
      <c r="O3" s="288">
        <v>46054</v>
      </c>
    </row>
    <row r="4" spans="1:15" x14ac:dyDescent="0.3">
      <c r="A4" s="11" t="s">
        <v>496</v>
      </c>
      <c r="B4" s="255">
        <v>0.86</v>
      </c>
      <c r="C4" s="255">
        <v>0.85</v>
      </c>
      <c r="D4" s="255">
        <v>0.85499999999999998</v>
      </c>
      <c r="E4" s="255">
        <v>0.86</v>
      </c>
      <c r="F4" s="255">
        <v>0.85</v>
      </c>
      <c r="G4" s="255">
        <v>0.85</v>
      </c>
      <c r="H4" s="255">
        <v>0.85</v>
      </c>
      <c r="I4" s="255">
        <v>0.85</v>
      </c>
      <c r="J4" s="255">
        <v>0.85</v>
      </c>
      <c r="K4" s="255">
        <v>0.85</v>
      </c>
      <c r="L4" s="255">
        <v>0.85</v>
      </c>
      <c r="M4" s="255">
        <v>0.85</v>
      </c>
    </row>
    <row r="5" spans="1:15" ht="28.8" x14ac:dyDescent="0.3">
      <c r="A5" s="254" t="s">
        <v>499</v>
      </c>
      <c r="B5" s="255">
        <f t="shared" ref="B5:M5" si="0">1/B4</f>
        <v>1.1627906976744187</v>
      </c>
      <c r="C5" s="255">
        <f t="shared" si="0"/>
        <v>1.1764705882352942</v>
      </c>
      <c r="D5" s="255">
        <f t="shared" si="0"/>
        <v>1.1695906432748537</v>
      </c>
      <c r="E5" s="255">
        <f t="shared" si="0"/>
        <v>1.1627906976744187</v>
      </c>
      <c r="F5" s="255">
        <f t="shared" si="0"/>
        <v>1.1764705882352942</v>
      </c>
      <c r="G5" s="255">
        <f t="shared" si="0"/>
        <v>1.1764705882352942</v>
      </c>
      <c r="H5" s="255">
        <f t="shared" si="0"/>
        <v>1.1764705882352942</v>
      </c>
      <c r="I5" s="255">
        <f t="shared" si="0"/>
        <v>1.1764705882352942</v>
      </c>
      <c r="J5" s="255">
        <f t="shared" si="0"/>
        <v>1.1764705882352942</v>
      </c>
      <c r="K5" s="255">
        <f t="shared" si="0"/>
        <v>1.1764705882352942</v>
      </c>
      <c r="L5" s="255">
        <f t="shared" si="0"/>
        <v>1.1764705882352942</v>
      </c>
      <c r="M5" s="255">
        <f t="shared" si="0"/>
        <v>1.1764705882352942</v>
      </c>
      <c r="N5" s="289" t="s">
        <v>1414</v>
      </c>
    </row>
    <row r="6" spans="1:15" x14ac:dyDescent="0.3">
      <c r="A6" s="254" t="s">
        <v>498</v>
      </c>
      <c r="B6" s="255">
        <f t="shared" ref="B6:M6" si="1">1/B7</f>
        <v>1.0309278350515465</v>
      </c>
      <c r="C6" s="255">
        <f t="shared" si="1"/>
        <v>1.0416666666666667</v>
      </c>
      <c r="D6" s="255">
        <f t="shared" si="1"/>
        <v>1.0869565217391304</v>
      </c>
      <c r="E6" s="255">
        <f t="shared" si="1"/>
        <v>1.1363636363636365</v>
      </c>
      <c r="F6" s="255">
        <f t="shared" si="1"/>
        <v>1.1235955056179776</v>
      </c>
      <c r="G6" s="255">
        <f t="shared" si="1"/>
        <v>1.1494252873563218</v>
      </c>
      <c r="H6" s="255">
        <f t="shared" si="1"/>
        <v>1.1764705882352942</v>
      </c>
      <c r="I6" s="255">
        <f t="shared" si="1"/>
        <v>1.1627906976744187</v>
      </c>
      <c r="J6" s="255">
        <f t="shared" si="1"/>
        <v>1.1764705882352942</v>
      </c>
      <c r="K6" s="255">
        <f t="shared" si="1"/>
        <v>1.1764705882352942</v>
      </c>
      <c r="L6" s="255">
        <f t="shared" si="1"/>
        <v>1.1764705882352942</v>
      </c>
      <c r="M6" s="255">
        <f t="shared" si="1"/>
        <v>1.1764705882352942</v>
      </c>
    </row>
    <row r="7" spans="1:15" x14ac:dyDescent="0.3">
      <c r="A7" s="11" t="s">
        <v>497</v>
      </c>
      <c r="B7" s="255">
        <v>0.97</v>
      </c>
      <c r="C7" s="255">
        <v>0.96</v>
      </c>
      <c r="D7" s="255">
        <v>0.92</v>
      </c>
      <c r="E7" s="255">
        <v>0.88</v>
      </c>
      <c r="F7" s="255">
        <v>0.89</v>
      </c>
      <c r="G7" s="255">
        <v>0.87</v>
      </c>
      <c r="H7" s="255">
        <v>0.85</v>
      </c>
      <c r="I7" s="255">
        <v>0.86</v>
      </c>
      <c r="J7" s="255">
        <v>0.85</v>
      </c>
      <c r="K7" s="255">
        <v>0.85</v>
      </c>
      <c r="L7" s="255">
        <v>0.85</v>
      </c>
      <c r="M7" s="255">
        <v>0.85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11A88-EF73-454F-AFBD-77D9C2B7850B}">
  <sheetPr filterMode="1">
    <tabColor theme="1"/>
  </sheetPr>
  <dimension ref="A1:K13"/>
  <sheetViews>
    <sheetView workbookViewId="0">
      <selection activeCell="I9" sqref="I9:I10"/>
    </sheetView>
  </sheetViews>
  <sheetFormatPr baseColWidth="10" defaultColWidth="11.44140625" defaultRowHeight="14.4" x14ac:dyDescent="0.3"/>
  <cols>
    <col min="2" max="2" width="18.6640625" bestFit="1" customWidth="1"/>
    <col min="11" max="11" width="99.44140625" customWidth="1"/>
  </cols>
  <sheetData>
    <row r="1" spans="1:11" x14ac:dyDescent="0.3">
      <c r="A1" t="s">
        <v>482</v>
      </c>
      <c r="B1" t="s">
        <v>483</v>
      </c>
      <c r="C1" t="s">
        <v>484</v>
      </c>
      <c r="D1" t="s">
        <v>485</v>
      </c>
      <c r="E1" t="s">
        <v>486</v>
      </c>
      <c r="F1" t="s">
        <v>487</v>
      </c>
      <c r="G1" t="s">
        <v>245</v>
      </c>
      <c r="H1" t="s">
        <v>244</v>
      </c>
      <c r="I1" t="s">
        <v>246</v>
      </c>
      <c r="J1" t="s">
        <v>491</v>
      </c>
      <c r="K1" t="s">
        <v>1033</v>
      </c>
    </row>
    <row r="2" spans="1:11" hidden="1" x14ac:dyDescent="0.3">
      <c r="A2">
        <v>202501</v>
      </c>
      <c r="B2" t="s">
        <v>20</v>
      </c>
      <c r="G2">
        <v>0</v>
      </c>
      <c r="H2">
        <v>19636.93</v>
      </c>
      <c r="I2" s="23">
        <f t="shared" ref="I2:I7" si="0">+H2-G2</f>
        <v>19636.93</v>
      </c>
      <c r="J2" t="s">
        <v>492</v>
      </c>
    </row>
    <row r="3" spans="1:11" hidden="1" x14ac:dyDescent="0.3">
      <c r="A3">
        <v>202503</v>
      </c>
      <c r="B3" t="s">
        <v>20</v>
      </c>
      <c r="G3">
        <v>0</v>
      </c>
      <c r="H3">
        <v>2781.65</v>
      </c>
      <c r="I3" s="23">
        <f t="shared" si="0"/>
        <v>2781.65</v>
      </c>
      <c r="J3" t="s">
        <v>492</v>
      </c>
    </row>
    <row r="4" spans="1:11" hidden="1" x14ac:dyDescent="0.3">
      <c r="A4">
        <v>202505</v>
      </c>
      <c r="B4" t="s">
        <v>20</v>
      </c>
      <c r="G4">
        <v>0</v>
      </c>
      <c r="H4">
        <v>20847.7</v>
      </c>
      <c r="I4" s="23">
        <f t="shared" si="0"/>
        <v>20847.7</v>
      </c>
      <c r="J4" t="s">
        <v>492</v>
      </c>
    </row>
    <row r="5" spans="1:11" hidden="1" x14ac:dyDescent="0.3">
      <c r="A5">
        <v>202506</v>
      </c>
      <c r="B5" t="s">
        <v>20</v>
      </c>
      <c r="G5">
        <v>0</v>
      </c>
      <c r="H5">
        <v>-7404.13</v>
      </c>
      <c r="I5" s="23">
        <f t="shared" si="0"/>
        <v>-7404.13</v>
      </c>
      <c r="J5" t="s">
        <v>492</v>
      </c>
    </row>
    <row r="6" spans="1:11" hidden="1" x14ac:dyDescent="0.3">
      <c r="A6">
        <v>202510</v>
      </c>
      <c r="B6" t="s">
        <v>20</v>
      </c>
      <c r="G6">
        <v>0</v>
      </c>
      <c r="H6">
        <v>11600.02</v>
      </c>
      <c r="I6" s="23">
        <f t="shared" si="0"/>
        <v>11600.02</v>
      </c>
      <c r="J6" t="s">
        <v>492</v>
      </c>
      <c r="K6" s="199" t="s">
        <v>1035</v>
      </c>
    </row>
    <row r="7" spans="1:11" hidden="1" x14ac:dyDescent="0.3">
      <c r="A7">
        <v>202510</v>
      </c>
      <c r="B7" t="s">
        <v>20</v>
      </c>
      <c r="G7">
        <v>0</v>
      </c>
      <c r="H7">
        <v>2128.63</v>
      </c>
      <c r="I7" s="23">
        <f t="shared" si="0"/>
        <v>2128.63</v>
      </c>
      <c r="J7" t="s">
        <v>1001</v>
      </c>
      <c r="K7" s="199" t="s">
        <v>1034</v>
      </c>
    </row>
    <row r="8" spans="1:11" hidden="1" x14ac:dyDescent="0.3">
      <c r="A8">
        <v>202507</v>
      </c>
      <c r="B8" t="s">
        <v>20</v>
      </c>
      <c r="G8">
        <v>224.8</v>
      </c>
      <c r="H8">
        <v>1348.81</v>
      </c>
      <c r="I8" s="23">
        <f>+H8-G8</f>
        <v>1124.01</v>
      </c>
      <c r="J8" t="s">
        <v>1001</v>
      </c>
    </row>
    <row r="9" spans="1:11" x14ac:dyDescent="0.3">
      <c r="A9">
        <v>202512</v>
      </c>
      <c r="B9" t="s">
        <v>22</v>
      </c>
      <c r="G9" s="55">
        <f>+H9-(H9/1.22)</f>
        <v>-5.9345901639344234</v>
      </c>
      <c r="H9">
        <v>-32.909999999999997</v>
      </c>
      <c r="I9" s="55">
        <f>+H9-G9</f>
        <v>-26.975409836065573</v>
      </c>
      <c r="J9" t="s">
        <v>1171</v>
      </c>
    </row>
    <row r="10" spans="1:11" x14ac:dyDescent="0.3">
      <c r="A10">
        <v>202512</v>
      </c>
      <c r="B10" t="s">
        <v>8</v>
      </c>
      <c r="G10" s="55">
        <f>+H10-(H10/1.21)</f>
        <v>-14.878760330578515</v>
      </c>
      <c r="H10">
        <f>-26.51-59.22</f>
        <v>-85.73</v>
      </c>
      <c r="I10" s="55">
        <f>+H10-G10</f>
        <v>-70.851239669421489</v>
      </c>
      <c r="J10" t="s">
        <v>1172</v>
      </c>
    </row>
    <row r="11" spans="1:11" hidden="1" x14ac:dyDescent="0.3">
      <c r="A11">
        <v>202512</v>
      </c>
      <c r="B11" t="s">
        <v>20</v>
      </c>
      <c r="I11">
        <v>14347.16</v>
      </c>
      <c r="J11" t="s">
        <v>492</v>
      </c>
      <c r="K11" s="199" t="s">
        <v>1175</v>
      </c>
    </row>
    <row r="12" spans="1:11" x14ac:dyDescent="0.3">
      <c r="A12">
        <v>202512</v>
      </c>
      <c r="B12" t="s">
        <v>8</v>
      </c>
      <c r="G12">
        <v>626.33000000000004</v>
      </c>
      <c r="H12">
        <v>3608.85</v>
      </c>
      <c r="I12">
        <v>2982.52</v>
      </c>
      <c r="J12" t="s">
        <v>1176</v>
      </c>
      <c r="K12" s="199" t="s">
        <v>1177</v>
      </c>
    </row>
    <row r="13" spans="1:11" x14ac:dyDescent="0.3">
      <c r="A13">
        <v>202601</v>
      </c>
      <c r="B13" t="s">
        <v>8</v>
      </c>
      <c r="G13">
        <v>-234.98</v>
      </c>
      <c r="H13">
        <v>-1353.93</v>
      </c>
      <c r="I13">
        <v>-1118.95</v>
      </c>
      <c r="J13" t="s">
        <v>1210</v>
      </c>
      <c r="K13" s="199" t="s">
        <v>1211</v>
      </c>
    </row>
  </sheetData>
  <autoFilter ref="A1:K13" xr:uid="{93E11A88-EF73-454F-AFBD-77D9C2B7850B}">
    <filterColumn colId="9">
      <filters>
        <filter val="disputa paypal AS-92009"/>
        <filter val="disputa paypal AS-92149, AS-93737"/>
        <filter val="livitum"/>
        <filter val="pressing"/>
      </filters>
    </filterColumn>
  </autoFilter>
  <hyperlinks>
    <hyperlink ref="K7" r:id="rId1" display="../../../../:b:/s/ARTESTA/EeLagySYHVZAiipIW0R9UXwBENTZ3W-nfeB_BNKy_KX1KQ?e=FW5ViJ" xr:uid="{EADFC57D-F566-4A4E-9E6E-4C0C48D347D9}"/>
    <hyperlink ref="K6" r:id="rId2" display="../../../../:b:/s/ARTESTA/EXZLEJt7MWhBtKi-L13LaIMBd_UjCG_91gUCNHl3rjlHGg?e=PlrvpA" xr:uid="{DDBE1834-C62E-472C-8ABE-EC36043514E8}"/>
    <hyperlink ref="K11" r:id="rId3" display="../../../../:b:/s/ARTESTA/IQBl8nl0OS8ERbVHnIgAV7yMAfuC0st5C-vuZn3yh58FiFw?e=Khb3r9" xr:uid="{BFFD6BD7-75F8-4AA7-B400-25DE14F3E661}"/>
    <hyperlink ref="K12" r:id="rId4" display="../../../../:b:/s/ARTESTA/IQB5-3Jww4iIQ4iEqC80ZqSXAer1bCgmx_IBkpdRKEzBHEk?e=pJzKDB" xr:uid="{F9E3EF35-ED04-4E84-A068-AE47A7735450}"/>
    <hyperlink ref="K13" r:id="rId5" display="../../../../:b:/s/ARTESTA/IQA8QRL9WKMhTog6JY24mE9qAahCb0vEINbZXDiw9FSauk8?e=dpXqwZ" xr:uid="{8872E236-94BD-4492-81ED-ED6337D5072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76CF-F1AF-4710-980A-69819CF93B98}">
  <sheetPr>
    <tabColor theme="8" tint="0.79998168889431442"/>
  </sheetPr>
  <dimension ref="A1:C11"/>
  <sheetViews>
    <sheetView workbookViewId="0">
      <selection activeCell="B6" sqref="B1:B6"/>
    </sheetView>
  </sheetViews>
  <sheetFormatPr baseColWidth="10" defaultRowHeight="14.4" x14ac:dyDescent="0.3"/>
  <cols>
    <col min="2" max="2" width="60.6640625" customWidth="1"/>
    <col min="3" max="3" width="37.6640625" customWidth="1"/>
  </cols>
  <sheetData>
    <row r="1" spans="1:3" x14ac:dyDescent="0.3">
      <c r="A1">
        <v>1</v>
      </c>
      <c r="B1" t="s">
        <v>1299</v>
      </c>
      <c r="C1" t="s">
        <v>1301</v>
      </c>
    </row>
    <row r="2" spans="1:3" x14ac:dyDescent="0.3">
      <c r="A2">
        <v>2</v>
      </c>
      <c r="B2" t="s">
        <v>1298</v>
      </c>
    </row>
    <row r="3" spans="1:3" x14ac:dyDescent="0.3">
      <c r="A3">
        <v>3</v>
      </c>
      <c r="B3" t="s">
        <v>1300</v>
      </c>
    </row>
    <row r="4" spans="1:3" x14ac:dyDescent="0.3">
      <c r="A4">
        <v>4</v>
      </c>
      <c r="B4" t="s">
        <v>1332</v>
      </c>
    </row>
    <row r="5" spans="1:3" x14ac:dyDescent="0.3">
      <c r="A5">
        <v>5</v>
      </c>
      <c r="B5" t="s">
        <v>1333</v>
      </c>
    </row>
    <row r="6" spans="1:3" x14ac:dyDescent="0.3">
      <c r="A6">
        <v>6</v>
      </c>
      <c r="B6" t="s">
        <v>1334</v>
      </c>
    </row>
    <row r="7" spans="1:3" x14ac:dyDescent="0.3">
      <c r="A7">
        <v>7</v>
      </c>
    </row>
    <row r="8" spans="1:3" x14ac:dyDescent="0.3">
      <c r="A8">
        <v>8</v>
      </c>
    </row>
    <row r="9" spans="1:3" x14ac:dyDescent="0.3">
      <c r="A9">
        <v>9</v>
      </c>
    </row>
    <row r="10" spans="1:3" x14ac:dyDescent="0.3">
      <c r="A10">
        <v>10</v>
      </c>
    </row>
    <row r="11" spans="1:3" x14ac:dyDescent="0.3">
      <c r="A11">
        <v>11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2E21-1FC0-4DB2-BD3A-E779FE238C7A}">
  <dimension ref="A1:X28"/>
  <sheetViews>
    <sheetView workbookViewId="0">
      <selection activeCell="O20" sqref="O20:V20"/>
    </sheetView>
  </sheetViews>
  <sheetFormatPr baseColWidth="10" defaultColWidth="10.6640625" defaultRowHeight="14.4" x14ac:dyDescent="0.3"/>
  <sheetData>
    <row r="1" spans="1:24" x14ac:dyDescent="0.3">
      <c r="A1" t="str">
        <f>B1&amp;C1&amp;D1&amp;E1&amp;F1&amp;G1</f>
        <v>202509USUSD100</v>
      </c>
      <c r="B1" s="76">
        <v>202509</v>
      </c>
      <c r="C1" s="66" t="s">
        <v>34</v>
      </c>
      <c r="D1" s="66" t="s">
        <v>490</v>
      </c>
      <c r="E1" s="66">
        <v>1</v>
      </c>
      <c r="F1" s="66">
        <v>0</v>
      </c>
      <c r="G1" s="66">
        <v>0</v>
      </c>
      <c r="H1" s="66">
        <v>-6</v>
      </c>
      <c r="I1" s="66">
        <v>34.42</v>
      </c>
      <c r="J1" s="80">
        <v>28.42</v>
      </c>
      <c r="K1">
        <f>VLOOKUP(A1,M:V,10,0)</f>
        <v>28.42</v>
      </c>
      <c r="L1">
        <f>-J1+K1</f>
        <v>0</v>
      </c>
      <c r="M1" t="str">
        <f>N1&amp;O1&amp;P1&amp;Q1&amp;R1&amp;S1</f>
        <v>202509ATEUR000</v>
      </c>
      <c r="N1" s="76">
        <v>202509</v>
      </c>
      <c r="O1" s="66" t="s">
        <v>24</v>
      </c>
      <c r="P1" s="66" t="s">
        <v>488</v>
      </c>
      <c r="Q1" s="66">
        <v>0</v>
      </c>
      <c r="R1" s="66">
        <v>0</v>
      </c>
      <c r="S1" s="66">
        <v>0</v>
      </c>
      <c r="T1" s="66">
        <v>944.63</v>
      </c>
      <c r="U1" s="66">
        <v>5662.42</v>
      </c>
      <c r="V1" s="80">
        <v>4696.9799999999996</v>
      </c>
      <c r="W1">
        <f>VLOOKUP(M1,A:J,10,0)</f>
        <v>4696.9799999999996</v>
      </c>
      <c r="X1">
        <f>+V1-W1</f>
        <v>0</v>
      </c>
    </row>
    <row r="2" spans="1:24" x14ac:dyDescent="0.3">
      <c r="A2" t="str">
        <f t="shared" ref="A2:A27" si="0">B2&amp;C2&amp;D2&amp;E2&amp;F2&amp;G2</f>
        <v>202509FREUR010</v>
      </c>
      <c r="B2" s="212">
        <v>202509</v>
      </c>
      <c r="C2" s="67" t="s">
        <v>20</v>
      </c>
      <c r="D2" s="67" t="s">
        <v>488</v>
      </c>
      <c r="E2" s="67">
        <v>0</v>
      </c>
      <c r="F2" s="67">
        <v>1</v>
      </c>
      <c r="G2" s="67">
        <v>0</v>
      </c>
      <c r="H2" s="67">
        <v>0</v>
      </c>
      <c r="I2" s="67">
        <v>53.8</v>
      </c>
      <c r="J2" s="213">
        <v>53.8</v>
      </c>
      <c r="K2">
        <f t="shared" ref="K2:K27" si="1">VLOOKUP(A2,M:V,10,0)</f>
        <v>53.8</v>
      </c>
      <c r="L2">
        <f t="shared" ref="L2:L28" si="2">-J2+K2</f>
        <v>0</v>
      </c>
      <c r="M2" t="str">
        <f t="shared" ref="M2:M27" si="3">N2&amp;O2&amp;P2&amp;Q2&amp;R2&amp;S2</f>
        <v>202509BEEUR000</v>
      </c>
      <c r="N2" s="212">
        <v>202509</v>
      </c>
      <c r="O2" s="67" t="s">
        <v>28</v>
      </c>
      <c r="P2" s="67" t="s">
        <v>488</v>
      </c>
      <c r="Q2" s="67">
        <v>0</v>
      </c>
      <c r="R2" s="67">
        <v>0</v>
      </c>
      <c r="S2" s="67">
        <v>0</v>
      </c>
      <c r="T2" s="67">
        <v>50.77</v>
      </c>
      <c r="U2" s="67">
        <v>292.51</v>
      </c>
      <c r="V2" s="213">
        <v>241.74</v>
      </c>
      <c r="W2">
        <f t="shared" ref="W2:W28" si="4">VLOOKUP(M2,A:J,10,0)</f>
        <v>241.74</v>
      </c>
      <c r="X2">
        <f t="shared" ref="X2:X28" si="5">+V2-W2</f>
        <v>0</v>
      </c>
    </row>
    <row r="3" spans="1:24" x14ac:dyDescent="0.3">
      <c r="A3" t="str">
        <f t="shared" si="0"/>
        <v>202509NLEUR000</v>
      </c>
      <c r="B3" s="76">
        <v>202509</v>
      </c>
      <c r="C3" s="66" t="s">
        <v>26</v>
      </c>
      <c r="D3" s="66" t="s">
        <v>488</v>
      </c>
      <c r="E3" s="66">
        <v>0</v>
      </c>
      <c r="F3" s="66">
        <v>0</v>
      </c>
      <c r="G3" s="66">
        <v>0</v>
      </c>
      <c r="H3" s="66">
        <v>100.68</v>
      </c>
      <c r="I3" s="66">
        <v>580.1</v>
      </c>
      <c r="J3" s="80">
        <v>479.42</v>
      </c>
      <c r="K3">
        <f t="shared" si="1"/>
        <v>479.42</v>
      </c>
      <c r="L3">
        <f t="shared" si="2"/>
        <v>0</v>
      </c>
      <c r="M3" t="str">
        <f t="shared" si="3"/>
        <v>202509BEEUR010</v>
      </c>
      <c r="N3" s="76">
        <v>202509</v>
      </c>
      <c r="O3" s="66" t="s">
        <v>28</v>
      </c>
      <c r="P3" s="66" t="s">
        <v>488</v>
      </c>
      <c r="Q3" s="66">
        <v>0</v>
      </c>
      <c r="R3" s="66">
        <v>1</v>
      </c>
      <c r="S3" s="66">
        <v>0</v>
      </c>
      <c r="T3" s="66">
        <v>0</v>
      </c>
      <c r="U3" s="66">
        <v>33.35</v>
      </c>
      <c r="V3" s="80">
        <v>33.35</v>
      </c>
      <c r="W3">
        <f t="shared" si="4"/>
        <v>33.35</v>
      </c>
      <c r="X3">
        <f t="shared" si="5"/>
        <v>0</v>
      </c>
    </row>
    <row r="4" spans="1:24" x14ac:dyDescent="0.3">
      <c r="A4" t="str">
        <f t="shared" si="0"/>
        <v>202509DEEUR000</v>
      </c>
      <c r="B4" s="212">
        <v>202509</v>
      </c>
      <c r="C4" s="67" t="s">
        <v>18</v>
      </c>
      <c r="D4" s="67" t="s">
        <v>488</v>
      </c>
      <c r="E4" s="67">
        <v>0</v>
      </c>
      <c r="F4" s="67">
        <v>0</v>
      </c>
      <c r="G4" s="67">
        <v>0</v>
      </c>
      <c r="H4" s="67">
        <v>4061.53</v>
      </c>
      <c r="I4" s="67">
        <v>25241.63</v>
      </c>
      <c r="J4" s="213">
        <v>21158.28</v>
      </c>
      <c r="K4">
        <f t="shared" si="1"/>
        <v>21089.97</v>
      </c>
      <c r="L4">
        <f t="shared" si="2"/>
        <v>-68.309999999997672</v>
      </c>
      <c r="M4" t="str">
        <f t="shared" si="3"/>
        <v>202509DEEUR000</v>
      </c>
      <c r="N4" s="212">
        <v>202509</v>
      </c>
      <c r="O4" s="67" t="s">
        <v>18</v>
      </c>
      <c r="P4" s="67" t="s">
        <v>488</v>
      </c>
      <c r="Q4" s="67">
        <v>0</v>
      </c>
      <c r="R4" s="67">
        <v>0</v>
      </c>
      <c r="S4" s="67">
        <v>0</v>
      </c>
      <c r="T4" s="67">
        <v>4061.53</v>
      </c>
      <c r="U4" s="67">
        <v>25173.32</v>
      </c>
      <c r="V4" s="213">
        <v>21089.97</v>
      </c>
      <c r="W4">
        <f t="shared" si="4"/>
        <v>21158.28</v>
      </c>
      <c r="X4">
        <f t="shared" si="5"/>
        <v>-68.309999999997672</v>
      </c>
    </row>
    <row r="5" spans="1:24" x14ac:dyDescent="0.3">
      <c r="A5" t="str">
        <f t="shared" si="0"/>
        <v>202509GBGBP100</v>
      </c>
      <c r="B5" s="76">
        <v>202509</v>
      </c>
      <c r="C5" s="66" t="s">
        <v>181</v>
      </c>
      <c r="D5" s="66" t="s">
        <v>489</v>
      </c>
      <c r="E5" s="66">
        <v>1</v>
      </c>
      <c r="F5" s="66">
        <v>0</v>
      </c>
      <c r="G5" s="66">
        <v>0</v>
      </c>
      <c r="H5" s="66">
        <v>136.43</v>
      </c>
      <c r="I5" s="66">
        <v>689.67</v>
      </c>
      <c r="J5" s="80">
        <v>544.96</v>
      </c>
      <c r="K5">
        <f t="shared" si="1"/>
        <v>544.96</v>
      </c>
      <c r="L5">
        <f t="shared" si="2"/>
        <v>0</v>
      </c>
      <c r="M5" t="str">
        <f t="shared" si="3"/>
        <v>202509DEEUR001</v>
      </c>
      <c r="N5" s="76">
        <v>202509</v>
      </c>
      <c r="O5" s="66" t="s">
        <v>18</v>
      </c>
      <c r="P5" s="66" t="s">
        <v>488</v>
      </c>
      <c r="Q5" s="66">
        <v>0</v>
      </c>
      <c r="R5" s="66">
        <v>0</v>
      </c>
      <c r="S5" s="66">
        <v>1</v>
      </c>
      <c r="T5" s="66">
        <v>6.85</v>
      </c>
      <c r="U5" s="66">
        <v>190.5</v>
      </c>
      <c r="V5" s="80">
        <v>183.65</v>
      </c>
      <c r="W5">
        <f t="shared" si="4"/>
        <v>183.65</v>
      </c>
      <c r="X5">
        <f t="shared" si="5"/>
        <v>0</v>
      </c>
    </row>
    <row r="6" spans="1:24" x14ac:dyDescent="0.3">
      <c r="A6" t="str">
        <f t="shared" si="0"/>
        <v>202509ESEUR010</v>
      </c>
      <c r="B6" s="212">
        <v>202509</v>
      </c>
      <c r="C6" s="67" t="s">
        <v>8</v>
      </c>
      <c r="D6" s="67" t="s">
        <v>488</v>
      </c>
      <c r="E6" s="67">
        <v>0</v>
      </c>
      <c r="F6" s="67">
        <v>1</v>
      </c>
      <c r="G6" s="67">
        <v>0</v>
      </c>
      <c r="H6" s="67">
        <v>10.23</v>
      </c>
      <c r="I6" s="67">
        <v>170.89</v>
      </c>
      <c r="J6" s="213">
        <v>160.66</v>
      </c>
      <c r="K6">
        <f t="shared" si="1"/>
        <v>160.66</v>
      </c>
      <c r="L6">
        <f t="shared" si="2"/>
        <v>0</v>
      </c>
      <c r="M6" t="str">
        <f t="shared" si="3"/>
        <v>202509DEEUR010</v>
      </c>
      <c r="N6" s="212">
        <v>202509</v>
      </c>
      <c r="O6" s="67" t="s">
        <v>18</v>
      </c>
      <c r="P6" s="67" t="s">
        <v>488</v>
      </c>
      <c r="Q6" s="67">
        <v>0</v>
      </c>
      <c r="R6" s="67">
        <v>1</v>
      </c>
      <c r="S6" s="67">
        <v>0</v>
      </c>
      <c r="T6" s="67">
        <v>0</v>
      </c>
      <c r="U6" s="67">
        <v>18.559999999999999</v>
      </c>
      <c r="V6" s="213">
        <v>18.559999999999999</v>
      </c>
      <c r="W6">
        <f t="shared" si="4"/>
        <v>18.559999999999999</v>
      </c>
      <c r="X6">
        <f t="shared" si="5"/>
        <v>0</v>
      </c>
    </row>
    <row r="7" spans="1:24" x14ac:dyDescent="0.3">
      <c r="A7" t="str">
        <f t="shared" si="0"/>
        <v>202509ATEUR000</v>
      </c>
      <c r="B7" s="76">
        <v>202509</v>
      </c>
      <c r="C7" s="66" t="s">
        <v>24</v>
      </c>
      <c r="D7" s="66" t="s">
        <v>488</v>
      </c>
      <c r="E7" s="66">
        <v>0</v>
      </c>
      <c r="F7" s="66">
        <v>0</v>
      </c>
      <c r="G7" s="66">
        <v>0</v>
      </c>
      <c r="H7" s="66">
        <v>943.8</v>
      </c>
      <c r="I7" s="66">
        <v>5662.42</v>
      </c>
      <c r="J7" s="80">
        <v>4696.9799999999996</v>
      </c>
      <c r="K7">
        <f t="shared" si="1"/>
        <v>4696.9799999999996</v>
      </c>
      <c r="L7">
        <f t="shared" si="2"/>
        <v>0</v>
      </c>
      <c r="M7" t="str">
        <f t="shared" si="3"/>
        <v>202509DEEUR100</v>
      </c>
      <c r="N7" s="76">
        <v>202509</v>
      </c>
      <c r="O7" s="66" t="s">
        <v>18</v>
      </c>
      <c r="P7" s="66" t="s">
        <v>488</v>
      </c>
      <c r="Q7" s="66">
        <v>1</v>
      </c>
      <c r="R7" s="66">
        <v>0</v>
      </c>
      <c r="S7" s="66">
        <v>0</v>
      </c>
      <c r="T7" s="66">
        <v>18.53</v>
      </c>
      <c r="U7" s="66">
        <v>-893.11</v>
      </c>
      <c r="V7" s="80">
        <v>-1021</v>
      </c>
      <c r="W7">
        <f t="shared" si="4"/>
        <v>-197.35</v>
      </c>
      <c r="X7">
        <f t="shared" si="5"/>
        <v>-823.65</v>
      </c>
    </row>
    <row r="8" spans="1:24" x14ac:dyDescent="0.3">
      <c r="A8" t="str">
        <f t="shared" si="0"/>
        <v>202509ITEUR000</v>
      </c>
      <c r="B8" s="212">
        <v>202509</v>
      </c>
      <c r="C8" s="67" t="s">
        <v>22</v>
      </c>
      <c r="D8" s="67" t="s">
        <v>488</v>
      </c>
      <c r="E8" s="67">
        <v>0</v>
      </c>
      <c r="F8" s="67">
        <v>0</v>
      </c>
      <c r="G8" s="67">
        <v>0</v>
      </c>
      <c r="H8" s="67">
        <v>3125.63</v>
      </c>
      <c r="I8" s="67">
        <v>19905.689999999999</v>
      </c>
      <c r="J8" s="213">
        <v>16780.060000000001</v>
      </c>
      <c r="K8">
        <f t="shared" si="1"/>
        <v>16780.060000000001</v>
      </c>
      <c r="L8">
        <f t="shared" si="2"/>
        <v>0</v>
      </c>
      <c r="M8" t="str">
        <f t="shared" si="3"/>
        <v>202509XXEUR000</v>
      </c>
      <c r="N8" s="212">
        <v>202509</v>
      </c>
      <c r="O8" s="67" t="s">
        <v>32</v>
      </c>
      <c r="P8" s="67" t="s">
        <v>488</v>
      </c>
      <c r="Q8" s="67">
        <v>0</v>
      </c>
      <c r="R8" s="67">
        <v>0</v>
      </c>
      <c r="S8" s="67">
        <v>0</v>
      </c>
      <c r="T8" s="67">
        <v>8.98</v>
      </c>
      <c r="U8" s="67">
        <v>44.9</v>
      </c>
      <c r="V8" s="213">
        <v>35.92</v>
      </c>
      <c r="W8">
        <f t="shared" si="4"/>
        <v>243.64</v>
      </c>
      <c r="X8">
        <f t="shared" si="5"/>
        <v>-207.71999999999997</v>
      </c>
    </row>
    <row r="9" spans="1:24" x14ac:dyDescent="0.3">
      <c r="A9" t="str">
        <f t="shared" si="0"/>
        <v>202509USUSD000</v>
      </c>
      <c r="B9" s="76">
        <v>202509</v>
      </c>
      <c r="C9" s="66" t="s">
        <v>34</v>
      </c>
      <c r="D9" s="66" t="s">
        <v>490</v>
      </c>
      <c r="E9" s="66">
        <v>0</v>
      </c>
      <c r="F9" s="66">
        <v>0</v>
      </c>
      <c r="G9" s="66">
        <v>0</v>
      </c>
      <c r="H9" s="66">
        <v>24.66</v>
      </c>
      <c r="I9" s="66">
        <v>14797.51</v>
      </c>
      <c r="J9" s="80">
        <v>14772.85</v>
      </c>
      <c r="K9">
        <f t="shared" si="1"/>
        <v>14772.85</v>
      </c>
      <c r="L9">
        <f t="shared" si="2"/>
        <v>0</v>
      </c>
      <c r="M9" t="str">
        <f t="shared" si="3"/>
        <v>202509ESEUR000</v>
      </c>
      <c r="N9" s="76">
        <v>202509</v>
      </c>
      <c r="O9" s="66" t="s">
        <v>8</v>
      </c>
      <c r="P9" s="66" t="s">
        <v>488</v>
      </c>
      <c r="Q9" s="66">
        <v>0</v>
      </c>
      <c r="R9" s="66">
        <v>0</v>
      </c>
      <c r="S9" s="66">
        <v>0</v>
      </c>
      <c r="T9" s="66">
        <v>15885.89</v>
      </c>
      <c r="U9" s="66">
        <v>91738.98</v>
      </c>
      <c r="V9" s="80">
        <v>75819.17</v>
      </c>
      <c r="W9">
        <f t="shared" si="4"/>
        <v>75819.17</v>
      </c>
      <c r="X9">
        <f t="shared" si="5"/>
        <v>0</v>
      </c>
    </row>
    <row r="10" spans="1:24" x14ac:dyDescent="0.3">
      <c r="A10" t="str">
        <f t="shared" si="0"/>
        <v>202509XXEUR000</v>
      </c>
      <c r="B10" s="212">
        <v>202509</v>
      </c>
      <c r="C10" s="67" t="s">
        <v>32</v>
      </c>
      <c r="D10" s="67" t="s">
        <v>488</v>
      </c>
      <c r="E10" s="67">
        <v>0</v>
      </c>
      <c r="F10" s="67">
        <v>0</v>
      </c>
      <c r="G10" s="67">
        <v>0</v>
      </c>
      <c r="H10" s="67">
        <v>56.02</v>
      </c>
      <c r="I10" s="67">
        <v>299.66000000000003</v>
      </c>
      <c r="J10" s="213">
        <v>243.64</v>
      </c>
      <c r="K10">
        <f t="shared" si="1"/>
        <v>35.92</v>
      </c>
      <c r="L10">
        <f t="shared" si="2"/>
        <v>-207.71999999999997</v>
      </c>
      <c r="M10" t="str">
        <f t="shared" si="3"/>
        <v>202509ESEUR001</v>
      </c>
      <c r="N10" s="212">
        <v>202509</v>
      </c>
      <c r="O10" s="67" t="s">
        <v>8</v>
      </c>
      <c r="P10" s="67" t="s">
        <v>488</v>
      </c>
      <c r="Q10" s="67">
        <v>0</v>
      </c>
      <c r="R10" s="67">
        <v>0</v>
      </c>
      <c r="S10" s="67">
        <v>1</v>
      </c>
      <c r="T10" s="67">
        <v>29.8</v>
      </c>
      <c r="U10" s="67">
        <v>165.59</v>
      </c>
      <c r="V10" s="213">
        <v>135.79</v>
      </c>
      <c r="W10">
        <f t="shared" si="4"/>
        <v>135.79</v>
      </c>
      <c r="X10">
        <f t="shared" si="5"/>
        <v>0</v>
      </c>
    </row>
    <row r="11" spans="1:24" x14ac:dyDescent="0.3">
      <c r="A11" t="str">
        <f t="shared" si="0"/>
        <v>202509BEEUR000</v>
      </c>
      <c r="B11" s="76">
        <v>202509</v>
      </c>
      <c r="C11" s="66" t="s">
        <v>28</v>
      </c>
      <c r="D11" s="66" t="s">
        <v>488</v>
      </c>
      <c r="E11" s="66">
        <v>0</v>
      </c>
      <c r="F11" s="66">
        <v>0</v>
      </c>
      <c r="G11" s="66">
        <v>0</v>
      </c>
      <c r="H11" s="66">
        <v>50.77</v>
      </c>
      <c r="I11" s="66">
        <v>292.51</v>
      </c>
      <c r="J11" s="80">
        <v>241.74</v>
      </c>
      <c r="K11">
        <f t="shared" si="1"/>
        <v>241.74</v>
      </c>
      <c r="L11">
        <f t="shared" si="2"/>
        <v>0</v>
      </c>
      <c r="M11" t="str">
        <f t="shared" si="3"/>
        <v>202509ESEUR010</v>
      </c>
      <c r="N11" s="76">
        <v>202509</v>
      </c>
      <c r="O11" s="66" t="s">
        <v>8</v>
      </c>
      <c r="P11" s="66" t="s">
        <v>488</v>
      </c>
      <c r="Q11" s="66">
        <v>0</v>
      </c>
      <c r="R11" s="66">
        <v>1</v>
      </c>
      <c r="S11" s="66">
        <v>0</v>
      </c>
      <c r="T11" s="66">
        <v>10.23</v>
      </c>
      <c r="U11" s="66">
        <v>170.89</v>
      </c>
      <c r="V11" s="80">
        <v>160.66</v>
      </c>
      <c r="W11">
        <f t="shared" si="4"/>
        <v>160.66</v>
      </c>
      <c r="X11">
        <f t="shared" si="5"/>
        <v>0</v>
      </c>
    </row>
    <row r="12" spans="1:24" x14ac:dyDescent="0.3">
      <c r="A12" t="str">
        <f t="shared" si="0"/>
        <v>202509GBGBP010</v>
      </c>
      <c r="B12" s="212">
        <v>202509</v>
      </c>
      <c r="C12" s="67" t="s">
        <v>181</v>
      </c>
      <c r="D12" s="67" t="s">
        <v>489</v>
      </c>
      <c r="E12" s="67">
        <v>0</v>
      </c>
      <c r="F12" s="67">
        <v>1</v>
      </c>
      <c r="G12" s="67">
        <v>0</v>
      </c>
      <c r="H12" s="67">
        <v>0</v>
      </c>
      <c r="I12" s="67">
        <v>38.99</v>
      </c>
      <c r="J12" s="213">
        <v>38.99</v>
      </c>
      <c r="K12">
        <f t="shared" si="1"/>
        <v>38.99</v>
      </c>
      <c r="L12">
        <f t="shared" si="2"/>
        <v>0</v>
      </c>
      <c r="M12" t="str">
        <f t="shared" si="3"/>
        <v>202509ESEUR100</v>
      </c>
      <c r="N12" s="212">
        <v>202509</v>
      </c>
      <c r="O12" s="67" t="s">
        <v>8</v>
      </c>
      <c r="P12" s="67" t="s">
        <v>488</v>
      </c>
      <c r="Q12" s="67">
        <v>1</v>
      </c>
      <c r="R12" s="67">
        <v>0</v>
      </c>
      <c r="S12" s="67">
        <v>0</v>
      </c>
      <c r="T12" s="67">
        <v>94.71</v>
      </c>
      <c r="U12" s="67">
        <v>142.44</v>
      </c>
      <c r="V12" s="213">
        <v>-56.61</v>
      </c>
      <c r="W12">
        <f t="shared" si="4"/>
        <v>-17.68</v>
      </c>
      <c r="X12">
        <f t="shared" si="5"/>
        <v>-38.93</v>
      </c>
    </row>
    <row r="13" spans="1:24" x14ac:dyDescent="0.3">
      <c r="A13" t="str">
        <f t="shared" si="0"/>
        <v>202509EUR000</v>
      </c>
      <c r="B13" s="76">
        <v>202509</v>
      </c>
      <c r="C13" s="66"/>
      <c r="D13" s="66" t="s">
        <v>488</v>
      </c>
      <c r="E13" s="66">
        <v>0</v>
      </c>
      <c r="F13" s="66">
        <v>0</v>
      </c>
      <c r="G13" s="66">
        <v>0</v>
      </c>
      <c r="H13" s="66">
        <v>0</v>
      </c>
      <c r="I13" s="66">
        <v>100</v>
      </c>
      <c r="J13" s="80">
        <v>100</v>
      </c>
      <c r="K13">
        <f t="shared" si="1"/>
        <v>100</v>
      </c>
      <c r="L13">
        <f t="shared" si="2"/>
        <v>0</v>
      </c>
      <c r="M13" t="str">
        <f t="shared" si="3"/>
        <v>202509FREUR000</v>
      </c>
      <c r="N13" s="76">
        <v>202509</v>
      </c>
      <c r="O13" s="66" t="s">
        <v>20</v>
      </c>
      <c r="P13" s="66" t="s">
        <v>488</v>
      </c>
      <c r="Q13" s="66">
        <v>0</v>
      </c>
      <c r="R13" s="66">
        <v>0</v>
      </c>
      <c r="S13" s="66">
        <v>0</v>
      </c>
      <c r="T13" s="66">
        <v>3311.43</v>
      </c>
      <c r="U13" s="66">
        <v>19699.669999999998</v>
      </c>
      <c r="V13" s="80">
        <v>16313.62</v>
      </c>
      <c r="W13">
        <f t="shared" si="4"/>
        <v>16359.79</v>
      </c>
      <c r="X13">
        <f t="shared" si="5"/>
        <v>-46.170000000000073</v>
      </c>
    </row>
    <row r="14" spans="1:24" x14ac:dyDescent="0.3">
      <c r="A14" t="str">
        <f t="shared" si="0"/>
        <v>202509ESEUR001</v>
      </c>
      <c r="B14" s="212">
        <v>202509</v>
      </c>
      <c r="C14" s="67" t="s">
        <v>8</v>
      </c>
      <c r="D14" s="67" t="s">
        <v>488</v>
      </c>
      <c r="E14" s="67">
        <v>0</v>
      </c>
      <c r="F14" s="67">
        <v>0</v>
      </c>
      <c r="G14" s="67">
        <v>1</v>
      </c>
      <c r="H14" s="67">
        <v>29.8</v>
      </c>
      <c r="I14" s="67">
        <v>165.59</v>
      </c>
      <c r="J14" s="213">
        <v>135.79</v>
      </c>
      <c r="K14">
        <f t="shared" si="1"/>
        <v>135.79</v>
      </c>
      <c r="L14">
        <f t="shared" si="2"/>
        <v>0</v>
      </c>
      <c r="M14" t="str">
        <f t="shared" si="3"/>
        <v>202509FREUR010</v>
      </c>
      <c r="N14" s="212">
        <v>202509</v>
      </c>
      <c r="O14" s="67" t="s">
        <v>20</v>
      </c>
      <c r="P14" s="67" t="s">
        <v>488</v>
      </c>
      <c r="Q14" s="67">
        <v>0</v>
      </c>
      <c r="R14" s="67">
        <v>1</v>
      </c>
      <c r="S14" s="67">
        <v>0</v>
      </c>
      <c r="T14" s="67">
        <v>0</v>
      </c>
      <c r="U14" s="67">
        <v>53.8</v>
      </c>
      <c r="V14" s="213">
        <v>53.8</v>
      </c>
      <c r="W14">
        <f t="shared" si="4"/>
        <v>53.8</v>
      </c>
      <c r="X14">
        <f t="shared" si="5"/>
        <v>0</v>
      </c>
    </row>
    <row r="15" spans="1:24" x14ac:dyDescent="0.3">
      <c r="A15" t="str">
        <f t="shared" si="0"/>
        <v>202509PTEUR000</v>
      </c>
      <c r="B15" s="76">
        <v>202509</v>
      </c>
      <c r="C15" s="66" t="s">
        <v>30</v>
      </c>
      <c r="D15" s="66" t="s">
        <v>488</v>
      </c>
      <c r="E15" s="66">
        <v>0</v>
      </c>
      <c r="F15" s="66">
        <v>0</v>
      </c>
      <c r="G15" s="66">
        <v>0</v>
      </c>
      <c r="H15" s="66">
        <v>11.79</v>
      </c>
      <c r="I15" s="66">
        <v>67.95</v>
      </c>
      <c r="J15" s="80">
        <v>56.16</v>
      </c>
      <c r="K15">
        <f t="shared" si="1"/>
        <v>56.16</v>
      </c>
      <c r="L15">
        <f t="shared" si="2"/>
        <v>0</v>
      </c>
      <c r="M15" t="str">
        <f t="shared" si="3"/>
        <v>202509FREUR100</v>
      </c>
      <c r="N15" s="76">
        <v>202509</v>
      </c>
      <c r="O15" s="66" t="s">
        <v>20</v>
      </c>
      <c r="P15" s="66" t="s">
        <v>488</v>
      </c>
      <c r="Q15" s="66">
        <v>1</v>
      </c>
      <c r="R15" s="66">
        <v>0</v>
      </c>
      <c r="S15" s="66">
        <v>0</v>
      </c>
      <c r="T15" s="66">
        <v>2.8</v>
      </c>
      <c r="U15" s="66">
        <v>-114.26</v>
      </c>
      <c r="V15" s="80">
        <v>-169.06</v>
      </c>
      <c r="W15">
        <f t="shared" si="4"/>
        <v>-38.020000000000003</v>
      </c>
      <c r="X15">
        <f t="shared" si="5"/>
        <v>-131.04</v>
      </c>
    </row>
    <row r="16" spans="1:24" x14ac:dyDescent="0.3">
      <c r="A16" t="str">
        <f t="shared" si="0"/>
        <v>202509ITEUR100</v>
      </c>
      <c r="B16" s="212">
        <v>202509</v>
      </c>
      <c r="C16" s="67" t="s">
        <v>22</v>
      </c>
      <c r="D16" s="67" t="s">
        <v>488</v>
      </c>
      <c r="E16" s="67">
        <v>1</v>
      </c>
      <c r="F16" s="67">
        <v>0</v>
      </c>
      <c r="G16" s="67">
        <v>0</v>
      </c>
      <c r="H16" s="67">
        <v>-1.26</v>
      </c>
      <c r="I16" s="67">
        <v>-6.95</v>
      </c>
      <c r="J16" s="213">
        <v>-52.51</v>
      </c>
      <c r="K16">
        <f t="shared" si="1"/>
        <v>-182.31</v>
      </c>
      <c r="L16">
        <f t="shared" si="2"/>
        <v>-129.80000000000001</v>
      </c>
      <c r="M16" t="str">
        <f t="shared" si="3"/>
        <v>202509GBGBP000</v>
      </c>
      <c r="N16" s="212">
        <v>202509</v>
      </c>
      <c r="O16" s="67" t="s">
        <v>181</v>
      </c>
      <c r="P16" s="67" t="s">
        <v>489</v>
      </c>
      <c r="Q16" s="67">
        <v>0</v>
      </c>
      <c r="R16" s="67">
        <v>0</v>
      </c>
      <c r="S16" s="67">
        <v>0</v>
      </c>
      <c r="T16" s="67">
        <v>4613.4399999999996</v>
      </c>
      <c r="U16" s="67">
        <v>27586.42</v>
      </c>
      <c r="V16" s="213">
        <v>22974.95</v>
      </c>
      <c r="W16">
        <f t="shared" si="4"/>
        <v>22974.95</v>
      </c>
      <c r="X16">
        <f t="shared" si="5"/>
        <v>0</v>
      </c>
    </row>
    <row r="17" spans="1:24" x14ac:dyDescent="0.3">
      <c r="A17" t="str">
        <f t="shared" si="0"/>
        <v>202509DEEUR010</v>
      </c>
      <c r="B17" s="76">
        <v>202509</v>
      </c>
      <c r="C17" s="66" t="s">
        <v>18</v>
      </c>
      <c r="D17" s="66" t="s">
        <v>488</v>
      </c>
      <c r="E17" s="66">
        <v>0</v>
      </c>
      <c r="F17" s="66">
        <v>1</v>
      </c>
      <c r="G17" s="66">
        <v>0</v>
      </c>
      <c r="H17" s="66">
        <v>0</v>
      </c>
      <c r="I17" s="66">
        <v>18.559999999999999</v>
      </c>
      <c r="J17" s="80">
        <v>18.559999999999999</v>
      </c>
      <c r="K17">
        <f t="shared" si="1"/>
        <v>18.559999999999999</v>
      </c>
      <c r="L17">
        <f t="shared" si="2"/>
        <v>0</v>
      </c>
      <c r="M17" t="str">
        <f t="shared" si="3"/>
        <v>202509GBGBP010</v>
      </c>
      <c r="N17" s="76">
        <v>202509</v>
      </c>
      <c r="O17" s="66" t="s">
        <v>181</v>
      </c>
      <c r="P17" s="66" t="s">
        <v>489</v>
      </c>
      <c r="Q17" s="66">
        <v>0</v>
      </c>
      <c r="R17" s="66">
        <v>1</v>
      </c>
      <c r="S17" s="66">
        <v>0</v>
      </c>
      <c r="T17" s="66">
        <v>0</v>
      </c>
      <c r="U17" s="66">
        <v>38.99</v>
      </c>
      <c r="V17" s="80">
        <v>38.99</v>
      </c>
      <c r="W17">
        <f t="shared" si="4"/>
        <v>38.99</v>
      </c>
      <c r="X17">
        <f t="shared" si="5"/>
        <v>0</v>
      </c>
    </row>
    <row r="18" spans="1:24" x14ac:dyDescent="0.3">
      <c r="A18" t="str">
        <f t="shared" si="0"/>
        <v>202509DEEUR100</v>
      </c>
      <c r="B18" s="212">
        <v>202509</v>
      </c>
      <c r="C18" s="67" t="s">
        <v>18</v>
      </c>
      <c r="D18" s="67" t="s">
        <v>488</v>
      </c>
      <c r="E18" s="67">
        <v>1</v>
      </c>
      <c r="F18" s="67">
        <v>0</v>
      </c>
      <c r="G18" s="67">
        <v>0</v>
      </c>
      <c r="H18" s="67">
        <v>18.53</v>
      </c>
      <c r="I18" s="67">
        <v>-69.459999999999994</v>
      </c>
      <c r="J18" s="213">
        <v>-197.35</v>
      </c>
      <c r="K18">
        <f t="shared" si="1"/>
        <v>-1021</v>
      </c>
      <c r="L18">
        <f t="shared" si="2"/>
        <v>-823.65</v>
      </c>
      <c r="M18" t="str">
        <f t="shared" si="3"/>
        <v>202509GBGBP100</v>
      </c>
      <c r="N18" s="212">
        <v>202509</v>
      </c>
      <c r="O18" s="67" t="s">
        <v>181</v>
      </c>
      <c r="P18" s="67" t="s">
        <v>489</v>
      </c>
      <c r="Q18" s="67">
        <v>1</v>
      </c>
      <c r="R18" s="67">
        <v>0</v>
      </c>
      <c r="S18" s="67">
        <v>0</v>
      </c>
      <c r="T18" s="67">
        <v>136.43</v>
      </c>
      <c r="U18" s="67">
        <v>689.67</v>
      </c>
      <c r="V18" s="213">
        <v>544.96</v>
      </c>
      <c r="W18">
        <f t="shared" si="4"/>
        <v>544.96</v>
      </c>
      <c r="X18">
        <f t="shared" si="5"/>
        <v>0</v>
      </c>
    </row>
    <row r="19" spans="1:24" x14ac:dyDescent="0.3">
      <c r="A19" t="str">
        <f t="shared" si="0"/>
        <v>202509DEEUR001</v>
      </c>
      <c r="B19" s="76">
        <v>202509</v>
      </c>
      <c r="C19" s="66" t="s">
        <v>18</v>
      </c>
      <c r="D19" s="66" t="s">
        <v>488</v>
      </c>
      <c r="E19" s="66">
        <v>0</v>
      </c>
      <c r="F19" s="66">
        <v>0</v>
      </c>
      <c r="G19" s="66">
        <v>1</v>
      </c>
      <c r="H19" s="66">
        <v>6.85</v>
      </c>
      <c r="I19" s="66">
        <v>190.5</v>
      </c>
      <c r="J19" s="80">
        <v>183.65</v>
      </c>
      <c r="K19">
        <f t="shared" si="1"/>
        <v>183.65</v>
      </c>
      <c r="L19">
        <f t="shared" si="2"/>
        <v>0</v>
      </c>
      <c r="M19" t="str">
        <f t="shared" si="3"/>
        <v>202509XXEUR000</v>
      </c>
      <c r="N19" s="76">
        <v>202509</v>
      </c>
      <c r="O19" s="66" t="s">
        <v>32</v>
      </c>
      <c r="P19" s="66" t="s">
        <v>488</v>
      </c>
      <c r="Q19" s="66">
        <v>0</v>
      </c>
      <c r="R19" s="66">
        <v>0</v>
      </c>
      <c r="S19" s="66">
        <v>0</v>
      </c>
      <c r="T19" s="66">
        <v>40.14</v>
      </c>
      <c r="U19" s="66">
        <v>214.71</v>
      </c>
      <c r="V19" s="80">
        <v>174.57</v>
      </c>
      <c r="W19">
        <f t="shared" si="4"/>
        <v>243.64</v>
      </c>
      <c r="X19">
        <f t="shared" si="5"/>
        <v>-69.069999999999993</v>
      </c>
    </row>
    <row r="20" spans="1:24" x14ac:dyDescent="0.3">
      <c r="A20" t="str">
        <f t="shared" si="0"/>
        <v>202509GBGBP000</v>
      </c>
      <c r="B20" s="212">
        <v>202509</v>
      </c>
      <c r="C20" s="67" t="s">
        <v>181</v>
      </c>
      <c r="D20" s="67" t="s">
        <v>489</v>
      </c>
      <c r="E20" s="67">
        <v>0</v>
      </c>
      <c r="F20" s="67">
        <v>0</v>
      </c>
      <c r="G20" s="67">
        <v>0</v>
      </c>
      <c r="H20" s="67">
        <v>4611.47</v>
      </c>
      <c r="I20" s="67">
        <v>27586.42</v>
      </c>
      <c r="J20" s="213">
        <v>22974.95</v>
      </c>
      <c r="K20">
        <f t="shared" si="1"/>
        <v>22974.95</v>
      </c>
      <c r="L20">
        <f t="shared" si="2"/>
        <v>0</v>
      </c>
      <c r="M20" t="str">
        <f t="shared" si="3"/>
        <v>202509XXEUR100</v>
      </c>
      <c r="N20" s="212">
        <v>202509</v>
      </c>
      <c r="O20" s="67" t="s">
        <v>32</v>
      </c>
      <c r="P20" s="67" t="s">
        <v>488</v>
      </c>
      <c r="Q20" s="67">
        <v>1</v>
      </c>
      <c r="R20" s="67">
        <v>0</v>
      </c>
      <c r="S20" s="67">
        <v>0</v>
      </c>
      <c r="T20" s="67">
        <v>15.88</v>
      </c>
      <c r="U20" s="67">
        <v>84.95</v>
      </c>
      <c r="V20" s="213">
        <v>69.069999999999993</v>
      </c>
      <c r="W20" t="e">
        <f t="shared" si="4"/>
        <v>#N/A</v>
      </c>
      <c r="X20" t="e">
        <f t="shared" si="5"/>
        <v>#N/A</v>
      </c>
    </row>
    <row r="21" spans="1:24" x14ac:dyDescent="0.3">
      <c r="A21" t="str">
        <f t="shared" si="0"/>
        <v>202509XXEUR000</v>
      </c>
      <c r="B21" s="76">
        <v>202509</v>
      </c>
      <c r="C21" s="66" t="s">
        <v>32</v>
      </c>
      <c r="D21" s="66" t="s">
        <v>488</v>
      </c>
      <c r="E21" s="66">
        <v>0</v>
      </c>
      <c r="F21" s="66">
        <v>0</v>
      </c>
      <c r="G21" s="66">
        <v>0</v>
      </c>
      <c r="H21" s="66">
        <v>8.98</v>
      </c>
      <c r="I21" s="66">
        <v>44.9</v>
      </c>
      <c r="J21" s="80">
        <v>35.92</v>
      </c>
      <c r="K21">
        <f t="shared" si="1"/>
        <v>35.92</v>
      </c>
      <c r="L21">
        <f t="shared" si="2"/>
        <v>0</v>
      </c>
      <c r="M21" t="str">
        <f t="shared" si="3"/>
        <v>202509ITEUR000</v>
      </c>
      <c r="N21" s="76">
        <v>202509</v>
      </c>
      <c r="O21" s="66" t="s">
        <v>22</v>
      </c>
      <c r="P21" s="66" t="s">
        <v>488</v>
      </c>
      <c r="Q21" s="66">
        <v>0</v>
      </c>
      <c r="R21" s="66">
        <v>0</v>
      </c>
      <c r="S21" s="66">
        <v>0</v>
      </c>
      <c r="T21" s="66">
        <v>3126.52</v>
      </c>
      <c r="U21" s="66">
        <v>19905.689999999999</v>
      </c>
      <c r="V21" s="80">
        <v>16780.060000000001</v>
      </c>
      <c r="W21">
        <f t="shared" si="4"/>
        <v>16780.060000000001</v>
      </c>
      <c r="X21">
        <f t="shared" si="5"/>
        <v>0</v>
      </c>
    </row>
    <row r="22" spans="1:24" x14ac:dyDescent="0.3">
      <c r="A22" t="str">
        <f t="shared" si="0"/>
        <v>202509ESEUR000</v>
      </c>
      <c r="B22" s="212">
        <v>202509</v>
      </c>
      <c r="C22" s="67" t="s">
        <v>8</v>
      </c>
      <c r="D22" s="67" t="s">
        <v>488</v>
      </c>
      <c r="E22" s="67">
        <v>0</v>
      </c>
      <c r="F22" s="67">
        <v>0</v>
      </c>
      <c r="G22" s="67">
        <v>0</v>
      </c>
      <c r="H22" s="67">
        <v>15878.15</v>
      </c>
      <c r="I22" s="67">
        <v>91738.98</v>
      </c>
      <c r="J22" s="213">
        <v>75819.17</v>
      </c>
      <c r="K22">
        <f t="shared" si="1"/>
        <v>75819.17</v>
      </c>
      <c r="L22">
        <f t="shared" si="2"/>
        <v>0</v>
      </c>
      <c r="M22" t="str">
        <f t="shared" si="3"/>
        <v>202509ITEUR100</v>
      </c>
      <c r="N22" s="212">
        <v>202509</v>
      </c>
      <c r="O22" s="67" t="s">
        <v>22</v>
      </c>
      <c r="P22" s="67" t="s">
        <v>488</v>
      </c>
      <c r="Q22" s="67">
        <v>1</v>
      </c>
      <c r="R22" s="67">
        <v>0</v>
      </c>
      <c r="S22" s="67">
        <v>0</v>
      </c>
      <c r="T22" s="67">
        <v>-1.26</v>
      </c>
      <c r="U22" s="67">
        <v>-136.75</v>
      </c>
      <c r="V22" s="213">
        <v>-182.31</v>
      </c>
      <c r="W22">
        <f t="shared" si="4"/>
        <v>-52.51</v>
      </c>
      <c r="X22">
        <f t="shared" si="5"/>
        <v>-129.80000000000001</v>
      </c>
    </row>
    <row r="23" spans="1:24" x14ac:dyDescent="0.3">
      <c r="A23" t="str">
        <f t="shared" si="0"/>
        <v>202509FREUR100</v>
      </c>
      <c r="B23" s="76">
        <v>202509</v>
      </c>
      <c r="C23" s="66" t="s">
        <v>20</v>
      </c>
      <c r="D23" s="66" t="s">
        <v>488</v>
      </c>
      <c r="E23" s="66">
        <v>1</v>
      </c>
      <c r="F23" s="66">
        <v>0</v>
      </c>
      <c r="G23" s="66">
        <v>0</v>
      </c>
      <c r="H23" s="66">
        <v>2.8</v>
      </c>
      <c r="I23" s="66">
        <v>16.78</v>
      </c>
      <c r="J23" s="80">
        <v>-38.020000000000003</v>
      </c>
      <c r="K23">
        <f t="shared" si="1"/>
        <v>-169.06</v>
      </c>
      <c r="L23">
        <f t="shared" si="2"/>
        <v>-131.04</v>
      </c>
      <c r="M23" t="str">
        <f t="shared" si="3"/>
        <v>202509NLEUR000</v>
      </c>
      <c r="N23" s="76">
        <v>202509</v>
      </c>
      <c r="O23" s="66" t="s">
        <v>26</v>
      </c>
      <c r="P23" s="66" t="s">
        <v>488</v>
      </c>
      <c r="Q23" s="66">
        <v>0</v>
      </c>
      <c r="R23" s="66">
        <v>0</v>
      </c>
      <c r="S23" s="66">
        <v>0</v>
      </c>
      <c r="T23" s="66">
        <v>100.68</v>
      </c>
      <c r="U23" s="66">
        <v>580.1</v>
      </c>
      <c r="V23" s="80">
        <v>479.42</v>
      </c>
      <c r="W23">
        <f t="shared" si="4"/>
        <v>479.42</v>
      </c>
      <c r="X23">
        <f t="shared" si="5"/>
        <v>0</v>
      </c>
    </row>
    <row r="24" spans="1:24" x14ac:dyDescent="0.3">
      <c r="A24" t="str">
        <f t="shared" si="0"/>
        <v>202509ESEUR100</v>
      </c>
      <c r="B24" s="212">
        <v>202509</v>
      </c>
      <c r="C24" s="67" t="s">
        <v>8</v>
      </c>
      <c r="D24" s="67" t="s">
        <v>488</v>
      </c>
      <c r="E24" s="67">
        <v>1</v>
      </c>
      <c r="F24" s="67">
        <v>0</v>
      </c>
      <c r="G24" s="67">
        <v>0</v>
      </c>
      <c r="H24" s="67">
        <v>94.71</v>
      </c>
      <c r="I24" s="67">
        <v>181.37</v>
      </c>
      <c r="J24" s="213">
        <v>-17.68</v>
      </c>
      <c r="K24">
        <f t="shared" si="1"/>
        <v>-56.61</v>
      </c>
      <c r="L24">
        <f t="shared" si="2"/>
        <v>-38.93</v>
      </c>
      <c r="M24" t="str">
        <f t="shared" si="3"/>
        <v>202509PTEUR000</v>
      </c>
      <c r="N24" s="212">
        <v>202509</v>
      </c>
      <c r="O24" s="67" t="s">
        <v>30</v>
      </c>
      <c r="P24" s="67" t="s">
        <v>488</v>
      </c>
      <c r="Q24" s="67">
        <v>0</v>
      </c>
      <c r="R24" s="67">
        <v>0</v>
      </c>
      <c r="S24" s="67">
        <v>0</v>
      </c>
      <c r="T24" s="67">
        <v>11.79</v>
      </c>
      <c r="U24" s="67">
        <v>67.95</v>
      </c>
      <c r="V24" s="213">
        <v>56.16</v>
      </c>
      <c r="W24">
        <f t="shared" si="4"/>
        <v>56.16</v>
      </c>
      <c r="X24">
        <f t="shared" si="5"/>
        <v>0</v>
      </c>
    </row>
    <row r="25" spans="1:24" x14ac:dyDescent="0.3">
      <c r="A25" t="str">
        <f t="shared" si="0"/>
        <v>202509XXEUR000</v>
      </c>
      <c r="B25" s="76">
        <v>202509</v>
      </c>
      <c r="C25" s="66" t="s">
        <v>32</v>
      </c>
      <c r="D25" s="66" t="s">
        <v>488</v>
      </c>
      <c r="E25" s="66">
        <v>0</v>
      </c>
      <c r="F25" s="66">
        <v>0</v>
      </c>
      <c r="G25" s="66">
        <v>0</v>
      </c>
      <c r="H25" s="66">
        <v>4.9800000000000004</v>
      </c>
      <c r="I25" s="66">
        <v>24.9</v>
      </c>
      <c r="J25" s="80">
        <v>19.920000000000002</v>
      </c>
      <c r="K25">
        <f t="shared" si="1"/>
        <v>35.92</v>
      </c>
      <c r="L25">
        <f t="shared" si="2"/>
        <v>16</v>
      </c>
      <c r="M25" t="str">
        <f t="shared" si="3"/>
        <v>202509XXEUR000</v>
      </c>
      <c r="N25" s="76">
        <v>202509</v>
      </c>
      <c r="O25" s="66" t="s">
        <v>32</v>
      </c>
      <c r="P25" s="66" t="s">
        <v>488</v>
      </c>
      <c r="Q25" s="66">
        <v>0</v>
      </c>
      <c r="R25" s="66">
        <v>0</v>
      </c>
      <c r="S25" s="66">
        <v>0</v>
      </c>
      <c r="T25" s="66">
        <v>4.9800000000000004</v>
      </c>
      <c r="U25" s="66">
        <v>24.9</v>
      </c>
      <c r="V25" s="80">
        <v>19.920000000000002</v>
      </c>
      <c r="W25">
        <f t="shared" si="4"/>
        <v>243.64</v>
      </c>
      <c r="X25">
        <f t="shared" si="5"/>
        <v>-223.71999999999997</v>
      </c>
    </row>
    <row r="26" spans="1:24" x14ac:dyDescent="0.3">
      <c r="A26" t="str">
        <f t="shared" si="0"/>
        <v>202509FREUR000</v>
      </c>
      <c r="B26" s="212">
        <v>202509</v>
      </c>
      <c r="C26" s="67" t="s">
        <v>20</v>
      </c>
      <c r="D26" s="67" t="s">
        <v>488</v>
      </c>
      <c r="E26" s="67">
        <v>0</v>
      </c>
      <c r="F26" s="67">
        <v>0</v>
      </c>
      <c r="G26" s="67">
        <v>0</v>
      </c>
      <c r="H26" s="67">
        <v>3309.77</v>
      </c>
      <c r="I26" s="67">
        <v>19745.84</v>
      </c>
      <c r="J26" s="213">
        <v>16359.79</v>
      </c>
      <c r="K26">
        <f t="shared" si="1"/>
        <v>16313.62</v>
      </c>
      <c r="L26">
        <f t="shared" si="2"/>
        <v>-46.170000000000073</v>
      </c>
      <c r="M26" t="str">
        <f t="shared" si="3"/>
        <v>202509USUSD000</v>
      </c>
      <c r="N26" s="212">
        <v>202509</v>
      </c>
      <c r="O26" s="67" t="s">
        <v>34</v>
      </c>
      <c r="P26" s="67" t="s">
        <v>490</v>
      </c>
      <c r="Q26" s="67">
        <v>0</v>
      </c>
      <c r="R26" s="67">
        <v>0</v>
      </c>
      <c r="S26" s="67">
        <v>0</v>
      </c>
      <c r="T26" s="67">
        <v>24.66</v>
      </c>
      <c r="U26" s="67">
        <v>14797.51</v>
      </c>
      <c r="V26" s="213">
        <v>14772.85</v>
      </c>
      <c r="W26">
        <f t="shared" si="4"/>
        <v>14772.85</v>
      </c>
      <c r="X26">
        <f t="shared" si="5"/>
        <v>0</v>
      </c>
    </row>
    <row r="27" spans="1:24" x14ac:dyDescent="0.3">
      <c r="A27" t="str">
        <f t="shared" si="0"/>
        <v>202509BEEUR010</v>
      </c>
      <c r="B27" s="76">
        <v>202509</v>
      </c>
      <c r="C27" s="66" t="s">
        <v>28</v>
      </c>
      <c r="D27" s="66" t="s">
        <v>488</v>
      </c>
      <c r="E27" s="66">
        <v>0</v>
      </c>
      <c r="F27" s="66">
        <v>1</v>
      </c>
      <c r="G27" s="66">
        <v>0</v>
      </c>
      <c r="H27" s="66">
        <v>0</v>
      </c>
      <c r="I27" s="66">
        <v>33.35</v>
      </c>
      <c r="J27" s="80">
        <v>33.35</v>
      </c>
      <c r="K27">
        <f t="shared" si="1"/>
        <v>33.35</v>
      </c>
      <c r="L27">
        <f t="shared" si="2"/>
        <v>0</v>
      </c>
      <c r="M27" t="str">
        <f t="shared" si="3"/>
        <v>202509USUSD100</v>
      </c>
      <c r="N27" s="76">
        <v>202509</v>
      </c>
      <c r="O27" s="66" t="s">
        <v>34</v>
      </c>
      <c r="P27" s="66" t="s">
        <v>490</v>
      </c>
      <c r="Q27" s="66">
        <v>1</v>
      </c>
      <c r="R27" s="66">
        <v>0</v>
      </c>
      <c r="S27" s="66">
        <v>0</v>
      </c>
      <c r="T27" s="66">
        <v>-6</v>
      </c>
      <c r="U27" s="66">
        <v>34.42</v>
      </c>
      <c r="V27" s="80">
        <v>28.42</v>
      </c>
      <c r="W27">
        <f t="shared" si="4"/>
        <v>28.42</v>
      </c>
      <c r="X27">
        <f t="shared" si="5"/>
        <v>0</v>
      </c>
    </row>
    <row r="28" spans="1:24" x14ac:dyDescent="0.3">
      <c r="L28">
        <f t="shared" si="2"/>
        <v>0</v>
      </c>
      <c r="M28" t="str">
        <f>N28&amp;O28&amp;P28&amp;Q28&amp;R28&amp;S28</f>
        <v>202509EUR000</v>
      </c>
      <c r="N28" s="212">
        <v>202509</v>
      </c>
      <c r="O28" s="67"/>
      <c r="P28" s="67" t="s">
        <v>488</v>
      </c>
      <c r="Q28" s="67">
        <v>0</v>
      </c>
      <c r="R28" s="67">
        <v>0</v>
      </c>
      <c r="S28" s="67">
        <v>0</v>
      </c>
      <c r="T28" s="67">
        <v>0</v>
      </c>
      <c r="U28" s="67">
        <v>100</v>
      </c>
      <c r="V28" s="213">
        <v>100</v>
      </c>
      <c r="W28">
        <f t="shared" si="4"/>
        <v>100</v>
      </c>
      <c r="X28">
        <f t="shared" si="5"/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43CD-62EC-48AA-86EE-159262463156}">
  <dimension ref="A1:G139"/>
  <sheetViews>
    <sheetView workbookViewId="0">
      <pane ySplit="1" topLeftCell="A2" activePane="bottomLeft" state="frozen"/>
      <selection pane="bottomLeft" activeCell="F13" sqref="F13"/>
    </sheetView>
  </sheetViews>
  <sheetFormatPr baseColWidth="10" defaultColWidth="11.44140625" defaultRowHeight="14.4" x14ac:dyDescent="0.3"/>
  <cols>
    <col min="1" max="1" width="22.44140625" bestFit="1" customWidth="1"/>
    <col min="2" max="2" width="14.6640625" bestFit="1" customWidth="1"/>
    <col min="3" max="3" width="23" customWidth="1"/>
    <col min="4" max="4" width="37" bestFit="1" customWidth="1"/>
  </cols>
  <sheetData>
    <row r="1" spans="1:7" x14ac:dyDescent="0.3">
      <c r="A1" t="s">
        <v>402</v>
      </c>
      <c r="B1" t="s">
        <v>394</v>
      </c>
      <c r="C1" t="s">
        <v>395</v>
      </c>
      <c r="D1" t="s">
        <v>396</v>
      </c>
      <c r="E1" t="s">
        <v>402</v>
      </c>
      <c r="F1" t="s">
        <v>393</v>
      </c>
      <c r="G1" t="s">
        <v>403</v>
      </c>
    </row>
    <row r="2" spans="1:7" ht="15" customHeight="1" x14ac:dyDescent="0.3">
      <c r="A2" s="25" t="s">
        <v>159</v>
      </c>
      <c r="B2" s="25"/>
      <c r="C2" s="25" t="s">
        <v>446</v>
      </c>
      <c r="D2" t="str">
        <f t="shared" ref="D2:D4" si="0">C2&amp;" - "&amp;A2&amp;" "&amp;B2&amp;" -&gt; "&amp;F2</f>
        <v>tributos - Gastos no deducibles  -&gt; SL</v>
      </c>
      <c r="E2" t="str">
        <f t="shared" ref="E2:E4" si="1">+A2</f>
        <v>Gastos no deducibles</v>
      </c>
      <c r="F2" t="s">
        <v>399</v>
      </c>
    </row>
    <row r="3" spans="1:7" ht="15" customHeight="1" x14ac:dyDescent="0.3">
      <c r="A3" s="25" t="s">
        <v>161</v>
      </c>
      <c r="B3" s="25"/>
      <c r="C3" s="25" t="s">
        <v>446</v>
      </c>
      <c r="D3" t="str">
        <f t="shared" si="0"/>
        <v>tributos - Amortización inmovilizado  -&gt; SL</v>
      </c>
      <c r="E3" t="str">
        <f t="shared" si="1"/>
        <v>Amortización inmovilizado</v>
      </c>
      <c r="F3" t="s">
        <v>399</v>
      </c>
    </row>
    <row r="4" spans="1:7" ht="15" customHeight="1" x14ac:dyDescent="0.3">
      <c r="A4" s="25" t="s">
        <v>163</v>
      </c>
      <c r="B4" s="25"/>
      <c r="C4" s="25" t="s">
        <v>446</v>
      </c>
      <c r="D4" t="str">
        <f t="shared" si="0"/>
        <v>tributos - Dif. Neg. Cambio  -&gt; SL</v>
      </c>
      <c r="E4" t="str">
        <f t="shared" si="1"/>
        <v>Dif. Neg. Cambio</v>
      </c>
      <c r="F4" t="s">
        <v>399</v>
      </c>
    </row>
    <row r="5" spans="1:7" ht="15" customHeight="1" x14ac:dyDescent="0.3">
      <c r="A5" s="25" t="s">
        <v>165</v>
      </c>
      <c r="B5" s="25"/>
      <c r="C5" s="25" t="s">
        <v>446</v>
      </c>
      <c r="D5" t="str">
        <f t="shared" ref="D5:D9" si="2">C5&amp;" - "&amp;A5&amp;" "&amp;B5&amp;" -&gt; "&amp;F5</f>
        <v>tributos - Comisiones bancarias  -&gt; SL</v>
      </c>
      <c r="E5" t="str">
        <f t="shared" ref="E5:E9" si="3">+A5</f>
        <v>Comisiones bancarias</v>
      </c>
      <c r="F5" t="s">
        <v>399</v>
      </c>
    </row>
    <row r="6" spans="1:7" ht="15" customHeight="1" x14ac:dyDescent="0.3">
      <c r="A6" s="25" t="s">
        <v>167</v>
      </c>
      <c r="B6" s="25"/>
      <c r="C6" s="25" t="s">
        <v>446</v>
      </c>
      <c r="D6" t="str">
        <f t="shared" si="2"/>
        <v>tributos - Seguros  -&gt; SL</v>
      </c>
      <c r="E6" t="str">
        <f t="shared" si="3"/>
        <v>Seguros</v>
      </c>
      <c r="F6" t="s">
        <v>399</v>
      </c>
    </row>
    <row r="7" spans="1:7" x14ac:dyDescent="0.3">
      <c r="A7" s="25" t="s">
        <v>169</v>
      </c>
      <c r="B7" s="25"/>
      <c r="C7" s="25" t="s">
        <v>446</v>
      </c>
      <c r="D7" t="str">
        <f t="shared" si="2"/>
        <v>tributos - Otros gastos de gestión  -&gt; SL</v>
      </c>
      <c r="E7" t="str">
        <f t="shared" si="3"/>
        <v>Otros gastos de gestión</v>
      </c>
      <c r="F7" t="s">
        <v>399</v>
      </c>
    </row>
    <row r="8" spans="1:7" x14ac:dyDescent="0.3">
      <c r="A8" s="25" t="s">
        <v>171</v>
      </c>
      <c r="B8" s="25"/>
      <c r="C8" s="25" t="s">
        <v>446</v>
      </c>
      <c r="D8" t="str">
        <f t="shared" si="2"/>
        <v>tributos - Intereses  -&gt; SL</v>
      </c>
      <c r="E8" t="str">
        <f t="shared" si="3"/>
        <v>Intereses</v>
      </c>
      <c r="F8" t="s">
        <v>399</v>
      </c>
    </row>
    <row r="9" spans="1:7" x14ac:dyDescent="0.3">
      <c r="A9" s="9" t="s">
        <v>173</v>
      </c>
      <c r="B9" s="25"/>
      <c r="C9" s="25" t="s">
        <v>495</v>
      </c>
      <c r="D9" t="str">
        <f t="shared" si="2"/>
        <v>operating-profit - Finance expenses  -&gt; Ltd</v>
      </c>
      <c r="E9" t="str">
        <f t="shared" si="3"/>
        <v>Finance expenses</v>
      </c>
      <c r="F9" t="s">
        <v>412</v>
      </c>
    </row>
    <row r="10" spans="1:7" x14ac:dyDescent="0.3">
      <c r="A10" s="9" t="s">
        <v>174</v>
      </c>
      <c r="B10" s="25"/>
      <c r="C10" s="25" t="s">
        <v>495</v>
      </c>
      <c r="D10" t="str">
        <f t="shared" ref="D10:D11" si="4">C10&amp;" - "&amp;A10&amp;" "&amp;B10&amp;" -&gt; "&amp;F10</f>
        <v>operating-profit - Exchange differences  -&gt; Ltd</v>
      </c>
      <c r="E10" t="str">
        <f t="shared" ref="E10:E11" si="5">+A10</f>
        <v>Exchange differences</v>
      </c>
      <c r="F10" t="s">
        <v>412</v>
      </c>
    </row>
    <row r="11" spans="1:7" x14ac:dyDescent="0.3">
      <c r="A11" s="9" t="s">
        <v>173</v>
      </c>
      <c r="B11" s="25"/>
      <c r="C11" s="25" t="s">
        <v>495</v>
      </c>
      <c r="D11" t="str">
        <f t="shared" si="4"/>
        <v>operating-profit - Finance expenses  -&gt; Inc</v>
      </c>
      <c r="E11" t="str">
        <f t="shared" si="5"/>
        <v>Finance expenses</v>
      </c>
      <c r="F11" t="s">
        <v>420</v>
      </c>
    </row>
    <row r="12" spans="1:7" x14ac:dyDescent="0.3">
      <c r="A12" s="9" t="s">
        <v>174</v>
      </c>
      <c r="B12" s="25"/>
      <c r="C12" s="25" t="s">
        <v>495</v>
      </c>
      <c r="D12" t="str">
        <f t="shared" ref="D12" si="6">C12&amp;" - "&amp;A12&amp;" "&amp;B12&amp;" -&gt; "&amp;F12</f>
        <v>operating-profit - Exchange differences  -&gt; Inc</v>
      </c>
      <c r="E12" t="str">
        <f t="shared" ref="E12" si="7">+A12</f>
        <v>Exchange differences</v>
      </c>
      <c r="F12" t="s">
        <v>420</v>
      </c>
    </row>
    <row r="13" spans="1:7" x14ac:dyDescent="0.3">
      <c r="A13" s="25"/>
      <c r="B13" s="25"/>
      <c r="C13" s="25"/>
    </row>
    <row r="14" spans="1:7" x14ac:dyDescent="0.3">
      <c r="A14" s="25"/>
      <c r="B14" s="25"/>
      <c r="C14" s="25"/>
    </row>
    <row r="15" spans="1:7" x14ac:dyDescent="0.3">
      <c r="A15" s="25"/>
      <c r="B15" s="25"/>
      <c r="C15" s="25"/>
    </row>
    <row r="16" spans="1:7" x14ac:dyDescent="0.3">
      <c r="A16" s="25"/>
      <c r="B16" s="25"/>
      <c r="C16" s="25"/>
    </row>
    <row r="17" spans="1:3" x14ac:dyDescent="0.3">
      <c r="A17" s="25"/>
      <c r="B17" s="25"/>
      <c r="C17" s="25"/>
    </row>
    <row r="18" spans="1:3" x14ac:dyDescent="0.3">
      <c r="A18" s="25"/>
      <c r="B18" s="25"/>
      <c r="C18" s="25"/>
    </row>
    <row r="19" spans="1:3" x14ac:dyDescent="0.3">
      <c r="A19" s="25"/>
      <c r="B19" s="25"/>
      <c r="C19" s="25"/>
    </row>
    <row r="20" spans="1:3" x14ac:dyDescent="0.3">
      <c r="A20" s="25"/>
      <c r="B20" s="25"/>
      <c r="C20" s="25"/>
    </row>
    <row r="21" spans="1:3" x14ac:dyDescent="0.3">
      <c r="A21" s="25"/>
      <c r="B21" s="25"/>
      <c r="C21" s="25"/>
    </row>
    <row r="22" spans="1:3" x14ac:dyDescent="0.3">
      <c r="A22" s="25"/>
      <c r="B22" s="25"/>
      <c r="C22" s="25"/>
    </row>
    <row r="23" spans="1:3" x14ac:dyDescent="0.3">
      <c r="A23" s="25"/>
      <c r="B23" s="25"/>
      <c r="C23" s="25"/>
    </row>
    <row r="24" spans="1:3" x14ac:dyDescent="0.3">
      <c r="A24" s="25"/>
      <c r="B24" s="25"/>
      <c r="C24" s="25"/>
    </row>
    <row r="25" spans="1:3" x14ac:dyDescent="0.3">
      <c r="A25" s="25"/>
      <c r="B25" s="25"/>
      <c r="C25" s="25"/>
    </row>
    <row r="26" spans="1:3" x14ac:dyDescent="0.3">
      <c r="A26" s="25"/>
      <c r="B26" s="25"/>
      <c r="C26" s="25"/>
    </row>
    <row r="27" spans="1:3" x14ac:dyDescent="0.3">
      <c r="A27" s="25"/>
      <c r="B27" s="25"/>
      <c r="C27" s="25"/>
    </row>
    <row r="28" spans="1:3" x14ac:dyDescent="0.3">
      <c r="A28" s="25"/>
      <c r="B28" s="25"/>
      <c r="C28" s="25"/>
    </row>
    <row r="29" spans="1:3" x14ac:dyDescent="0.3">
      <c r="A29" s="25"/>
      <c r="B29" s="25"/>
      <c r="C29" s="25"/>
    </row>
    <row r="30" spans="1:3" x14ac:dyDescent="0.3">
      <c r="A30" s="25"/>
      <c r="B30" s="25"/>
      <c r="C30" s="25"/>
    </row>
    <row r="31" spans="1:3" x14ac:dyDescent="0.3">
      <c r="A31" s="25"/>
      <c r="B31" s="25"/>
      <c r="C31" s="25"/>
    </row>
    <row r="32" spans="1:3" x14ac:dyDescent="0.3">
      <c r="A32" s="25"/>
      <c r="B32" s="25"/>
      <c r="C32" s="25"/>
    </row>
    <row r="33" spans="1:3" x14ac:dyDescent="0.3">
      <c r="A33" s="25"/>
      <c r="B33" s="25"/>
      <c r="C33" s="25"/>
    </row>
    <row r="34" spans="1:3" x14ac:dyDescent="0.3">
      <c r="A34" s="25"/>
      <c r="B34" s="25"/>
      <c r="C34" s="25"/>
    </row>
    <row r="35" spans="1:3" x14ac:dyDescent="0.3">
      <c r="A35" s="25"/>
      <c r="B35" s="25"/>
      <c r="C35" s="25"/>
    </row>
    <row r="36" spans="1:3" x14ac:dyDescent="0.3">
      <c r="A36" s="25"/>
      <c r="B36" s="25"/>
      <c r="C36" s="25"/>
    </row>
    <row r="37" spans="1:3" x14ac:dyDescent="0.3">
      <c r="A37" s="25"/>
      <c r="B37" s="25"/>
      <c r="C37" s="25"/>
    </row>
    <row r="38" spans="1:3" x14ac:dyDescent="0.3">
      <c r="A38" s="25"/>
      <c r="B38" s="25"/>
      <c r="C38" s="25"/>
    </row>
    <row r="39" spans="1:3" x14ac:dyDescent="0.3">
      <c r="A39" s="25"/>
      <c r="C39" s="25"/>
    </row>
    <row r="40" spans="1:3" x14ac:dyDescent="0.3">
      <c r="A40" s="25"/>
      <c r="C40" s="25"/>
    </row>
    <row r="41" spans="1:3" x14ac:dyDescent="0.3">
      <c r="A41" s="25"/>
      <c r="C41" s="25"/>
    </row>
    <row r="42" spans="1:3" x14ac:dyDescent="0.3">
      <c r="A42" s="25"/>
      <c r="C42" s="25"/>
    </row>
    <row r="43" spans="1:3" x14ac:dyDescent="0.3">
      <c r="A43" s="25"/>
      <c r="C43" s="25"/>
    </row>
    <row r="44" spans="1:3" x14ac:dyDescent="0.3">
      <c r="A44" s="25"/>
      <c r="C44" s="25"/>
    </row>
    <row r="45" spans="1:3" x14ac:dyDescent="0.3">
      <c r="A45" s="25"/>
      <c r="C45" s="25"/>
    </row>
    <row r="46" spans="1:3" x14ac:dyDescent="0.3">
      <c r="A46" s="25"/>
      <c r="C46" s="25"/>
    </row>
    <row r="47" spans="1:3" x14ac:dyDescent="0.3">
      <c r="A47" s="25"/>
      <c r="C47" s="25"/>
    </row>
    <row r="48" spans="1:3" x14ac:dyDescent="0.3">
      <c r="A48" s="25"/>
      <c r="C48" s="25"/>
    </row>
    <row r="49" spans="1:3" x14ac:dyDescent="0.3">
      <c r="A49" s="25"/>
      <c r="C49" s="25"/>
    </row>
    <row r="50" spans="1:3" x14ac:dyDescent="0.3">
      <c r="A50" s="25"/>
      <c r="C50" s="25"/>
    </row>
    <row r="51" spans="1:3" x14ac:dyDescent="0.3">
      <c r="A51" s="25"/>
      <c r="C51" s="25"/>
    </row>
    <row r="52" spans="1:3" x14ac:dyDescent="0.3">
      <c r="A52" s="25"/>
      <c r="C52" s="25"/>
    </row>
    <row r="53" spans="1:3" x14ac:dyDescent="0.3">
      <c r="A53" s="25"/>
      <c r="C53" s="25"/>
    </row>
    <row r="54" spans="1:3" x14ac:dyDescent="0.3">
      <c r="A54" s="25"/>
      <c r="C54" s="25"/>
    </row>
    <row r="55" spans="1:3" x14ac:dyDescent="0.3">
      <c r="A55" s="25"/>
      <c r="C55" s="25"/>
    </row>
    <row r="56" spans="1:3" x14ac:dyDescent="0.3">
      <c r="A56" s="25"/>
      <c r="C56" s="25"/>
    </row>
    <row r="57" spans="1:3" x14ac:dyDescent="0.3">
      <c r="A57" s="25"/>
      <c r="C57" s="25"/>
    </row>
    <row r="58" spans="1:3" x14ac:dyDescent="0.3">
      <c r="A58" s="25"/>
      <c r="C58" s="25"/>
    </row>
    <row r="59" spans="1:3" x14ac:dyDescent="0.3">
      <c r="A59" s="25"/>
      <c r="C59" s="25"/>
    </row>
    <row r="60" spans="1:3" x14ac:dyDescent="0.3">
      <c r="A60" s="25"/>
      <c r="C60" s="25"/>
    </row>
    <row r="61" spans="1:3" x14ac:dyDescent="0.3">
      <c r="A61" s="25"/>
      <c r="C61" s="25"/>
    </row>
    <row r="62" spans="1:3" x14ac:dyDescent="0.3">
      <c r="A62" s="25"/>
      <c r="C62" s="25"/>
    </row>
    <row r="63" spans="1:3" x14ac:dyDescent="0.3">
      <c r="A63" s="25"/>
      <c r="C63" s="25"/>
    </row>
    <row r="64" spans="1:3" x14ac:dyDescent="0.3">
      <c r="A64" s="25"/>
      <c r="C64" s="25"/>
    </row>
    <row r="65" spans="1:3" x14ac:dyDescent="0.3">
      <c r="A65" s="25"/>
      <c r="C65" s="25"/>
    </row>
    <row r="66" spans="1:3" x14ac:dyDescent="0.3">
      <c r="A66" s="25"/>
      <c r="C66" s="25"/>
    </row>
    <row r="67" spans="1:3" x14ac:dyDescent="0.3">
      <c r="A67" s="25"/>
      <c r="C67" s="25"/>
    </row>
    <row r="68" spans="1:3" x14ac:dyDescent="0.3">
      <c r="A68" s="25"/>
      <c r="C68" s="25"/>
    </row>
    <row r="69" spans="1:3" x14ac:dyDescent="0.3">
      <c r="A69" s="25"/>
      <c r="C69" s="25"/>
    </row>
    <row r="70" spans="1:3" x14ac:dyDescent="0.3">
      <c r="A70" s="25"/>
      <c r="C70" s="25"/>
    </row>
    <row r="71" spans="1:3" x14ac:dyDescent="0.3">
      <c r="A71" s="25"/>
      <c r="C71" s="25"/>
    </row>
    <row r="72" spans="1:3" x14ac:dyDescent="0.3">
      <c r="A72" s="25"/>
      <c r="C72" s="25"/>
    </row>
    <row r="73" spans="1:3" x14ac:dyDescent="0.3">
      <c r="A73" s="25"/>
      <c r="C73" s="25"/>
    </row>
    <row r="74" spans="1:3" x14ac:dyDescent="0.3">
      <c r="A74" s="25"/>
      <c r="C74" s="25"/>
    </row>
    <row r="75" spans="1:3" x14ac:dyDescent="0.3">
      <c r="A75" s="25"/>
      <c r="C75" s="25"/>
    </row>
    <row r="76" spans="1:3" x14ac:dyDescent="0.3">
      <c r="A76" s="25"/>
      <c r="C76" s="25"/>
    </row>
    <row r="77" spans="1:3" x14ac:dyDescent="0.3">
      <c r="A77" s="25"/>
      <c r="C77" s="25"/>
    </row>
    <row r="90" spans="1:3" x14ac:dyDescent="0.3">
      <c r="C90" s="25"/>
    </row>
    <row r="91" spans="1:3" x14ac:dyDescent="0.3">
      <c r="C91" s="25"/>
    </row>
    <row r="92" spans="1:3" x14ac:dyDescent="0.3">
      <c r="C92" s="25"/>
    </row>
    <row r="93" spans="1:3" x14ac:dyDescent="0.3">
      <c r="C93" s="25"/>
    </row>
    <row r="94" spans="1:3" x14ac:dyDescent="0.3">
      <c r="C94" s="25"/>
    </row>
    <row r="95" spans="1:3" x14ac:dyDescent="0.3">
      <c r="C95" s="25"/>
    </row>
    <row r="96" spans="1:3" x14ac:dyDescent="0.3">
      <c r="A96" s="25"/>
      <c r="C96" s="25"/>
    </row>
    <row r="97" spans="1:3" x14ac:dyDescent="0.3">
      <c r="C97" s="25"/>
    </row>
    <row r="98" spans="1:3" x14ac:dyDescent="0.3">
      <c r="C98" s="25"/>
    </row>
    <row r="99" spans="1:3" x14ac:dyDescent="0.3">
      <c r="C99" s="25"/>
    </row>
    <row r="100" spans="1:3" x14ac:dyDescent="0.3">
      <c r="C100" s="25"/>
    </row>
    <row r="101" spans="1:3" x14ac:dyDescent="0.3">
      <c r="C101" s="25"/>
    </row>
    <row r="102" spans="1:3" x14ac:dyDescent="0.3">
      <c r="C102" s="25"/>
    </row>
    <row r="104" spans="1:3" x14ac:dyDescent="0.3">
      <c r="A104" s="25"/>
      <c r="C104" s="25"/>
    </row>
    <row r="105" spans="1:3" x14ac:dyDescent="0.3">
      <c r="A105" s="25"/>
      <c r="B105" s="25"/>
      <c r="C105" s="25"/>
    </row>
    <row r="106" spans="1:3" x14ac:dyDescent="0.3">
      <c r="A106" s="25"/>
      <c r="B106" s="25"/>
      <c r="C106" s="25"/>
    </row>
    <row r="107" spans="1:3" x14ac:dyDescent="0.3">
      <c r="A107" s="25"/>
      <c r="B107" s="25"/>
      <c r="C107" s="25"/>
    </row>
    <row r="108" spans="1:3" x14ac:dyDescent="0.3">
      <c r="A108" s="25"/>
      <c r="B108" s="25"/>
      <c r="C108" s="25"/>
    </row>
    <row r="109" spans="1:3" x14ac:dyDescent="0.3">
      <c r="A109" s="25"/>
      <c r="B109" s="25"/>
      <c r="C109" s="25"/>
    </row>
    <row r="110" spans="1:3" x14ac:dyDescent="0.3">
      <c r="A110" s="25"/>
      <c r="B110" s="25"/>
      <c r="C110" s="25"/>
    </row>
    <row r="111" spans="1:3" x14ac:dyDescent="0.3">
      <c r="A111" s="25"/>
      <c r="B111" s="25"/>
      <c r="C111" s="25"/>
    </row>
    <row r="112" spans="1:3" x14ac:dyDescent="0.3">
      <c r="A112" s="25"/>
      <c r="B112" s="25"/>
      <c r="C112" s="25"/>
    </row>
    <row r="127" spans="1:1" x14ac:dyDescent="0.3">
      <c r="A127" s="24"/>
    </row>
    <row r="139" spans="4:4" x14ac:dyDescent="0.3">
      <c r="D139" s="24"/>
    </row>
  </sheetData>
  <autoFilter ref="A1:G127" xr:uid="{570C76C3-43AB-4AFB-A417-46B82F64947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3f57b6-5c15-4143-8219-2beecf4a9f72">
      <Terms xmlns="http://schemas.microsoft.com/office/infopath/2007/PartnerControls"/>
    </lcf76f155ced4ddcb4097134ff3c332f>
    <TaxCatchAll xmlns="5a78b8e5-1db0-4b51-a51d-5cba963b01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D8F66C28CDB348811BD1C7E6D83E68" ma:contentTypeVersion="18" ma:contentTypeDescription="Create a new document." ma:contentTypeScope="" ma:versionID="42a502c0d91d2c068c3d6e66eea831bc">
  <xsd:schema xmlns:xsd="http://www.w3.org/2001/XMLSchema" xmlns:xs="http://www.w3.org/2001/XMLSchema" xmlns:p="http://schemas.microsoft.com/office/2006/metadata/properties" xmlns:ns2="263f57b6-5c15-4143-8219-2beecf4a9f72" xmlns:ns3="5a78b8e5-1db0-4b51-a51d-5cba963b014b" targetNamespace="http://schemas.microsoft.com/office/2006/metadata/properties" ma:root="true" ma:fieldsID="61e2f3f7b81dd32ea1fbc01ecb9effac" ns2:_="" ns3:_="">
    <xsd:import namespace="263f57b6-5c15-4143-8219-2beecf4a9f72"/>
    <xsd:import namespace="5a78b8e5-1db0-4b51-a51d-5cba963b01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f57b6-5c15-4143-8219-2beecf4a9f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ebb8a7e-ba8e-4a74-9a98-a0e15f4a7c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8b8e5-1db0-4b51-a51d-5cba963b014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8b1af4a-87c5-42ec-884f-3f966d85190d}" ma:internalName="TaxCatchAll" ma:showField="CatchAllData" ma:web="5a78b8e5-1db0-4b51-a51d-5cba963b01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A724F8E4-303B-4D0A-BCA9-D00916FBF421}">
  <ds:schemaRefs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5a78b8e5-1db0-4b51-a51d-5cba963b014b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263f57b6-5c15-4143-8219-2beecf4a9f72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98B3D14-892C-4FAF-921A-EA7740FF32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3f57b6-5c15-4143-8219-2beecf4a9f72"/>
    <ds:schemaRef ds:uri="5a78b8e5-1db0-4b51-a51d-5cba963b01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D1610B-CA79-4C8F-BBD3-9763C2B750A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37DDB6A-4D1C-41FF-852A-DCFD3E8701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37</vt:i4>
      </vt:variant>
    </vt:vector>
  </HeadingPairs>
  <TitlesOfParts>
    <vt:vector size="37" baseType="lpstr">
      <vt:lpstr>val_pyg_old_vs_new_por</vt:lpstr>
      <vt:lpstr>data_pyg_old</vt:lpstr>
      <vt:lpstr>val_pyg_old_vs_new_imp</vt:lpstr>
      <vt:lpstr>Val_FR_202501</vt:lpstr>
      <vt:lpstr>P&amp;G-SL</vt:lpstr>
      <vt:lpstr>P&amp;G-Ltd</vt:lpstr>
      <vt:lpstr>P&amp;G-Inc</vt:lpstr>
      <vt:lpstr>Consolidado</vt:lpstr>
      <vt:lpstr>control-pagos</vt:lpstr>
      <vt:lpstr>control-cobros</vt:lpstr>
      <vt:lpstr>params</vt:lpstr>
      <vt:lpstr>exchange_rates</vt:lpstr>
      <vt:lpstr>i-sales</vt:lpstr>
      <vt:lpstr>i-marketplaces-sl</vt:lpstr>
      <vt:lpstr>i-suplidos-sl</vt:lpstr>
      <vt:lpstr>i-rapels-sl</vt:lpstr>
      <vt:lpstr>i-adjustments-sl</vt:lpstr>
      <vt:lpstr>i-sharedservices-sl</vt:lpstr>
      <vt:lpstr>g-manufacturing-sl</vt:lpstr>
      <vt:lpstr>g-shipping-sl</vt:lpstr>
      <vt:lpstr>g-royalties-sl</vt:lpstr>
      <vt:lpstr>g-paymentsuplier-sl</vt:lpstr>
      <vt:lpstr>input-invoice</vt:lpstr>
      <vt:lpstr>input-prov</vt:lpstr>
      <vt:lpstr>payment-suppliers</vt:lpstr>
      <vt:lpstr>input-staff</vt:lpstr>
      <vt:lpstr>sel-staff</vt:lpstr>
      <vt:lpstr>sel-invoice</vt:lpstr>
      <vt:lpstr>sel-roy</vt:lpstr>
      <vt:lpstr>sel-prov</vt:lpstr>
      <vt:lpstr>sel-yyyymm</vt:lpstr>
      <vt:lpstr>input-tributos</vt:lpstr>
      <vt:lpstr>input-divisas</vt:lpstr>
      <vt:lpstr>sales-others</vt:lpstr>
      <vt:lpstr>comentarios andre</vt:lpstr>
      <vt:lpstr>Validacion-Ventas-RevisarASM</vt:lpstr>
      <vt:lpstr>sel-tributos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Adrià Sebastià</dc:creator>
  <cp:keywords/>
  <dc:description/>
  <cp:lastModifiedBy>Adrià Sebastià</cp:lastModifiedBy>
  <cp:revision/>
  <dcterms:created xsi:type="dcterms:W3CDTF">2025-09-10T06:45:05Z</dcterms:created>
  <dcterms:modified xsi:type="dcterms:W3CDTF">2026-03-22T22:56:18Z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0x010100EED8F66C28CDB348811BD1C7E6D83E68</vt:lpwstr>
  </property>
  <property fmtid="{D5CDD505-2E9C-101B-9397-08002B2CF9AE}" pid="3" name="MediaServiceImageTags">
    <vt:lpwstr/>
  </property>
</Properties>
</file>