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o365changwon-my.sharepoint.com/personal/snuwing_staff_changwon_ac_kr/Documents/docu/"/>
    </mc:Choice>
  </mc:AlternateContent>
  <xr:revisionPtr revIDLastSave="13" documentId="8_{D2367081-3701-8B40-8ED8-FAFD9B4600C3}" xr6:coauthVersionLast="47" xr6:coauthVersionMax="47" xr10:uidLastSave="{EBC762D1-F80B-59EC-86BE-92A549E426E4}"/>
  <bookViews>
    <workbookView xWindow="0" yWindow="600" windowWidth="33600" windowHeight="19400" firstSheet="10" activeTab="27" xr2:uid="{00000000-000D-0000-FFFF-FFFF00000000}"/>
  </bookViews>
  <sheets>
    <sheet name="사용안내" sheetId="1" r:id="rId1"/>
    <sheet name="예비비" sheetId="3" r:id="rId2"/>
    <sheet name="잔액" sheetId="4" r:id="rId3"/>
    <sheet name="1월" sheetId="5" r:id="rId4"/>
    <sheet name="1월계산기" sheetId="6" r:id="rId5"/>
    <sheet name="2월" sheetId="7" r:id="rId6"/>
    <sheet name="2월계산기" sheetId="8" r:id="rId7"/>
    <sheet name="3월" sheetId="9" r:id="rId8"/>
    <sheet name="3월계산기" sheetId="10" r:id="rId9"/>
    <sheet name="4월" sheetId="11" r:id="rId10"/>
    <sheet name="4월계산기" sheetId="12" r:id="rId11"/>
    <sheet name="5월" sheetId="13" r:id="rId12"/>
    <sheet name="5월계산기" sheetId="14" r:id="rId13"/>
    <sheet name="6월" sheetId="15" r:id="rId14"/>
    <sheet name="6월계산기" sheetId="16" r:id="rId15"/>
    <sheet name="7월" sheetId="17" r:id="rId16"/>
    <sheet name="7월계산기" sheetId="18" r:id="rId17"/>
    <sheet name="8월" sheetId="19" r:id="rId18"/>
    <sheet name="8월계산기" sheetId="20" r:id="rId19"/>
    <sheet name="9월" sheetId="21" r:id="rId20"/>
    <sheet name="9월계산기" sheetId="22" r:id="rId21"/>
    <sheet name="10월" sheetId="23" r:id="rId22"/>
    <sheet name="10월계산기" sheetId="24" r:id="rId23"/>
    <sheet name="11월" sheetId="25" r:id="rId24"/>
    <sheet name="11월계산기" sheetId="26" r:id="rId25"/>
    <sheet name="12월" sheetId="27" r:id="rId26"/>
    <sheet name="12월계산기" sheetId="28" r:id="rId27"/>
    <sheet name="RAW" sheetId="29" r:id="rId28"/>
    <sheet name="기존_예비비" sheetId="30" state="hidden" r:id="rId29"/>
    <sheet name="기존_잔액" sheetId="31" state="hidden" r:id="rId30"/>
    <sheet name="기존_1월" sheetId="32" state="hidden" r:id="rId31"/>
    <sheet name="기존_2월" sheetId="33" state="hidden" r:id="rId32"/>
    <sheet name="기존_3월" sheetId="34" state="hidden" r:id="rId33"/>
    <sheet name="기존_4월" sheetId="35" state="hidden" r:id="rId34"/>
    <sheet name="기존_5월" sheetId="36" state="hidden" r:id="rId35"/>
    <sheet name="기존_6월" sheetId="37" state="hidden" r:id="rId36"/>
    <sheet name="기존_7월" sheetId="38" state="hidden" r:id="rId37"/>
    <sheet name="기존_8월" sheetId="39" state="hidden" r:id="rId38"/>
    <sheet name="기존_9월" sheetId="40" state="hidden" r:id="rId39"/>
    <sheet name="기존_이사비" sheetId="41" state="hidden" r:id="rId40"/>
    <sheet name="기존_상환비" sheetId="42" state="hidden" r:id="rId41"/>
    <sheet name="보관_9월계산기" sheetId="43" state="hidden" r:id="rId42"/>
    <sheet name="보관_11월계산기" sheetId="44" state="hidden" r:id="rId43"/>
    <sheet name="보관_12월계산기" sheetId="45" state="hidden" r:id="rId44"/>
    <sheet name="_예비비계산" sheetId="46" state="hidden" r:id="rId45"/>
  </sheets>
  <functionGroups builtInGroupCount="19"/>
  <definedNames>
    <definedName name="_xlnm._FilterDatabase" localSheetId="27" hidden="1">RAW!$A$1:$S$2453</definedName>
    <definedName name="_xlnm.Print_Area" localSheetId="21">'10월'!$A$1:$V$79</definedName>
    <definedName name="_xlnm.Print_Area" localSheetId="22">'10월계산기'!$A$1:$W$155</definedName>
    <definedName name="_xlnm.Print_Area" localSheetId="23">'11월'!$A$1:$V$79</definedName>
    <definedName name="_xlnm.Print_Area" localSheetId="24">'11월계산기'!$A$1:$W$155</definedName>
    <definedName name="_xlnm.Print_Area" localSheetId="25">'12월'!$A$1:$V$79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'9월'!$A$1:$V$79</definedName>
    <definedName name="_xlnm.Print_Area" localSheetId="20">'9월계산기'!$A$1:$W$155</definedName>
    <definedName name="_xlnm.Print_Area" localSheetId="1">예비비!$A$1:$O$79</definedName>
    <definedName name="_xlnm.Print_Area" localSheetId="2">잔액!$A$1:$L$525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556" i="46" l="1"/>
  <c r="BH556" i="46" s="1"/>
  <c r="BB555" i="46"/>
  <c r="BH555" i="46" s="1"/>
  <c r="BB554" i="46"/>
  <c r="BH554" i="46" s="1"/>
  <c r="BB553" i="46"/>
  <c r="BH553" i="46" s="1"/>
  <c r="BB552" i="46"/>
  <c r="BH552" i="46" s="1"/>
  <c r="BB551" i="46"/>
  <c r="BH551" i="46" s="1"/>
  <c r="BB550" i="46"/>
  <c r="BH550" i="46" s="1"/>
  <c r="BB549" i="46"/>
  <c r="BH549" i="46" s="1"/>
  <c r="BB548" i="46"/>
  <c r="BH548" i="46" s="1"/>
  <c r="BB547" i="46"/>
  <c r="BH547" i="46" s="1"/>
  <c r="BB546" i="46"/>
  <c r="BH546" i="46" s="1"/>
  <c r="BB545" i="46"/>
  <c r="BH545" i="46" s="1"/>
  <c r="BB544" i="46"/>
  <c r="BH544" i="46" s="1"/>
  <c r="BB543" i="46"/>
  <c r="BH543" i="46" s="1"/>
  <c r="BB542" i="46"/>
  <c r="BH542" i="46" s="1"/>
  <c r="BB541" i="46"/>
  <c r="BH541" i="46" s="1"/>
  <c r="BB540" i="46"/>
  <c r="BH540" i="46" s="1"/>
  <c r="BB539" i="46"/>
  <c r="BH539" i="46" s="1"/>
  <c r="BB538" i="46"/>
  <c r="BH538" i="46" s="1"/>
  <c r="BB537" i="46"/>
  <c r="BH537" i="46" s="1"/>
  <c r="BB536" i="46"/>
  <c r="BH536" i="46" s="1"/>
  <c r="BB535" i="46"/>
  <c r="BH535" i="46" s="1"/>
  <c r="BB534" i="46"/>
  <c r="BH534" i="46" s="1"/>
  <c r="BB533" i="46"/>
  <c r="BH533" i="46" s="1"/>
  <c r="BB532" i="46"/>
  <c r="BH532" i="46" s="1"/>
  <c r="BB531" i="46"/>
  <c r="BH531" i="46" s="1"/>
  <c r="BB530" i="46"/>
  <c r="BH530" i="46" s="1"/>
  <c r="BB529" i="46"/>
  <c r="BH529" i="46" s="1"/>
  <c r="BB528" i="46"/>
  <c r="BH528" i="46" s="1"/>
  <c r="BB527" i="46"/>
  <c r="BH527" i="46" s="1"/>
  <c r="BB526" i="46"/>
  <c r="BH526" i="46" s="1"/>
  <c r="BB525" i="46"/>
  <c r="BH525" i="46" s="1"/>
  <c r="BB524" i="46"/>
  <c r="BH524" i="46" s="1"/>
  <c r="BB523" i="46"/>
  <c r="BH523" i="46" s="1"/>
  <c r="BB522" i="46"/>
  <c r="BH522" i="46" s="1"/>
  <c r="BB521" i="46"/>
  <c r="BH521" i="46" s="1"/>
  <c r="BB520" i="46"/>
  <c r="BH520" i="46" s="1"/>
  <c r="BB519" i="46"/>
  <c r="BH519" i="46" s="1"/>
  <c r="BB518" i="46"/>
  <c r="BH518" i="46" s="1"/>
  <c r="BB517" i="46"/>
  <c r="BH517" i="46" s="1"/>
  <c r="BB516" i="46"/>
  <c r="BH516" i="46" s="1"/>
  <c r="BB515" i="46"/>
  <c r="BH515" i="46" s="1"/>
  <c r="BB514" i="46"/>
  <c r="BH514" i="46" s="1"/>
  <c r="BB513" i="46"/>
  <c r="BH513" i="46" s="1"/>
  <c r="BB512" i="46"/>
  <c r="BH512" i="46" s="1"/>
  <c r="BB511" i="46"/>
  <c r="BH511" i="46" s="1"/>
  <c r="BB510" i="46"/>
  <c r="BH510" i="46" s="1"/>
  <c r="BB509" i="46"/>
  <c r="BH509" i="46" s="1"/>
  <c r="BB508" i="46"/>
  <c r="BH508" i="46" s="1"/>
  <c r="BB507" i="46"/>
  <c r="BH507" i="46" s="1"/>
  <c r="BB506" i="46"/>
  <c r="BH506" i="46" s="1"/>
  <c r="BB505" i="46"/>
  <c r="BH505" i="46" s="1"/>
  <c r="BB504" i="46"/>
  <c r="BH504" i="46" s="1"/>
  <c r="BB503" i="46"/>
  <c r="BH503" i="46" s="1"/>
  <c r="BB502" i="46"/>
  <c r="BH502" i="46" s="1"/>
  <c r="BB501" i="46"/>
  <c r="BH501" i="46" s="1"/>
  <c r="BB500" i="46"/>
  <c r="BH500" i="46" s="1"/>
  <c r="BB499" i="46"/>
  <c r="BH499" i="46" s="1"/>
  <c r="BB498" i="46"/>
  <c r="BH498" i="46" s="1"/>
  <c r="BB497" i="46"/>
  <c r="BH497" i="46" s="1"/>
  <c r="BB496" i="46"/>
  <c r="BH496" i="46" s="1"/>
  <c r="BB495" i="46"/>
  <c r="BH495" i="46" s="1"/>
  <c r="BB494" i="46"/>
  <c r="BH494" i="46" s="1"/>
  <c r="BB493" i="46"/>
  <c r="BH493" i="46" s="1"/>
  <c r="BB492" i="46"/>
  <c r="BH492" i="46" s="1"/>
  <c r="BB491" i="46"/>
  <c r="BH491" i="46" s="1"/>
  <c r="BB490" i="46"/>
  <c r="BH490" i="46" s="1"/>
  <c r="BB489" i="46"/>
  <c r="BH489" i="46" s="1"/>
  <c r="BB488" i="46"/>
  <c r="BH488" i="46" s="1"/>
  <c r="BB487" i="46"/>
  <c r="BH487" i="46" s="1"/>
  <c r="BB486" i="46"/>
  <c r="BH486" i="46" s="1"/>
  <c r="BB485" i="46"/>
  <c r="BH485" i="46" s="1"/>
  <c r="BB484" i="46"/>
  <c r="BH484" i="46" s="1"/>
  <c r="BB483" i="46"/>
  <c r="BH483" i="46" s="1"/>
  <c r="BB482" i="46"/>
  <c r="BH482" i="46" s="1"/>
  <c r="BB481" i="46"/>
  <c r="BH481" i="46" s="1"/>
  <c r="BB480" i="46"/>
  <c r="BH480" i="46" s="1"/>
  <c r="BB479" i="46"/>
  <c r="BH479" i="46" s="1"/>
  <c r="BB478" i="46"/>
  <c r="BH478" i="46" s="1"/>
  <c r="BB477" i="46"/>
  <c r="BH477" i="46" s="1"/>
  <c r="BB476" i="46"/>
  <c r="BH476" i="46" s="1"/>
  <c r="BB475" i="46"/>
  <c r="BH475" i="46" s="1"/>
  <c r="BB474" i="46"/>
  <c r="BH474" i="46" s="1"/>
  <c r="BB473" i="46"/>
  <c r="BH473" i="46" s="1"/>
  <c r="BB472" i="46"/>
  <c r="BH472" i="46" s="1"/>
  <c r="BB471" i="46"/>
  <c r="BH471" i="46" s="1"/>
  <c r="BB470" i="46"/>
  <c r="BH470" i="46" s="1"/>
  <c r="BB469" i="46"/>
  <c r="BH469" i="46" s="1"/>
  <c r="BB468" i="46"/>
  <c r="BH468" i="46" s="1"/>
  <c r="BB467" i="46"/>
  <c r="BH467" i="46" s="1"/>
  <c r="BB466" i="46"/>
  <c r="BH466" i="46" s="1"/>
  <c r="BB465" i="46"/>
  <c r="BH465" i="46" s="1"/>
  <c r="BB464" i="46"/>
  <c r="BH464" i="46" s="1"/>
  <c r="BB463" i="46"/>
  <c r="BH463" i="46" s="1"/>
  <c r="BB462" i="46"/>
  <c r="BH462" i="46" s="1"/>
  <c r="BB461" i="46"/>
  <c r="BH461" i="46" s="1"/>
  <c r="BB460" i="46"/>
  <c r="BH460" i="46" s="1"/>
  <c r="BB459" i="46"/>
  <c r="BH459" i="46" s="1"/>
  <c r="BB458" i="46"/>
  <c r="BH458" i="46" s="1"/>
  <c r="BB457" i="46"/>
  <c r="BH457" i="46" s="1"/>
  <c r="BB456" i="46"/>
  <c r="BH456" i="46" s="1"/>
  <c r="BB455" i="46"/>
  <c r="BH455" i="46" s="1"/>
  <c r="BB454" i="46"/>
  <c r="BH454" i="46" s="1"/>
  <c r="BB453" i="46"/>
  <c r="BH453" i="46" s="1"/>
  <c r="BB452" i="46"/>
  <c r="BH452" i="46" s="1"/>
  <c r="BB451" i="46"/>
  <c r="BH451" i="46" s="1"/>
  <c r="BB450" i="46"/>
  <c r="BH450" i="46" s="1"/>
  <c r="BB449" i="46"/>
  <c r="BH449" i="46" s="1"/>
  <c r="BB448" i="46"/>
  <c r="BH448" i="46" s="1"/>
  <c r="BB447" i="46"/>
  <c r="BH447" i="46" s="1"/>
  <c r="BB446" i="46"/>
  <c r="BH446" i="46" s="1"/>
  <c r="BB445" i="46"/>
  <c r="BH445" i="46" s="1"/>
  <c r="BB444" i="46"/>
  <c r="BH444" i="46" s="1"/>
  <c r="BB443" i="46"/>
  <c r="BH443" i="46" s="1"/>
  <c r="BB442" i="46"/>
  <c r="BH442" i="46" s="1"/>
  <c r="BB441" i="46"/>
  <c r="BH441" i="46" s="1"/>
  <c r="BB440" i="46"/>
  <c r="BH440" i="46" s="1"/>
  <c r="BB439" i="46"/>
  <c r="BH439" i="46" s="1"/>
  <c r="BB438" i="46"/>
  <c r="BH438" i="46" s="1"/>
  <c r="BB437" i="46"/>
  <c r="BH437" i="46" s="1"/>
  <c r="BB436" i="46"/>
  <c r="BH436" i="46" s="1"/>
  <c r="BB435" i="46"/>
  <c r="BH435" i="46" s="1"/>
  <c r="BB434" i="46"/>
  <c r="BH434" i="46" s="1"/>
  <c r="BB433" i="46"/>
  <c r="BH433" i="46" s="1"/>
  <c r="BB432" i="46"/>
  <c r="BH432" i="46" s="1"/>
  <c r="BB431" i="46"/>
  <c r="BH431" i="46" s="1"/>
  <c r="BB430" i="46"/>
  <c r="BH430" i="46" s="1"/>
  <c r="BB429" i="46"/>
  <c r="BH429" i="46" s="1"/>
  <c r="BB428" i="46"/>
  <c r="BH428" i="46" s="1"/>
  <c r="BB427" i="46"/>
  <c r="BH427" i="46" s="1"/>
  <c r="BB426" i="46"/>
  <c r="BH426" i="46" s="1"/>
  <c r="BB425" i="46"/>
  <c r="BH425" i="46" s="1"/>
  <c r="BB424" i="46"/>
  <c r="BH424" i="46" s="1"/>
  <c r="BB423" i="46"/>
  <c r="BH423" i="46" s="1"/>
  <c r="BB422" i="46"/>
  <c r="BH422" i="46" s="1"/>
  <c r="BB421" i="46"/>
  <c r="BH421" i="46" s="1"/>
  <c r="BB420" i="46"/>
  <c r="BH420" i="46" s="1"/>
  <c r="BB419" i="46"/>
  <c r="BH419" i="46" s="1"/>
  <c r="BB418" i="46"/>
  <c r="BH418" i="46" s="1"/>
  <c r="BB417" i="46"/>
  <c r="BH417" i="46" s="1"/>
  <c r="BB416" i="46"/>
  <c r="BH416" i="46" s="1"/>
  <c r="BB415" i="46"/>
  <c r="BH415" i="46" s="1"/>
  <c r="BB414" i="46"/>
  <c r="BH414" i="46" s="1"/>
  <c r="BB413" i="46"/>
  <c r="BH413" i="46" s="1"/>
  <c r="BB412" i="46"/>
  <c r="BH412" i="46" s="1"/>
  <c r="BB411" i="46"/>
  <c r="BH411" i="46" s="1"/>
  <c r="BB410" i="46"/>
  <c r="BH410" i="46" s="1"/>
  <c r="BB409" i="46"/>
  <c r="BH409" i="46" s="1"/>
  <c r="BB408" i="46"/>
  <c r="BH408" i="46" s="1"/>
  <c r="BB407" i="46"/>
  <c r="BH407" i="46" s="1"/>
  <c r="BB406" i="46"/>
  <c r="BH406" i="46" s="1"/>
  <c r="BB405" i="46"/>
  <c r="BH405" i="46" s="1"/>
  <c r="BB404" i="46"/>
  <c r="BH404" i="46" s="1"/>
  <c r="BB403" i="46"/>
  <c r="BH403" i="46" s="1"/>
  <c r="BB402" i="46"/>
  <c r="BH402" i="46" s="1"/>
  <c r="BB401" i="46"/>
  <c r="BH401" i="46" s="1"/>
  <c r="BB400" i="46"/>
  <c r="BH400" i="46" s="1"/>
  <c r="BB399" i="46"/>
  <c r="BH399" i="46" s="1"/>
  <c r="BB398" i="46"/>
  <c r="BH398" i="46" s="1"/>
  <c r="BB397" i="46"/>
  <c r="BH397" i="46" s="1"/>
  <c r="BB396" i="46"/>
  <c r="BH396" i="46" s="1"/>
  <c r="BB395" i="46"/>
  <c r="BH395" i="46" s="1"/>
  <c r="BB394" i="46"/>
  <c r="BH394" i="46" s="1"/>
  <c r="BB393" i="46"/>
  <c r="BH393" i="46" s="1"/>
  <c r="BB392" i="46"/>
  <c r="BH392" i="46" s="1"/>
  <c r="BB391" i="46"/>
  <c r="BH391" i="46" s="1"/>
  <c r="BB390" i="46"/>
  <c r="BH390" i="46" s="1"/>
  <c r="BB389" i="46"/>
  <c r="BH389" i="46" s="1"/>
  <c r="BB388" i="46"/>
  <c r="BH388" i="46" s="1"/>
  <c r="BB387" i="46"/>
  <c r="BH387" i="46" s="1"/>
  <c r="BB386" i="46"/>
  <c r="BH386" i="46" s="1"/>
  <c r="BB385" i="46"/>
  <c r="BH385" i="46" s="1"/>
  <c r="BB384" i="46"/>
  <c r="BH384" i="46" s="1"/>
  <c r="BB383" i="46"/>
  <c r="BH383" i="46" s="1"/>
  <c r="BB382" i="46"/>
  <c r="BH382" i="46" s="1"/>
  <c r="BB381" i="46"/>
  <c r="BH381" i="46" s="1"/>
  <c r="BB380" i="46"/>
  <c r="BH380" i="46" s="1"/>
  <c r="BB379" i="46"/>
  <c r="BH379" i="46" s="1"/>
  <c r="BB378" i="46"/>
  <c r="BH378" i="46" s="1"/>
  <c r="BB377" i="46"/>
  <c r="BH377" i="46" s="1"/>
  <c r="BB376" i="46"/>
  <c r="BH376" i="46" s="1"/>
  <c r="BB375" i="46"/>
  <c r="BH375" i="46" s="1"/>
  <c r="BB374" i="46"/>
  <c r="BH374" i="46" s="1"/>
  <c r="BB373" i="46"/>
  <c r="BH373" i="46" s="1"/>
  <c r="BB372" i="46"/>
  <c r="BH372" i="46" s="1"/>
  <c r="BB371" i="46"/>
  <c r="BH371" i="46" s="1"/>
  <c r="BB370" i="46"/>
  <c r="BH370" i="46" s="1"/>
  <c r="BB369" i="46"/>
  <c r="BH369" i="46" s="1"/>
  <c r="BB368" i="46"/>
  <c r="BH368" i="46" s="1"/>
  <c r="BB367" i="46"/>
  <c r="BH367" i="46" s="1"/>
  <c r="BB366" i="46"/>
  <c r="BH366" i="46" s="1"/>
  <c r="BB365" i="46"/>
  <c r="BH365" i="46" s="1"/>
  <c r="BB364" i="46"/>
  <c r="BH364" i="46" s="1"/>
  <c r="BB363" i="46"/>
  <c r="BH363" i="46" s="1"/>
  <c r="BB362" i="46"/>
  <c r="BH362" i="46" s="1"/>
  <c r="BB361" i="46"/>
  <c r="BH361" i="46" s="1"/>
  <c r="BB360" i="46"/>
  <c r="BH360" i="46" s="1"/>
  <c r="BB359" i="46"/>
  <c r="BH359" i="46" s="1"/>
  <c r="BB358" i="46"/>
  <c r="BH358" i="46" s="1"/>
  <c r="BB357" i="46"/>
  <c r="BH357" i="46" s="1"/>
  <c r="BB356" i="46"/>
  <c r="BH356" i="46" s="1"/>
  <c r="BB355" i="46"/>
  <c r="BH355" i="46" s="1"/>
  <c r="BB354" i="46"/>
  <c r="BH354" i="46" s="1"/>
  <c r="BB353" i="46"/>
  <c r="BH353" i="46" s="1"/>
  <c r="BB352" i="46"/>
  <c r="BH352" i="46" s="1"/>
  <c r="BB351" i="46"/>
  <c r="BH351" i="46" s="1"/>
  <c r="BB350" i="46"/>
  <c r="BH350" i="46" s="1"/>
  <c r="BB349" i="46"/>
  <c r="BH349" i="46" s="1"/>
  <c r="BB348" i="46"/>
  <c r="BH348" i="46" s="1"/>
  <c r="BB347" i="46"/>
  <c r="BH347" i="46" s="1"/>
  <c r="BB346" i="46"/>
  <c r="BH346" i="46" s="1"/>
  <c r="BB345" i="46"/>
  <c r="BH345" i="46" s="1"/>
  <c r="BB344" i="46"/>
  <c r="BH344" i="46" s="1"/>
  <c r="BB343" i="46"/>
  <c r="BH343" i="46" s="1"/>
  <c r="BB342" i="46"/>
  <c r="BH342" i="46" s="1"/>
  <c r="BB341" i="46"/>
  <c r="BH341" i="46" s="1"/>
  <c r="BB340" i="46"/>
  <c r="BH340" i="46" s="1"/>
  <c r="BB339" i="46"/>
  <c r="BH339" i="46" s="1"/>
  <c r="BB338" i="46"/>
  <c r="BH338" i="46" s="1"/>
  <c r="BB337" i="46"/>
  <c r="BH337" i="46" s="1"/>
  <c r="BB336" i="46"/>
  <c r="BH336" i="46" s="1"/>
  <c r="BB335" i="46"/>
  <c r="BH335" i="46" s="1"/>
  <c r="BB334" i="46"/>
  <c r="BH334" i="46" s="1"/>
  <c r="BB333" i="46"/>
  <c r="BH333" i="46" s="1"/>
  <c r="BB332" i="46"/>
  <c r="BH332" i="46" s="1"/>
  <c r="BB331" i="46"/>
  <c r="BH331" i="46" s="1"/>
  <c r="BB330" i="46"/>
  <c r="BH330" i="46" s="1"/>
  <c r="BB329" i="46"/>
  <c r="BH329" i="46" s="1"/>
  <c r="BB328" i="46"/>
  <c r="BH328" i="46" s="1"/>
  <c r="BB327" i="46"/>
  <c r="BH327" i="46" s="1"/>
  <c r="BB326" i="46"/>
  <c r="BH326" i="46" s="1"/>
  <c r="BB325" i="46"/>
  <c r="BH325" i="46" s="1"/>
  <c r="BB324" i="46"/>
  <c r="BH324" i="46" s="1"/>
  <c r="BB323" i="46"/>
  <c r="BH323" i="46" s="1"/>
  <c r="BB322" i="46"/>
  <c r="BH322" i="46" s="1"/>
  <c r="BB321" i="46"/>
  <c r="BH321" i="46" s="1"/>
  <c r="BB320" i="46"/>
  <c r="BH320" i="46" s="1"/>
  <c r="BB319" i="46"/>
  <c r="BH319" i="46" s="1"/>
  <c r="BB318" i="46"/>
  <c r="BH318" i="46" s="1"/>
  <c r="BB317" i="46"/>
  <c r="BH317" i="46" s="1"/>
  <c r="BB316" i="46"/>
  <c r="BH316" i="46" s="1"/>
  <c r="BB315" i="46"/>
  <c r="BH315" i="46" s="1"/>
  <c r="BB314" i="46"/>
  <c r="BH314" i="46" s="1"/>
  <c r="BB313" i="46"/>
  <c r="BH313" i="46" s="1"/>
  <c r="BB312" i="46"/>
  <c r="BH312" i="46" s="1"/>
  <c r="BB311" i="46"/>
  <c r="BH311" i="46" s="1"/>
  <c r="BB310" i="46"/>
  <c r="BH310" i="46" s="1"/>
  <c r="BB309" i="46"/>
  <c r="BH309" i="46" s="1"/>
  <c r="BB308" i="46"/>
  <c r="BH308" i="46" s="1"/>
  <c r="BB307" i="46"/>
  <c r="BH307" i="46" s="1"/>
  <c r="BB306" i="46"/>
  <c r="BH306" i="46" s="1"/>
  <c r="BB305" i="46"/>
  <c r="BH305" i="46" s="1"/>
  <c r="BB304" i="46"/>
  <c r="BH304" i="46" s="1"/>
  <c r="BB303" i="46"/>
  <c r="BH303" i="46" s="1"/>
  <c r="BB302" i="46"/>
  <c r="BB301" i="46"/>
  <c r="BH301" i="46" s="1"/>
  <c r="BB300" i="46"/>
  <c r="BH300" i="46" s="1"/>
  <c r="BB299" i="46"/>
  <c r="BH299" i="46" s="1"/>
  <c r="BB298" i="46"/>
  <c r="BH298" i="46" s="1"/>
  <c r="BB297" i="46"/>
  <c r="BH297" i="46" s="1"/>
  <c r="BB296" i="46"/>
  <c r="BH296" i="46" s="1"/>
  <c r="BB295" i="46"/>
  <c r="BH295" i="46" s="1"/>
  <c r="BB294" i="46"/>
  <c r="BH294" i="46" s="1"/>
  <c r="BB293" i="46"/>
  <c r="BH293" i="46" s="1"/>
  <c r="BB292" i="46"/>
  <c r="BH292" i="46" s="1"/>
  <c r="BB291" i="46"/>
  <c r="BH291" i="46" s="1"/>
  <c r="BB290" i="46"/>
  <c r="BH290" i="46" s="1"/>
  <c r="BB289" i="46"/>
  <c r="BH289" i="46" s="1"/>
  <c r="BB288" i="46"/>
  <c r="BH288" i="46" s="1"/>
  <c r="BB287" i="46"/>
  <c r="BH287" i="46" s="1"/>
  <c r="BB286" i="46"/>
  <c r="BH286" i="46" s="1"/>
  <c r="BB285" i="46"/>
  <c r="BH285" i="46" s="1"/>
  <c r="BB284" i="46"/>
  <c r="BH284" i="46" s="1"/>
  <c r="BB283" i="46"/>
  <c r="BH283" i="46" s="1"/>
  <c r="BB282" i="46"/>
  <c r="BH282" i="46" s="1"/>
  <c r="BB281" i="46"/>
  <c r="BH281" i="46" s="1"/>
  <c r="BB280" i="46"/>
  <c r="BH280" i="46" s="1"/>
  <c r="BB279" i="46"/>
  <c r="BB278" i="46"/>
  <c r="BB277" i="46"/>
  <c r="BH277" i="46" s="1"/>
  <c r="BB276" i="46"/>
  <c r="BH276" i="46" s="1"/>
  <c r="BB275" i="46"/>
  <c r="BH275" i="46" s="1"/>
  <c r="BB274" i="46"/>
  <c r="BH274" i="46" s="1"/>
  <c r="BB273" i="46"/>
  <c r="BH273" i="46" s="1"/>
  <c r="BB272" i="46"/>
  <c r="BH272" i="46" s="1"/>
  <c r="BB271" i="46"/>
  <c r="BH271" i="46" s="1"/>
  <c r="BB270" i="46"/>
  <c r="BH270" i="46" s="1"/>
  <c r="BB269" i="46"/>
  <c r="BH269" i="46" s="1"/>
  <c r="BB268" i="46"/>
  <c r="BH268" i="46" s="1"/>
  <c r="BB267" i="46"/>
  <c r="BH267" i="46" s="1"/>
  <c r="BB266" i="46"/>
  <c r="BH266" i="46" s="1"/>
  <c r="BB265" i="46"/>
  <c r="BH265" i="46" s="1"/>
  <c r="BB264" i="46"/>
  <c r="BB263" i="46"/>
  <c r="BH263" i="46" s="1"/>
  <c r="BB262" i="46"/>
  <c r="BH262" i="46" s="1"/>
  <c r="BB261" i="46"/>
  <c r="BH261" i="46" s="1"/>
  <c r="BB260" i="46"/>
  <c r="BH260" i="46" s="1"/>
  <c r="BB259" i="46"/>
  <c r="BH259" i="46" s="1"/>
  <c r="BB258" i="46"/>
  <c r="BH258" i="46" s="1"/>
  <c r="BB257" i="46"/>
  <c r="BH257" i="46" s="1"/>
  <c r="BB256" i="46"/>
  <c r="BH256" i="46" s="1"/>
  <c r="BB255" i="46"/>
  <c r="BH255" i="46" s="1"/>
  <c r="BB254" i="46"/>
  <c r="BH254" i="46" s="1"/>
  <c r="BB253" i="46"/>
  <c r="BH253" i="46" s="1"/>
  <c r="BB252" i="46"/>
  <c r="BH252" i="46" s="1"/>
  <c r="BB251" i="46"/>
  <c r="BH251" i="46" s="1"/>
  <c r="BB250" i="46"/>
  <c r="BH250" i="46" s="1"/>
  <c r="BB249" i="46"/>
  <c r="BH249" i="46" s="1"/>
  <c r="BB248" i="46"/>
  <c r="BH248" i="46" s="1"/>
  <c r="BB247" i="46"/>
  <c r="BH247" i="46" s="1"/>
  <c r="BB246" i="46"/>
  <c r="BH246" i="46" s="1"/>
  <c r="BB245" i="46"/>
  <c r="BH245" i="46" s="1"/>
  <c r="BB244" i="46"/>
  <c r="BB243" i="46"/>
  <c r="BH243" i="46" s="1"/>
  <c r="BB242" i="46"/>
  <c r="BH242" i="46" s="1"/>
  <c r="BB241" i="46"/>
  <c r="BH241" i="46" s="1"/>
  <c r="BB240" i="46"/>
  <c r="BH240" i="46" s="1"/>
  <c r="BB239" i="46"/>
  <c r="BH239" i="46" s="1"/>
  <c r="BB238" i="46"/>
  <c r="BH238" i="46" s="1"/>
  <c r="BB237" i="46"/>
  <c r="BH237" i="46" s="1"/>
  <c r="BB236" i="46"/>
  <c r="BH236" i="46" s="1"/>
  <c r="BB235" i="46"/>
  <c r="BH235" i="46" s="1"/>
  <c r="BB234" i="46"/>
  <c r="BH234" i="46" s="1"/>
  <c r="BB233" i="46"/>
  <c r="BH233" i="46" s="1"/>
  <c r="BB232" i="46"/>
  <c r="BH232" i="46" s="1"/>
  <c r="BB231" i="46"/>
  <c r="BH231" i="46" s="1"/>
  <c r="BB230" i="46"/>
  <c r="BH230" i="46" s="1"/>
  <c r="BB229" i="46"/>
  <c r="BH229" i="46" s="1"/>
  <c r="BB228" i="46"/>
  <c r="BH228" i="46" s="1"/>
  <c r="BB227" i="46"/>
  <c r="BH227" i="46" s="1"/>
  <c r="BB226" i="46"/>
  <c r="BH226" i="46" s="1"/>
  <c r="BB225" i="46"/>
  <c r="BH225" i="46" s="1"/>
  <c r="BB224" i="46"/>
  <c r="BH224" i="46" s="1"/>
  <c r="BB223" i="46"/>
  <c r="BH223" i="46" s="1"/>
  <c r="BB222" i="46"/>
  <c r="BH222" i="46" s="1"/>
  <c r="BB221" i="46"/>
  <c r="BH221" i="46" s="1"/>
  <c r="BB220" i="46"/>
  <c r="BH220" i="46" s="1"/>
  <c r="BB219" i="46"/>
  <c r="BH219" i="46" s="1"/>
  <c r="BB218" i="46"/>
  <c r="BH218" i="46" s="1"/>
  <c r="BB217" i="46"/>
  <c r="BH217" i="46" s="1"/>
  <c r="BB216" i="46"/>
  <c r="BH216" i="46" s="1"/>
  <c r="BB215" i="46"/>
  <c r="BH215" i="46" s="1"/>
  <c r="BB214" i="46"/>
  <c r="BH214" i="46" s="1"/>
  <c r="BB213" i="46"/>
  <c r="BH213" i="46" s="1"/>
  <c r="BB212" i="46"/>
  <c r="BH212" i="46" s="1"/>
  <c r="BB211" i="46"/>
  <c r="BH211" i="46" s="1"/>
  <c r="BB210" i="46"/>
  <c r="BH210" i="46" s="1"/>
  <c r="BB209" i="46"/>
  <c r="BH209" i="46" s="1"/>
  <c r="BB208" i="46"/>
  <c r="BH208" i="46" s="1"/>
  <c r="BB207" i="46"/>
  <c r="BH207" i="46" s="1"/>
  <c r="BB206" i="46"/>
  <c r="BH206" i="46" s="1"/>
  <c r="BB205" i="46"/>
  <c r="BH205" i="46" s="1"/>
  <c r="BB204" i="46"/>
  <c r="BH204" i="46" s="1"/>
  <c r="BB203" i="46"/>
  <c r="BH203" i="46" s="1"/>
  <c r="BB202" i="46"/>
  <c r="BH202" i="46" s="1"/>
  <c r="BB201" i="46"/>
  <c r="BH201" i="46" s="1"/>
  <c r="BB200" i="46"/>
  <c r="BH200" i="46" s="1"/>
  <c r="BB199" i="46"/>
  <c r="BH199" i="46" s="1"/>
  <c r="BB198" i="46"/>
  <c r="BH198" i="46" s="1"/>
  <c r="BB197" i="46"/>
  <c r="BH197" i="46" s="1"/>
  <c r="BB196" i="46"/>
  <c r="BH196" i="46" s="1"/>
  <c r="BB195" i="46"/>
  <c r="BH195" i="46" s="1"/>
  <c r="BB194" i="46"/>
  <c r="BH194" i="46" s="1"/>
  <c r="BB193" i="46"/>
  <c r="BH193" i="46" s="1"/>
  <c r="BB192" i="46"/>
  <c r="BH192" i="46" s="1"/>
  <c r="BB191" i="46"/>
  <c r="BH191" i="46" s="1"/>
  <c r="BB190" i="46"/>
  <c r="BH190" i="46" s="1"/>
  <c r="BB189" i="46"/>
  <c r="BH189" i="46" s="1"/>
  <c r="BB188" i="46"/>
  <c r="BH188" i="46" s="1"/>
  <c r="BB187" i="46"/>
  <c r="BH187" i="46" s="1"/>
  <c r="BB186" i="46"/>
  <c r="BH186" i="46" s="1"/>
  <c r="BB185" i="46"/>
  <c r="BH185" i="46" s="1"/>
  <c r="BB184" i="46"/>
  <c r="BH184" i="46" s="1"/>
  <c r="BB183" i="46"/>
  <c r="BH183" i="46" s="1"/>
  <c r="BB182" i="46"/>
  <c r="BH182" i="46" s="1"/>
  <c r="BB181" i="46"/>
  <c r="BH181" i="46" s="1"/>
  <c r="BB180" i="46"/>
  <c r="BH180" i="46" s="1"/>
  <c r="BB179" i="46"/>
  <c r="BH179" i="46" s="1"/>
  <c r="BB178" i="46"/>
  <c r="BH178" i="46" s="1"/>
  <c r="BB177" i="46"/>
  <c r="BH177" i="46" s="1"/>
  <c r="BB176" i="46"/>
  <c r="BH176" i="46" s="1"/>
  <c r="BB175" i="46"/>
  <c r="BH175" i="46" s="1"/>
  <c r="BB174" i="46"/>
  <c r="BH174" i="46" s="1"/>
  <c r="BB173" i="46"/>
  <c r="BH173" i="46" s="1"/>
  <c r="BB172" i="46"/>
  <c r="BH172" i="46" s="1"/>
  <c r="BB171" i="46"/>
  <c r="BH171" i="46" s="1"/>
  <c r="BB170" i="46"/>
  <c r="BH170" i="46" s="1"/>
  <c r="BB169" i="46"/>
  <c r="BH169" i="46" s="1"/>
  <c r="BB168" i="46"/>
  <c r="BH168" i="46" s="1"/>
  <c r="BB167" i="46"/>
  <c r="BH167" i="46" s="1"/>
  <c r="BB166" i="46"/>
  <c r="BH166" i="46" s="1"/>
  <c r="BB165" i="46"/>
  <c r="BH165" i="46" s="1"/>
  <c r="BB164" i="46"/>
  <c r="BH164" i="46" s="1"/>
  <c r="BB163" i="46"/>
  <c r="BH163" i="46" s="1"/>
  <c r="BB162" i="46"/>
  <c r="BB161" i="46"/>
  <c r="BH161" i="46" s="1"/>
  <c r="BB160" i="46"/>
  <c r="BH160" i="46" s="1"/>
  <c r="BB159" i="46"/>
  <c r="BH159" i="46" s="1"/>
  <c r="BB158" i="46"/>
  <c r="BB157" i="46"/>
  <c r="BH157" i="46" s="1"/>
  <c r="BB156" i="46"/>
  <c r="BH156" i="46" s="1"/>
  <c r="BB155" i="46"/>
  <c r="BH155" i="46" s="1"/>
  <c r="BB154" i="46"/>
  <c r="BH154" i="46" s="1"/>
  <c r="BB153" i="46"/>
  <c r="BH153" i="46" s="1"/>
  <c r="BB152" i="46"/>
  <c r="BH152" i="46" s="1"/>
  <c r="BB151" i="46"/>
  <c r="BH151" i="46" s="1"/>
  <c r="BB150" i="46"/>
  <c r="BH150" i="46" s="1"/>
  <c r="BB149" i="46"/>
  <c r="BH149" i="46" s="1"/>
  <c r="BB148" i="46"/>
  <c r="BH148" i="46" s="1"/>
  <c r="BB147" i="46"/>
  <c r="BH147" i="46" s="1"/>
  <c r="BB146" i="46"/>
  <c r="BH146" i="46" s="1"/>
  <c r="BB145" i="46"/>
  <c r="BH145" i="46" s="1"/>
  <c r="BB144" i="46"/>
  <c r="BH144" i="46" s="1"/>
  <c r="BB143" i="46"/>
  <c r="BH143" i="46" s="1"/>
  <c r="BB142" i="46"/>
  <c r="BH142" i="46" s="1"/>
  <c r="BB141" i="46"/>
  <c r="BH141" i="46" s="1"/>
  <c r="BB140" i="46"/>
  <c r="BH140" i="46" s="1"/>
  <c r="BB139" i="46"/>
  <c r="BH139" i="46" s="1"/>
  <c r="BB138" i="46"/>
  <c r="BH138" i="46" s="1"/>
  <c r="BB137" i="46"/>
  <c r="BH137" i="46" s="1"/>
  <c r="BB136" i="46"/>
  <c r="BH136" i="46" s="1"/>
  <c r="BB135" i="46"/>
  <c r="BH135" i="46" s="1"/>
  <c r="BB134" i="46"/>
  <c r="BH134" i="46" s="1"/>
  <c r="BB133" i="46"/>
  <c r="BH133" i="46" s="1"/>
  <c r="BB132" i="46"/>
  <c r="BH132" i="46" s="1"/>
  <c r="BB131" i="46"/>
  <c r="BH131" i="46" s="1"/>
  <c r="BB130" i="46"/>
  <c r="BH130" i="46" s="1"/>
  <c r="BB129" i="46"/>
  <c r="BH129" i="46" s="1"/>
  <c r="BB128" i="46"/>
  <c r="BH128" i="46" s="1"/>
  <c r="BB127" i="46"/>
  <c r="BH127" i="46" s="1"/>
  <c r="BB126" i="46"/>
  <c r="BH126" i="46" s="1"/>
  <c r="BB125" i="46"/>
  <c r="BH125" i="46" s="1"/>
  <c r="BB124" i="46"/>
  <c r="BH124" i="46" s="1"/>
  <c r="BB123" i="46"/>
  <c r="BH123" i="46" s="1"/>
  <c r="BB122" i="46"/>
  <c r="BH122" i="46" s="1"/>
  <c r="BB121" i="46"/>
  <c r="BH121" i="46" s="1"/>
  <c r="BB120" i="46"/>
  <c r="BH120" i="46" s="1"/>
  <c r="T98" i="46"/>
  <c r="S98" i="46"/>
  <c r="R98" i="46"/>
  <c r="I98" i="46"/>
  <c r="H98" i="46"/>
  <c r="G98" i="46"/>
  <c r="T97" i="46"/>
  <c r="S97" i="46"/>
  <c r="R97" i="46"/>
  <c r="I97" i="46"/>
  <c r="H97" i="46"/>
  <c r="G97" i="46"/>
  <c r="T96" i="46"/>
  <c r="S96" i="46"/>
  <c r="R96" i="46"/>
  <c r="I96" i="46"/>
  <c r="H96" i="46"/>
  <c r="G96" i="46"/>
  <c r="T95" i="46"/>
  <c r="S95" i="46"/>
  <c r="R95" i="46"/>
  <c r="I95" i="46"/>
  <c r="H95" i="46"/>
  <c r="G95" i="46"/>
  <c r="T94" i="46"/>
  <c r="S94" i="46"/>
  <c r="R94" i="46"/>
  <c r="I94" i="46"/>
  <c r="H94" i="46"/>
  <c r="G94" i="46"/>
  <c r="T93" i="46"/>
  <c r="S93" i="46"/>
  <c r="R93" i="46"/>
  <c r="Q93" i="46"/>
  <c r="P93" i="46"/>
  <c r="O93" i="46"/>
  <c r="N93" i="46"/>
  <c r="M93" i="46"/>
  <c r="L93" i="46"/>
  <c r="K93" i="46"/>
  <c r="J93" i="46"/>
  <c r="I93" i="46"/>
  <c r="H93" i="46"/>
  <c r="G93" i="46"/>
  <c r="T87" i="46"/>
  <c r="S87" i="46"/>
  <c r="R87" i="46"/>
  <c r="Q87" i="46"/>
  <c r="P87" i="46"/>
  <c r="O87" i="46"/>
  <c r="N87" i="46"/>
  <c r="M87" i="46"/>
  <c r="L87" i="46"/>
  <c r="K87" i="46"/>
  <c r="J87" i="46"/>
  <c r="I87" i="46"/>
  <c r="H87" i="46"/>
  <c r="G87" i="46"/>
  <c r="T86" i="46"/>
  <c r="S86" i="46"/>
  <c r="R86" i="46"/>
  <c r="I86" i="46"/>
  <c r="H86" i="46"/>
  <c r="G86" i="46"/>
  <c r="T85" i="46"/>
  <c r="S85" i="46"/>
  <c r="R85" i="46"/>
  <c r="K85" i="46"/>
  <c r="J85" i="46"/>
  <c r="I85" i="46"/>
  <c r="H85" i="46"/>
  <c r="G85" i="46"/>
  <c r="T84" i="46"/>
  <c r="S84" i="46"/>
  <c r="R84" i="46"/>
  <c r="I84" i="46"/>
  <c r="H84" i="46"/>
  <c r="G84" i="46"/>
  <c r="T83" i="46"/>
  <c r="S83" i="46"/>
  <c r="R83" i="46"/>
  <c r="I83" i="46"/>
  <c r="H83" i="46"/>
  <c r="G83" i="46"/>
  <c r="T82" i="46"/>
  <c r="S82" i="46"/>
  <c r="R82" i="46"/>
  <c r="Q82" i="46"/>
  <c r="P82" i="46"/>
  <c r="O82" i="46"/>
  <c r="N82" i="46"/>
  <c r="M82" i="46"/>
  <c r="L82" i="46"/>
  <c r="K82" i="46"/>
  <c r="J82" i="46"/>
  <c r="I82" i="46"/>
  <c r="H82" i="46"/>
  <c r="G82" i="46"/>
  <c r="J76" i="46"/>
  <c r="U87" i="46" s="1"/>
  <c r="F76" i="46"/>
  <c r="T59" i="46"/>
  <c r="S59" i="46"/>
  <c r="M68" i="27" s="1"/>
  <c r="R59" i="46"/>
  <c r="M68" i="25" s="1"/>
  <c r="Q59" i="46"/>
  <c r="P59" i="46"/>
  <c r="M68" i="21" s="1"/>
  <c r="O59" i="46"/>
  <c r="N59" i="46"/>
  <c r="M68" i="17" s="1"/>
  <c r="M59" i="46"/>
  <c r="M68" i="15" s="1"/>
  <c r="L59" i="46"/>
  <c r="M68" i="13" s="1"/>
  <c r="K59" i="46"/>
  <c r="M68" i="11" s="1"/>
  <c r="J59" i="46"/>
  <c r="M68" i="9" s="1"/>
  <c r="I59" i="46"/>
  <c r="M68" i="7" s="1"/>
  <c r="H59" i="46"/>
  <c r="M68" i="5" s="1"/>
  <c r="G59" i="46"/>
  <c r="T58" i="46"/>
  <c r="S58" i="46"/>
  <c r="R58" i="46"/>
  <c r="Q58" i="46"/>
  <c r="Q98" i="46" s="1"/>
  <c r="P58" i="46"/>
  <c r="P98" i="46" s="1"/>
  <c r="O58" i="46"/>
  <c r="O98" i="46" s="1"/>
  <c r="N58" i="46"/>
  <c r="N98" i="46" s="1"/>
  <c r="M58" i="46"/>
  <c r="M98" i="46" s="1"/>
  <c r="L58" i="46"/>
  <c r="L98" i="46" s="1"/>
  <c r="K58" i="46"/>
  <c r="K98" i="46" s="1"/>
  <c r="J58" i="46"/>
  <c r="J98" i="46" s="1"/>
  <c r="I58" i="46"/>
  <c r="H58" i="46"/>
  <c r="G58" i="46"/>
  <c r="T57" i="46"/>
  <c r="G57" i="46"/>
  <c r="T56" i="46"/>
  <c r="S56" i="46"/>
  <c r="M67" i="27" s="1"/>
  <c r="R56" i="46"/>
  <c r="M67" i="25" s="1"/>
  <c r="Q56" i="46"/>
  <c r="P56" i="46"/>
  <c r="M67" i="21" s="1"/>
  <c r="O56" i="46"/>
  <c r="N56" i="46"/>
  <c r="M56" i="46"/>
  <c r="M67" i="15" s="1"/>
  <c r="L56" i="46"/>
  <c r="M67" i="13" s="1"/>
  <c r="K56" i="46"/>
  <c r="M67" i="11" s="1"/>
  <c r="O67" i="11" s="1"/>
  <c r="J56" i="46"/>
  <c r="M67" i="9" s="1"/>
  <c r="I56" i="46"/>
  <c r="M67" i="7" s="1"/>
  <c r="O67" i="7" s="1"/>
  <c r="H56" i="46"/>
  <c r="M67" i="5" s="1"/>
  <c r="G56" i="46"/>
  <c r="T55" i="46"/>
  <c r="S55" i="46"/>
  <c r="R55" i="46"/>
  <c r="Q55" i="46"/>
  <c r="Q97" i="46" s="1"/>
  <c r="P55" i="46"/>
  <c r="O55" i="46"/>
  <c r="N55" i="46"/>
  <c r="M55" i="46"/>
  <c r="M97" i="46" s="1"/>
  <c r="L55" i="46"/>
  <c r="L97" i="46" s="1"/>
  <c r="K55" i="46"/>
  <c r="K97" i="46" s="1"/>
  <c r="J55" i="46"/>
  <c r="I55" i="46"/>
  <c r="H55" i="46"/>
  <c r="G55" i="46"/>
  <c r="T54" i="46"/>
  <c r="G54" i="46"/>
  <c r="T53" i="46"/>
  <c r="S53" i="46"/>
  <c r="M66" i="27" s="1"/>
  <c r="R53" i="46"/>
  <c r="M66" i="25" s="1"/>
  <c r="P53" i="46"/>
  <c r="M66" i="21" s="1"/>
  <c r="O53" i="46"/>
  <c r="N53" i="46"/>
  <c r="M53" i="46"/>
  <c r="M66" i="15" s="1"/>
  <c r="L53" i="46"/>
  <c r="M66" i="13" s="1"/>
  <c r="K53" i="46"/>
  <c r="M66" i="11" s="1"/>
  <c r="J53" i="46"/>
  <c r="M66" i="9" s="1"/>
  <c r="I53" i="46"/>
  <c r="M66" i="7" s="1"/>
  <c r="H53" i="46"/>
  <c r="M66" i="5" s="1"/>
  <c r="G53" i="46"/>
  <c r="T52" i="46"/>
  <c r="S52" i="46"/>
  <c r="R52" i="46"/>
  <c r="Q52" i="46"/>
  <c r="Q96" i="46" s="1"/>
  <c r="P52" i="46"/>
  <c r="O52" i="46"/>
  <c r="N52" i="46"/>
  <c r="M52" i="46"/>
  <c r="L52" i="46"/>
  <c r="K52" i="46"/>
  <c r="K96" i="46" s="1"/>
  <c r="J52" i="46"/>
  <c r="J96" i="46" s="1"/>
  <c r="I52" i="46"/>
  <c r="H52" i="46"/>
  <c r="G52" i="46"/>
  <c r="T51" i="46"/>
  <c r="G51" i="46"/>
  <c r="T50" i="46"/>
  <c r="S50" i="46"/>
  <c r="M65" i="27" s="1"/>
  <c r="R50" i="46"/>
  <c r="M65" i="25" s="1"/>
  <c r="Q50" i="46"/>
  <c r="P50" i="46"/>
  <c r="M65" i="21" s="1"/>
  <c r="O50" i="46"/>
  <c r="M65" i="19" s="1"/>
  <c r="N50" i="46"/>
  <c r="M50" i="46"/>
  <c r="M65" i="15" s="1"/>
  <c r="L50" i="46"/>
  <c r="M65" i="13" s="1"/>
  <c r="K50" i="46"/>
  <c r="M65" i="11" s="1"/>
  <c r="J50" i="46"/>
  <c r="M65" i="9" s="1"/>
  <c r="I50" i="46"/>
  <c r="M65" i="7" s="1"/>
  <c r="H50" i="46"/>
  <c r="M65" i="5" s="1"/>
  <c r="G50" i="46"/>
  <c r="T49" i="46"/>
  <c r="S49" i="46"/>
  <c r="R49" i="46"/>
  <c r="Q49" i="46"/>
  <c r="Q95" i="46" s="1"/>
  <c r="P49" i="46"/>
  <c r="O49" i="46"/>
  <c r="O95" i="46" s="1"/>
  <c r="N49" i="46"/>
  <c r="N95" i="46" s="1"/>
  <c r="M49" i="46"/>
  <c r="L49" i="46"/>
  <c r="K49" i="46"/>
  <c r="J49" i="46"/>
  <c r="I49" i="46"/>
  <c r="H49" i="46"/>
  <c r="G49" i="46"/>
  <c r="T48" i="46"/>
  <c r="G48" i="46"/>
  <c r="T47" i="46"/>
  <c r="S47" i="46"/>
  <c r="M64" i="27" s="1"/>
  <c r="R47" i="46"/>
  <c r="M64" i="25" s="1"/>
  <c r="Q47" i="46"/>
  <c r="P47" i="46"/>
  <c r="M64" i="21" s="1"/>
  <c r="O47" i="46"/>
  <c r="N47" i="46"/>
  <c r="M47" i="46"/>
  <c r="M64" i="15" s="1"/>
  <c r="L47" i="46"/>
  <c r="M64" i="13" s="1"/>
  <c r="K47" i="46"/>
  <c r="M64" i="11" s="1"/>
  <c r="J47" i="46"/>
  <c r="M64" i="9" s="1"/>
  <c r="I47" i="46"/>
  <c r="M64" i="7" s="1"/>
  <c r="H47" i="46"/>
  <c r="M64" i="5" s="1"/>
  <c r="G47" i="46"/>
  <c r="T46" i="46"/>
  <c r="S46" i="46"/>
  <c r="R46" i="46"/>
  <c r="Q46" i="46"/>
  <c r="Q94" i="46" s="1"/>
  <c r="P46" i="46"/>
  <c r="P94" i="46" s="1"/>
  <c r="O46" i="46"/>
  <c r="N46" i="46"/>
  <c r="M46" i="46"/>
  <c r="L46" i="46"/>
  <c r="K46" i="46"/>
  <c r="J46" i="46"/>
  <c r="I46" i="46"/>
  <c r="H46" i="46"/>
  <c r="G46" i="46"/>
  <c r="T45" i="46"/>
  <c r="G45" i="46"/>
  <c r="T40" i="46"/>
  <c r="S40" i="46"/>
  <c r="R40" i="46"/>
  <c r="P40" i="46"/>
  <c r="O40" i="46"/>
  <c r="N40" i="46"/>
  <c r="M40" i="46"/>
  <c r="L40" i="46"/>
  <c r="K40" i="46"/>
  <c r="J40" i="46"/>
  <c r="I40" i="46"/>
  <c r="H40" i="46"/>
  <c r="G40" i="46"/>
  <c r="T39" i="46"/>
  <c r="S39" i="46"/>
  <c r="R39" i="46"/>
  <c r="Q39" i="46"/>
  <c r="P39" i="46"/>
  <c r="O39" i="46"/>
  <c r="N39" i="46"/>
  <c r="M39" i="46"/>
  <c r="L39" i="46"/>
  <c r="K39" i="46"/>
  <c r="J39" i="46"/>
  <c r="I39" i="46"/>
  <c r="H39" i="46"/>
  <c r="G39" i="46"/>
  <c r="T38" i="46"/>
  <c r="G38" i="46"/>
  <c r="T37" i="46"/>
  <c r="S37" i="46"/>
  <c r="R37" i="46"/>
  <c r="Q37" i="46"/>
  <c r="P37" i="46"/>
  <c r="O37" i="46"/>
  <c r="N37" i="46"/>
  <c r="M37" i="46"/>
  <c r="L37" i="46"/>
  <c r="K37" i="46"/>
  <c r="J37" i="46"/>
  <c r="I37" i="46"/>
  <c r="H37" i="46"/>
  <c r="G37" i="46"/>
  <c r="T36" i="46"/>
  <c r="G36" i="46"/>
  <c r="T32" i="46"/>
  <c r="S32" i="46"/>
  <c r="R32" i="46"/>
  <c r="Q32" i="46"/>
  <c r="O32" i="46"/>
  <c r="N32" i="46"/>
  <c r="M32" i="46"/>
  <c r="L32" i="46"/>
  <c r="K32" i="46"/>
  <c r="J32" i="46"/>
  <c r="I32" i="46"/>
  <c r="H32" i="46"/>
  <c r="G32" i="46"/>
  <c r="V31" i="46"/>
  <c r="U30" i="46"/>
  <c r="S29" i="46"/>
  <c r="S57" i="46" s="1"/>
  <c r="M52" i="27" s="1"/>
  <c r="R29" i="46"/>
  <c r="R57" i="46" s="1"/>
  <c r="M52" i="25" s="1"/>
  <c r="Q29" i="46"/>
  <c r="Q57" i="46" s="1"/>
  <c r="P29" i="46"/>
  <c r="P57" i="46" s="1"/>
  <c r="O29" i="46"/>
  <c r="O57" i="46" s="1"/>
  <c r="N29" i="46"/>
  <c r="N57" i="46" s="1"/>
  <c r="M29" i="46"/>
  <c r="M57" i="46" s="1"/>
  <c r="M52" i="15" s="1"/>
  <c r="L29" i="46"/>
  <c r="L57" i="46" s="1"/>
  <c r="M52" i="13" s="1"/>
  <c r="K29" i="46"/>
  <c r="K57" i="46" s="1"/>
  <c r="M52" i="11" s="1"/>
  <c r="J29" i="46"/>
  <c r="J57" i="46" s="1"/>
  <c r="M52" i="9" s="1"/>
  <c r="I29" i="46"/>
  <c r="I57" i="46" s="1"/>
  <c r="M52" i="7" s="1"/>
  <c r="H29" i="46"/>
  <c r="H57" i="46" s="1"/>
  <c r="M52" i="5" s="1"/>
  <c r="V28" i="46"/>
  <c r="U27" i="46"/>
  <c r="S26" i="46"/>
  <c r="S54" i="46" s="1"/>
  <c r="M51" i="27" s="1"/>
  <c r="R26" i="46"/>
  <c r="R54" i="46" s="1"/>
  <c r="M51" i="25" s="1"/>
  <c r="Q26" i="46"/>
  <c r="Q54" i="46" s="1"/>
  <c r="P26" i="46"/>
  <c r="P54" i="46" s="1"/>
  <c r="O26" i="46"/>
  <c r="O54" i="46" s="1"/>
  <c r="M51" i="19" s="1"/>
  <c r="N26" i="46"/>
  <c r="N54" i="46" s="1"/>
  <c r="M26" i="46"/>
  <c r="M54" i="46" s="1"/>
  <c r="M51" i="15" s="1"/>
  <c r="L26" i="46"/>
  <c r="L54" i="46" s="1"/>
  <c r="K26" i="46"/>
  <c r="K54" i="46" s="1"/>
  <c r="M51" i="11" s="1"/>
  <c r="J26" i="46"/>
  <c r="J54" i="46" s="1"/>
  <c r="I26" i="46"/>
  <c r="I54" i="46" s="1"/>
  <c r="M51" i="7" s="1"/>
  <c r="H26" i="46"/>
  <c r="V25" i="46"/>
  <c r="U24" i="46"/>
  <c r="S23" i="46"/>
  <c r="R23" i="46"/>
  <c r="Q23" i="46"/>
  <c r="P23" i="46"/>
  <c r="O23" i="46"/>
  <c r="N23" i="46"/>
  <c r="M23" i="46"/>
  <c r="L23" i="46"/>
  <c r="K23" i="46"/>
  <c r="J23" i="46"/>
  <c r="I23" i="46"/>
  <c r="H23" i="46"/>
  <c r="V22" i="46"/>
  <c r="U21" i="46"/>
  <c r="S20" i="46"/>
  <c r="S48" i="46" s="1"/>
  <c r="M49" i="27" s="1"/>
  <c r="R20" i="46"/>
  <c r="R48" i="46" s="1"/>
  <c r="M49" i="25" s="1"/>
  <c r="Q20" i="46"/>
  <c r="Q48" i="46" s="1"/>
  <c r="M49" i="23" s="1"/>
  <c r="P20" i="46"/>
  <c r="P48" i="46" s="1"/>
  <c r="M49" i="21" s="1"/>
  <c r="O20" i="46"/>
  <c r="O48" i="46" s="1"/>
  <c r="N20" i="46"/>
  <c r="N48" i="46" s="1"/>
  <c r="M49" i="17" s="1"/>
  <c r="M20" i="46"/>
  <c r="M48" i="46" s="1"/>
  <c r="M49" i="15" s="1"/>
  <c r="L20" i="46"/>
  <c r="L48" i="46" s="1"/>
  <c r="M49" i="13" s="1"/>
  <c r="K20" i="46"/>
  <c r="K48" i="46" s="1"/>
  <c r="M49" i="11" s="1"/>
  <c r="J20" i="46"/>
  <c r="J48" i="46" s="1"/>
  <c r="I20" i="46"/>
  <c r="I48" i="46" s="1"/>
  <c r="H20" i="46"/>
  <c r="V19" i="46"/>
  <c r="U18" i="46"/>
  <c r="S17" i="46"/>
  <c r="S45" i="46" s="1"/>
  <c r="M48" i="27" s="1"/>
  <c r="R17" i="46"/>
  <c r="R45" i="46" s="1"/>
  <c r="M48" i="25" s="1"/>
  <c r="Q17" i="46"/>
  <c r="Q45" i="46" s="1"/>
  <c r="M48" i="23" s="1"/>
  <c r="P17" i="46"/>
  <c r="P45" i="46" s="1"/>
  <c r="M48" i="21" s="1"/>
  <c r="O17" i="46"/>
  <c r="O45" i="46" s="1"/>
  <c r="N17" i="46"/>
  <c r="N45" i="46" s="1"/>
  <c r="M17" i="46"/>
  <c r="M45" i="46" s="1"/>
  <c r="M48" i="15" s="1"/>
  <c r="L17" i="46"/>
  <c r="L45" i="46" s="1"/>
  <c r="M48" i="13" s="1"/>
  <c r="K17" i="46"/>
  <c r="K45" i="46" s="1"/>
  <c r="M48" i="11" s="1"/>
  <c r="J17" i="46"/>
  <c r="J45" i="46" s="1"/>
  <c r="M48" i="9" s="1"/>
  <c r="I17" i="46"/>
  <c r="I45" i="46" s="1"/>
  <c r="M48" i="7" s="1"/>
  <c r="H17" i="46"/>
  <c r="H45" i="46" s="1"/>
  <c r="V16" i="46"/>
  <c r="U15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AE13" i="46"/>
  <c r="AC13" i="46"/>
  <c r="N65" i="27" s="1"/>
  <c r="AB13" i="46"/>
  <c r="N64" i="27" s="1"/>
  <c r="V13" i="46"/>
  <c r="AE12" i="46"/>
  <c r="N67" i="25" s="1"/>
  <c r="R67" i="25" s="1"/>
  <c r="AC12" i="46"/>
  <c r="N65" i="25" s="1"/>
  <c r="AB12" i="46"/>
  <c r="N64" i="25" s="1"/>
  <c r="R64" i="25" s="1"/>
  <c r="U12" i="46"/>
  <c r="AE11" i="46"/>
  <c r="N67" i="23" s="1"/>
  <c r="AC11" i="46"/>
  <c r="N65" i="23" s="1"/>
  <c r="R65" i="23" s="1"/>
  <c r="AB11" i="46"/>
  <c r="N64" i="23" s="1"/>
  <c r="S11" i="46"/>
  <c r="R11" i="46"/>
  <c r="Q11" i="46"/>
  <c r="P11" i="46"/>
  <c r="O11" i="46"/>
  <c r="N11" i="46"/>
  <c r="M11" i="46"/>
  <c r="L11" i="46"/>
  <c r="K11" i="46"/>
  <c r="J11" i="46"/>
  <c r="I11" i="46"/>
  <c r="H11" i="46"/>
  <c r="AE10" i="46"/>
  <c r="N67" i="21" s="1"/>
  <c r="AC10" i="46"/>
  <c r="N65" i="21" s="1"/>
  <c r="AB10" i="46"/>
  <c r="V10" i="46"/>
  <c r="AE9" i="46"/>
  <c r="AB9" i="46"/>
  <c r="N64" i="19" s="1"/>
  <c r="R64" i="19" s="1"/>
  <c r="U9" i="46"/>
  <c r="AE8" i="46"/>
  <c r="AC8" i="46"/>
  <c r="AB8" i="46"/>
  <c r="S8" i="46"/>
  <c r="R8" i="46"/>
  <c r="Q8" i="46"/>
  <c r="P8" i="46"/>
  <c r="O8" i="46"/>
  <c r="N8" i="46"/>
  <c r="M8" i="46"/>
  <c r="L8" i="46"/>
  <c r="K8" i="46"/>
  <c r="J8" i="46"/>
  <c r="I8" i="46"/>
  <c r="H8" i="46"/>
  <c r="AE7" i="46"/>
  <c r="N67" i="15" s="1"/>
  <c r="R67" i="15" s="1"/>
  <c r="AC7" i="46"/>
  <c r="N65" i="15" s="1"/>
  <c r="AB7" i="46"/>
  <c r="N64" i="15" s="1"/>
  <c r="R64" i="15" s="1"/>
  <c r="Q7" i="46"/>
  <c r="AC6" i="46"/>
  <c r="N65" i="13" s="1"/>
  <c r="U6" i="46"/>
  <c r="AE5" i="46"/>
  <c r="N67" i="11" s="1"/>
  <c r="R67" i="11" s="1"/>
  <c r="AC5" i="46"/>
  <c r="N65" i="11" s="1"/>
  <c r="R65" i="11" s="1"/>
  <c r="AB5" i="46"/>
  <c r="N64" i="11" s="1"/>
  <c r="S5" i="46"/>
  <c r="R5" i="46"/>
  <c r="Q5" i="46"/>
  <c r="P5" i="46"/>
  <c r="O5" i="46"/>
  <c r="N5" i="46"/>
  <c r="M5" i="46"/>
  <c r="L5" i="46"/>
  <c r="K5" i="46"/>
  <c r="J5" i="46"/>
  <c r="I5" i="46"/>
  <c r="H5" i="46"/>
  <c r="AE4" i="46"/>
  <c r="N67" i="9" s="1"/>
  <c r="R67" i="9" s="1"/>
  <c r="AC4" i="46"/>
  <c r="N65" i="9" s="1"/>
  <c r="AB4" i="46"/>
  <c r="N64" i="9" s="1"/>
  <c r="AE3" i="46"/>
  <c r="N67" i="7" s="1"/>
  <c r="R67" i="7" s="1"/>
  <c r="AC3" i="46"/>
  <c r="N65" i="7" s="1"/>
  <c r="R65" i="7" s="1"/>
  <c r="AE2" i="46"/>
  <c r="N67" i="5" s="1"/>
  <c r="AC2" i="46"/>
  <c r="N65" i="5" s="1"/>
  <c r="AB2" i="46"/>
  <c r="N64" i="5" s="1"/>
  <c r="N2493" i="29"/>
  <c r="N2492" i="29"/>
  <c r="N2491" i="29"/>
  <c r="N2490" i="29"/>
  <c r="N2489" i="29"/>
  <c r="N2488" i="29"/>
  <c r="N2487" i="29"/>
  <c r="N2486" i="29"/>
  <c r="N2485" i="29"/>
  <c r="N2484" i="29"/>
  <c r="N2483" i="29"/>
  <c r="N2482" i="29"/>
  <c r="N2481" i="29"/>
  <c r="N2480" i="29"/>
  <c r="N2479" i="29"/>
  <c r="N2478" i="29"/>
  <c r="N2477" i="29"/>
  <c r="N2476" i="29"/>
  <c r="N2475" i="29"/>
  <c r="N2474" i="29"/>
  <c r="N2473" i="29"/>
  <c r="N2472" i="29"/>
  <c r="N2471" i="29"/>
  <c r="N2470" i="29"/>
  <c r="N2469" i="29"/>
  <c r="N2468" i="29"/>
  <c r="N2467" i="29"/>
  <c r="N2466" i="29"/>
  <c r="N2465" i="29"/>
  <c r="N2464" i="29"/>
  <c r="N2463" i="29"/>
  <c r="N2462" i="29"/>
  <c r="N2461" i="29"/>
  <c r="N2460" i="29"/>
  <c r="N2459" i="29"/>
  <c r="N2458" i="29"/>
  <c r="N2457" i="29"/>
  <c r="N2456" i="29"/>
  <c r="N2455" i="29"/>
  <c r="N2454" i="29"/>
  <c r="N2453" i="29"/>
  <c r="N2452" i="29"/>
  <c r="N2451" i="29"/>
  <c r="N2450" i="29"/>
  <c r="N2449" i="29"/>
  <c r="N2448" i="29"/>
  <c r="N2447" i="29"/>
  <c r="N2446" i="29"/>
  <c r="N2445" i="29"/>
  <c r="N2444" i="29"/>
  <c r="N2443" i="29"/>
  <c r="N2442" i="29"/>
  <c r="N2441" i="29"/>
  <c r="N2440" i="29"/>
  <c r="N2439" i="29"/>
  <c r="N2438" i="29"/>
  <c r="N2437" i="29"/>
  <c r="N2436" i="29"/>
  <c r="N2435" i="29"/>
  <c r="N2434" i="29"/>
  <c r="N2433" i="29"/>
  <c r="N2432" i="29"/>
  <c r="N2431" i="29"/>
  <c r="N2430" i="29"/>
  <c r="N2429" i="29"/>
  <c r="N2428" i="29"/>
  <c r="N2427" i="29"/>
  <c r="N2426" i="29"/>
  <c r="N2425" i="29"/>
  <c r="N2424" i="29"/>
  <c r="N2423" i="29"/>
  <c r="N2422" i="29"/>
  <c r="N2421" i="29"/>
  <c r="N2420" i="29"/>
  <c r="N2419" i="29"/>
  <c r="N2418" i="29"/>
  <c r="N2417" i="29"/>
  <c r="N2416" i="29"/>
  <c r="N2415" i="29"/>
  <c r="N2414" i="29"/>
  <c r="N2413" i="29"/>
  <c r="N2412" i="29"/>
  <c r="N2411" i="29"/>
  <c r="N2410" i="29"/>
  <c r="N2409" i="29"/>
  <c r="N2408" i="29"/>
  <c r="N2407" i="29"/>
  <c r="N2406" i="29"/>
  <c r="N2405" i="29"/>
  <c r="N2404" i="29"/>
  <c r="N2403" i="29"/>
  <c r="N2402" i="29"/>
  <c r="N2401" i="29"/>
  <c r="N2400" i="29"/>
  <c r="N2399" i="29"/>
  <c r="N2398" i="29"/>
  <c r="N2397" i="29"/>
  <c r="N2396" i="29"/>
  <c r="N2395" i="29"/>
  <c r="N2394" i="29"/>
  <c r="N2393" i="29"/>
  <c r="N2392" i="29"/>
  <c r="N2391" i="29"/>
  <c r="N2390" i="29"/>
  <c r="N2389" i="29"/>
  <c r="N2388" i="29"/>
  <c r="N2387" i="29"/>
  <c r="N2386" i="29"/>
  <c r="N2385" i="29"/>
  <c r="N2384" i="29"/>
  <c r="N2383" i="29"/>
  <c r="N2382" i="29"/>
  <c r="N2381" i="29"/>
  <c r="N2380" i="29"/>
  <c r="N2379" i="29"/>
  <c r="N2378" i="29"/>
  <c r="N2377" i="29"/>
  <c r="N2376" i="29"/>
  <c r="N2375" i="29"/>
  <c r="N2374" i="29"/>
  <c r="N2373" i="29"/>
  <c r="N2372" i="29"/>
  <c r="N2371" i="29"/>
  <c r="N2370" i="29"/>
  <c r="N2369" i="29"/>
  <c r="N2368" i="29"/>
  <c r="N2367" i="29"/>
  <c r="N2366" i="29"/>
  <c r="N2365" i="29"/>
  <c r="N2364" i="29"/>
  <c r="N2363" i="29"/>
  <c r="N2362" i="29"/>
  <c r="N2361" i="29"/>
  <c r="N2360" i="29"/>
  <c r="N2359" i="29"/>
  <c r="N2358" i="29"/>
  <c r="N2357" i="29"/>
  <c r="N2356" i="29"/>
  <c r="N2355" i="29"/>
  <c r="N2354" i="29"/>
  <c r="N2353" i="29"/>
  <c r="N2352" i="29"/>
  <c r="N2351" i="29"/>
  <c r="N2350" i="29"/>
  <c r="N2349" i="29"/>
  <c r="N2348" i="29"/>
  <c r="N2347" i="29"/>
  <c r="N2346" i="29"/>
  <c r="N2345" i="29"/>
  <c r="N2344" i="29"/>
  <c r="N2343" i="29"/>
  <c r="N2342" i="29"/>
  <c r="N2341" i="29"/>
  <c r="N2340" i="29"/>
  <c r="N2339" i="29"/>
  <c r="N2338" i="29"/>
  <c r="N2337" i="29"/>
  <c r="N2336" i="29"/>
  <c r="N2335" i="29"/>
  <c r="N2334" i="29"/>
  <c r="N2333" i="29"/>
  <c r="N2332" i="29"/>
  <c r="N2331" i="29"/>
  <c r="N2330" i="29"/>
  <c r="N2329" i="29"/>
  <c r="N2328" i="29"/>
  <c r="N2327" i="29"/>
  <c r="N2326" i="29"/>
  <c r="N2325" i="29"/>
  <c r="N2324" i="29"/>
  <c r="N2323" i="29"/>
  <c r="A146" i="28"/>
  <c r="W17" i="28"/>
  <c r="W15" i="28"/>
  <c r="I152" i="28" s="1"/>
  <c r="E74" i="27"/>
  <c r="A72" i="27"/>
  <c r="Q69" i="27"/>
  <c r="P68" i="27"/>
  <c r="P67" i="27"/>
  <c r="N67" i="27"/>
  <c r="P66" i="27"/>
  <c r="P65" i="27"/>
  <c r="P64" i="27"/>
  <c r="AB61" i="27"/>
  <c r="H61" i="27"/>
  <c r="F61" i="27"/>
  <c r="AB60" i="27"/>
  <c r="N60" i="27"/>
  <c r="H42" i="27" s="1"/>
  <c r="M60" i="27"/>
  <c r="H60" i="27"/>
  <c r="F60" i="27"/>
  <c r="AB59" i="27"/>
  <c r="O59" i="27"/>
  <c r="H59" i="27"/>
  <c r="F59" i="27"/>
  <c r="AB58" i="27"/>
  <c r="O58" i="27"/>
  <c r="H58" i="27"/>
  <c r="F58" i="27"/>
  <c r="AB57" i="27"/>
  <c r="O57" i="27"/>
  <c r="H57" i="27"/>
  <c r="F57" i="27"/>
  <c r="AB56" i="27"/>
  <c r="H56" i="27"/>
  <c r="F56" i="27"/>
  <c r="AB55" i="27"/>
  <c r="H55" i="27"/>
  <c r="F55" i="27"/>
  <c r="AB54" i="27"/>
  <c r="H54" i="27"/>
  <c r="F54" i="27"/>
  <c r="AB53" i="27"/>
  <c r="H53" i="27"/>
  <c r="F53" i="27"/>
  <c r="AB52" i="27"/>
  <c r="H52" i="27"/>
  <c r="F52" i="27"/>
  <c r="N44" i="27"/>
  <c r="H40" i="27" s="1"/>
  <c r="M44" i="27"/>
  <c r="O43" i="27"/>
  <c r="I43" i="27"/>
  <c r="O42" i="27"/>
  <c r="I42" i="27"/>
  <c r="O41" i="27"/>
  <c r="C41" i="27"/>
  <c r="O40" i="27"/>
  <c r="I40" i="27"/>
  <c r="O39" i="27"/>
  <c r="O38" i="27"/>
  <c r="O37" i="27"/>
  <c r="K27" i="27"/>
  <c r="E25" i="27"/>
  <c r="D25" i="27"/>
  <c r="C25" i="27"/>
  <c r="B25" i="27"/>
  <c r="Q24" i="27"/>
  <c r="R24" i="27" s="1"/>
  <c r="E24" i="27"/>
  <c r="D24" i="27"/>
  <c r="C24" i="27"/>
  <c r="B24" i="27"/>
  <c r="Q23" i="27"/>
  <c r="R23" i="27" s="1"/>
  <c r="Q22" i="27"/>
  <c r="R22" i="27" s="1"/>
  <c r="Q21" i="27"/>
  <c r="R21" i="27" s="1"/>
  <c r="Q20" i="27"/>
  <c r="R20" i="27" s="1"/>
  <c r="H20" i="27"/>
  <c r="G20" i="27"/>
  <c r="F20" i="27"/>
  <c r="E20" i="27"/>
  <c r="D20" i="27"/>
  <c r="C20" i="27"/>
  <c r="B20" i="27"/>
  <c r="Q19" i="27"/>
  <c r="R19" i="27" s="1"/>
  <c r="H19" i="27"/>
  <c r="G19" i="27"/>
  <c r="F19" i="27"/>
  <c r="E19" i="27"/>
  <c r="D19" i="27"/>
  <c r="C19" i="27"/>
  <c r="B19" i="27"/>
  <c r="Q18" i="27"/>
  <c r="R18" i="27" s="1"/>
  <c r="Q17" i="27"/>
  <c r="R17" i="27" s="1"/>
  <c r="Q16" i="27"/>
  <c r="R16" i="27" s="1"/>
  <c r="Q15" i="27"/>
  <c r="R15" i="27" s="1"/>
  <c r="H15" i="27"/>
  <c r="G15" i="27"/>
  <c r="F15" i="27"/>
  <c r="E15" i="27"/>
  <c r="D15" i="27"/>
  <c r="C15" i="27"/>
  <c r="B15" i="27"/>
  <c r="Q14" i="27"/>
  <c r="R14" i="27" s="1"/>
  <c r="H14" i="27"/>
  <c r="G14" i="27"/>
  <c r="G16" i="27" s="1"/>
  <c r="F14" i="27"/>
  <c r="E14" i="27"/>
  <c r="E16" i="27" s="1"/>
  <c r="D14" i="27"/>
  <c r="D16" i="27" s="1"/>
  <c r="C14" i="27"/>
  <c r="B14" i="27"/>
  <c r="B16" i="27" s="1"/>
  <c r="Q13" i="27"/>
  <c r="R13" i="27" s="1"/>
  <c r="Q12" i="27"/>
  <c r="R12" i="27" s="1"/>
  <c r="Q11" i="27"/>
  <c r="R11" i="27" s="1"/>
  <c r="Q10" i="27"/>
  <c r="R10" i="27" s="1"/>
  <c r="H10" i="27"/>
  <c r="G10" i="27"/>
  <c r="F10" i="27"/>
  <c r="E10" i="27"/>
  <c r="D10" i="27"/>
  <c r="C10" i="27"/>
  <c r="B10" i="27"/>
  <c r="Q9" i="27"/>
  <c r="R9" i="27" s="1"/>
  <c r="H9" i="27"/>
  <c r="G9" i="27"/>
  <c r="G11" i="27" s="1"/>
  <c r="F9" i="27"/>
  <c r="F11" i="27" s="1"/>
  <c r="E9" i="27"/>
  <c r="E11" i="27" s="1"/>
  <c r="D9" i="27"/>
  <c r="D11" i="27" s="1"/>
  <c r="C9" i="27"/>
  <c r="B9" i="27"/>
  <c r="B11" i="27" s="1"/>
  <c r="Q8" i="27"/>
  <c r="R8" i="27" s="1"/>
  <c r="Q7" i="27"/>
  <c r="R7" i="27" s="1"/>
  <c r="Q6" i="27"/>
  <c r="Q5" i="27"/>
  <c r="H5" i="27"/>
  <c r="G5" i="27"/>
  <c r="F5" i="27"/>
  <c r="E5" i="27"/>
  <c r="D5" i="27"/>
  <c r="C5" i="27"/>
  <c r="Q4" i="27"/>
  <c r="R4" i="27" s="1"/>
  <c r="H4" i="27"/>
  <c r="G4" i="27"/>
  <c r="F4" i="27"/>
  <c r="E4" i="27"/>
  <c r="E6" i="27" s="1"/>
  <c r="D4" i="27"/>
  <c r="C4" i="27"/>
  <c r="A146" i="26"/>
  <c r="W17" i="26"/>
  <c r="W15" i="26"/>
  <c r="I152" i="26" s="1"/>
  <c r="E74" i="25"/>
  <c r="A72" i="25"/>
  <c r="Q69" i="25"/>
  <c r="P68" i="25"/>
  <c r="P67" i="25"/>
  <c r="P66" i="25"/>
  <c r="P65" i="25"/>
  <c r="P64" i="25"/>
  <c r="AB61" i="25"/>
  <c r="H61" i="25"/>
  <c r="F61" i="25"/>
  <c r="AB60" i="25"/>
  <c r="N60" i="25"/>
  <c r="H42" i="25" s="1"/>
  <c r="M60" i="25"/>
  <c r="H60" i="25"/>
  <c r="F60" i="25"/>
  <c r="AB59" i="25"/>
  <c r="O59" i="25"/>
  <c r="H59" i="25"/>
  <c r="F59" i="25"/>
  <c r="AB58" i="25"/>
  <c r="O58" i="25"/>
  <c r="H58" i="25"/>
  <c r="F58" i="25"/>
  <c r="AB57" i="25"/>
  <c r="O57" i="25"/>
  <c r="H57" i="25"/>
  <c r="F57" i="25"/>
  <c r="AB56" i="25"/>
  <c r="H56" i="25"/>
  <c r="F56" i="25"/>
  <c r="AB55" i="25"/>
  <c r="H55" i="25"/>
  <c r="F55" i="25"/>
  <c r="AB54" i="25"/>
  <c r="H54" i="25"/>
  <c r="F54" i="25"/>
  <c r="AB53" i="25"/>
  <c r="H53" i="25"/>
  <c r="F53" i="25"/>
  <c r="AB52" i="25"/>
  <c r="H52" i="25"/>
  <c r="F52" i="25"/>
  <c r="N44" i="25"/>
  <c r="H40" i="25" s="1"/>
  <c r="M44" i="25"/>
  <c r="O43" i="25"/>
  <c r="I43" i="25"/>
  <c r="O42" i="25"/>
  <c r="I42" i="25"/>
  <c r="O41" i="25"/>
  <c r="C41" i="25"/>
  <c r="O40" i="25"/>
  <c r="I40" i="25"/>
  <c r="O39" i="25"/>
  <c r="O38" i="25"/>
  <c r="O37" i="25"/>
  <c r="B30" i="25"/>
  <c r="B29" i="25"/>
  <c r="I29" i="25" s="1"/>
  <c r="K27" i="25"/>
  <c r="H25" i="25"/>
  <c r="G25" i="25"/>
  <c r="F25" i="25"/>
  <c r="E25" i="25"/>
  <c r="D25" i="25"/>
  <c r="C25" i="25"/>
  <c r="B25" i="25"/>
  <c r="Q24" i="25"/>
  <c r="R24" i="25" s="1"/>
  <c r="H24" i="25"/>
  <c r="H26" i="25" s="1"/>
  <c r="G24" i="25"/>
  <c r="F24" i="25"/>
  <c r="F26" i="25" s="1"/>
  <c r="E24" i="25"/>
  <c r="D24" i="25"/>
  <c r="D26" i="25" s="1"/>
  <c r="C24" i="25"/>
  <c r="C26" i="25" s="1"/>
  <c r="B24" i="25"/>
  <c r="Q23" i="25"/>
  <c r="R23" i="25" s="1"/>
  <c r="Q22" i="25"/>
  <c r="R22" i="25" s="1"/>
  <c r="Q21" i="25"/>
  <c r="R21" i="25" s="1"/>
  <c r="Q20" i="25"/>
  <c r="R20" i="25" s="1"/>
  <c r="H20" i="25"/>
  <c r="G20" i="25"/>
  <c r="F20" i="25"/>
  <c r="E20" i="25"/>
  <c r="D20" i="25"/>
  <c r="C20" i="25"/>
  <c r="B20" i="25"/>
  <c r="Q19" i="25"/>
  <c r="R19" i="25" s="1"/>
  <c r="H19" i="25"/>
  <c r="G19" i="25"/>
  <c r="F19" i="25"/>
  <c r="E19" i="25"/>
  <c r="E21" i="25" s="1"/>
  <c r="D19" i="25"/>
  <c r="C19" i="25"/>
  <c r="B19" i="25"/>
  <c r="Q18" i="25"/>
  <c r="R18" i="25" s="1"/>
  <c r="Q17" i="25"/>
  <c r="R17" i="25" s="1"/>
  <c r="Q16" i="25"/>
  <c r="R16" i="25" s="1"/>
  <c r="Q15" i="25"/>
  <c r="R15" i="25" s="1"/>
  <c r="H15" i="25"/>
  <c r="G15" i="25"/>
  <c r="F15" i="25"/>
  <c r="E15" i="25"/>
  <c r="D15" i="25"/>
  <c r="C15" i="25"/>
  <c r="B15" i="25"/>
  <c r="Q14" i="25"/>
  <c r="R14" i="25" s="1"/>
  <c r="H14" i="25"/>
  <c r="G14" i="25"/>
  <c r="F14" i="25"/>
  <c r="E14" i="25"/>
  <c r="D14" i="25"/>
  <c r="C14" i="25"/>
  <c r="B14" i="25"/>
  <c r="B16" i="25" s="1"/>
  <c r="Q13" i="25"/>
  <c r="R13" i="25" s="1"/>
  <c r="Q12" i="25"/>
  <c r="R12" i="25" s="1"/>
  <c r="Q11" i="25"/>
  <c r="R11" i="25" s="1"/>
  <c r="Q10" i="25"/>
  <c r="R10" i="25" s="1"/>
  <c r="H10" i="25"/>
  <c r="G10" i="25"/>
  <c r="F10" i="25"/>
  <c r="E10" i="25"/>
  <c r="D10" i="25"/>
  <c r="C10" i="25"/>
  <c r="B10" i="25"/>
  <c r="Q9" i="25"/>
  <c r="R9" i="25" s="1"/>
  <c r="H9" i="25"/>
  <c r="G9" i="25"/>
  <c r="G11" i="25" s="1"/>
  <c r="F9" i="25"/>
  <c r="F11" i="25" s="1"/>
  <c r="E9" i="25"/>
  <c r="E11" i="25" s="1"/>
  <c r="D9" i="25"/>
  <c r="D11" i="25" s="1"/>
  <c r="C9" i="25"/>
  <c r="B9" i="25"/>
  <c r="B11" i="25" s="1"/>
  <c r="Q8" i="25"/>
  <c r="R8" i="25" s="1"/>
  <c r="Q7" i="25"/>
  <c r="R7" i="25" s="1"/>
  <c r="Q6" i="25"/>
  <c r="R6" i="25" s="1"/>
  <c r="Q5" i="25"/>
  <c r="R5" i="25" s="1"/>
  <c r="H5" i="25"/>
  <c r="I5" i="25" s="1"/>
  <c r="Q4" i="25"/>
  <c r="R4" i="25" s="1"/>
  <c r="H4" i="25"/>
  <c r="I4" i="25" s="1"/>
  <c r="A146" i="24"/>
  <c r="W17" i="24"/>
  <c r="W15" i="24"/>
  <c r="A72" i="23"/>
  <c r="Q69" i="23"/>
  <c r="P68" i="23"/>
  <c r="P67" i="23"/>
  <c r="P66" i="23"/>
  <c r="P65" i="23"/>
  <c r="P64" i="23"/>
  <c r="AB61" i="23"/>
  <c r="H61" i="23"/>
  <c r="F61" i="23"/>
  <c r="AB60" i="23"/>
  <c r="M60" i="23"/>
  <c r="H60" i="23"/>
  <c r="F60" i="23"/>
  <c r="AB59" i="23"/>
  <c r="N59" i="23"/>
  <c r="O59" i="23" s="1"/>
  <c r="H59" i="23"/>
  <c r="F59" i="23"/>
  <c r="AB58" i="23"/>
  <c r="N58" i="23"/>
  <c r="O58" i="23" s="1"/>
  <c r="H58" i="23"/>
  <c r="F58" i="23"/>
  <c r="AB57" i="23"/>
  <c r="N57" i="23"/>
  <c r="H57" i="23"/>
  <c r="F57" i="23"/>
  <c r="AB56" i="23"/>
  <c r="H56" i="23"/>
  <c r="F56" i="23"/>
  <c r="AB55" i="23"/>
  <c r="H55" i="23"/>
  <c r="F55" i="23"/>
  <c r="G54" i="23"/>
  <c r="D54" i="23"/>
  <c r="F54" i="23" s="1"/>
  <c r="A54" i="23"/>
  <c r="G53" i="23"/>
  <c r="D53" i="23"/>
  <c r="F53" i="23" s="1"/>
  <c r="A53" i="23"/>
  <c r="G52" i="23"/>
  <c r="D52" i="23"/>
  <c r="F52" i="23" s="1"/>
  <c r="A52" i="23"/>
  <c r="M44" i="23"/>
  <c r="N43" i="23"/>
  <c r="O43" i="23" s="1"/>
  <c r="H43" i="23"/>
  <c r="I43" i="23" s="1"/>
  <c r="N42" i="23"/>
  <c r="O42" i="23" s="1"/>
  <c r="N41" i="23"/>
  <c r="O41" i="23" s="1"/>
  <c r="N40" i="23"/>
  <c r="O40" i="23" s="1"/>
  <c r="C40" i="23"/>
  <c r="N39" i="23"/>
  <c r="O39" i="23" s="1"/>
  <c r="C39" i="23"/>
  <c r="N38" i="23"/>
  <c r="O38" i="23" s="1"/>
  <c r="C38" i="23"/>
  <c r="N37" i="23"/>
  <c r="C37" i="23"/>
  <c r="K27" i="23"/>
  <c r="Q24" i="23"/>
  <c r="R24" i="23" s="1"/>
  <c r="O23" i="23"/>
  <c r="Q23" i="23" s="1"/>
  <c r="R23" i="23" s="1"/>
  <c r="O22" i="23"/>
  <c r="Q22" i="23" s="1"/>
  <c r="R22" i="23" s="1"/>
  <c r="O21" i="23"/>
  <c r="Q21" i="23" s="1"/>
  <c r="R21" i="23" s="1"/>
  <c r="O20" i="23"/>
  <c r="Q20" i="23" s="1"/>
  <c r="R20" i="23" s="1"/>
  <c r="Q19" i="23"/>
  <c r="R19" i="23" s="1"/>
  <c r="O18" i="23"/>
  <c r="Q18" i="23" s="1"/>
  <c r="R18" i="23" s="1"/>
  <c r="Q17" i="23"/>
  <c r="R17" i="23" s="1"/>
  <c r="Q16" i="23"/>
  <c r="R16" i="23" s="1"/>
  <c r="Q15" i="23"/>
  <c r="R15" i="23" s="1"/>
  <c r="O14" i="23"/>
  <c r="Q14" i="23" s="1"/>
  <c r="R14" i="23" s="1"/>
  <c r="O13" i="23"/>
  <c r="Q13" i="23" s="1"/>
  <c r="R13" i="23" s="1"/>
  <c r="O12" i="23"/>
  <c r="Q12" i="23" s="1"/>
  <c r="R12" i="23" s="1"/>
  <c r="O11" i="23"/>
  <c r="Q11" i="23" s="1"/>
  <c r="R11" i="23" s="1"/>
  <c r="O10" i="23"/>
  <c r="Q10" i="23" s="1"/>
  <c r="R10" i="23" s="1"/>
  <c r="Q9" i="23"/>
  <c r="R9" i="23" s="1"/>
  <c r="O8" i="23"/>
  <c r="Q8" i="23" s="1"/>
  <c r="Q7" i="23"/>
  <c r="R7" i="23" s="1"/>
  <c r="Q6" i="23"/>
  <c r="R6" i="23" s="1"/>
  <c r="Q5" i="23"/>
  <c r="H5" i="23"/>
  <c r="Q4" i="23"/>
  <c r="R4" i="23" s="1"/>
  <c r="A146" i="22"/>
  <c r="AA17" i="22"/>
  <c r="W17" i="22" s="1"/>
  <c r="AA15" i="22"/>
  <c r="W15" i="22" s="1"/>
  <c r="I152" i="22" s="1"/>
  <c r="A72" i="21"/>
  <c r="Q69" i="21"/>
  <c r="P68" i="21"/>
  <c r="P67" i="21"/>
  <c r="P66" i="21"/>
  <c r="P65" i="21"/>
  <c r="P64" i="21"/>
  <c r="N64" i="21"/>
  <c r="R64" i="21" s="1"/>
  <c r="AB61" i="21"/>
  <c r="H61" i="21"/>
  <c r="F61" i="21"/>
  <c r="AB60" i="21"/>
  <c r="N60" i="21"/>
  <c r="H42" i="21" s="1"/>
  <c r="M60" i="21"/>
  <c r="H60" i="21"/>
  <c r="F60" i="21"/>
  <c r="AB59" i="21"/>
  <c r="O59" i="21"/>
  <c r="H59" i="21"/>
  <c r="F59" i="21"/>
  <c r="AB58" i="21"/>
  <c r="O58" i="21"/>
  <c r="H58" i="21"/>
  <c r="F58" i="21"/>
  <c r="AB57" i="21"/>
  <c r="O57" i="21"/>
  <c r="H57" i="21"/>
  <c r="F57" i="21"/>
  <c r="AB56" i="21"/>
  <c r="H56" i="21"/>
  <c r="F56" i="21"/>
  <c r="AB55" i="21"/>
  <c r="H55" i="21"/>
  <c r="F55" i="21"/>
  <c r="D54" i="21"/>
  <c r="F54" i="21" s="1"/>
  <c r="H54" i="21" s="1"/>
  <c r="A54" i="21"/>
  <c r="D53" i="21"/>
  <c r="A53" i="21"/>
  <c r="M52" i="21"/>
  <c r="D52" i="21"/>
  <c r="M51" i="21"/>
  <c r="N44" i="21"/>
  <c r="H40" i="21" s="1"/>
  <c r="M44" i="21"/>
  <c r="O43" i="21"/>
  <c r="I43" i="21"/>
  <c r="O42" i="21"/>
  <c r="I42" i="21"/>
  <c r="O41" i="21"/>
  <c r="O40" i="21"/>
  <c r="I40" i="21"/>
  <c r="O39" i="21"/>
  <c r="C39" i="21"/>
  <c r="O38" i="21"/>
  <c r="C38" i="21"/>
  <c r="O37" i="21"/>
  <c r="C37" i="21"/>
  <c r="K27" i="21"/>
  <c r="O24" i="21"/>
  <c r="Q24" i="21" s="1"/>
  <c r="R24" i="21" s="1"/>
  <c r="O23" i="21"/>
  <c r="Q23" i="21" s="1"/>
  <c r="R23" i="21" s="1"/>
  <c r="O22" i="21"/>
  <c r="Q22" i="21" s="1"/>
  <c r="R22" i="21" s="1"/>
  <c r="O21" i="21"/>
  <c r="Q21" i="21" s="1"/>
  <c r="R21" i="21" s="1"/>
  <c r="O20" i="21"/>
  <c r="Q20" i="21" s="1"/>
  <c r="R20" i="21" s="1"/>
  <c r="O19" i="21"/>
  <c r="Q19" i="21" s="1"/>
  <c r="R19" i="21" s="1"/>
  <c r="O18" i="21"/>
  <c r="Q18" i="21" s="1"/>
  <c r="R18" i="21" s="1"/>
  <c r="O17" i="21"/>
  <c r="Q17" i="21" s="1"/>
  <c r="R17" i="21" s="1"/>
  <c r="O16" i="21"/>
  <c r="Q16" i="21" s="1"/>
  <c r="R16" i="21" s="1"/>
  <c r="O15" i="21"/>
  <c r="Q15" i="21" s="1"/>
  <c r="R15" i="21" s="1"/>
  <c r="Q14" i="21"/>
  <c r="R14" i="21" s="1"/>
  <c r="O13" i="21"/>
  <c r="Q13" i="21" s="1"/>
  <c r="R13" i="21" s="1"/>
  <c r="O12" i="21"/>
  <c r="Q12" i="21" s="1"/>
  <c r="R12" i="21" s="1"/>
  <c r="Q11" i="21"/>
  <c r="R11" i="21" s="1"/>
  <c r="O10" i="21"/>
  <c r="Q10" i="21" s="1"/>
  <c r="R10" i="21" s="1"/>
  <c r="H10" i="21"/>
  <c r="O9" i="21"/>
  <c r="Q9" i="21" s="1"/>
  <c r="R9" i="21" s="1"/>
  <c r="O8" i="21"/>
  <c r="Q8" i="21" s="1"/>
  <c r="O7" i="21"/>
  <c r="Q7" i="21" s="1"/>
  <c r="R7" i="21" s="1"/>
  <c r="O6" i="21"/>
  <c r="Q6" i="21" s="1"/>
  <c r="R6" i="21" s="1"/>
  <c r="Q5" i="21"/>
  <c r="R5" i="21" s="1"/>
  <c r="O4" i="21"/>
  <c r="Q4" i="21" s="1"/>
  <c r="G4" i="21"/>
  <c r="A146" i="20"/>
  <c r="W17" i="20"/>
  <c r="W15" i="20"/>
  <c r="I152" i="20" s="1"/>
  <c r="Q69" i="19"/>
  <c r="P68" i="19"/>
  <c r="M68" i="19"/>
  <c r="P67" i="19"/>
  <c r="N67" i="19"/>
  <c r="R67" i="19" s="1"/>
  <c r="M67" i="19"/>
  <c r="P66" i="19"/>
  <c r="M66" i="19"/>
  <c r="P65" i="19"/>
  <c r="P64" i="19"/>
  <c r="M64" i="19"/>
  <c r="H61" i="19"/>
  <c r="F61" i="19"/>
  <c r="N60" i="19"/>
  <c r="H42" i="19" s="1"/>
  <c r="M60" i="19"/>
  <c r="H60" i="19"/>
  <c r="F60" i="19"/>
  <c r="O59" i="19"/>
  <c r="H59" i="19"/>
  <c r="F59" i="19"/>
  <c r="O58" i="19"/>
  <c r="H58" i="19"/>
  <c r="F58" i="19"/>
  <c r="O57" i="19"/>
  <c r="H57" i="19"/>
  <c r="F57" i="19"/>
  <c r="D56" i="19"/>
  <c r="A56" i="19"/>
  <c r="E55" i="19"/>
  <c r="D55" i="19"/>
  <c r="F54" i="19"/>
  <c r="H54" i="19" s="1"/>
  <c r="F53" i="19"/>
  <c r="H53" i="19" s="1"/>
  <c r="M52" i="19"/>
  <c r="F52" i="19"/>
  <c r="H52" i="19" s="1"/>
  <c r="M49" i="19"/>
  <c r="M48" i="19"/>
  <c r="N44" i="19"/>
  <c r="H40" i="19" s="1"/>
  <c r="M44" i="19"/>
  <c r="O43" i="19"/>
  <c r="I43" i="19"/>
  <c r="O42" i="19"/>
  <c r="I42" i="19"/>
  <c r="O41" i="19"/>
  <c r="C41" i="19"/>
  <c r="O40" i="19"/>
  <c r="I40" i="19"/>
  <c r="O39" i="19"/>
  <c r="O38" i="19"/>
  <c r="O37" i="19"/>
  <c r="B31" i="19"/>
  <c r="I31" i="19" s="1"/>
  <c r="I30" i="19"/>
  <c r="I29" i="19"/>
  <c r="K27" i="19"/>
  <c r="H26" i="19"/>
  <c r="G26" i="19"/>
  <c r="F26" i="19"/>
  <c r="E26" i="19"/>
  <c r="D26" i="19"/>
  <c r="C26" i="19"/>
  <c r="B26" i="19"/>
  <c r="I25" i="19"/>
  <c r="Q24" i="19"/>
  <c r="R24" i="19" s="1"/>
  <c r="I24" i="19"/>
  <c r="Q23" i="19"/>
  <c r="R23" i="19" s="1"/>
  <c r="Q22" i="19"/>
  <c r="R22" i="19" s="1"/>
  <c r="Q21" i="19"/>
  <c r="R21" i="19" s="1"/>
  <c r="H21" i="19"/>
  <c r="G21" i="19"/>
  <c r="F21" i="19"/>
  <c r="E21" i="19"/>
  <c r="D21" i="19"/>
  <c r="C21" i="19"/>
  <c r="B21" i="19"/>
  <c r="Q20" i="19"/>
  <c r="R20" i="19" s="1"/>
  <c r="I20" i="19"/>
  <c r="Q19" i="19"/>
  <c r="R19" i="19" s="1"/>
  <c r="I19" i="19"/>
  <c r="Q18" i="19"/>
  <c r="R18" i="19" s="1"/>
  <c r="Q17" i="19"/>
  <c r="R17" i="19" s="1"/>
  <c r="Q16" i="19"/>
  <c r="R16" i="19" s="1"/>
  <c r="H16" i="19"/>
  <c r="G16" i="19"/>
  <c r="F16" i="19"/>
  <c r="E16" i="19"/>
  <c r="D16" i="19"/>
  <c r="C16" i="19"/>
  <c r="B16" i="19"/>
  <c r="Q15" i="19"/>
  <c r="R15" i="19" s="1"/>
  <c r="I15" i="19"/>
  <c r="Q14" i="19"/>
  <c r="R14" i="19" s="1"/>
  <c r="I14" i="19"/>
  <c r="Q13" i="19"/>
  <c r="R13" i="19" s="1"/>
  <c r="Q12" i="19"/>
  <c r="R12" i="19" s="1"/>
  <c r="Q11" i="19"/>
  <c r="R11" i="19" s="1"/>
  <c r="H11" i="19"/>
  <c r="G11" i="19"/>
  <c r="F11" i="19"/>
  <c r="E11" i="19"/>
  <c r="D11" i="19"/>
  <c r="C11" i="19"/>
  <c r="B11" i="19"/>
  <c r="Q10" i="19"/>
  <c r="R10" i="19" s="1"/>
  <c r="I10" i="19"/>
  <c r="Q9" i="19"/>
  <c r="R9" i="19" s="1"/>
  <c r="I9" i="19"/>
  <c r="Q8" i="19"/>
  <c r="R8" i="19" s="1"/>
  <c r="Q7" i="19"/>
  <c r="R7" i="19" s="1"/>
  <c r="Q6" i="19"/>
  <c r="R6" i="19" s="1"/>
  <c r="H6" i="19"/>
  <c r="G6" i="19"/>
  <c r="Q5" i="19"/>
  <c r="R5" i="19" s="1"/>
  <c r="I5" i="19"/>
  <c r="Q4" i="19"/>
  <c r="I4" i="19"/>
  <c r="A146" i="18"/>
  <c r="W17" i="18"/>
  <c r="W15" i="18"/>
  <c r="I152" i="18" s="1"/>
  <c r="Q69" i="17"/>
  <c r="P68" i="17"/>
  <c r="P67" i="17"/>
  <c r="N67" i="17"/>
  <c r="R67" i="17" s="1"/>
  <c r="M67" i="17"/>
  <c r="P66" i="17"/>
  <c r="M66" i="17"/>
  <c r="P65" i="17"/>
  <c r="N65" i="17"/>
  <c r="M65" i="17"/>
  <c r="P64" i="17"/>
  <c r="N64" i="17"/>
  <c r="M64" i="17"/>
  <c r="H61" i="17"/>
  <c r="F61" i="17"/>
  <c r="N60" i="17"/>
  <c r="H42" i="17" s="1"/>
  <c r="M60" i="17"/>
  <c r="H60" i="17"/>
  <c r="F60" i="17"/>
  <c r="O59" i="17"/>
  <c r="H59" i="17"/>
  <c r="F59" i="17"/>
  <c r="O58" i="17"/>
  <c r="H58" i="17"/>
  <c r="F58" i="17"/>
  <c r="O57" i="17"/>
  <c r="H57" i="17"/>
  <c r="F57" i="17"/>
  <c r="H56" i="17"/>
  <c r="F56" i="17"/>
  <c r="H55" i="17"/>
  <c r="F55" i="17"/>
  <c r="D54" i="17"/>
  <c r="A54" i="17"/>
  <c r="D53" i="17"/>
  <c r="F53" i="17" s="1"/>
  <c r="A53" i="17"/>
  <c r="M52" i="17"/>
  <c r="F52" i="17"/>
  <c r="H52" i="17" s="1"/>
  <c r="M51" i="17"/>
  <c r="M48" i="17"/>
  <c r="N44" i="17"/>
  <c r="H40" i="17" s="1"/>
  <c r="M44" i="17"/>
  <c r="O43" i="17"/>
  <c r="I43" i="17"/>
  <c r="O42" i="17"/>
  <c r="I42" i="17"/>
  <c r="O41" i="17"/>
  <c r="C41" i="17"/>
  <c r="O40" i="17"/>
  <c r="I40" i="17"/>
  <c r="O39" i="17"/>
  <c r="O38" i="17"/>
  <c r="O37" i="17"/>
  <c r="K27" i="17"/>
  <c r="F26" i="17"/>
  <c r="E26" i="17"/>
  <c r="D26" i="17"/>
  <c r="C26" i="17"/>
  <c r="B26" i="17"/>
  <c r="I25" i="17"/>
  <c r="Q24" i="17"/>
  <c r="R24" i="17" s="1"/>
  <c r="I24" i="17"/>
  <c r="Q23" i="17"/>
  <c r="R23" i="17" s="1"/>
  <c r="Q22" i="17"/>
  <c r="R22" i="17" s="1"/>
  <c r="Q21" i="17"/>
  <c r="R21" i="17" s="1"/>
  <c r="H21" i="17"/>
  <c r="G21" i="17"/>
  <c r="F21" i="17"/>
  <c r="E21" i="17"/>
  <c r="D21" i="17"/>
  <c r="C21" i="17"/>
  <c r="B21" i="17"/>
  <c r="Q20" i="17"/>
  <c r="R20" i="17" s="1"/>
  <c r="I20" i="17"/>
  <c r="Q19" i="17"/>
  <c r="R19" i="17" s="1"/>
  <c r="I19" i="17"/>
  <c r="Q18" i="17"/>
  <c r="R18" i="17" s="1"/>
  <c r="Q17" i="17"/>
  <c r="R17" i="17" s="1"/>
  <c r="Q16" i="17"/>
  <c r="R16" i="17" s="1"/>
  <c r="H16" i="17"/>
  <c r="G16" i="17"/>
  <c r="F16" i="17"/>
  <c r="E16" i="17"/>
  <c r="D16" i="17"/>
  <c r="C16" i="17"/>
  <c r="B16" i="17"/>
  <c r="Q15" i="17"/>
  <c r="R15" i="17" s="1"/>
  <c r="I15" i="17"/>
  <c r="Q14" i="17"/>
  <c r="R14" i="17" s="1"/>
  <c r="I14" i="17"/>
  <c r="Q13" i="17"/>
  <c r="R13" i="17" s="1"/>
  <c r="Q12" i="17"/>
  <c r="R12" i="17" s="1"/>
  <c r="Q11" i="17"/>
  <c r="R11" i="17" s="1"/>
  <c r="H11" i="17"/>
  <c r="G11" i="17"/>
  <c r="F11" i="17"/>
  <c r="E11" i="17"/>
  <c r="D11" i="17"/>
  <c r="C11" i="17"/>
  <c r="B11" i="17"/>
  <c r="Q10" i="17"/>
  <c r="R10" i="17" s="1"/>
  <c r="I10" i="17"/>
  <c r="Q9" i="17"/>
  <c r="R9" i="17" s="1"/>
  <c r="I9" i="17"/>
  <c r="Q8" i="17"/>
  <c r="R8" i="17" s="1"/>
  <c r="Q7" i="17"/>
  <c r="R7" i="17" s="1"/>
  <c r="Q6" i="17"/>
  <c r="R6" i="17" s="1"/>
  <c r="H6" i="17"/>
  <c r="G6" i="17"/>
  <c r="F6" i="17"/>
  <c r="E6" i="17"/>
  <c r="D6" i="17"/>
  <c r="Q5" i="17"/>
  <c r="I5" i="17"/>
  <c r="Q4" i="17"/>
  <c r="R4" i="17" s="1"/>
  <c r="I4" i="17"/>
  <c r="A146" i="16"/>
  <c r="W17" i="16"/>
  <c r="W15" i="16"/>
  <c r="Q69" i="15"/>
  <c r="P68" i="15"/>
  <c r="P67" i="15"/>
  <c r="P66" i="15"/>
  <c r="P65" i="15"/>
  <c r="P64" i="15"/>
  <c r="H61" i="15"/>
  <c r="F61" i="15"/>
  <c r="N60" i="15"/>
  <c r="H42" i="15" s="1"/>
  <c r="M60" i="15"/>
  <c r="H60" i="15"/>
  <c r="F60" i="15"/>
  <c r="O59" i="15"/>
  <c r="H59" i="15"/>
  <c r="F59" i="15"/>
  <c r="O58" i="15"/>
  <c r="H58" i="15"/>
  <c r="F58" i="15"/>
  <c r="O57" i="15"/>
  <c r="H57" i="15"/>
  <c r="F57" i="15"/>
  <c r="H56" i="15"/>
  <c r="F56" i="15"/>
  <c r="H55" i="15"/>
  <c r="F55" i="15"/>
  <c r="H54" i="15"/>
  <c r="F54" i="15"/>
  <c r="D53" i="15"/>
  <c r="F53" i="15" s="1"/>
  <c r="H53" i="15" s="1"/>
  <c r="A53" i="15"/>
  <c r="F52" i="15"/>
  <c r="H52" i="15" s="1"/>
  <c r="N44" i="15"/>
  <c r="H40" i="15" s="1"/>
  <c r="M44" i="15"/>
  <c r="O43" i="15"/>
  <c r="I43" i="15"/>
  <c r="O42" i="15"/>
  <c r="I42" i="15"/>
  <c r="O41" i="15"/>
  <c r="C41" i="15"/>
  <c r="O40" i="15"/>
  <c r="I40" i="15"/>
  <c r="O39" i="15"/>
  <c r="O38" i="15"/>
  <c r="O37" i="15"/>
  <c r="K27" i="15"/>
  <c r="C26" i="15"/>
  <c r="B26" i="15"/>
  <c r="I26" i="15" s="1"/>
  <c r="I25" i="15"/>
  <c r="Q24" i="15"/>
  <c r="R24" i="15" s="1"/>
  <c r="I24" i="15"/>
  <c r="Q23" i="15"/>
  <c r="R23" i="15" s="1"/>
  <c r="Q22" i="15"/>
  <c r="R22" i="15" s="1"/>
  <c r="Q21" i="15"/>
  <c r="R21" i="15" s="1"/>
  <c r="H21" i="15"/>
  <c r="G21" i="15"/>
  <c r="F21" i="15"/>
  <c r="E21" i="15"/>
  <c r="D21" i="15"/>
  <c r="C21" i="15"/>
  <c r="B21" i="15"/>
  <c r="Q20" i="15"/>
  <c r="R20" i="15" s="1"/>
  <c r="I20" i="15"/>
  <c r="Q19" i="15"/>
  <c r="R19" i="15" s="1"/>
  <c r="I19" i="15"/>
  <c r="Q18" i="15"/>
  <c r="R18" i="15" s="1"/>
  <c r="Q17" i="15"/>
  <c r="R17" i="15" s="1"/>
  <c r="Q16" i="15"/>
  <c r="R16" i="15" s="1"/>
  <c r="H16" i="15"/>
  <c r="G16" i="15"/>
  <c r="F16" i="15"/>
  <c r="E16" i="15"/>
  <c r="D16" i="15"/>
  <c r="C16" i="15"/>
  <c r="B16" i="15"/>
  <c r="Q15" i="15"/>
  <c r="R15" i="15" s="1"/>
  <c r="I15" i="15"/>
  <c r="Q14" i="15"/>
  <c r="R14" i="15" s="1"/>
  <c r="I14" i="15"/>
  <c r="Q13" i="15"/>
  <c r="R13" i="15" s="1"/>
  <c r="Q12" i="15"/>
  <c r="R12" i="15" s="1"/>
  <c r="Q11" i="15"/>
  <c r="R11" i="15" s="1"/>
  <c r="H11" i="15"/>
  <c r="G11" i="15"/>
  <c r="F11" i="15"/>
  <c r="E11" i="15"/>
  <c r="D11" i="15"/>
  <c r="C11" i="15"/>
  <c r="B11" i="15"/>
  <c r="Q10" i="15"/>
  <c r="R10" i="15" s="1"/>
  <c r="I10" i="15"/>
  <c r="Q9" i="15"/>
  <c r="R9" i="15" s="1"/>
  <c r="I9" i="15"/>
  <c r="Q8" i="15"/>
  <c r="R8" i="15" s="1"/>
  <c r="Q7" i="15"/>
  <c r="R7" i="15" s="1"/>
  <c r="Q6" i="15"/>
  <c r="R6" i="15" s="1"/>
  <c r="H6" i="15"/>
  <c r="G6" i="15"/>
  <c r="F6" i="15"/>
  <c r="E6" i="15"/>
  <c r="D6" i="15"/>
  <c r="C6" i="15"/>
  <c r="B6" i="15"/>
  <c r="Q5" i="15"/>
  <c r="R5" i="15" s="1"/>
  <c r="I5" i="15"/>
  <c r="Q4" i="15"/>
  <c r="I4" i="15"/>
  <c r="A146" i="14"/>
  <c r="W17" i="14"/>
  <c r="W15" i="14"/>
  <c r="I152" i="14" s="1"/>
  <c r="Q69" i="13"/>
  <c r="P68" i="13"/>
  <c r="P67" i="13"/>
  <c r="P66" i="13"/>
  <c r="P65" i="13"/>
  <c r="P64" i="13"/>
  <c r="H61" i="13"/>
  <c r="F61" i="13"/>
  <c r="N60" i="13"/>
  <c r="H42" i="13" s="1"/>
  <c r="M60" i="13"/>
  <c r="H60" i="13"/>
  <c r="F60" i="13"/>
  <c r="O59" i="13"/>
  <c r="H59" i="13"/>
  <c r="F59" i="13"/>
  <c r="O58" i="13"/>
  <c r="H58" i="13"/>
  <c r="F58" i="13"/>
  <c r="O57" i="13"/>
  <c r="H57" i="13"/>
  <c r="F57" i="13"/>
  <c r="H56" i="13"/>
  <c r="F56" i="13"/>
  <c r="H55" i="13"/>
  <c r="F55" i="13"/>
  <c r="H54" i="13"/>
  <c r="F54" i="13"/>
  <c r="H53" i="13"/>
  <c r="F53" i="13"/>
  <c r="H52" i="13"/>
  <c r="F52" i="13"/>
  <c r="M51" i="13"/>
  <c r="N44" i="13"/>
  <c r="H40" i="13" s="1"/>
  <c r="M44" i="13"/>
  <c r="O43" i="13"/>
  <c r="I43" i="13"/>
  <c r="O42" i="13"/>
  <c r="I42" i="13"/>
  <c r="O41" i="13"/>
  <c r="C41" i="13"/>
  <c r="O40" i="13"/>
  <c r="I40" i="13"/>
  <c r="O39" i="13"/>
  <c r="O38" i="13"/>
  <c r="O37" i="13"/>
  <c r="K27" i="13"/>
  <c r="H26" i="13"/>
  <c r="G26" i="13"/>
  <c r="F26" i="13"/>
  <c r="E26" i="13"/>
  <c r="D26" i="13"/>
  <c r="C26" i="13"/>
  <c r="B26" i="13"/>
  <c r="I25" i="13"/>
  <c r="Q24" i="13"/>
  <c r="R24" i="13" s="1"/>
  <c r="I24" i="13"/>
  <c r="Q23" i="13"/>
  <c r="R23" i="13" s="1"/>
  <c r="Q22" i="13"/>
  <c r="R22" i="13" s="1"/>
  <c r="Q21" i="13"/>
  <c r="R21" i="13" s="1"/>
  <c r="H21" i="13"/>
  <c r="G21" i="13"/>
  <c r="F21" i="13"/>
  <c r="E21" i="13"/>
  <c r="D21" i="13"/>
  <c r="C21" i="13"/>
  <c r="B21" i="13"/>
  <c r="Q20" i="13"/>
  <c r="R20" i="13" s="1"/>
  <c r="I20" i="13"/>
  <c r="Q19" i="13"/>
  <c r="R19" i="13" s="1"/>
  <c r="I19" i="13"/>
  <c r="Q18" i="13"/>
  <c r="R18" i="13" s="1"/>
  <c r="Q17" i="13"/>
  <c r="R17" i="13" s="1"/>
  <c r="Q16" i="13"/>
  <c r="R16" i="13" s="1"/>
  <c r="H16" i="13"/>
  <c r="G16" i="13"/>
  <c r="F16" i="13"/>
  <c r="E16" i="13"/>
  <c r="D16" i="13"/>
  <c r="C16" i="13"/>
  <c r="B16" i="13"/>
  <c r="Q15" i="13"/>
  <c r="R15" i="13" s="1"/>
  <c r="I15" i="13"/>
  <c r="Q14" i="13"/>
  <c r="R14" i="13" s="1"/>
  <c r="I14" i="13"/>
  <c r="Q13" i="13"/>
  <c r="R13" i="13" s="1"/>
  <c r="Q12" i="13"/>
  <c r="R12" i="13" s="1"/>
  <c r="Q11" i="13"/>
  <c r="R11" i="13" s="1"/>
  <c r="H11" i="13"/>
  <c r="G11" i="13"/>
  <c r="F11" i="13"/>
  <c r="E11" i="13"/>
  <c r="D11" i="13"/>
  <c r="C11" i="13"/>
  <c r="B11" i="13"/>
  <c r="Q10" i="13"/>
  <c r="R10" i="13" s="1"/>
  <c r="I10" i="13"/>
  <c r="Q9" i="13"/>
  <c r="R9" i="13" s="1"/>
  <c r="I9" i="13"/>
  <c r="Q8" i="13"/>
  <c r="R8" i="13" s="1"/>
  <c r="Q7" i="13"/>
  <c r="R7" i="13" s="1"/>
  <c r="Q6" i="13"/>
  <c r="R6" i="13" s="1"/>
  <c r="H6" i="13"/>
  <c r="G6" i="13"/>
  <c r="F6" i="13"/>
  <c r="Q5" i="13"/>
  <c r="R5" i="13" s="1"/>
  <c r="I5" i="13"/>
  <c r="Q4" i="13"/>
  <c r="R4" i="13" s="1"/>
  <c r="I4" i="13"/>
  <c r="A146" i="12"/>
  <c r="W17" i="12"/>
  <c r="W15" i="12"/>
  <c r="I152" i="12" s="1"/>
  <c r="Q69" i="11"/>
  <c r="P68" i="11"/>
  <c r="P67" i="11"/>
  <c r="P66" i="11"/>
  <c r="P65" i="11"/>
  <c r="P64" i="11"/>
  <c r="H61" i="11"/>
  <c r="F61" i="11"/>
  <c r="N60" i="11"/>
  <c r="H42" i="11" s="1"/>
  <c r="M60" i="11"/>
  <c r="H60" i="11"/>
  <c r="F60" i="11"/>
  <c r="O59" i="11"/>
  <c r="H59" i="11"/>
  <c r="F59" i="11"/>
  <c r="O58" i="11"/>
  <c r="H58" i="11"/>
  <c r="F58" i="11"/>
  <c r="O57" i="11"/>
  <c r="H57" i="11"/>
  <c r="F57" i="11"/>
  <c r="H56" i="11"/>
  <c r="F56" i="11"/>
  <c r="H55" i="11"/>
  <c r="F55" i="11"/>
  <c r="H54" i="11"/>
  <c r="F54" i="11"/>
  <c r="D53" i="11"/>
  <c r="F53" i="11" s="1"/>
  <c r="A53" i="11"/>
  <c r="F52" i="11"/>
  <c r="H52" i="11" s="1"/>
  <c r="N44" i="11"/>
  <c r="H40" i="11" s="1"/>
  <c r="M44" i="11"/>
  <c r="O43" i="11"/>
  <c r="I43" i="11"/>
  <c r="O42" i="11"/>
  <c r="I42" i="11"/>
  <c r="O41" i="11"/>
  <c r="C41" i="11"/>
  <c r="O40" i="11"/>
  <c r="I40" i="11"/>
  <c r="O39" i="11"/>
  <c r="O38" i="11"/>
  <c r="O37" i="11"/>
  <c r="K27" i="11"/>
  <c r="E26" i="11"/>
  <c r="D26" i="11"/>
  <c r="C26" i="11"/>
  <c r="B26" i="11"/>
  <c r="I25" i="11"/>
  <c r="Q24" i="11"/>
  <c r="R24" i="11" s="1"/>
  <c r="I24" i="11"/>
  <c r="Q23" i="11"/>
  <c r="R23" i="11" s="1"/>
  <c r="Q22" i="11"/>
  <c r="R22" i="11" s="1"/>
  <c r="Q21" i="11"/>
  <c r="R21" i="11" s="1"/>
  <c r="H21" i="11"/>
  <c r="G21" i="11"/>
  <c r="F21" i="11"/>
  <c r="E21" i="11"/>
  <c r="D21" i="11"/>
  <c r="C21" i="11"/>
  <c r="B21" i="11"/>
  <c r="Q20" i="11"/>
  <c r="R20" i="11" s="1"/>
  <c r="I20" i="11"/>
  <c r="Q19" i="11"/>
  <c r="R19" i="11" s="1"/>
  <c r="I19" i="11"/>
  <c r="Q18" i="11"/>
  <c r="R18" i="11" s="1"/>
  <c r="Q17" i="11"/>
  <c r="R17" i="11" s="1"/>
  <c r="Q16" i="11"/>
  <c r="R16" i="11" s="1"/>
  <c r="H16" i="11"/>
  <c r="G16" i="11"/>
  <c r="F16" i="11"/>
  <c r="E16" i="11"/>
  <c r="D16" i="11"/>
  <c r="C16" i="11"/>
  <c r="B16" i="11"/>
  <c r="Q15" i="11"/>
  <c r="R15" i="11" s="1"/>
  <c r="I15" i="11"/>
  <c r="Q14" i="11"/>
  <c r="R14" i="11" s="1"/>
  <c r="I14" i="11"/>
  <c r="Q13" i="11"/>
  <c r="R13" i="11" s="1"/>
  <c r="Q12" i="11"/>
  <c r="R12" i="11" s="1"/>
  <c r="Q11" i="11"/>
  <c r="R11" i="11" s="1"/>
  <c r="H11" i="11"/>
  <c r="G11" i="11"/>
  <c r="F11" i="11"/>
  <c r="E11" i="11"/>
  <c r="D11" i="11"/>
  <c r="C11" i="11"/>
  <c r="B11" i="11"/>
  <c r="Q10" i="11"/>
  <c r="R10" i="11" s="1"/>
  <c r="I10" i="11"/>
  <c r="Q9" i="11"/>
  <c r="R9" i="11" s="1"/>
  <c r="I9" i="11"/>
  <c r="Q8" i="11"/>
  <c r="R8" i="11" s="1"/>
  <c r="Q7" i="11"/>
  <c r="Q6" i="11"/>
  <c r="R6" i="11" s="1"/>
  <c r="H6" i="11"/>
  <c r="G6" i="11"/>
  <c r="F6" i="11"/>
  <c r="E6" i="11"/>
  <c r="D6" i="11"/>
  <c r="Q5" i="11"/>
  <c r="R5" i="11" s="1"/>
  <c r="I5" i="11"/>
  <c r="Q4" i="11"/>
  <c r="R4" i="11" s="1"/>
  <c r="I4" i="11"/>
  <c r="A146" i="10"/>
  <c r="W17" i="10"/>
  <c r="W15" i="10"/>
  <c r="I152" i="10" s="1"/>
  <c r="Q69" i="9"/>
  <c r="P68" i="9"/>
  <c r="P67" i="9"/>
  <c r="P66" i="9"/>
  <c r="P65" i="9"/>
  <c r="P64" i="9"/>
  <c r="H61" i="9"/>
  <c r="F61" i="9"/>
  <c r="N60" i="9"/>
  <c r="H42" i="9" s="1"/>
  <c r="M60" i="9"/>
  <c r="H60" i="9"/>
  <c r="F60" i="9"/>
  <c r="O59" i="9"/>
  <c r="H59" i="9"/>
  <c r="F59" i="9"/>
  <c r="O58" i="9"/>
  <c r="H58" i="9"/>
  <c r="F58" i="9"/>
  <c r="O57" i="9"/>
  <c r="H57" i="9"/>
  <c r="F57" i="9"/>
  <c r="H56" i="9"/>
  <c r="F56" i="9"/>
  <c r="H55" i="9"/>
  <c r="F55" i="9"/>
  <c r="H54" i="9"/>
  <c r="F54" i="9"/>
  <c r="D53" i="9"/>
  <c r="F53" i="9" s="1"/>
  <c r="A53" i="9"/>
  <c r="F52" i="9"/>
  <c r="H52" i="9" s="1"/>
  <c r="M51" i="9"/>
  <c r="M49" i="9"/>
  <c r="N44" i="9"/>
  <c r="H40" i="9" s="1"/>
  <c r="M44" i="9"/>
  <c r="O43" i="9"/>
  <c r="I43" i="9"/>
  <c r="O42" i="9"/>
  <c r="I42" i="9"/>
  <c r="O41" i="9"/>
  <c r="C41" i="9"/>
  <c r="O40" i="9"/>
  <c r="I40" i="9"/>
  <c r="O39" i="9"/>
  <c r="O38" i="9"/>
  <c r="O37" i="9"/>
  <c r="C31" i="9"/>
  <c r="B31" i="9"/>
  <c r="I30" i="9"/>
  <c r="I29" i="9"/>
  <c r="K27" i="9"/>
  <c r="H26" i="9"/>
  <c r="G26" i="9"/>
  <c r="F26" i="9"/>
  <c r="E26" i="9"/>
  <c r="D26" i="9"/>
  <c r="C26" i="9"/>
  <c r="B26" i="9"/>
  <c r="I25" i="9"/>
  <c r="Q24" i="9"/>
  <c r="R24" i="9" s="1"/>
  <c r="I24" i="9"/>
  <c r="Q23" i="9"/>
  <c r="R23" i="9" s="1"/>
  <c r="Q22" i="9"/>
  <c r="R22" i="9" s="1"/>
  <c r="Q21" i="9"/>
  <c r="R21" i="9" s="1"/>
  <c r="H21" i="9"/>
  <c r="G21" i="9"/>
  <c r="F21" i="9"/>
  <c r="E21" i="9"/>
  <c r="D21" i="9"/>
  <c r="C21" i="9"/>
  <c r="B21" i="9"/>
  <c r="Q20" i="9"/>
  <c r="R20" i="9" s="1"/>
  <c r="I20" i="9"/>
  <c r="Q19" i="9"/>
  <c r="R19" i="9" s="1"/>
  <c r="I19" i="9"/>
  <c r="Q18" i="9"/>
  <c r="R18" i="9" s="1"/>
  <c r="Q17" i="9"/>
  <c r="R17" i="9" s="1"/>
  <c r="Q16" i="9"/>
  <c r="R16" i="9" s="1"/>
  <c r="H16" i="9"/>
  <c r="G16" i="9"/>
  <c r="F16" i="9"/>
  <c r="E16" i="9"/>
  <c r="D16" i="9"/>
  <c r="C16" i="9"/>
  <c r="B16" i="9"/>
  <c r="Q15" i="9"/>
  <c r="R15" i="9" s="1"/>
  <c r="I15" i="9"/>
  <c r="Q14" i="9"/>
  <c r="R14" i="9" s="1"/>
  <c r="I14" i="9"/>
  <c r="Q13" i="9"/>
  <c r="R13" i="9" s="1"/>
  <c r="Q12" i="9"/>
  <c r="R12" i="9" s="1"/>
  <c r="Q11" i="9"/>
  <c r="R11" i="9" s="1"/>
  <c r="H11" i="9"/>
  <c r="G11" i="9"/>
  <c r="F11" i="9"/>
  <c r="E11" i="9"/>
  <c r="D11" i="9"/>
  <c r="C11" i="9"/>
  <c r="B11" i="9"/>
  <c r="Q10" i="9"/>
  <c r="R10" i="9" s="1"/>
  <c r="I10" i="9"/>
  <c r="Q9" i="9"/>
  <c r="R9" i="9" s="1"/>
  <c r="I9" i="9"/>
  <c r="Q8" i="9"/>
  <c r="R8" i="9" s="1"/>
  <c r="Q7" i="9"/>
  <c r="R7" i="9" s="1"/>
  <c r="Q6" i="9"/>
  <c r="R6" i="9" s="1"/>
  <c r="H6" i="9"/>
  <c r="I6" i="9" s="1"/>
  <c r="Q5" i="9"/>
  <c r="I5" i="9"/>
  <c r="Q4" i="9"/>
  <c r="R4" i="9" s="1"/>
  <c r="I4" i="9"/>
  <c r="A146" i="8"/>
  <c r="W17" i="8"/>
  <c r="W15" i="8"/>
  <c r="Q69" i="7"/>
  <c r="P68" i="7"/>
  <c r="P67" i="7"/>
  <c r="P66" i="7"/>
  <c r="P65" i="7"/>
  <c r="P64" i="7"/>
  <c r="H61" i="7"/>
  <c r="F61" i="7"/>
  <c r="N60" i="7"/>
  <c r="H42" i="7" s="1"/>
  <c r="M60" i="7"/>
  <c r="H60" i="7"/>
  <c r="F60" i="7"/>
  <c r="O59" i="7"/>
  <c r="H59" i="7"/>
  <c r="F59" i="7"/>
  <c r="O58" i="7"/>
  <c r="H58" i="7"/>
  <c r="F58" i="7"/>
  <c r="O57" i="7"/>
  <c r="H57" i="7"/>
  <c r="F57" i="7"/>
  <c r="H56" i="7"/>
  <c r="F56" i="7"/>
  <c r="H55" i="7"/>
  <c r="F55" i="7"/>
  <c r="H54" i="7"/>
  <c r="F54" i="7"/>
  <c r="H53" i="7"/>
  <c r="F53" i="7"/>
  <c r="H52" i="7"/>
  <c r="F52" i="7"/>
  <c r="M49" i="7"/>
  <c r="N44" i="7"/>
  <c r="H40" i="7" s="1"/>
  <c r="M44" i="7"/>
  <c r="O43" i="7"/>
  <c r="I43" i="7"/>
  <c r="O42" i="7"/>
  <c r="I42" i="7"/>
  <c r="O41" i="7"/>
  <c r="C41" i="7"/>
  <c r="O40" i="7"/>
  <c r="I40" i="7"/>
  <c r="O39" i="7"/>
  <c r="O38" i="7"/>
  <c r="O37" i="7"/>
  <c r="K27" i="7"/>
  <c r="G26" i="7"/>
  <c r="F26" i="7"/>
  <c r="E26" i="7"/>
  <c r="D26" i="7"/>
  <c r="C26" i="7"/>
  <c r="B26" i="7"/>
  <c r="I25" i="7"/>
  <c r="Q24" i="7"/>
  <c r="R24" i="7" s="1"/>
  <c r="I24" i="7"/>
  <c r="Q23" i="7"/>
  <c r="R23" i="7" s="1"/>
  <c r="Q22" i="7"/>
  <c r="R22" i="7" s="1"/>
  <c r="Q21" i="7"/>
  <c r="R21" i="7" s="1"/>
  <c r="H21" i="7"/>
  <c r="G21" i="7"/>
  <c r="F21" i="7"/>
  <c r="E21" i="7"/>
  <c r="D21" i="7"/>
  <c r="C21" i="7"/>
  <c r="B21" i="7"/>
  <c r="Q20" i="7"/>
  <c r="R20" i="7" s="1"/>
  <c r="I20" i="7"/>
  <c r="Q19" i="7"/>
  <c r="R19" i="7" s="1"/>
  <c r="I19" i="7"/>
  <c r="Q18" i="7"/>
  <c r="R18" i="7" s="1"/>
  <c r="Q17" i="7"/>
  <c r="R17" i="7" s="1"/>
  <c r="Q16" i="7"/>
  <c r="R16" i="7" s="1"/>
  <c r="H16" i="7"/>
  <c r="G16" i="7"/>
  <c r="F16" i="7"/>
  <c r="E16" i="7"/>
  <c r="D16" i="7"/>
  <c r="C16" i="7"/>
  <c r="B16" i="7"/>
  <c r="Q15" i="7"/>
  <c r="R15" i="7" s="1"/>
  <c r="I15" i="7"/>
  <c r="Q14" i="7"/>
  <c r="R14" i="7" s="1"/>
  <c r="I14" i="7"/>
  <c r="Q13" i="7"/>
  <c r="R13" i="7" s="1"/>
  <c r="Q12" i="7"/>
  <c r="R12" i="7" s="1"/>
  <c r="Q11" i="7"/>
  <c r="R11" i="7" s="1"/>
  <c r="H11" i="7"/>
  <c r="G11" i="7"/>
  <c r="F11" i="7"/>
  <c r="E11" i="7"/>
  <c r="D11" i="7"/>
  <c r="C11" i="7"/>
  <c r="B11" i="7"/>
  <c r="Q10" i="7"/>
  <c r="R10" i="7" s="1"/>
  <c r="I10" i="7"/>
  <c r="Q9" i="7"/>
  <c r="R9" i="7" s="1"/>
  <c r="I9" i="7"/>
  <c r="Q8" i="7"/>
  <c r="R8" i="7" s="1"/>
  <c r="Q7" i="7"/>
  <c r="R7" i="7" s="1"/>
  <c r="Q6" i="7"/>
  <c r="R6" i="7" s="1"/>
  <c r="H6" i="7"/>
  <c r="I6" i="7" s="1"/>
  <c r="Q5" i="7"/>
  <c r="I5" i="7"/>
  <c r="Q4" i="7"/>
  <c r="R4" i="7" s="1"/>
  <c r="I4" i="7"/>
  <c r="A146" i="6"/>
  <c r="W17" i="6"/>
  <c r="W15" i="6"/>
  <c r="Q69" i="5"/>
  <c r="P68" i="5"/>
  <c r="P67" i="5"/>
  <c r="P66" i="5"/>
  <c r="P65" i="5"/>
  <c r="P64" i="5"/>
  <c r="H61" i="5"/>
  <c r="F61" i="5"/>
  <c r="N60" i="5"/>
  <c r="H42" i="5" s="1"/>
  <c r="M60" i="5"/>
  <c r="H60" i="5"/>
  <c r="F60" i="5"/>
  <c r="O59" i="5"/>
  <c r="H59" i="5"/>
  <c r="F59" i="5"/>
  <c r="O58" i="5"/>
  <c r="H58" i="5"/>
  <c r="F58" i="5"/>
  <c r="O57" i="5"/>
  <c r="H57" i="5"/>
  <c r="F57" i="5"/>
  <c r="H56" i="5"/>
  <c r="F56" i="5"/>
  <c r="H55" i="5"/>
  <c r="F55" i="5"/>
  <c r="H54" i="5"/>
  <c r="F54" i="5"/>
  <c r="F53" i="5"/>
  <c r="H53" i="5" s="1"/>
  <c r="F52" i="5"/>
  <c r="H52" i="5" s="1"/>
  <c r="M48" i="5"/>
  <c r="N44" i="5"/>
  <c r="H40" i="5" s="1"/>
  <c r="M44" i="5"/>
  <c r="O43" i="5"/>
  <c r="I43" i="5"/>
  <c r="O42" i="5"/>
  <c r="I42" i="5"/>
  <c r="O41" i="5"/>
  <c r="C41" i="5"/>
  <c r="O40" i="5"/>
  <c r="I40" i="5"/>
  <c r="O39" i="5"/>
  <c r="O38" i="5"/>
  <c r="O37" i="5"/>
  <c r="K27" i="5"/>
  <c r="G26" i="5"/>
  <c r="F26" i="5"/>
  <c r="E26" i="5"/>
  <c r="D26" i="5"/>
  <c r="C26" i="5"/>
  <c r="B26" i="5"/>
  <c r="I25" i="5"/>
  <c r="Q24" i="5"/>
  <c r="R24" i="5" s="1"/>
  <c r="I24" i="5"/>
  <c r="Q23" i="5"/>
  <c r="R23" i="5" s="1"/>
  <c r="Q22" i="5"/>
  <c r="R22" i="5" s="1"/>
  <c r="Q21" i="5"/>
  <c r="R21" i="5" s="1"/>
  <c r="H21" i="5"/>
  <c r="G21" i="5"/>
  <c r="F21" i="5"/>
  <c r="E21" i="5"/>
  <c r="D21" i="5"/>
  <c r="C21" i="5"/>
  <c r="B21" i="5"/>
  <c r="Q20" i="5"/>
  <c r="R20" i="5" s="1"/>
  <c r="I20" i="5"/>
  <c r="Q19" i="5"/>
  <c r="R19" i="5" s="1"/>
  <c r="I19" i="5"/>
  <c r="Q18" i="5"/>
  <c r="R18" i="5" s="1"/>
  <c r="Q17" i="5"/>
  <c r="R17" i="5" s="1"/>
  <c r="Q16" i="5"/>
  <c r="R16" i="5" s="1"/>
  <c r="H16" i="5"/>
  <c r="G16" i="5"/>
  <c r="F16" i="5"/>
  <c r="E16" i="5"/>
  <c r="D16" i="5"/>
  <c r="C16" i="5"/>
  <c r="B16" i="5"/>
  <c r="Q15" i="5"/>
  <c r="R15" i="5" s="1"/>
  <c r="I15" i="5"/>
  <c r="Q14" i="5"/>
  <c r="R14" i="5" s="1"/>
  <c r="I14" i="5"/>
  <c r="Q13" i="5"/>
  <c r="R13" i="5" s="1"/>
  <c r="Q12" i="5"/>
  <c r="R12" i="5" s="1"/>
  <c r="Q11" i="5"/>
  <c r="R11" i="5" s="1"/>
  <c r="H11" i="5"/>
  <c r="G11" i="5"/>
  <c r="F11" i="5"/>
  <c r="E11" i="5"/>
  <c r="D11" i="5"/>
  <c r="C11" i="5"/>
  <c r="B11" i="5"/>
  <c r="Q10" i="5"/>
  <c r="R10" i="5" s="1"/>
  <c r="I10" i="5"/>
  <c r="Q9" i="5"/>
  <c r="R9" i="5" s="1"/>
  <c r="I9" i="5"/>
  <c r="Q8" i="5"/>
  <c r="R8" i="5" s="1"/>
  <c r="Q7" i="5"/>
  <c r="R7" i="5" s="1"/>
  <c r="Q6" i="5"/>
  <c r="R6" i="5" s="1"/>
  <c r="H6" i="5"/>
  <c r="G6" i="5"/>
  <c r="F6" i="5"/>
  <c r="E6" i="5"/>
  <c r="Q5" i="5"/>
  <c r="R5" i="5" s="1"/>
  <c r="I5" i="5"/>
  <c r="Q4" i="5"/>
  <c r="R4" i="5" s="1"/>
  <c r="I4" i="5"/>
  <c r="A730" i="3"/>
  <c r="N729" i="3"/>
  <c r="O729" i="3" s="1"/>
  <c r="M729" i="3"/>
  <c r="G729" i="3"/>
  <c r="F729" i="3"/>
  <c r="E729" i="3"/>
  <c r="D729" i="3"/>
  <c r="A729" i="3"/>
  <c r="N728" i="3"/>
  <c r="O728" i="3" s="1"/>
  <c r="M728" i="3"/>
  <c r="G728" i="3"/>
  <c r="F728" i="3"/>
  <c r="E728" i="3"/>
  <c r="D728" i="3"/>
  <c r="A728" i="3"/>
  <c r="N727" i="3"/>
  <c r="O727" i="3" s="1"/>
  <c r="M727" i="3"/>
  <c r="G727" i="3"/>
  <c r="F727" i="3"/>
  <c r="E727" i="3"/>
  <c r="D727" i="3"/>
  <c r="A727" i="3"/>
  <c r="N726" i="3"/>
  <c r="O726" i="3" s="1"/>
  <c r="M726" i="3"/>
  <c r="G726" i="3"/>
  <c r="F726" i="3"/>
  <c r="E726" i="3"/>
  <c r="D726" i="3"/>
  <c r="A726" i="3"/>
  <c r="N725" i="3"/>
  <c r="O725" i="3" s="1"/>
  <c r="M725" i="3"/>
  <c r="G725" i="3"/>
  <c r="F725" i="3"/>
  <c r="E725" i="3"/>
  <c r="D725" i="3"/>
  <c r="A725" i="3"/>
  <c r="N724" i="3"/>
  <c r="O724" i="3" s="1"/>
  <c r="M724" i="3"/>
  <c r="G724" i="3"/>
  <c r="F724" i="3"/>
  <c r="E724" i="3"/>
  <c r="D724" i="3"/>
  <c r="A724" i="3"/>
  <c r="N723" i="3"/>
  <c r="O723" i="3" s="1"/>
  <c r="M723" i="3"/>
  <c r="G723" i="3"/>
  <c r="F723" i="3"/>
  <c r="E723" i="3"/>
  <c r="D723" i="3"/>
  <c r="A723" i="3"/>
  <c r="N722" i="3"/>
  <c r="O722" i="3" s="1"/>
  <c r="M722" i="3"/>
  <c r="G722" i="3"/>
  <c r="F722" i="3"/>
  <c r="E722" i="3"/>
  <c r="D722" i="3"/>
  <c r="A722" i="3"/>
  <c r="N721" i="3"/>
  <c r="O721" i="3" s="1"/>
  <c r="M721" i="3"/>
  <c r="G721" i="3"/>
  <c r="F721" i="3"/>
  <c r="E721" i="3"/>
  <c r="D721" i="3"/>
  <c r="A721" i="3"/>
  <c r="N720" i="3"/>
  <c r="O720" i="3" s="1"/>
  <c r="M720" i="3"/>
  <c r="G720" i="3"/>
  <c r="F720" i="3"/>
  <c r="E720" i="3"/>
  <c r="D720" i="3"/>
  <c r="A720" i="3"/>
  <c r="N719" i="3"/>
  <c r="O719" i="3" s="1"/>
  <c r="M719" i="3"/>
  <c r="G719" i="3"/>
  <c r="F719" i="3"/>
  <c r="E719" i="3"/>
  <c r="D719" i="3"/>
  <c r="A719" i="3"/>
  <c r="N718" i="3"/>
  <c r="O718" i="3" s="1"/>
  <c r="M718" i="3"/>
  <c r="G718" i="3"/>
  <c r="F718" i="3"/>
  <c r="E718" i="3"/>
  <c r="D718" i="3"/>
  <c r="A718" i="3"/>
  <c r="N717" i="3"/>
  <c r="O717" i="3" s="1"/>
  <c r="M717" i="3"/>
  <c r="G717" i="3"/>
  <c r="F717" i="3"/>
  <c r="E717" i="3"/>
  <c r="D717" i="3"/>
  <c r="A717" i="3"/>
  <c r="N716" i="3"/>
  <c r="O716" i="3" s="1"/>
  <c r="M716" i="3"/>
  <c r="G716" i="3"/>
  <c r="F716" i="3"/>
  <c r="E716" i="3"/>
  <c r="D716" i="3"/>
  <c r="A716" i="3"/>
  <c r="N715" i="3"/>
  <c r="O715" i="3" s="1"/>
  <c r="M715" i="3"/>
  <c r="G715" i="3"/>
  <c r="F715" i="3"/>
  <c r="E715" i="3"/>
  <c r="D715" i="3"/>
  <c r="A715" i="3"/>
  <c r="N714" i="3"/>
  <c r="O714" i="3" s="1"/>
  <c r="M714" i="3"/>
  <c r="G714" i="3"/>
  <c r="F714" i="3"/>
  <c r="E714" i="3"/>
  <c r="D714" i="3"/>
  <c r="A714" i="3"/>
  <c r="N713" i="3"/>
  <c r="O713" i="3" s="1"/>
  <c r="M713" i="3"/>
  <c r="G713" i="3"/>
  <c r="F713" i="3"/>
  <c r="E713" i="3"/>
  <c r="D713" i="3"/>
  <c r="A713" i="3"/>
  <c r="N712" i="3"/>
  <c r="O712" i="3" s="1"/>
  <c r="M712" i="3"/>
  <c r="G712" i="3"/>
  <c r="F712" i="3"/>
  <c r="E712" i="3"/>
  <c r="D712" i="3"/>
  <c r="A712" i="3"/>
  <c r="N711" i="3"/>
  <c r="O711" i="3" s="1"/>
  <c r="M711" i="3"/>
  <c r="G711" i="3"/>
  <c r="F711" i="3"/>
  <c r="E711" i="3"/>
  <c r="D711" i="3"/>
  <c r="A711" i="3"/>
  <c r="N710" i="3"/>
  <c r="O710" i="3" s="1"/>
  <c r="M710" i="3"/>
  <c r="G710" i="3"/>
  <c r="F710" i="3"/>
  <c r="E710" i="3"/>
  <c r="D710" i="3"/>
  <c r="A710" i="3"/>
  <c r="N709" i="3"/>
  <c r="O709" i="3" s="1"/>
  <c r="M709" i="3"/>
  <c r="G709" i="3"/>
  <c r="F709" i="3"/>
  <c r="E709" i="3"/>
  <c r="D709" i="3"/>
  <c r="A709" i="3"/>
  <c r="N708" i="3"/>
  <c r="O708" i="3" s="1"/>
  <c r="M708" i="3"/>
  <c r="G708" i="3"/>
  <c r="F708" i="3"/>
  <c r="E708" i="3"/>
  <c r="D708" i="3"/>
  <c r="A708" i="3"/>
  <c r="N707" i="3"/>
  <c r="O707" i="3" s="1"/>
  <c r="M707" i="3"/>
  <c r="G707" i="3"/>
  <c r="F707" i="3"/>
  <c r="E707" i="3"/>
  <c r="D707" i="3"/>
  <c r="A707" i="3"/>
  <c r="N706" i="3"/>
  <c r="O706" i="3" s="1"/>
  <c r="M706" i="3"/>
  <c r="G706" i="3"/>
  <c r="F706" i="3"/>
  <c r="E706" i="3"/>
  <c r="D706" i="3"/>
  <c r="A706" i="3"/>
  <c r="N705" i="3"/>
  <c r="O705" i="3" s="1"/>
  <c r="M705" i="3"/>
  <c r="G705" i="3"/>
  <c r="F705" i="3"/>
  <c r="E705" i="3"/>
  <c r="D705" i="3"/>
  <c r="A705" i="3"/>
  <c r="N704" i="3"/>
  <c r="O704" i="3" s="1"/>
  <c r="M704" i="3"/>
  <c r="G704" i="3"/>
  <c r="F704" i="3"/>
  <c r="E704" i="3"/>
  <c r="D704" i="3"/>
  <c r="A704" i="3"/>
  <c r="N703" i="3"/>
  <c r="O703" i="3" s="1"/>
  <c r="M703" i="3"/>
  <c r="G703" i="3"/>
  <c r="F703" i="3"/>
  <c r="E703" i="3"/>
  <c r="D703" i="3"/>
  <c r="A703" i="3"/>
  <c r="N702" i="3"/>
  <c r="O702" i="3" s="1"/>
  <c r="M702" i="3"/>
  <c r="G702" i="3"/>
  <c r="F702" i="3"/>
  <c r="E702" i="3"/>
  <c r="D702" i="3"/>
  <c r="A702" i="3"/>
  <c r="N701" i="3"/>
  <c r="O701" i="3" s="1"/>
  <c r="M701" i="3"/>
  <c r="G701" i="3"/>
  <c r="F701" i="3"/>
  <c r="E701" i="3"/>
  <c r="D701" i="3"/>
  <c r="A701" i="3"/>
  <c r="N700" i="3"/>
  <c r="O700" i="3" s="1"/>
  <c r="M700" i="3"/>
  <c r="G700" i="3"/>
  <c r="F700" i="3"/>
  <c r="E700" i="3"/>
  <c r="D700" i="3"/>
  <c r="A700" i="3"/>
  <c r="N699" i="3"/>
  <c r="O699" i="3" s="1"/>
  <c r="M699" i="3"/>
  <c r="G699" i="3"/>
  <c r="F699" i="3"/>
  <c r="E699" i="3"/>
  <c r="D699" i="3"/>
  <c r="A699" i="3"/>
  <c r="N698" i="3"/>
  <c r="O698" i="3" s="1"/>
  <c r="M698" i="3"/>
  <c r="G698" i="3"/>
  <c r="F698" i="3"/>
  <c r="E698" i="3"/>
  <c r="D698" i="3"/>
  <c r="A698" i="3"/>
  <c r="N697" i="3"/>
  <c r="O697" i="3" s="1"/>
  <c r="M697" i="3"/>
  <c r="G697" i="3"/>
  <c r="F697" i="3"/>
  <c r="E697" i="3"/>
  <c r="D697" i="3"/>
  <c r="A697" i="3"/>
  <c r="N696" i="3"/>
  <c r="O696" i="3" s="1"/>
  <c r="M696" i="3"/>
  <c r="G696" i="3"/>
  <c r="F696" i="3"/>
  <c r="E696" i="3"/>
  <c r="D696" i="3"/>
  <c r="A696" i="3"/>
  <c r="N695" i="3"/>
  <c r="O695" i="3" s="1"/>
  <c r="M695" i="3"/>
  <c r="G695" i="3"/>
  <c r="F695" i="3"/>
  <c r="E695" i="3"/>
  <c r="D695" i="3"/>
  <c r="A695" i="3"/>
  <c r="N694" i="3"/>
  <c r="O694" i="3" s="1"/>
  <c r="M694" i="3"/>
  <c r="G694" i="3"/>
  <c r="F694" i="3"/>
  <c r="E694" i="3"/>
  <c r="D694" i="3"/>
  <c r="A694" i="3"/>
  <c r="N693" i="3"/>
  <c r="O693" i="3" s="1"/>
  <c r="M693" i="3"/>
  <c r="G693" i="3"/>
  <c r="F693" i="3"/>
  <c r="E693" i="3"/>
  <c r="D693" i="3"/>
  <c r="A693" i="3"/>
  <c r="N692" i="3"/>
  <c r="O692" i="3" s="1"/>
  <c r="M692" i="3"/>
  <c r="G692" i="3"/>
  <c r="F692" i="3"/>
  <c r="E692" i="3"/>
  <c r="D692" i="3"/>
  <c r="A692" i="3"/>
  <c r="N691" i="3"/>
  <c r="O691" i="3" s="1"/>
  <c r="M691" i="3"/>
  <c r="G691" i="3"/>
  <c r="F691" i="3"/>
  <c r="E691" i="3"/>
  <c r="D691" i="3"/>
  <c r="A691" i="3"/>
  <c r="N690" i="3"/>
  <c r="O690" i="3" s="1"/>
  <c r="M690" i="3"/>
  <c r="G690" i="3"/>
  <c r="F690" i="3"/>
  <c r="E690" i="3"/>
  <c r="D690" i="3"/>
  <c r="A690" i="3"/>
  <c r="N689" i="3"/>
  <c r="O689" i="3" s="1"/>
  <c r="M689" i="3"/>
  <c r="G689" i="3"/>
  <c r="F689" i="3"/>
  <c r="E689" i="3"/>
  <c r="D689" i="3"/>
  <c r="A689" i="3"/>
  <c r="N688" i="3"/>
  <c r="O688" i="3" s="1"/>
  <c r="M688" i="3"/>
  <c r="G688" i="3"/>
  <c r="F688" i="3"/>
  <c r="E688" i="3"/>
  <c r="D688" i="3"/>
  <c r="A688" i="3"/>
  <c r="N687" i="3"/>
  <c r="O687" i="3" s="1"/>
  <c r="M687" i="3"/>
  <c r="G687" i="3"/>
  <c r="F687" i="3"/>
  <c r="E687" i="3"/>
  <c r="D687" i="3"/>
  <c r="A687" i="3"/>
  <c r="N686" i="3"/>
  <c r="O686" i="3" s="1"/>
  <c r="M686" i="3"/>
  <c r="G686" i="3"/>
  <c r="F686" i="3"/>
  <c r="E686" i="3"/>
  <c r="D686" i="3"/>
  <c r="A686" i="3"/>
  <c r="N685" i="3"/>
  <c r="O685" i="3" s="1"/>
  <c r="M685" i="3"/>
  <c r="G685" i="3"/>
  <c r="F685" i="3"/>
  <c r="E685" i="3"/>
  <c r="D685" i="3"/>
  <c r="A685" i="3"/>
  <c r="N684" i="3"/>
  <c r="O684" i="3" s="1"/>
  <c r="M684" i="3"/>
  <c r="G684" i="3"/>
  <c r="F684" i="3"/>
  <c r="E684" i="3"/>
  <c r="D684" i="3"/>
  <c r="A684" i="3"/>
  <c r="N683" i="3"/>
  <c r="O683" i="3" s="1"/>
  <c r="M683" i="3"/>
  <c r="G683" i="3"/>
  <c r="F683" i="3"/>
  <c r="E683" i="3"/>
  <c r="D683" i="3"/>
  <c r="A683" i="3"/>
  <c r="N682" i="3"/>
  <c r="O682" i="3" s="1"/>
  <c r="M682" i="3"/>
  <c r="G682" i="3"/>
  <c r="F682" i="3"/>
  <c r="E682" i="3"/>
  <c r="D682" i="3"/>
  <c r="A682" i="3"/>
  <c r="N681" i="3"/>
  <c r="O681" i="3" s="1"/>
  <c r="M681" i="3"/>
  <c r="G681" i="3"/>
  <c r="F681" i="3"/>
  <c r="E681" i="3"/>
  <c r="D681" i="3"/>
  <c r="A681" i="3"/>
  <c r="N680" i="3"/>
  <c r="O680" i="3" s="1"/>
  <c r="M680" i="3"/>
  <c r="G680" i="3"/>
  <c r="F680" i="3"/>
  <c r="E680" i="3"/>
  <c r="D680" i="3"/>
  <c r="A680" i="3"/>
  <c r="N679" i="3"/>
  <c r="O679" i="3" s="1"/>
  <c r="M679" i="3"/>
  <c r="G679" i="3"/>
  <c r="F679" i="3"/>
  <c r="E679" i="3"/>
  <c r="D679" i="3"/>
  <c r="A679" i="3"/>
  <c r="N678" i="3"/>
  <c r="O678" i="3" s="1"/>
  <c r="M678" i="3"/>
  <c r="G678" i="3"/>
  <c r="F678" i="3"/>
  <c r="E678" i="3"/>
  <c r="D678" i="3"/>
  <c r="A678" i="3"/>
  <c r="N677" i="3"/>
  <c r="O677" i="3" s="1"/>
  <c r="M677" i="3"/>
  <c r="G677" i="3"/>
  <c r="F677" i="3"/>
  <c r="E677" i="3"/>
  <c r="D677" i="3"/>
  <c r="A677" i="3"/>
  <c r="N676" i="3"/>
  <c r="O676" i="3" s="1"/>
  <c r="M676" i="3"/>
  <c r="G676" i="3"/>
  <c r="F676" i="3"/>
  <c r="E676" i="3"/>
  <c r="D676" i="3"/>
  <c r="A676" i="3"/>
  <c r="N675" i="3"/>
  <c r="O675" i="3" s="1"/>
  <c r="M675" i="3"/>
  <c r="G675" i="3"/>
  <c r="F675" i="3"/>
  <c r="E675" i="3"/>
  <c r="D675" i="3"/>
  <c r="A675" i="3"/>
  <c r="N674" i="3"/>
  <c r="O674" i="3" s="1"/>
  <c r="M674" i="3"/>
  <c r="G674" i="3"/>
  <c r="F674" i="3"/>
  <c r="E674" i="3"/>
  <c r="D674" i="3"/>
  <c r="A674" i="3"/>
  <c r="N673" i="3"/>
  <c r="O673" i="3" s="1"/>
  <c r="M673" i="3"/>
  <c r="G673" i="3"/>
  <c r="F673" i="3"/>
  <c r="E673" i="3"/>
  <c r="D673" i="3"/>
  <c r="A673" i="3"/>
  <c r="N672" i="3"/>
  <c r="O672" i="3" s="1"/>
  <c r="M672" i="3"/>
  <c r="G672" i="3"/>
  <c r="F672" i="3"/>
  <c r="E672" i="3"/>
  <c r="D672" i="3"/>
  <c r="A672" i="3"/>
  <c r="N671" i="3"/>
  <c r="O671" i="3" s="1"/>
  <c r="M671" i="3"/>
  <c r="G671" i="3"/>
  <c r="F671" i="3"/>
  <c r="E671" i="3"/>
  <c r="D671" i="3"/>
  <c r="A671" i="3"/>
  <c r="N670" i="3"/>
  <c r="O670" i="3" s="1"/>
  <c r="M670" i="3"/>
  <c r="G670" i="3"/>
  <c r="F670" i="3"/>
  <c r="E670" i="3"/>
  <c r="D670" i="3"/>
  <c r="A670" i="3"/>
  <c r="N669" i="3"/>
  <c r="O669" i="3" s="1"/>
  <c r="M669" i="3"/>
  <c r="G669" i="3"/>
  <c r="F669" i="3"/>
  <c r="E669" i="3"/>
  <c r="D669" i="3"/>
  <c r="A669" i="3"/>
  <c r="N668" i="3"/>
  <c r="O668" i="3" s="1"/>
  <c r="M668" i="3"/>
  <c r="G668" i="3"/>
  <c r="F668" i="3"/>
  <c r="E668" i="3"/>
  <c r="D668" i="3"/>
  <c r="A668" i="3"/>
  <c r="N667" i="3"/>
  <c r="O667" i="3" s="1"/>
  <c r="M667" i="3"/>
  <c r="G667" i="3"/>
  <c r="F667" i="3"/>
  <c r="E667" i="3"/>
  <c r="D667" i="3"/>
  <c r="A667" i="3"/>
  <c r="N666" i="3"/>
  <c r="O666" i="3" s="1"/>
  <c r="M666" i="3"/>
  <c r="G666" i="3"/>
  <c r="F666" i="3"/>
  <c r="E666" i="3"/>
  <c r="D666" i="3"/>
  <c r="A666" i="3"/>
  <c r="N665" i="3"/>
  <c r="O665" i="3" s="1"/>
  <c r="M665" i="3"/>
  <c r="G665" i="3"/>
  <c r="F665" i="3"/>
  <c r="E665" i="3"/>
  <c r="D665" i="3"/>
  <c r="A665" i="3"/>
  <c r="N664" i="3"/>
  <c r="O664" i="3" s="1"/>
  <c r="M664" i="3"/>
  <c r="G664" i="3"/>
  <c r="F664" i="3"/>
  <c r="E664" i="3"/>
  <c r="D664" i="3"/>
  <c r="A664" i="3"/>
  <c r="N663" i="3"/>
  <c r="O663" i="3" s="1"/>
  <c r="M663" i="3"/>
  <c r="G663" i="3"/>
  <c r="F663" i="3"/>
  <c r="E663" i="3"/>
  <c r="D663" i="3"/>
  <c r="A663" i="3"/>
  <c r="N662" i="3"/>
  <c r="O662" i="3" s="1"/>
  <c r="M662" i="3"/>
  <c r="G662" i="3"/>
  <c r="F662" i="3"/>
  <c r="E662" i="3"/>
  <c r="D662" i="3"/>
  <c r="A662" i="3"/>
  <c r="N661" i="3"/>
  <c r="O661" i="3" s="1"/>
  <c r="M661" i="3"/>
  <c r="G661" i="3"/>
  <c r="F661" i="3"/>
  <c r="E661" i="3"/>
  <c r="D661" i="3"/>
  <c r="A661" i="3"/>
  <c r="N660" i="3"/>
  <c r="O660" i="3" s="1"/>
  <c r="M660" i="3"/>
  <c r="G660" i="3"/>
  <c r="F660" i="3"/>
  <c r="E660" i="3"/>
  <c r="D660" i="3"/>
  <c r="A660" i="3"/>
  <c r="N659" i="3"/>
  <c r="O659" i="3" s="1"/>
  <c r="M659" i="3"/>
  <c r="G659" i="3"/>
  <c r="F659" i="3"/>
  <c r="E659" i="3"/>
  <c r="D659" i="3"/>
  <c r="A659" i="3"/>
  <c r="N658" i="3"/>
  <c r="O658" i="3" s="1"/>
  <c r="M658" i="3"/>
  <c r="G658" i="3"/>
  <c r="F658" i="3"/>
  <c r="E658" i="3"/>
  <c r="D658" i="3"/>
  <c r="A658" i="3"/>
  <c r="N657" i="3"/>
  <c r="O657" i="3" s="1"/>
  <c r="M657" i="3"/>
  <c r="G657" i="3"/>
  <c r="F657" i="3"/>
  <c r="E657" i="3"/>
  <c r="D657" i="3"/>
  <c r="A657" i="3"/>
  <c r="N656" i="3"/>
  <c r="O656" i="3" s="1"/>
  <c r="M656" i="3"/>
  <c r="G656" i="3"/>
  <c r="F656" i="3"/>
  <c r="E656" i="3"/>
  <c r="D656" i="3"/>
  <c r="A656" i="3"/>
  <c r="N655" i="3"/>
  <c r="O655" i="3" s="1"/>
  <c r="M655" i="3"/>
  <c r="G655" i="3"/>
  <c r="F655" i="3"/>
  <c r="E655" i="3"/>
  <c r="D655" i="3"/>
  <c r="A655" i="3"/>
  <c r="N654" i="3"/>
  <c r="O654" i="3" s="1"/>
  <c r="M654" i="3"/>
  <c r="G654" i="3"/>
  <c r="F654" i="3"/>
  <c r="E654" i="3"/>
  <c r="D654" i="3"/>
  <c r="A654" i="3"/>
  <c r="N653" i="3"/>
  <c r="O653" i="3" s="1"/>
  <c r="M653" i="3"/>
  <c r="G653" i="3"/>
  <c r="F653" i="3"/>
  <c r="E653" i="3"/>
  <c r="D653" i="3"/>
  <c r="A653" i="3"/>
  <c r="N652" i="3"/>
  <c r="O652" i="3" s="1"/>
  <c r="M652" i="3"/>
  <c r="G652" i="3"/>
  <c r="F652" i="3"/>
  <c r="E652" i="3"/>
  <c r="D652" i="3"/>
  <c r="A652" i="3"/>
  <c r="N651" i="3"/>
  <c r="O651" i="3" s="1"/>
  <c r="M651" i="3"/>
  <c r="G651" i="3"/>
  <c r="F651" i="3"/>
  <c r="E651" i="3"/>
  <c r="D651" i="3"/>
  <c r="A651" i="3"/>
  <c r="N650" i="3"/>
  <c r="O650" i="3" s="1"/>
  <c r="M650" i="3"/>
  <c r="G650" i="3"/>
  <c r="F650" i="3"/>
  <c r="E650" i="3"/>
  <c r="D650" i="3"/>
  <c r="A650" i="3"/>
  <c r="N649" i="3"/>
  <c r="O649" i="3" s="1"/>
  <c r="M649" i="3"/>
  <c r="G649" i="3"/>
  <c r="F649" i="3"/>
  <c r="E649" i="3"/>
  <c r="D649" i="3"/>
  <c r="A649" i="3"/>
  <c r="N648" i="3"/>
  <c r="O648" i="3" s="1"/>
  <c r="M648" i="3"/>
  <c r="G648" i="3"/>
  <c r="F648" i="3"/>
  <c r="E648" i="3"/>
  <c r="D648" i="3"/>
  <c r="A648" i="3"/>
  <c r="N647" i="3"/>
  <c r="O647" i="3" s="1"/>
  <c r="M647" i="3"/>
  <c r="G647" i="3"/>
  <c r="F647" i="3"/>
  <c r="E647" i="3"/>
  <c r="D647" i="3"/>
  <c r="A647" i="3"/>
  <c r="N646" i="3"/>
  <c r="O646" i="3" s="1"/>
  <c r="M646" i="3"/>
  <c r="G646" i="3"/>
  <c r="F646" i="3"/>
  <c r="E646" i="3"/>
  <c r="D646" i="3"/>
  <c r="A646" i="3"/>
  <c r="N645" i="3"/>
  <c r="O645" i="3" s="1"/>
  <c r="M645" i="3"/>
  <c r="G645" i="3"/>
  <c r="F645" i="3"/>
  <c r="E645" i="3"/>
  <c r="D645" i="3"/>
  <c r="A645" i="3"/>
  <c r="N644" i="3"/>
  <c r="O644" i="3" s="1"/>
  <c r="M644" i="3"/>
  <c r="G644" i="3"/>
  <c r="F644" i="3"/>
  <c r="E644" i="3"/>
  <c r="D644" i="3"/>
  <c r="A644" i="3"/>
  <c r="N643" i="3"/>
  <c r="O643" i="3" s="1"/>
  <c r="M643" i="3"/>
  <c r="G643" i="3"/>
  <c r="F643" i="3"/>
  <c r="E643" i="3"/>
  <c r="D643" i="3"/>
  <c r="A643" i="3"/>
  <c r="N642" i="3"/>
  <c r="O642" i="3" s="1"/>
  <c r="M642" i="3"/>
  <c r="G642" i="3"/>
  <c r="F642" i="3"/>
  <c r="E642" i="3"/>
  <c r="D642" i="3"/>
  <c r="A642" i="3"/>
  <c r="N641" i="3"/>
  <c r="O641" i="3" s="1"/>
  <c r="M641" i="3"/>
  <c r="G641" i="3"/>
  <c r="F641" i="3"/>
  <c r="E641" i="3"/>
  <c r="D641" i="3"/>
  <c r="A641" i="3"/>
  <c r="N640" i="3"/>
  <c r="O640" i="3" s="1"/>
  <c r="M640" i="3"/>
  <c r="G640" i="3"/>
  <c r="F640" i="3"/>
  <c r="E640" i="3"/>
  <c r="D640" i="3"/>
  <c r="A640" i="3"/>
  <c r="N639" i="3"/>
  <c r="O639" i="3" s="1"/>
  <c r="M639" i="3"/>
  <c r="G639" i="3"/>
  <c r="F639" i="3"/>
  <c r="E639" i="3"/>
  <c r="D639" i="3"/>
  <c r="A639" i="3"/>
  <c r="N638" i="3"/>
  <c r="O638" i="3" s="1"/>
  <c r="M638" i="3"/>
  <c r="G638" i="3"/>
  <c r="F638" i="3"/>
  <c r="E638" i="3"/>
  <c r="D638" i="3"/>
  <c r="A638" i="3"/>
  <c r="N637" i="3"/>
  <c r="O637" i="3" s="1"/>
  <c r="M637" i="3"/>
  <c r="G637" i="3"/>
  <c r="F637" i="3"/>
  <c r="E637" i="3"/>
  <c r="D637" i="3"/>
  <c r="A637" i="3"/>
  <c r="N636" i="3"/>
  <c r="O636" i="3" s="1"/>
  <c r="M636" i="3"/>
  <c r="G636" i="3"/>
  <c r="F636" i="3"/>
  <c r="E636" i="3"/>
  <c r="D636" i="3"/>
  <c r="A636" i="3"/>
  <c r="N635" i="3"/>
  <c r="O635" i="3" s="1"/>
  <c r="M635" i="3"/>
  <c r="G635" i="3"/>
  <c r="F635" i="3"/>
  <c r="E635" i="3"/>
  <c r="D635" i="3"/>
  <c r="A635" i="3"/>
  <c r="N634" i="3"/>
  <c r="O634" i="3" s="1"/>
  <c r="M634" i="3"/>
  <c r="G634" i="3"/>
  <c r="F634" i="3"/>
  <c r="E634" i="3"/>
  <c r="D634" i="3"/>
  <c r="A634" i="3"/>
  <c r="N633" i="3"/>
  <c r="O633" i="3" s="1"/>
  <c r="M633" i="3"/>
  <c r="G633" i="3"/>
  <c r="F633" i="3"/>
  <c r="E633" i="3"/>
  <c r="D633" i="3"/>
  <c r="A633" i="3"/>
  <c r="N632" i="3"/>
  <c r="O632" i="3" s="1"/>
  <c r="M632" i="3"/>
  <c r="G632" i="3"/>
  <c r="F632" i="3"/>
  <c r="E632" i="3"/>
  <c r="D632" i="3"/>
  <c r="A632" i="3"/>
  <c r="N631" i="3"/>
  <c r="O631" i="3" s="1"/>
  <c r="M631" i="3"/>
  <c r="G631" i="3"/>
  <c r="F631" i="3"/>
  <c r="E631" i="3"/>
  <c r="D631" i="3"/>
  <c r="A631" i="3"/>
  <c r="N630" i="3"/>
  <c r="O630" i="3" s="1"/>
  <c r="M630" i="3"/>
  <c r="G630" i="3"/>
  <c r="F630" i="3"/>
  <c r="E630" i="3"/>
  <c r="D630" i="3"/>
  <c r="A630" i="3"/>
  <c r="N629" i="3"/>
  <c r="O629" i="3" s="1"/>
  <c r="M629" i="3"/>
  <c r="G629" i="3"/>
  <c r="F629" i="3"/>
  <c r="E629" i="3"/>
  <c r="D629" i="3"/>
  <c r="A629" i="3"/>
  <c r="N628" i="3"/>
  <c r="O628" i="3" s="1"/>
  <c r="M628" i="3"/>
  <c r="G628" i="3"/>
  <c r="F628" i="3"/>
  <c r="E628" i="3"/>
  <c r="D628" i="3"/>
  <c r="A628" i="3"/>
  <c r="N627" i="3"/>
  <c r="O627" i="3" s="1"/>
  <c r="M627" i="3"/>
  <c r="G627" i="3"/>
  <c r="F627" i="3"/>
  <c r="E627" i="3"/>
  <c r="D627" i="3"/>
  <c r="A627" i="3"/>
  <c r="N626" i="3"/>
  <c r="O626" i="3" s="1"/>
  <c r="M626" i="3"/>
  <c r="G626" i="3"/>
  <c r="F626" i="3"/>
  <c r="E626" i="3"/>
  <c r="D626" i="3"/>
  <c r="A626" i="3"/>
  <c r="N625" i="3"/>
  <c r="O625" i="3" s="1"/>
  <c r="M625" i="3"/>
  <c r="G625" i="3"/>
  <c r="F625" i="3"/>
  <c r="E625" i="3"/>
  <c r="D625" i="3"/>
  <c r="A625" i="3"/>
  <c r="N624" i="3"/>
  <c r="O624" i="3" s="1"/>
  <c r="M624" i="3"/>
  <c r="G624" i="3"/>
  <c r="F624" i="3"/>
  <c r="E624" i="3"/>
  <c r="D624" i="3"/>
  <c r="A624" i="3"/>
  <c r="N623" i="3"/>
  <c r="O623" i="3" s="1"/>
  <c r="M623" i="3"/>
  <c r="G623" i="3"/>
  <c r="F623" i="3"/>
  <c r="E623" i="3"/>
  <c r="D623" i="3"/>
  <c r="A623" i="3"/>
  <c r="N622" i="3"/>
  <c r="O622" i="3" s="1"/>
  <c r="M622" i="3"/>
  <c r="G622" i="3"/>
  <c r="F622" i="3"/>
  <c r="E622" i="3"/>
  <c r="D622" i="3"/>
  <c r="A622" i="3"/>
  <c r="N621" i="3"/>
  <c r="O621" i="3" s="1"/>
  <c r="M621" i="3"/>
  <c r="G621" i="3"/>
  <c r="F621" i="3"/>
  <c r="E621" i="3"/>
  <c r="D621" i="3"/>
  <c r="A621" i="3"/>
  <c r="N620" i="3"/>
  <c r="O620" i="3" s="1"/>
  <c r="M620" i="3"/>
  <c r="G620" i="3"/>
  <c r="F620" i="3"/>
  <c r="E620" i="3"/>
  <c r="D620" i="3"/>
  <c r="A620" i="3"/>
  <c r="N619" i="3"/>
  <c r="O619" i="3" s="1"/>
  <c r="M619" i="3"/>
  <c r="G619" i="3"/>
  <c r="F619" i="3"/>
  <c r="E619" i="3"/>
  <c r="D619" i="3"/>
  <c r="A619" i="3"/>
  <c r="N618" i="3"/>
  <c r="O618" i="3" s="1"/>
  <c r="M618" i="3"/>
  <c r="G618" i="3"/>
  <c r="F618" i="3"/>
  <c r="E618" i="3"/>
  <c r="D618" i="3"/>
  <c r="A618" i="3"/>
  <c r="N617" i="3"/>
  <c r="O617" i="3" s="1"/>
  <c r="M617" i="3"/>
  <c r="G617" i="3"/>
  <c r="F617" i="3"/>
  <c r="E617" i="3"/>
  <c r="D617" i="3"/>
  <c r="A617" i="3"/>
  <c r="N616" i="3"/>
  <c r="O616" i="3" s="1"/>
  <c r="M616" i="3"/>
  <c r="G616" i="3"/>
  <c r="F616" i="3"/>
  <c r="E616" i="3"/>
  <c r="D616" i="3"/>
  <c r="A616" i="3"/>
  <c r="N615" i="3"/>
  <c r="O615" i="3" s="1"/>
  <c r="M615" i="3"/>
  <c r="G615" i="3"/>
  <c r="F615" i="3"/>
  <c r="E615" i="3"/>
  <c r="D615" i="3"/>
  <c r="A615" i="3"/>
  <c r="N614" i="3"/>
  <c r="O614" i="3" s="1"/>
  <c r="M614" i="3"/>
  <c r="G614" i="3"/>
  <c r="F614" i="3"/>
  <c r="E614" i="3"/>
  <c r="D614" i="3"/>
  <c r="A614" i="3"/>
  <c r="N613" i="3"/>
  <c r="O613" i="3" s="1"/>
  <c r="M613" i="3"/>
  <c r="G613" i="3"/>
  <c r="F613" i="3"/>
  <c r="E613" i="3"/>
  <c r="D613" i="3"/>
  <c r="A613" i="3"/>
  <c r="N612" i="3"/>
  <c r="O612" i="3" s="1"/>
  <c r="M612" i="3"/>
  <c r="G612" i="3"/>
  <c r="F612" i="3"/>
  <c r="E612" i="3"/>
  <c r="D612" i="3"/>
  <c r="A612" i="3"/>
  <c r="N611" i="3"/>
  <c r="O611" i="3" s="1"/>
  <c r="M611" i="3"/>
  <c r="G611" i="3"/>
  <c r="F611" i="3"/>
  <c r="E611" i="3"/>
  <c r="D611" i="3"/>
  <c r="A611" i="3"/>
  <c r="N610" i="3"/>
  <c r="O610" i="3" s="1"/>
  <c r="M610" i="3"/>
  <c r="G610" i="3"/>
  <c r="F610" i="3"/>
  <c r="E610" i="3"/>
  <c r="D610" i="3"/>
  <c r="A610" i="3"/>
  <c r="N609" i="3"/>
  <c r="O609" i="3" s="1"/>
  <c r="M609" i="3"/>
  <c r="G609" i="3"/>
  <c r="F609" i="3"/>
  <c r="E609" i="3"/>
  <c r="D609" i="3"/>
  <c r="A609" i="3"/>
  <c r="N608" i="3"/>
  <c r="O608" i="3" s="1"/>
  <c r="M608" i="3"/>
  <c r="G608" i="3"/>
  <c r="F608" i="3"/>
  <c r="E608" i="3"/>
  <c r="D608" i="3"/>
  <c r="A608" i="3"/>
  <c r="N607" i="3"/>
  <c r="O607" i="3" s="1"/>
  <c r="M607" i="3"/>
  <c r="G607" i="3"/>
  <c r="F607" i="3"/>
  <c r="E607" i="3"/>
  <c r="D607" i="3"/>
  <c r="A607" i="3"/>
  <c r="N606" i="3"/>
  <c r="O606" i="3" s="1"/>
  <c r="M606" i="3"/>
  <c r="G606" i="3"/>
  <c r="F606" i="3"/>
  <c r="E606" i="3"/>
  <c r="D606" i="3"/>
  <c r="A606" i="3"/>
  <c r="N605" i="3"/>
  <c r="O605" i="3" s="1"/>
  <c r="M605" i="3"/>
  <c r="G605" i="3"/>
  <c r="F605" i="3"/>
  <c r="E605" i="3"/>
  <c r="D605" i="3"/>
  <c r="A605" i="3"/>
  <c r="N604" i="3"/>
  <c r="O604" i="3" s="1"/>
  <c r="M604" i="3"/>
  <c r="G604" i="3"/>
  <c r="F604" i="3"/>
  <c r="E604" i="3"/>
  <c r="D604" i="3"/>
  <c r="A604" i="3"/>
  <c r="N603" i="3"/>
  <c r="O603" i="3" s="1"/>
  <c r="M603" i="3"/>
  <c r="G603" i="3"/>
  <c r="F603" i="3"/>
  <c r="E603" i="3"/>
  <c r="D603" i="3"/>
  <c r="A603" i="3"/>
  <c r="N602" i="3"/>
  <c r="O602" i="3" s="1"/>
  <c r="M602" i="3"/>
  <c r="G602" i="3"/>
  <c r="F602" i="3"/>
  <c r="E602" i="3"/>
  <c r="D602" i="3"/>
  <c r="A602" i="3"/>
  <c r="N601" i="3"/>
  <c r="O601" i="3" s="1"/>
  <c r="M601" i="3"/>
  <c r="G601" i="3"/>
  <c r="F601" i="3"/>
  <c r="E601" i="3"/>
  <c r="D601" i="3"/>
  <c r="A601" i="3"/>
  <c r="N600" i="3"/>
  <c r="O600" i="3" s="1"/>
  <c r="M600" i="3"/>
  <c r="G600" i="3"/>
  <c r="F600" i="3"/>
  <c r="E600" i="3"/>
  <c r="D600" i="3"/>
  <c r="A600" i="3"/>
  <c r="N599" i="3"/>
  <c r="O599" i="3" s="1"/>
  <c r="M599" i="3"/>
  <c r="G599" i="3"/>
  <c r="F599" i="3"/>
  <c r="E599" i="3"/>
  <c r="D599" i="3"/>
  <c r="A599" i="3"/>
  <c r="N598" i="3"/>
  <c r="O598" i="3" s="1"/>
  <c r="M598" i="3"/>
  <c r="G598" i="3"/>
  <c r="F598" i="3"/>
  <c r="E598" i="3"/>
  <c r="D598" i="3"/>
  <c r="A598" i="3"/>
  <c r="N597" i="3"/>
  <c r="O597" i="3" s="1"/>
  <c r="M597" i="3"/>
  <c r="G597" i="3"/>
  <c r="F597" i="3"/>
  <c r="E597" i="3"/>
  <c r="D597" i="3"/>
  <c r="A597" i="3"/>
  <c r="N596" i="3"/>
  <c r="O596" i="3" s="1"/>
  <c r="M596" i="3"/>
  <c r="G596" i="3"/>
  <c r="F596" i="3"/>
  <c r="E596" i="3"/>
  <c r="D596" i="3"/>
  <c r="A596" i="3"/>
  <c r="N595" i="3"/>
  <c r="O595" i="3" s="1"/>
  <c r="M595" i="3"/>
  <c r="G595" i="3"/>
  <c r="F595" i="3"/>
  <c r="E595" i="3"/>
  <c r="D595" i="3"/>
  <c r="A595" i="3"/>
  <c r="N594" i="3"/>
  <c r="O594" i="3" s="1"/>
  <c r="M594" i="3"/>
  <c r="G594" i="3"/>
  <c r="F594" i="3"/>
  <c r="E594" i="3"/>
  <c r="D594" i="3"/>
  <c r="A594" i="3"/>
  <c r="N593" i="3"/>
  <c r="O593" i="3" s="1"/>
  <c r="M593" i="3"/>
  <c r="G593" i="3"/>
  <c r="F593" i="3"/>
  <c r="E593" i="3"/>
  <c r="D593" i="3"/>
  <c r="A593" i="3"/>
  <c r="N592" i="3"/>
  <c r="O592" i="3" s="1"/>
  <c r="M592" i="3"/>
  <c r="G592" i="3"/>
  <c r="F592" i="3"/>
  <c r="E592" i="3"/>
  <c r="D592" i="3"/>
  <c r="A592" i="3"/>
  <c r="N591" i="3"/>
  <c r="O591" i="3" s="1"/>
  <c r="M591" i="3"/>
  <c r="G591" i="3"/>
  <c r="F591" i="3"/>
  <c r="E591" i="3"/>
  <c r="D591" i="3"/>
  <c r="A591" i="3"/>
  <c r="N590" i="3"/>
  <c r="O590" i="3" s="1"/>
  <c r="M590" i="3"/>
  <c r="G590" i="3"/>
  <c r="F590" i="3"/>
  <c r="E590" i="3"/>
  <c r="D590" i="3"/>
  <c r="A590" i="3"/>
  <c r="N589" i="3"/>
  <c r="O589" i="3" s="1"/>
  <c r="M589" i="3"/>
  <c r="G589" i="3"/>
  <c r="F589" i="3"/>
  <c r="E589" i="3"/>
  <c r="D589" i="3"/>
  <c r="A589" i="3"/>
  <c r="N588" i="3"/>
  <c r="O588" i="3" s="1"/>
  <c r="M588" i="3"/>
  <c r="G588" i="3"/>
  <c r="F588" i="3"/>
  <c r="E588" i="3"/>
  <c r="D588" i="3"/>
  <c r="A588" i="3"/>
  <c r="N587" i="3"/>
  <c r="O587" i="3" s="1"/>
  <c r="M587" i="3"/>
  <c r="G587" i="3"/>
  <c r="F587" i="3"/>
  <c r="E587" i="3"/>
  <c r="D587" i="3"/>
  <c r="A587" i="3"/>
  <c r="N586" i="3"/>
  <c r="O586" i="3" s="1"/>
  <c r="M586" i="3"/>
  <c r="G586" i="3"/>
  <c r="F586" i="3"/>
  <c r="E586" i="3"/>
  <c r="D586" i="3"/>
  <c r="A586" i="3"/>
  <c r="N585" i="3"/>
  <c r="O585" i="3" s="1"/>
  <c r="M585" i="3"/>
  <c r="G585" i="3"/>
  <c r="F585" i="3"/>
  <c r="E585" i="3"/>
  <c r="D585" i="3"/>
  <c r="A585" i="3"/>
  <c r="N584" i="3"/>
  <c r="O584" i="3" s="1"/>
  <c r="M584" i="3"/>
  <c r="G584" i="3"/>
  <c r="F584" i="3"/>
  <c r="E584" i="3"/>
  <c r="D584" i="3"/>
  <c r="A584" i="3"/>
  <c r="N583" i="3"/>
  <c r="O583" i="3" s="1"/>
  <c r="M583" i="3"/>
  <c r="G583" i="3"/>
  <c r="F583" i="3"/>
  <c r="E583" i="3"/>
  <c r="D583" i="3"/>
  <c r="A583" i="3"/>
  <c r="N582" i="3"/>
  <c r="O582" i="3" s="1"/>
  <c r="M582" i="3"/>
  <c r="G582" i="3"/>
  <c r="F582" i="3"/>
  <c r="E582" i="3"/>
  <c r="D582" i="3"/>
  <c r="A582" i="3"/>
  <c r="N581" i="3"/>
  <c r="O581" i="3" s="1"/>
  <c r="M581" i="3"/>
  <c r="G581" i="3"/>
  <c r="F581" i="3"/>
  <c r="E581" i="3"/>
  <c r="D581" i="3"/>
  <c r="A581" i="3"/>
  <c r="N580" i="3"/>
  <c r="O580" i="3" s="1"/>
  <c r="M580" i="3"/>
  <c r="G580" i="3"/>
  <c r="F580" i="3"/>
  <c r="E580" i="3"/>
  <c r="D580" i="3"/>
  <c r="A580" i="3"/>
  <c r="N579" i="3"/>
  <c r="O579" i="3" s="1"/>
  <c r="M579" i="3"/>
  <c r="G579" i="3"/>
  <c r="F579" i="3"/>
  <c r="E579" i="3"/>
  <c r="D579" i="3"/>
  <c r="A579" i="3"/>
  <c r="N578" i="3"/>
  <c r="O578" i="3" s="1"/>
  <c r="M578" i="3"/>
  <c r="G578" i="3"/>
  <c r="F578" i="3"/>
  <c r="E578" i="3"/>
  <c r="D578" i="3"/>
  <c r="A578" i="3"/>
  <c r="N577" i="3"/>
  <c r="O577" i="3" s="1"/>
  <c r="M577" i="3"/>
  <c r="G577" i="3"/>
  <c r="F577" i="3"/>
  <c r="E577" i="3"/>
  <c r="D577" i="3"/>
  <c r="A577" i="3"/>
  <c r="N576" i="3"/>
  <c r="O576" i="3" s="1"/>
  <c r="M576" i="3"/>
  <c r="G576" i="3"/>
  <c r="F576" i="3"/>
  <c r="E576" i="3"/>
  <c r="D576" i="3"/>
  <c r="A576" i="3"/>
  <c r="N575" i="3"/>
  <c r="O575" i="3" s="1"/>
  <c r="M575" i="3"/>
  <c r="G575" i="3"/>
  <c r="F575" i="3"/>
  <c r="E575" i="3"/>
  <c r="D575" i="3"/>
  <c r="A575" i="3"/>
  <c r="N574" i="3"/>
  <c r="O574" i="3" s="1"/>
  <c r="M574" i="3"/>
  <c r="G574" i="3"/>
  <c r="F574" i="3"/>
  <c r="E574" i="3"/>
  <c r="D574" i="3"/>
  <c r="A574" i="3"/>
  <c r="N573" i="3"/>
  <c r="O573" i="3" s="1"/>
  <c r="M573" i="3"/>
  <c r="G573" i="3"/>
  <c r="F573" i="3"/>
  <c r="E573" i="3"/>
  <c r="D573" i="3"/>
  <c r="A573" i="3"/>
  <c r="N572" i="3"/>
  <c r="O572" i="3" s="1"/>
  <c r="M572" i="3"/>
  <c r="G572" i="3"/>
  <c r="F572" i="3"/>
  <c r="E572" i="3"/>
  <c r="D572" i="3"/>
  <c r="A572" i="3"/>
  <c r="N571" i="3"/>
  <c r="O571" i="3" s="1"/>
  <c r="M571" i="3"/>
  <c r="G571" i="3"/>
  <c r="F571" i="3"/>
  <c r="E571" i="3"/>
  <c r="D571" i="3"/>
  <c r="A571" i="3"/>
  <c r="N570" i="3"/>
  <c r="O570" i="3" s="1"/>
  <c r="M570" i="3"/>
  <c r="G570" i="3"/>
  <c r="F570" i="3"/>
  <c r="E570" i="3"/>
  <c r="D570" i="3"/>
  <c r="A570" i="3"/>
  <c r="N569" i="3"/>
  <c r="O569" i="3" s="1"/>
  <c r="M569" i="3"/>
  <c r="G569" i="3"/>
  <c r="F569" i="3"/>
  <c r="E569" i="3"/>
  <c r="D569" i="3"/>
  <c r="A569" i="3"/>
  <c r="N568" i="3"/>
  <c r="O568" i="3" s="1"/>
  <c r="M568" i="3"/>
  <c r="G568" i="3"/>
  <c r="F568" i="3"/>
  <c r="E568" i="3"/>
  <c r="D568" i="3"/>
  <c r="A568" i="3"/>
  <c r="N567" i="3"/>
  <c r="O567" i="3" s="1"/>
  <c r="M567" i="3"/>
  <c r="G567" i="3"/>
  <c r="F567" i="3"/>
  <c r="E567" i="3"/>
  <c r="D567" i="3"/>
  <c r="A567" i="3"/>
  <c r="N566" i="3"/>
  <c r="O566" i="3" s="1"/>
  <c r="M566" i="3"/>
  <c r="G566" i="3"/>
  <c r="F566" i="3"/>
  <c r="E566" i="3"/>
  <c r="D566" i="3"/>
  <c r="A566" i="3"/>
  <c r="N565" i="3"/>
  <c r="O565" i="3" s="1"/>
  <c r="M565" i="3"/>
  <c r="G565" i="3"/>
  <c r="F565" i="3"/>
  <c r="E565" i="3"/>
  <c r="D565" i="3"/>
  <c r="A565" i="3"/>
  <c r="N564" i="3"/>
  <c r="O564" i="3" s="1"/>
  <c r="M564" i="3"/>
  <c r="G564" i="3"/>
  <c r="F564" i="3"/>
  <c r="E564" i="3"/>
  <c r="D564" i="3"/>
  <c r="A564" i="3"/>
  <c r="N563" i="3"/>
  <c r="O563" i="3" s="1"/>
  <c r="M563" i="3"/>
  <c r="G563" i="3"/>
  <c r="F563" i="3"/>
  <c r="E563" i="3"/>
  <c r="D563" i="3"/>
  <c r="A563" i="3"/>
  <c r="N562" i="3"/>
  <c r="O562" i="3" s="1"/>
  <c r="M562" i="3"/>
  <c r="G562" i="3"/>
  <c r="F562" i="3"/>
  <c r="E562" i="3"/>
  <c r="D562" i="3"/>
  <c r="A562" i="3"/>
  <c r="N561" i="3"/>
  <c r="O561" i="3" s="1"/>
  <c r="M561" i="3"/>
  <c r="G561" i="3"/>
  <c r="F561" i="3"/>
  <c r="E561" i="3"/>
  <c r="D561" i="3"/>
  <c r="A561" i="3"/>
  <c r="N560" i="3"/>
  <c r="O560" i="3" s="1"/>
  <c r="M560" i="3"/>
  <c r="G560" i="3"/>
  <c r="F560" i="3"/>
  <c r="E560" i="3"/>
  <c r="D560" i="3"/>
  <c r="A560" i="3"/>
  <c r="N559" i="3"/>
  <c r="O559" i="3" s="1"/>
  <c r="M559" i="3"/>
  <c r="G559" i="3"/>
  <c r="F559" i="3"/>
  <c r="E559" i="3"/>
  <c r="D559" i="3"/>
  <c r="A559" i="3"/>
  <c r="N558" i="3"/>
  <c r="O558" i="3" s="1"/>
  <c r="M558" i="3"/>
  <c r="G558" i="3"/>
  <c r="F558" i="3"/>
  <c r="E558" i="3"/>
  <c r="D558" i="3"/>
  <c r="A558" i="3"/>
  <c r="N557" i="3"/>
  <c r="O557" i="3" s="1"/>
  <c r="M557" i="3"/>
  <c r="G557" i="3"/>
  <c r="F557" i="3"/>
  <c r="E557" i="3"/>
  <c r="D557" i="3"/>
  <c r="A557" i="3"/>
  <c r="N556" i="3"/>
  <c r="O556" i="3" s="1"/>
  <c r="M556" i="3"/>
  <c r="G556" i="3"/>
  <c r="F556" i="3"/>
  <c r="E556" i="3"/>
  <c r="D556" i="3"/>
  <c r="A556" i="3"/>
  <c r="N555" i="3"/>
  <c r="O555" i="3" s="1"/>
  <c r="M555" i="3"/>
  <c r="G555" i="3"/>
  <c r="F555" i="3"/>
  <c r="E555" i="3"/>
  <c r="D555" i="3"/>
  <c r="A555" i="3"/>
  <c r="N554" i="3"/>
  <c r="O554" i="3" s="1"/>
  <c r="M554" i="3"/>
  <c r="G554" i="3"/>
  <c r="F554" i="3"/>
  <c r="E554" i="3"/>
  <c r="D554" i="3"/>
  <c r="A554" i="3"/>
  <c r="N553" i="3"/>
  <c r="O553" i="3" s="1"/>
  <c r="M553" i="3"/>
  <c r="G553" i="3"/>
  <c r="F553" i="3"/>
  <c r="E553" i="3"/>
  <c r="D553" i="3"/>
  <c r="A553" i="3"/>
  <c r="N552" i="3"/>
  <c r="O552" i="3" s="1"/>
  <c r="M552" i="3"/>
  <c r="G552" i="3"/>
  <c r="F552" i="3"/>
  <c r="E552" i="3"/>
  <c r="D552" i="3"/>
  <c r="A552" i="3"/>
  <c r="N551" i="3"/>
  <c r="O551" i="3" s="1"/>
  <c r="M551" i="3"/>
  <c r="G551" i="3"/>
  <c r="F551" i="3"/>
  <c r="E551" i="3"/>
  <c r="D551" i="3"/>
  <c r="A551" i="3"/>
  <c r="N550" i="3"/>
  <c r="O550" i="3" s="1"/>
  <c r="M550" i="3"/>
  <c r="G550" i="3"/>
  <c r="F550" i="3"/>
  <c r="E550" i="3"/>
  <c r="D550" i="3"/>
  <c r="A550" i="3"/>
  <c r="N549" i="3"/>
  <c r="O549" i="3" s="1"/>
  <c r="M549" i="3"/>
  <c r="G549" i="3"/>
  <c r="F549" i="3"/>
  <c r="E549" i="3"/>
  <c r="D549" i="3"/>
  <c r="A549" i="3"/>
  <c r="N548" i="3"/>
  <c r="O548" i="3" s="1"/>
  <c r="M548" i="3"/>
  <c r="G548" i="3"/>
  <c r="F548" i="3"/>
  <c r="E548" i="3"/>
  <c r="D548" i="3"/>
  <c r="A548" i="3"/>
  <c r="N547" i="3"/>
  <c r="O547" i="3" s="1"/>
  <c r="M547" i="3"/>
  <c r="G547" i="3"/>
  <c r="F547" i="3"/>
  <c r="E547" i="3"/>
  <c r="D547" i="3"/>
  <c r="A547" i="3"/>
  <c r="N546" i="3"/>
  <c r="O546" i="3" s="1"/>
  <c r="M546" i="3"/>
  <c r="G546" i="3"/>
  <c r="F546" i="3"/>
  <c r="E546" i="3"/>
  <c r="D546" i="3"/>
  <c r="A546" i="3"/>
  <c r="N545" i="3"/>
  <c r="O545" i="3" s="1"/>
  <c r="M545" i="3"/>
  <c r="G545" i="3"/>
  <c r="F545" i="3"/>
  <c r="E545" i="3"/>
  <c r="D545" i="3"/>
  <c r="A545" i="3"/>
  <c r="N544" i="3"/>
  <c r="O544" i="3" s="1"/>
  <c r="M544" i="3"/>
  <c r="G544" i="3"/>
  <c r="F544" i="3"/>
  <c r="E544" i="3"/>
  <c r="D544" i="3"/>
  <c r="A544" i="3"/>
  <c r="N543" i="3"/>
  <c r="O543" i="3" s="1"/>
  <c r="M543" i="3"/>
  <c r="G543" i="3"/>
  <c r="F543" i="3"/>
  <c r="E543" i="3"/>
  <c r="D543" i="3"/>
  <c r="A543" i="3"/>
  <c r="N542" i="3"/>
  <c r="O542" i="3" s="1"/>
  <c r="M542" i="3"/>
  <c r="G542" i="3"/>
  <c r="F542" i="3"/>
  <c r="E542" i="3"/>
  <c r="D542" i="3"/>
  <c r="A542" i="3"/>
  <c r="N541" i="3"/>
  <c r="O541" i="3" s="1"/>
  <c r="M541" i="3"/>
  <c r="G541" i="3"/>
  <c r="F541" i="3"/>
  <c r="E541" i="3"/>
  <c r="D541" i="3"/>
  <c r="A541" i="3"/>
  <c r="N540" i="3"/>
  <c r="O540" i="3" s="1"/>
  <c r="M540" i="3"/>
  <c r="G540" i="3"/>
  <c r="F540" i="3"/>
  <c r="E540" i="3"/>
  <c r="D540" i="3"/>
  <c r="A540" i="3"/>
  <c r="N539" i="3"/>
  <c r="O539" i="3" s="1"/>
  <c r="M539" i="3"/>
  <c r="G539" i="3"/>
  <c r="F539" i="3"/>
  <c r="E539" i="3"/>
  <c r="D539" i="3"/>
  <c r="A539" i="3"/>
  <c r="N538" i="3"/>
  <c r="O538" i="3" s="1"/>
  <c r="M538" i="3"/>
  <c r="G538" i="3"/>
  <c r="F538" i="3"/>
  <c r="E538" i="3"/>
  <c r="D538" i="3"/>
  <c r="A538" i="3"/>
  <c r="N537" i="3"/>
  <c r="O537" i="3" s="1"/>
  <c r="M537" i="3"/>
  <c r="G537" i="3"/>
  <c r="F537" i="3"/>
  <c r="E537" i="3"/>
  <c r="D537" i="3"/>
  <c r="A537" i="3"/>
  <c r="N536" i="3"/>
  <c r="O536" i="3" s="1"/>
  <c r="M536" i="3"/>
  <c r="G536" i="3"/>
  <c r="F536" i="3"/>
  <c r="E536" i="3"/>
  <c r="D536" i="3"/>
  <c r="A536" i="3"/>
  <c r="N535" i="3"/>
  <c r="O535" i="3" s="1"/>
  <c r="M535" i="3"/>
  <c r="G535" i="3"/>
  <c r="F535" i="3"/>
  <c r="E535" i="3"/>
  <c r="D535" i="3"/>
  <c r="A535" i="3"/>
  <c r="N534" i="3"/>
  <c r="O534" i="3" s="1"/>
  <c r="M534" i="3"/>
  <c r="G534" i="3"/>
  <c r="F534" i="3"/>
  <c r="E534" i="3"/>
  <c r="D534" i="3"/>
  <c r="A534" i="3"/>
  <c r="N533" i="3"/>
  <c r="O533" i="3" s="1"/>
  <c r="M533" i="3"/>
  <c r="G533" i="3"/>
  <c r="F533" i="3"/>
  <c r="E533" i="3"/>
  <c r="D533" i="3"/>
  <c r="A533" i="3"/>
  <c r="N532" i="3"/>
  <c r="O532" i="3" s="1"/>
  <c r="M532" i="3"/>
  <c r="G532" i="3"/>
  <c r="F532" i="3"/>
  <c r="E532" i="3"/>
  <c r="D532" i="3"/>
  <c r="A532" i="3"/>
  <c r="N531" i="3"/>
  <c r="O531" i="3" s="1"/>
  <c r="M531" i="3"/>
  <c r="G531" i="3"/>
  <c r="F531" i="3"/>
  <c r="E531" i="3"/>
  <c r="D531" i="3"/>
  <c r="A531" i="3"/>
  <c r="N530" i="3"/>
  <c r="O530" i="3" s="1"/>
  <c r="M530" i="3"/>
  <c r="G530" i="3"/>
  <c r="F530" i="3"/>
  <c r="E530" i="3"/>
  <c r="D530" i="3"/>
  <c r="A530" i="3"/>
  <c r="N529" i="3"/>
  <c r="O529" i="3" s="1"/>
  <c r="M529" i="3"/>
  <c r="G529" i="3"/>
  <c r="F529" i="3"/>
  <c r="E529" i="3"/>
  <c r="D529" i="3"/>
  <c r="A529" i="3"/>
  <c r="N528" i="3"/>
  <c r="O528" i="3" s="1"/>
  <c r="M528" i="3"/>
  <c r="G528" i="3"/>
  <c r="F528" i="3"/>
  <c r="E528" i="3"/>
  <c r="D528" i="3"/>
  <c r="A528" i="3"/>
  <c r="N527" i="3"/>
  <c r="O527" i="3" s="1"/>
  <c r="M527" i="3"/>
  <c r="G527" i="3"/>
  <c r="F527" i="3"/>
  <c r="E527" i="3"/>
  <c r="D527" i="3"/>
  <c r="A527" i="3"/>
  <c r="N526" i="3"/>
  <c r="O526" i="3" s="1"/>
  <c r="M526" i="3"/>
  <c r="G526" i="3"/>
  <c r="F526" i="3"/>
  <c r="E526" i="3"/>
  <c r="D526" i="3"/>
  <c r="A526" i="3"/>
  <c r="N525" i="3"/>
  <c r="O525" i="3" s="1"/>
  <c r="M525" i="3"/>
  <c r="G525" i="3"/>
  <c r="F525" i="3"/>
  <c r="E525" i="3"/>
  <c r="D525" i="3"/>
  <c r="A525" i="3"/>
  <c r="N524" i="3"/>
  <c r="O524" i="3" s="1"/>
  <c r="M524" i="3"/>
  <c r="G524" i="3"/>
  <c r="F524" i="3"/>
  <c r="E524" i="3"/>
  <c r="D524" i="3"/>
  <c r="A524" i="3"/>
  <c r="N523" i="3"/>
  <c r="O523" i="3" s="1"/>
  <c r="M523" i="3"/>
  <c r="G523" i="3"/>
  <c r="F523" i="3"/>
  <c r="E523" i="3"/>
  <c r="D523" i="3"/>
  <c r="A523" i="3"/>
  <c r="N522" i="3"/>
  <c r="O522" i="3" s="1"/>
  <c r="M522" i="3"/>
  <c r="G522" i="3"/>
  <c r="F522" i="3"/>
  <c r="E522" i="3"/>
  <c r="D522" i="3"/>
  <c r="A522" i="3"/>
  <c r="N521" i="3"/>
  <c r="O521" i="3" s="1"/>
  <c r="M521" i="3"/>
  <c r="G521" i="3"/>
  <c r="F521" i="3"/>
  <c r="E521" i="3"/>
  <c r="D521" i="3"/>
  <c r="A521" i="3"/>
  <c r="N520" i="3"/>
  <c r="O520" i="3" s="1"/>
  <c r="M520" i="3"/>
  <c r="G520" i="3"/>
  <c r="F520" i="3"/>
  <c r="E520" i="3"/>
  <c r="D520" i="3"/>
  <c r="A520" i="3"/>
  <c r="N519" i="3"/>
  <c r="O519" i="3" s="1"/>
  <c r="M519" i="3"/>
  <c r="G519" i="3"/>
  <c r="F519" i="3"/>
  <c r="E519" i="3"/>
  <c r="D519" i="3"/>
  <c r="A519" i="3"/>
  <c r="N518" i="3"/>
  <c r="O518" i="3" s="1"/>
  <c r="M518" i="3"/>
  <c r="G518" i="3"/>
  <c r="F518" i="3"/>
  <c r="E518" i="3"/>
  <c r="D518" i="3"/>
  <c r="A518" i="3"/>
  <c r="N517" i="3"/>
  <c r="O517" i="3" s="1"/>
  <c r="M517" i="3"/>
  <c r="G517" i="3"/>
  <c r="F517" i="3"/>
  <c r="E517" i="3"/>
  <c r="D517" i="3"/>
  <c r="A517" i="3"/>
  <c r="N516" i="3"/>
  <c r="O516" i="3" s="1"/>
  <c r="M516" i="3"/>
  <c r="G516" i="3"/>
  <c r="F516" i="3"/>
  <c r="E516" i="3"/>
  <c r="D516" i="3"/>
  <c r="A516" i="3"/>
  <c r="N515" i="3"/>
  <c r="O515" i="3" s="1"/>
  <c r="M515" i="3"/>
  <c r="G515" i="3"/>
  <c r="F515" i="3"/>
  <c r="E515" i="3"/>
  <c r="D515" i="3"/>
  <c r="A515" i="3"/>
  <c r="N514" i="3"/>
  <c r="O514" i="3" s="1"/>
  <c r="M514" i="3"/>
  <c r="G514" i="3"/>
  <c r="F514" i="3"/>
  <c r="E514" i="3"/>
  <c r="D514" i="3"/>
  <c r="A514" i="3"/>
  <c r="N513" i="3"/>
  <c r="O513" i="3" s="1"/>
  <c r="M513" i="3"/>
  <c r="G513" i="3"/>
  <c r="F513" i="3"/>
  <c r="E513" i="3"/>
  <c r="D513" i="3"/>
  <c r="A513" i="3"/>
  <c r="N512" i="3"/>
  <c r="O512" i="3" s="1"/>
  <c r="M512" i="3"/>
  <c r="G512" i="3"/>
  <c r="F512" i="3"/>
  <c r="E512" i="3"/>
  <c r="D512" i="3"/>
  <c r="A512" i="3"/>
  <c r="N511" i="3"/>
  <c r="O511" i="3" s="1"/>
  <c r="M511" i="3"/>
  <c r="G511" i="3"/>
  <c r="F511" i="3"/>
  <c r="E511" i="3"/>
  <c r="D511" i="3"/>
  <c r="A511" i="3"/>
  <c r="N510" i="3"/>
  <c r="O510" i="3" s="1"/>
  <c r="M510" i="3"/>
  <c r="G510" i="3"/>
  <c r="F510" i="3"/>
  <c r="E510" i="3"/>
  <c r="D510" i="3"/>
  <c r="A510" i="3"/>
  <c r="N509" i="3"/>
  <c r="O509" i="3" s="1"/>
  <c r="M509" i="3"/>
  <c r="G509" i="3"/>
  <c r="F509" i="3"/>
  <c r="E509" i="3"/>
  <c r="D509" i="3"/>
  <c r="A509" i="3"/>
  <c r="N508" i="3"/>
  <c r="O508" i="3" s="1"/>
  <c r="M508" i="3"/>
  <c r="G508" i="3"/>
  <c r="F508" i="3"/>
  <c r="E508" i="3"/>
  <c r="D508" i="3"/>
  <c r="A508" i="3"/>
  <c r="N507" i="3"/>
  <c r="O507" i="3" s="1"/>
  <c r="M507" i="3"/>
  <c r="G507" i="3"/>
  <c r="F507" i="3"/>
  <c r="E507" i="3"/>
  <c r="D507" i="3"/>
  <c r="A507" i="3"/>
  <c r="N506" i="3"/>
  <c r="O506" i="3" s="1"/>
  <c r="M506" i="3"/>
  <c r="G506" i="3"/>
  <c r="F506" i="3"/>
  <c r="E506" i="3"/>
  <c r="D506" i="3"/>
  <c r="A506" i="3"/>
  <c r="N505" i="3"/>
  <c r="O505" i="3" s="1"/>
  <c r="M505" i="3"/>
  <c r="G505" i="3"/>
  <c r="F505" i="3"/>
  <c r="E505" i="3"/>
  <c r="D505" i="3"/>
  <c r="A505" i="3"/>
  <c r="N504" i="3"/>
  <c r="O504" i="3" s="1"/>
  <c r="M504" i="3"/>
  <c r="G504" i="3"/>
  <c r="F504" i="3"/>
  <c r="E504" i="3"/>
  <c r="D504" i="3"/>
  <c r="A504" i="3"/>
  <c r="N503" i="3"/>
  <c r="O503" i="3" s="1"/>
  <c r="M503" i="3"/>
  <c r="G503" i="3"/>
  <c r="F503" i="3"/>
  <c r="E503" i="3"/>
  <c r="D503" i="3"/>
  <c r="A503" i="3"/>
  <c r="N502" i="3"/>
  <c r="O502" i="3" s="1"/>
  <c r="M502" i="3"/>
  <c r="G502" i="3"/>
  <c r="F502" i="3"/>
  <c r="E502" i="3"/>
  <c r="D502" i="3"/>
  <c r="A502" i="3"/>
  <c r="N501" i="3"/>
  <c r="O501" i="3" s="1"/>
  <c r="M501" i="3"/>
  <c r="G501" i="3"/>
  <c r="F501" i="3"/>
  <c r="E501" i="3"/>
  <c r="D501" i="3"/>
  <c r="A501" i="3"/>
  <c r="N500" i="3"/>
  <c r="O500" i="3" s="1"/>
  <c r="M500" i="3"/>
  <c r="G500" i="3"/>
  <c r="F500" i="3"/>
  <c r="E500" i="3"/>
  <c r="D500" i="3"/>
  <c r="A500" i="3"/>
  <c r="N499" i="3"/>
  <c r="O499" i="3" s="1"/>
  <c r="M499" i="3"/>
  <c r="G499" i="3"/>
  <c r="F499" i="3"/>
  <c r="E499" i="3"/>
  <c r="D499" i="3"/>
  <c r="A499" i="3"/>
  <c r="N498" i="3"/>
  <c r="O498" i="3" s="1"/>
  <c r="M498" i="3"/>
  <c r="G498" i="3"/>
  <c r="F498" i="3"/>
  <c r="E498" i="3"/>
  <c r="D498" i="3"/>
  <c r="A498" i="3"/>
  <c r="N497" i="3"/>
  <c r="O497" i="3" s="1"/>
  <c r="M497" i="3"/>
  <c r="G497" i="3"/>
  <c r="F497" i="3"/>
  <c r="E497" i="3"/>
  <c r="D497" i="3"/>
  <c r="A497" i="3"/>
  <c r="N496" i="3"/>
  <c r="O496" i="3" s="1"/>
  <c r="M496" i="3"/>
  <c r="G496" i="3"/>
  <c r="F496" i="3"/>
  <c r="E496" i="3"/>
  <c r="D496" i="3"/>
  <c r="A496" i="3"/>
  <c r="N495" i="3"/>
  <c r="O495" i="3" s="1"/>
  <c r="M495" i="3"/>
  <c r="G495" i="3"/>
  <c r="F495" i="3"/>
  <c r="E495" i="3"/>
  <c r="D495" i="3"/>
  <c r="A495" i="3"/>
  <c r="N494" i="3"/>
  <c r="O494" i="3" s="1"/>
  <c r="M494" i="3"/>
  <c r="G494" i="3"/>
  <c r="F494" i="3"/>
  <c r="E494" i="3"/>
  <c r="D494" i="3"/>
  <c r="A494" i="3"/>
  <c r="N493" i="3"/>
  <c r="O493" i="3" s="1"/>
  <c r="M493" i="3"/>
  <c r="G493" i="3"/>
  <c r="F493" i="3"/>
  <c r="E493" i="3"/>
  <c r="D493" i="3"/>
  <c r="A493" i="3"/>
  <c r="N492" i="3"/>
  <c r="O492" i="3" s="1"/>
  <c r="M492" i="3"/>
  <c r="G492" i="3"/>
  <c r="F492" i="3"/>
  <c r="E492" i="3"/>
  <c r="D492" i="3"/>
  <c r="A492" i="3"/>
  <c r="N491" i="3"/>
  <c r="O491" i="3" s="1"/>
  <c r="M491" i="3"/>
  <c r="G491" i="3"/>
  <c r="F491" i="3"/>
  <c r="E491" i="3"/>
  <c r="D491" i="3"/>
  <c r="A491" i="3"/>
  <c r="N490" i="3"/>
  <c r="O490" i="3" s="1"/>
  <c r="M490" i="3"/>
  <c r="G490" i="3"/>
  <c r="F490" i="3"/>
  <c r="E490" i="3"/>
  <c r="D490" i="3"/>
  <c r="A490" i="3"/>
  <c r="N489" i="3"/>
  <c r="O489" i="3" s="1"/>
  <c r="M489" i="3"/>
  <c r="G489" i="3"/>
  <c r="F489" i="3"/>
  <c r="E489" i="3"/>
  <c r="D489" i="3"/>
  <c r="A489" i="3"/>
  <c r="N488" i="3"/>
  <c r="O488" i="3" s="1"/>
  <c r="M488" i="3"/>
  <c r="G488" i="3"/>
  <c r="F488" i="3"/>
  <c r="E488" i="3"/>
  <c r="D488" i="3"/>
  <c r="A488" i="3"/>
  <c r="N487" i="3"/>
  <c r="O487" i="3" s="1"/>
  <c r="M487" i="3"/>
  <c r="G487" i="3"/>
  <c r="F487" i="3"/>
  <c r="E487" i="3"/>
  <c r="D487" i="3"/>
  <c r="A487" i="3"/>
  <c r="N486" i="3"/>
  <c r="O486" i="3" s="1"/>
  <c r="M486" i="3"/>
  <c r="G486" i="3"/>
  <c r="F486" i="3"/>
  <c r="E486" i="3"/>
  <c r="D486" i="3"/>
  <c r="A486" i="3"/>
  <c r="N485" i="3"/>
  <c r="O485" i="3" s="1"/>
  <c r="M485" i="3"/>
  <c r="G485" i="3"/>
  <c r="F485" i="3"/>
  <c r="E485" i="3"/>
  <c r="D485" i="3"/>
  <c r="A485" i="3"/>
  <c r="N484" i="3"/>
  <c r="O484" i="3" s="1"/>
  <c r="M484" i="3"/>
  <c r="G484" i="3"/>
  <c r="F484" i="3"/>
  <c r="E484" i="3"/>
  <c r="D484" i="3"/>
  <c r="A484" i="3"/>
  <c r="N483" i="3"/>
  <c r="O483" i="3" s="1"/>
  <c r="M483" i="3"/>
  <c r="G483" i="3"/>
  <c r="F483" i="3"/>
  <c r="E483" i="3"/>
  <c r="D483" i="3"/>
  <c r="A483" i="3"/>
  <c r="N482" i="3"/>
  <c r="O482" i="3" s="1"/>
  <c r="M482" i="3"/>
  <c r="G482" i="3"/>
  <c r="F482" i="3"/>
  <c r="E482" i="3"/>
  <c r="D482" i="3"/>
  <c r="A482" i="3"/>
  <c r="N481" i="3"/>
  <c r="O481" i="3" s="1"/>
  <c r="M481" i="3"/>
  <c r="G481" i="3"/>
  <c r="F481" i="3"/>
  <c r="E481" i="3"/>
  <c r="D481" i="3"/>
  <c r="A481" i="3"/>
  <c r="N480" i="3"/>
  <c r="O480" i="3" s="1"/>
  <c r="M480" i="3"/>
  <c r="G480" i="3"/>
  <c r="F480" i="3"/>
  <c r="E480" i="3"/>
  <c r="D480" i="3"/>
  <c r="A480" i="3"/>
  <c r="N479" i="3"/>
  <c r="O479" i="3" s="1"/>
  <c r="M479" i="3"/>
  <c r="G479" i="3"/>
  <c r="F479" i="3"/>
  <c r="E479" i="3"/>
  <c r="D479" i="3"/>
  <c r="A479" i="3"/>
  <c r="N478" i="3"/>
  <c r="O478" i="3" s="1"/>
  <c r="M478" i="3"/>
  <c r="G478" i="3"/>
  <c r="F478" i="3"/>
  <c r="E478" i="3"/>
  <c r="D478" i="3"/>
  <c r="A478" i="3"/>
  <c r="N477" i="3"/>
  <c r="O477" i="3" s="1"/>
  <c r="M477" i="3"/>
  <c r="G477" i="3"/>
  <c r="F477" i="3"/>
  <c r="E477" i="3"/>
  <c r="D477" i="3"/>
  <c r="A477" i="3"/>
  <c r="N476" i="3"/>
  <c r="O476" i="3" s="1"/>
  <c r="M476" i="3"/>
  <c r="G476" i="3"/>
  <c r="F476" i="3"/>
  <c r="E476" i="3"/>
  <c r="D476" i="3"/>
  <c r="A476" i="3"/>
  <c r="N475" i="3"/>
  <c r="O475" i="3" s="1"/>
  <c r="M475" i="3"/>
  <c r="G475" i="3"/>
  <c r="F475" i="3"/>
  <c r="E475" i="3"/>
  <c r="D475" i="3"/>
  <c r="A475" i="3"/>
  <c r="N474" i="3"/>
  <c r="O474" i="3" s="1"/>
  <c r="M474" i="3"/>
  <c r="G474" i="3"/>
  <c r="F474" i="3"/>
  <c r="E474" i="3"/>
  <c r="D474" i="3"/>
  <c r="A474" i="3"/>
  <c r="N473" i="3"/>
  <c r="O473" i="3" s="1"/>
  <c r="M473" i="3"/>
  <c r="G473" i="3"/>
  <c r="F473" i="3"/>
  <c r="E473" i="3"/>
  <c r="D473" i="3"/>
  <c r="A473" i="3"/>
  <c r="N472" i="3"/>
  <c r="O472" i="3" s="1"/>
  <c r="M472" i="3"/>
  <c r="G472" i="3"/>
  <c r="F472" i="3"/>
  <c r="E472" i="3"/>
  <c r="D472" i="3"/>
  <c r="A472" i="3"/>
  <c r="N471" i="3"/>
  <c r="O471" i="3" s="1"/>
  <c r="M471" i="3"/>
  <c r="G471" i="3"/>
  <c r="F471" i="3"/>
  <c r="E471" i="3"/>
  <c r="D471" i="3"/>
  <c r="A471" i="3"/>
  <c r="N470" i="3"/>
  <c r="O470" i="3" s="1"/>
  <c r="M470" i="3"/>
  <c r="G470" i="3"/>
  <c r="F470" i="3"/>
  <c r="E470" i="3"/>
  <c r="D470" i="3"/>
  <c r="A470" i="3"/>
  <c r="N469" i="3"/>
  <c r="O469" i="3" s="1"/>
  <c r="M469" i="3"/>
  <c r="G469" i="3"/>
  <c r="F469" i="3"/>
  <c r="E469" i="3"/>
  <c r="D469" i="3"/>
  <c r="A469" i="3"/>
  <c r="N468" i="3"/>
  <c r="O468" i="3" s="1"/>
  <c r="M468" i="3"/>
  <c r="G468" i="3"/>
  <c r="F468" i="3"/>
  <c r="E468" i="3"/>
  <c r="D468" i="3"/>
  <c r="A468" i="3"/>
  <c r="N467" i="3"/>
  <c r="O467" i="3" s="1"/>
  <c r="M467" i="3"/>
  <c r="G467" i="3"/>
  <c r="F467" i="3"/>
  <c r="E467" i="3"/>
  <c r="D467" i="3"/>
  <c r="A467" i="3"/>
  <c r="N466" i="3"/>
  <c r="O466" i="3" s="1"/>
  <c r="M466" i="3"/>
  <c r="G466" i="3"/>
  <c r="F466" i="3"/>
  <c r="E466" i="3"/>
  <c r="D466" i="3"/>
  <c r="A466" i="3"/>
  <c r="N465" i="3"/>
  <c r="O465" i="3" s="1"/>
  <c r="M465" i="3"/>
  <c r="G465" i="3"/>
  <c r="F465" i="3"/>
  <c r="E465" i="3"/>
  <c r="D465" i="3"/>
  <c r="A465" i="3"/>
  <c r="N464" i="3"/>
  <c r="O464" i="3" s="1"/>
  <c r="M464" i="3"/>
  <c r="G464" i="3"/>
  <c r="F464" i="3"/>
  <c r="E464" i="3"/>
  <c r="D464" i="3"/>
  <c r="A464" i="3"/>
  <c r="N463" i="3"/>
  <c r="O463" i="3" s="1"/>
  <c r="M463" i="3"/>
  <c r="G463" i="3"/>
  <c r="F463" i="3"/>
  <c r="E463" i="3"/>
  <c r="D463" i="3"/>
  <c r="A463" i="3"/>
  <c r="N462" i="3"/>
  <c r="O462" i="3" s="1"/>
  <c r="M462" i="3"/>
  <c r="G462" i="3"/>
  <c r="F462" i="3"/>
  <c r="E462" i="3"/>
  <c r="D462" i="3"/>
  <c r="A462" i="3"/>
  <c r="N461" i="3"/>
  <c r="O461" i="3" s="1"/>
  <c r="M461" i="3"/>
  <c r="G461" i="3"/>
  <c r="F461" i="3"/>
  <c r="E461" i="3"/>
  <c r="D461" i="3"/>
  <c r="A461" i="3"/>
  <c r="N460" i="3"/>
  <c r="O460" i="3" s="1"/>
  <c r="M460" i="3"/>
  <c r="G460" i="3"/>
  <c r="F460" i="3"/>
  <c r="E460" i="3"/>
  <c r="D460" i="3"/>
  <c r="A460" i="3"/>
  <c r="N459" i="3"/>
  <c r="O459" i="3" s="1"/>
  <c r="M459" i="3"/>
  <c r="G459" i="3"/>
  <c r="F459" i="3"/>
  <c r="E459" i="3"/>
  <c r="D459" i="3"/>
  <c r="A459" i="3"/>
  <c r="N458" i="3"/>
  <c r="O458" i="3" s="1"/>
  <c r="M458" i="3"/>
  <c r="G458" i="3"/>
  <c r="F458" i="3"/>
  <c r="E458" i="3"/>
  <c r="D458" i="3"/>
  <c r="A458" i="3"/>
  <c r="N457" i="3"/>
  <c r="O457" i="3" s="1"/>
  <c r="M457" i="3"/>
  <c r="G457" i="3"/>
  <c r="F457" i="3"/>
  <c r="E457" i="3"/>
  <c r="D457" i="3"/>
  <c r="A457" i="3"/>
  <c r="N456" i="3"/>
  <c r="O456" i="3" s="1"/>
  <c r="M456" i="3"/>
  <c r="G456" i="3"/>
  <c r="F456" i="3"/>
  <c r="E456" i="3"/>
  <c r="D456" i="3"/>
  <c r="A456" i="3"/>
  <c r="N455" i="3"/>
  <c r="O455" i="3" s="1"/>
  <c r="M455" i="3"/>
  <c r="G455" i="3"/>
  <c r="F455" i="3"/>
  <c r="E455" i="3"/>
  <c r="D455" i="3"/>
  <c r="A455" i="3"/>
  <c r="N454" i="3"/>
  <c r="O454" i="3" s="1"/>
  <c r="M454" i="3"/>
  <c r="G454" i="3"/>
  <c r="F454" i="3"/>
  <c r="E454" i="3"/>
  <c r="D454" i="3"/>
  <c r="A454" i="3"/>
  <c r="N453" i="3"/>
  <c r="O453" i="3" s="1"/>
  <c r="M453" i="3"/>
  <c r="G453" i="3"/>
  <c r="F453" i="3"/>
  <c r="E453" i="3"/>
  <c r="D453" i="3"/>
  <c r="A453" i="3"/>
  <c r="N452" i="3"/>
  <c r="O452" i="3" s="1"/>
  <c r="M452" i="3"/>
  <c r="G452" i="3"/>
  <c r="F452" i="3"/>
  <c r="E452" i="3"/>
  <c r="D452" i="3"/>
  <c r="A452" i="3"/>
  <c r="N451" i="3"/>
  <c r="O451" i="3" s="1"/>
  <c r="M451" i="3"/>
  <c r="G451" i="3"/>
  <c r="F451" i="3"/>
  <c r="E451" i="3"/>
  <c r="D451" i="3"/>
  <c r="A451" i="3"/>
  <c r="N450" i="3"/>
  <c r="O450" i="3" s="1"/>
  <c r="M450" i="3"/>
  <c r="G450" i="3"/>
  <c r="F450" i="3"/>
  <c r="E450" i="3"/>
  <c r="D450" i="3"/>
  <c r="A450" i="3"/>
  <c r="N449" i="3"/>
  <c r="O449" i="3" s="1"/>
  <c r="M449" i="3"/>
  <c r="G449" i="3"/>
  <c r="F449" i="3"/>
  <c r="E449" i="3"/>
  <c r="D449" i="3"/>
  <c r="A449" i="3"/>
  <c r="N448" i="3"/>
  <c r="O448" i="3" s="1"/>
  <c r="M448" i="3"/>
  <c r="G448" i="3"/>
  <c r="F448" i="3"/>
  <c r="E448" i="3"/>
  <c r="D448" i="3"/>
  <c r="A448" i="3"/>
  <c r="N447" i="3"/>
  <c r="O447" i="3" s="1"/>
  <c r="M447" i="3"/>
  <c r="G447" i="3"/>
  <c r="F447" i="3"/>
  <c r="E447" i="3"/>
  <c r="D447" i="3"/>
  <c r="A447" i="3"/>
  <c r="N446" i="3"/>
  <c r="O446" i="3" s="1"/>
  <c r="M446" i="3"/>
  <c r="G446" i="3"/>
  <c r="F446" i="3"/>
  <c r="E446" i="3"/>
  <c r="D446" i="3"/>
  <c r="A446" i="3"/>
  <c r="N445" i="3"/>
  <c r="O445" i="3" s="1"/>
  <c r="M445" i="3"/>
  <c r="G445" i="3"/>
  <c r="F445" i="3"/>
  <c r="E445" i="3"/>
  <c r="D445" i="3"/>
  <c r="A445" i="3"/>
  <c r="N444" i="3"/>
  <c r="O444" i="3" s="1"/>
  <c r="M444" i="3"/>
  <c r="G444" i="3"/>
  <c r="F444" i="3"/>
  <c r="E444" i="3"/>
  <c r="D444" i="3"/>
  <c r="A444" i="3"/>
  <c r="N443" i="3"/>
  <c r="O443" i="3" s="1"/>
  <c r="M443" i="3"/>
  <c r="G443" i="3"/>
  <c r="F443" i="3"/>
  <c r="E443" i="3"/>
  <c r="D443" i="3"/>
  <c r="A443" i="3"/>
  <c r="N442" i="3"/>
  <c r="O442" i="3" s="1"/>
  <c r="M442" i="3"/>
  <c r="G442" i="3"/>
  <c r="F442" i="3"/>
  <c r="E442" i="3"/>
  <c r="D442" i="3"/>
  <c r="A442" i="3"/>
  <c r="N441" i="3"/>
  <c r="O441" i="3" s="1"/>
  <c r="M441" i="3"/>
  <c r="G441" i="3"/>
  <c r="F441" i="3"/>
  <c r="E441" i="3"/>
  <c r="D441" i="3"/>
  <c r="A441" i="3"/>
  <c r="N440" i="3"/>
  <c r="O440" i="3" s="1"/>
  <c r="M440" i="3"/>
  <c r="G440" i="3"/>
  <c r="F440" i="3"/>
  <c r="E440" i="3"/>
  <c r="D440" i="3"/>
  <c r="A440" i="3"/>
  <c r="N439" i="3"/>
  <c r="O439" i="3" s="1"/>
  <c r="M439" i="3"/>
  <c r="G439" i="3"/>
  <c r="F439" i="3"/>
  <c r="E439" i="3"/>
  <c r="D439" i="3"/>
  <c r="A439" i="3"/>
  <c r="K438" i="3"/>
  <c r="J438" i="3"/>
  <c r="G438" i="3"/>
  <c r="F438" i="3"/>
  <c r="E438" i="3"/>
  <c r="A438" i="3"/>
  <c r="K437" i="3"/>
  <c r="J437" i="3"/>
  <c r="G437" i="3"/>
  <c r="F437" i="3"/>
  <c r="E437" i="3"/>
  <c r="A437" i="3"/>
  <c r="J436" i="3"/>
  <c r="G436" i="3"/>
  <c r="F436" i="3"/>
  <c r="E436" i="3"/>
  <c r="A436" i="3"/>
  <c r="K435" i="3"/>
  <c r="J435" i="3"/>
  <c r="G435" i="3"/>
  <c r="F435" i="3"/>
  <c r="E435" i="3"/>
  <c r="A435" i="3"/>
  <c r="K434" i="3"/>
  <c r="J434" i="3"/>
  <c r="G434" i="3"/>
  <c r="F434" i="3"/>
  <c r="E434" i="3"/>
  <c r="A434" i="3"/>
  <c r="K433" i="3"/>
  <c r="J433" i="3"/>
  <c r="G433" i="3"/>
  <c r="F433" i="3"/>
  <c r="E433" i="3"/>
  <c r="A433" i="3"/>
  <c r="J432" i="3"/>
  <c r="A432" i="3"/>
  <c r="K431" i="3"/>
  <c r="J431" i="3"/>
  <c r="A431" i="3"/>
  <c r="K430" i="3"/>
  <c r="J430" i="3"/>
  <c r="A430" i="3"/>
  <c r="A428" i="3"/>
  <c r="A400" i="3"/>
  <c r="E399" i="3"/>
  <c r="D399" i="3"/>
  <c r="S399" i="3" s="1"/>
  <c r="B399" i="3"/>
  <c r="A399" i="3"/>
  <c r="R399" i="3" s="1"/>
  <c r="V399" i="3" s="1"/>
  <c r="W399" i="3" s="1"/>
  <c r="E398" i="3"/>
  <c r="D398" i="3"/>
  <c r="S398" i="3" s="1"/>
  <c r="B398" i="3"/>
  <c r="A398" i="3"/>
  <c r="R398" i="3" s="1"/>
  <c r="O398" i="3" s="1"/>
  <c r="E397" i="3"/>
  <c r="D397" i="3"/>
  <c r="S397" i="3" s="1"/>
  <c r="B397" i="3"/>
  <c r="A397" i="3"/>
  <c r="R397" i="3" s="1"/>
  <c r="Z397" i="3" s="1"/>
  <c r="E396" i="3"/>
  <c r="D396" i="3"/>
  <c r="S396" i="3" s="1"/>
  <c r="B396" i="3"/>
  <c r="A396" i="3"/>
  <c r="R396" i="3" s="1"/>
  <c r="O396" i="3" s="1"/>
  <c r="E395" i="3"/>
  <c r="D395" i="3"/>
  <c r="S395" i="3" s="1"/>
  <c r="B395" i="3"/>
  <c r="A395" i="3"/>
  <c r="R395" i="3" s="1"/>
  <c r="E394" i="3"/>
  <c r="D394" i="3"/>
  <c r="B394" i="3"/>
  <c r="A394" i="3"/>
  <c r="R394" i="3" s="1"/>
  <c r="E393" i="3"/>
  <c r="D393" i="3"/>
  <c r="S393" i="3" s="1"/>
  <c r="B393" i="3"/>
  <c r="A393" i="3"/>
  <c r="R393" i="3" s="1"/>
  <c r="E392" i="3"/>
  <c r="D392" i="3"/>
  <c r="S392" i="3" s="1"/>
  <c r="B392" i="3"/>
  <c r="A392" i="3"/>
  <c r="R392" i="3" s="1"/>
  <c r="O392" i="3" s="1"/>
  <c r="E391" i="3"/>
  <c r="D391" i="3"/>
  <c r="S391" i="3" s="1"/>
  <c r="B391" i="3"/>
  <c r="A391" i="3"/>
  <c r="R391" i="3" s="1"/>
  <c r="E390" i="3"/>
  <c r="D390" i="3"/>
  <c r="S390" i="3" s="1"/>
  <c r="B390" i="3"/>
  <c r="A390" i="3"/>
  <c r="R390" i="3" s="1"/>
  <c r="O390" i="3" s="1"/>
  <c r="E389" i="3"/>
  <c r="D389" i="3"/>
  <c r="S389" i="3" s="1"/>
  <c r="B389" i="3"/>
  <c r="A389" i="3"/>
  <c r="R389" i="3" s="1"/>
  <c r="E388" i="3"/>
  <c r="D388" i="3"/>
  <c r="S388" i="3" s="1"/>
  <c r="B388" i="3"/>
  <c r="A388" i="3"/>
  <c r="R388" i="3" s="1"/>
  <c r="Z388" i="3" s="1"/>
  <c r="E387" i="3"/>
  <c r="D387" i="3"/>
  <c r="S387" i="3" s="1"/>
  <c r="B387" i="3"/>
  <c r="A387" i="3"/>
  <c r="R387" i="3" s="1"/>
  <c r="E386" i="3"/>
  <c r="D386" i="3"/>
  <c r="B386" i="3"/>
  <c r="A386" i="3"/>
  <c r="R386" i="3" s="1"/>
  <c r="V386" i="3" s="1"/>
  <c r="W386" i="3" s="1"/>
  <c r="E385" i="3"/>
  <c r="D385" i="3"/>
  <c r="S385" i="3" s="1"/>
  <c r="B385" i="3"/>
  <c r="A385" i="3"/>
  <c r="R385" i="3" s="1"/>
  <c r="O385" i="3" s="1"/>
  <c r="E384" i="3"/>
  <c r="D384" i="3"/>
  <c r="S384" i="3" s="1"/>
  <c r="B384" i="3"/>
  <c r="A384" i="3"/>
  <c r="R384" i="3" s="1"/>
  <c r="E383" i="3"/>
  <c r="D383" i="3"/>
  <c r="B383" i="3"/>
  <c r="A383" i="3"/>
  <c r="R383" i="3" s="1"/>
  <c r="E382" i="3"/>
  <c r="D382" i="3"/>
  <c r="S382" i="3" s="1"/>
  <c r="B382" i="3"/>
  <c r="A382" i="3"/>
  <c r="R382" i="3" s="1"/>
  <c r="T382" i="3" s="1"/>
  <c r="E381" i="3"/>
  <c r="D381" i="3"/>
  <c r="S381" i="3" s="1"/>
  <c r="B381" i="3"/>
  <c r="A381" i="3"/>
  <c r="R381" i="3" s="1"/>
  <c r="E380" i="3"/>
  <c r="D380" i="3"/>
  <c r="S380" i="3" s="1"/>
  <c r="B380" i="3"/>
  <c r="A380" i="3"/>
  <c r="R380" i="3" s="1"/>
  <c r="Z380" i="3" s="1"/>
  <c r="E379" i="3"/>
  <c r="D379" i="3"/>
  <c r="B379" i="3"/>
  <c r="A379" i="3"/>
  <c r="R379" i="3" s="1"/>
  <c r="E378" i="3"/>
  <c r="D378" i="3"/>
  <c r="S378" i="3" s="1"/>
  <c r="B378" i="3"/>
  <c r="A378" i="3"/>
  <c r="R378" i="3" s="1"/>
  <c r="E377" i="3"/>
  <c r="D377" i="3"/>
  <c r="S377" i="3" s="1"/>
  <c r="B377" i="3"/>
  <c r="A377" i="3"/>
  <c r="R377" i="3" s="1"/>
  <c r="E376" i="3"/>
  <c r="D376" i="3"/>
  <c r="S376" i="3" s="1"/>
  <c r="B376" i="3"/>
  <c r="A376" i="3"/>
  <c r="R376" i="3" s="1"/>
  <c r="E375" i="3"/>
  <c r="D375" i="3"/>
  <c r="S375" i="3" s="1"/>
  <c r="B375" i="3"/>
  <c r="A375" i="3"/>
  <c r="R375" i="3" s="1"/>
  <c r="V375" i="3" s="1"/>
  <c r="W375" i="3" s="1"/>
  <c r="E374" i="3"/>
  <c r="D374" i="3"/>
  <c r="S374" i="3" s="1"/>
  <c r="B374" i="3"/>
  <c r="A374" i="3"/>
  <c r="R374" i="3" s="1"/>
  <c r="E373" i="3"/>
  <c r="D373" i="3"/>
  <c r="S373" i="3" s="1"/>
  <c r="B373" i="3"/>
  <c r="A373" i="3"/>
  <c r="R373" i="3" s="1"/>
  <c r="E372" i="3"/>
  <c r="D372" i="3"/>
  <c r="S372" i="3" s="1"/>
  <c r="B372" i="3"/>
  <c r="A372" i="3"/>
  <c r="R372" i="3" s="1"/>
  <c r="E371" i="3"/>
  <c r="D371" i="3"/>
  <c r="S371" i="3" s="1"/>
  <c r="B371" i="3"/>
  <c r="A371" i="3"/>
  <c r="R371" i="3" s="1"/>
  <c r="V371" i="3" s="1"/>
  <c r="W371" i="3" s="1"/>
  <c r="E370" i="3"/>
  <c r="D370" i="3"/>
  <c r="S370" i="3" s="1"/>
  <c r="B370" i="3"/>
  <c r="A370" i="3"/>
  <c r="R370" i="3" s="1"/>
  <c r="U370" i="3" s="1"/>
  <c r="E369" i="3"/>
  <c r="D369" i="3"/>
  <c r="S369" i="3" s="1"/>
  <c r="B369" i="3"/>
  <c r="A369" i="3"/>
  <c r="R369" i="3" s="1"/>
  <c r="Z369" i="3" s="1"/>
  <c r="E368" i="3"/>
  <c r="D368" i="3"/>
  <c r="S368" i="3" s="1"/>
  <c r="B368" i="3"/>
  <c r="A368" i="3"/>
  <c r="R368" i="3" s="1"/>
  <c r="E367" i="3"/>
  <c r="D367" i="3"/>
  <c r="S367" i="3" s="1"/>
  <c r="B367" i="3"/>
  <c r="A367" i="3"/>
  <c r="R367" i="3" s="1"/>
  <c r="E366" i="3"/>
  <c r="D366" i="3"/>
  <c r="B366" i="3"/>
  <c r="A366" i="3"/>
  <c r="R366" i="3" s="1"/>
  <c r="T366" i="3" s="1"/>
  <c r="E365" i="3"/>
  <c r="D365" i="3"/>
  <c r="S365" i="3" s="1"/>
  <c r="B365" i="3"/>
  <c r="A365" i="3"/>
  <c r="R365" i="3" s="1"/>
  <c r="O365" i="3" s="1"/>
  <c r="E364" i="3"/>
  <c r="D364" i="3"/>
  <c r="S364" i="3" s="1"/>
  <c r="B364" i="3"/>
  <c r="A364" i="3"/>
  <c r="R364" i="3" s="1"/>
  <c r="O364" i="3" s="1"/>
  <c r="E363" i="3"/>
  <c r="D363" i="3"/>
  <c r="S363" i="3" s="1"/>
  <c r="B363" i="3"/>
  <c r="A363" i="3"/>
  <c r="R363" i="3" s="1"/>
  <c r="E362" i="3"/>
  <c r="D362" i="3"/>
  <c r="S362" i="3" s="1"/>
  <c r="B362" i="3"/>
  <c r="A362" i="3"/>
  <c r="R362" i="3" s="1"/>
  <c r="T362" i="3" s="1"/>
  <c r="E361" i="3"/>
  <c r="D361" i="3"/>
  <c r="S361" i="3" s="1"/>
  <c r="B361" i="3"/>
  <c r="A361" i="3"/>
  <c r="R361" i="3" s="1"/>
  <c r="E360" i="3"/>
  <c r="D360" i="3"/>
  <c r="S360" i="3" s="1"/>
  <c r="B360" i="3"/>
  <c r="A360" i="3"/>
  <c r="R360" i="3" s="1"/>
  <c r="T360" i="3" s="1"/>
  <c r="E359" i="3"/>
  <c r="D359" i="3"/>
  <c r="S359" i="3" s="1"/>
  <c r="B359" i="3"/>
  <c r="A359" i="3"/>
  <c r="R359" i="3" s="1"/>
  <c r="Z359" i="3" s="1"/>
  <c r="E358" i="3"/>
  <c r="D358" i="3"/>
  <c r="S358" i="3" s="1"/>
  <c r="B358" i="3"/>
  <c r="A358" i="3"/>
  <c r="R358" i="3" s="1"/>
  <c r="E357" i="3"/>
  <c r="D357" i="3"/>
  <c r="S357" i="3" s="1"/>
  <c r="B357" i="3"/>
  <c r="A357" i="3"/>
  <c r="R357" i="3" s="1"/>
  <c r="Z357" i="3" s="1"/>
  <c r="E356" i="3"/>
  <c r="D356" i="3"/>
  <c r="S356" i="3" s="1"/>
  <c r="B356" i="3"/>
  <c r="A356" i="3"/>
  <c r="R356" i="3" s="1"/>
  <c r="T356" i="3" s="1"/>
  <c r="E355" i="3"/>
  <c r="D355" i="3"/>
  <c r="S355" i="3" s="1"/>
  <c r="B355" i="3"/>
  <c r="A355" i="3"/>
  <c r="R355" i="3" s="1"/>
  <c r="E354" i="3"/>
  <c r="D354" i="3"/>
  <c r="S354" i="3" s="1"/>
  <c r="B354" i="3"/>
  <c r="A354" i="3"/>
  <c r="R354" i="3" s="1"/>
  <c r="E353" i="3"/>
  <c r="D353" i="3"/>
  <c r="S353" i="3" s="1"/>
  <c r="B353" i="3"/>
  <c r="A353" i="3"/>
  <c r="R353" i="3" s="1"/>
  <c r="O353" i="3" s="1"/>
  <c r="E352" i="3"/>
  <c r="D352" i="3"/>
  <c r="S352" i="3" s="1"/>
  <c r="B352" i="3"/>
  <c r="A352" i="3"/>
  <c r="R352" i="3" s="1"/>
  <c r="O352" i="3" s="1"/>
  <c r="E351" i="3"/>
  <c r="D351" i="3"/>
  <c r="S351" i="3" s="1"/>
  <c r="B351" i="3"/>
  <c r="A351" i="3"/>
  <c r="R351" i="3" s="1"/>
  <c r="O351" i="3" s="1"/>
  <c r="E350" i="3"/>
  <c r="D350" i="3"/>
  <c r="S350" i="3" s="1"/>
  <c r="B350" i="3"/>
  <c r="A350" i="3"/>
  <c r="R350" i="3" s="1"/>
  <c r="V350" i="3" s="1"/>
  <c r="W350" i="3" s="1"/>
  <c r="E349" i="3"/>
  <c r="D349" i="3"/>
  <c r="S349" i="3" s="1"/>
  <c r="B349" i="3"/>
  <c r="A349" i="3"/>
  <c r="R349" i="3" s="1"/>
  <c r="E348" i="3"/>
  <c r="D348" i="3"/>
  <c r="S348" i="3" s="1"/>
  <c r="B348" i="3"/>
  <c r="A348" i="3"/>
  <c r="R348" i="3" s="1"/>
  <c r="O348" i="3" s="1"/>
  <c r="E347" i="3"/>
  <c r="D347" i="3"/>
  <c r="B347" i="3"/>
  <c r="A347" i="3"/>
  <c r="R347" i="3" s="1"/>
  <c r="O347" i="3" s="1"/>
  <c r="E346" i="3"/>
  <c r="D346" i="3"/>
  <c r="S346" i="3" s="1"/>
  <c r="B346" i="3"/>
  <c r="A346" i="3"/>
  <c r="R346" i="3" s="1"/>
  <c r="E345" i="3"/>
  <c r="D345" i="3"/>
  <c r="S345" i="3" s="1"/>
  <c r="B345" i="3"/>
  <c r="A345" i="3"/>
  <c r="R345" i="3" s="1"/>
  <c r="E344" i="3"/>
  <c r="D344" i="3"/>
  <c r="S344" i="3" s="1"/>
  <c r="B344" i="3"/>
  <c r="A344" i="3"/>
  <c r="R344" i="3" s="1"/>
  <c r="E343" i="3"/>
  <c r="D343" i="3"/>
  <c r="S343" i="3" s="1"/>
  <c r="B343" i="3"/>
  <c r="A343" i="3"/>
  <c r="R343" i="3" s="1"/>
  <c r="O343" i="3" s="1"/>
  <c r="E342" i="3"/>
  <c r="D342" i="3"/>
  <c r="S342" i="3" s="1"/>
  <c r="B342" i="3"/>
  <c r="A342" i="3"/>
  <c r="R342" i="3" s="1"/>
  <c r="O342" i="3" s="1"/>
  <c r="E341" i="3"/>
  <c r="D341" i="3"/>
  <c r="S341" i="3" s="1"/>
  <c r="B341" i="3"/>
  <c r="A341" i="3"/>
  <c r="R341" i="3" s="1"/>
  <c r="E340" i="3"/>
  <c r="D340" i="3"/>
  <c r="S340" i="3" s="1"/>
  <c r="B340" i="3"/>
  <c r="A340" i="3"/>
  <c r="R340" i="3" s="1"/>
  <c r="E339" i="3"/>
  <c r="D339" i="3"/>
  <c r="S339" i="3" s="1"/>
  <c r="B339" i="3"/>
  <c r="A339" i="3"/>
  <c r="R339" i="3" s="1"/>
  <c r="V339" i="3" s="1"/>
  <c r="W339" i="3" s="1"/>
  <c r="E338" i="3"/>
  <c r="D338" i="3"/>
  <c r="S338" i="3" s="1"/>
  <c r="B338" i="3"/>
  <c r="A338" i="3"/>
  <c r="R338" i="3" s="1"/>
  <c r="E337" i="3"/>
  <c r="D337" i="3"/>
  <c r="S337" i="3" s="1"/>
  <c r="B337" i="3"/>
  <c r="A337" i="3"/>
  <c r="R337" i="3" s="1"/>
  <c r="Z337" i="3" s="1"/>
  <c r="E336" i="3"/>
  <c r="D336" i="3"/>
  <c r="S336" i="3" s="1"/>
  <c r="B336" i="3"/>
  <c r="A336" i="3"/>
  <c r="R336" i="3" s="1"/>
  <c r="E335" i="3"/>
  <c r="D335" i="3"/>
  <c r="S335" i="3" s="1"/>
  <c r="B335" i="3"/>
  <c r="A335" i="3"/>
  <c r="R335" i="3" s="1"/>
  <c r="E334" i="3"/>
  <c r="D334" i="3"/>
  <c r="S334" i="3" s="1"/>
  <c r="B334" i="3"/>
  <c r="A334" i="3"/>
  <c r="R334" i="3" s="1"/>
  <c r="T334" i="3" s="1"/>
  <c r="E333" i="3"/>
  <c r="D333" i="3"/>
  <c r="S333" i="3" s="1"/>
  <c r="B333" i="3"/>
  <c r="A333" i="3"/>
  <c r="R333" i="3" s="1"/>
  <c r="E332" i="3"/>
  <c r="D332" i="3"/>
  <c r="S332" i="3" s="1"/>
  <c r="B332" i="3"/>
  <c r="A332" i="3"/>
  <c r="R332" i="3" s="1"/>
  <c r="Z332" i="3" s="1"/>
  <c r="E331" i="3"/>
  <c r="D331" i="3"/>
  <c r="S331" i="3" s="1"/>
  <c r="B331" i="3"/>
  <c r="A331" i="3"/>
  <c r="R331" i="3" s="1"/>
  <c r="E330" i="3"/>
  <c r="D330" i="3"/>
  <c r="S330" i="3" s="1"/>
  <c r="B330" i="3"/>
  <c r="A330" i="3"/>
  <c r="R330" i="3" s="1"/>
  <c r="T330" i="3" s="1"/>
  <c r="E329" i="3"/>
  <c r="D329" i="3"/>
  <c r="S329" i="3" s="1"/>
  <c r="B329" i="3"/>
  <c r="A329" i="3"/>
  <c r="R329" i="3" s="1"/>
  <c r="E328" i="3"/>
  <c r="D328" i="3"/>
  <c r="S328" i="3" s="1"/>
  <c r="B328" i="3"/>
  <c r="A328" i="3"/>
  <c r="R328" i="3" s="1"/>
  <c r="O328" i="3" s="1"/>
  <c r="E327" i="3"/>
  <c r="D327" i="3"/>
  <c r="S327" i="3" s="1"/>
  <c r="B327" i="3"/>
  <c r="A327" i="3"/>
  <c r="R327" i="3" s="1"/>
  <c r="V327" i="3" s="1"/>
  <c r="W327" i="3" s="1"/>
  <c r="E326" i="3"/>
  <c r="D326" i="3"/>
  <c r="B326" i="3"/>
  <c r="A326" i="3"/>
  <c r="R326" i="3" s="1"/>
  <c r="E325" i="3"/>
  <c r="D325" i="3"/>
  <c r="S325" i="3" s="1"/>
  <c r="B325" i="3"/>
  <c r="A325" i="3"/>
  <c r="R325" i="3" s="1"/>
  <c r="E324" i="3"/>
  <c r="D324" i="3"/>
  <c r="S324" i="3" s="1"/>
  <c r="B324" i="3"/>
  <c r="A324" i="3"/>
  <c r="R324" i="3" s="1"/>
  <c r="E323" i="3"/>
  <c r="D323" i="3"/>
  <c r="S323" i="3" s="1"/>
  <c r="B323" i="3"/>
  <c r="A323" i="3"/>
  <c r="R323" i="3" s="1"/>
  <c r="Z323" i="3" s="1"/>
  <c r="E322" i="3"/>
  <c r="D322" i="3"/>
  <c r="B322" i="3"/>
  <c r="A322" i="3"/>
  <c r="R322" i="3" s="1"/>
  <c r="V322" i="3" s="1"/>
  <c r="W322" i="3" s="1"/>
  <c r="E321" i="3"/>
  <c r="D321" i="3"/>
  <c r="S321" i="3" s="1"/>
  <c r="B321" i="3"/>
  <c r="A321" i="3"/>
  <c r="R321" i="3" s="1"/>
  <c r="O321" i="3" s="1"/>
  <c r="E320" i="3"/>
  <c r="D320" i="3"/>
  <c r="S320" i="3" s="1"/>
  <c r="B320" i="3"/>
  <c r="A320" i="3"/>
  <c r="R320" i="3" s="1"/>
  <c r="T320" i="3" s="1"/>
  <c r="E319" i="3"/>
  <c r="D319" i="3"/>
  <c r="B319" i="3"/>
  <c r="A319" i="3"/>
  <c r="R319" i="3" s="1"/>
  <c r="Z319" i="3" s="1"/>
  <c r="E318" i="3"/>
  <c r="D318" i="3"/>
  <c r="S318" i="3" s="1"/>
  <c r="B318" i="3"/>
  <c r="A318" i="3"/>
  <c r="R318" i="3" s="1"/>
  <c r="V318" i="3" s="1"/>
  <c r="W318" i="3" s="1"/>
  <c r="E317" i="3"/>
  <c r="D317" i="3"/>
  <c r="S317" i="3" s="1"/>
  <c r="B317" i="3"/>
  <c r="A317" i="3"/>
  <c r="R317" i="3" s="1"/>
  <c r="E316" i="3"/>
  <c r="D316" i="3"/>
  <c r="S316" i="3" s="1"/>
  <c r="B316" i="3"/>
  <c r="A316" i="3"/>
  <c r="R316" i="3" s="1"/>
  <c r="Z316" i="3" s="1"/>
  <c r="E315" i="3"/>
  <c r="D315" i="3"/>
  <c r="B315" i="3"/>
  <c r="A315" i="3"/>
  <c r="R315" i="3" s="1"/>
  <c r="Z315" i="3" s="1"/>
  <c r="E314" i="3"/>
  <c r="D314" i="3"/>
  <c r="S314" i="3" s="1"/>
  <c r="B314" i="3"/>
  <c r="A314" i="3"/>
  <c r="R314" i="3" s="1"/>
  <c r="E313" i="3"/>
  <c r="D313" i="3"/>
  <c r="S313" i="3" s="1"/>
  <c r="B313" i="3"/>
  <c r="A313" i="3"/>
  <c r="R313" i="3" s="1"/>
  <c r="E312" i="3"/>
  <c r="D312" i="3"/>
  <c r="S312" i="3" s="1"/>
  <c r="B312" i="3"/>
  <c r="A312" i="3"/>
  <c r="R312" i="3" s="1"/>
  <c r="T312" i="3" s="1"/>
  <c r="E311" i="3"/>
  <c r="D311" i="3"/>
  <c r="S311" i="3" s="1"/>
  <c r="B311" i="3"/>
  <c r="A311" i="3"/>
  <c r="R311" i="3" s="1"/>
  <c r="E310" i="3"/>
  <c r="D310" i="3"/>
  <c r="S310" i="3" s="1"/>
  <c r="B310" i="3"/>
  <c r="A310" i="3"/>
  <c r="R310" i="3" s="1"/>
  <c r="E309" i="3"/>
  <c r="D309" i="3"/>
  <c r="S309" i="3" s="1"/>
  <c r="B309" i="3"/>
  <c r="A309" i="3"/>
  <c r="R309" i="3" s="1"/>
  <c r="V309" i="3" s="1"/>
  <c r="W309" i="3" s="1"/>
  <c r="E308" i="3"/>
  <c r="D308" i="3"/>
  <c r="S308" i="3" s="1"/>
  <c r="B308" i="3"/>
  <c r="A308" i="3"/>
  <c r="R308" i="3" s="1"/>
  <c r="E307" i="3"/>
  <c r="D307" i="3"/>
  <c r="S307" i="3" s="1"/>
  <c r="B307" i="3"/>
  <c r="A307" i="3"/>
  <c r="R307" i="3" s="1"/>
  <c r="E306" i="3"/>
  <c r="D306" i="3"/>
  <c r="S306" i="3" s="1"/>
  <c r="B306" i="3"/>
  <c r="A306" i="3"/>
  <c r="R306" i="3" s="1"/>
  <c r="T306" i="3" s="1"/>
  <c r="E305" i="3"/>
  <c r="D305" i="3"/>
  <c r="S305" i="3" s="1"/>
  <c r="B305" i="3"/>
  <c r="A305" i="3"/>
  <c r="R305" i="3" s="1"/>
  <c r="E304" i="3"/>
  <c r="D304" i="3"/>
  <c r="S304" i="3" s="1"/>
  <c r="B304" i="3"/>
  <c r="A304" i="3"/>
  <c r="R304" i="3" s="1"/>
  <c r="E303" i="3"/>
  <c r="D303" i="3"/>
  <c r="S303" i="3" s="1"/>
  <c r="B303" i="3"/>
  <c r="A303" i="3"/>
  <c r="R303" i="3" s="1"/>
  <c r="E302" i="3"/>
  <c r="D302" i="3"/>
  <c r="B302" i="3"/>
  <c r="A302" i="3"/>
  <c r="R302" i="3" s="1"/>
  <c r="O302" i="3" s="1"/>
  <c r="E301" i="3"/>
  <c r="D301" i="3"/>
  <c r="S301" i="3" s="1"/>
  <c r="B301" i="3"/>
  <c r="A301" i="3"/>
  <c r="R301" i="3" s="1"/>
  <c r="T301" i="3" s="1"/>
  <c r="E300" i="3"/>
  <c r="D300" i="3"/>
  <c r="S300" i="3" s="1"/>
  <c r="B300" i="3"/>
  <c r="A300" i="3"/>
  <c r="R300" i="3" s="1"/>
  <c r="E299" i="3"/>
  <c r="D299" i="3"/>
  <c r="S299" i="3" s="1"/>
  <c r="B299" i="3"/>
  <c r="A299" i="3"/>
  <c r="R299" i="3" s="1"/>
  <c r="E298" i="3"/>
  <c r="D298" i="3"/>
  <c r="B298" i="3"/>
  <c r="A298" i="3"/>
  <c r="R298" i="3" s="1"/>
  <c r="O298" i="3" s="1"/>
  <c r="E297" i="3"/>
  <c r="D297" i="3"/>
  <c r="S297" i="3" s="1"/>
  <c r="B297" i="3"/>
  <c r="A297" i="3"/>
  <c r="R297" i="3" s="1"/>
  <c r="V297" i="3" s="1"/>
  <c r="W297" i="3" s="1"/>
  <c r="E296" i="3"/>
  <c r="D296" i="3"/>
  <c r="S296" i="3" s="1"/>
  <c r="B296" i="3"/>
  <c r="A296" i="3"/>
  <c r="R296" i="3" s="1"/>
  <c r="T296" i="3" s="1"/>
  <c r="E295" i="3"/>
  <c r="D295" i="3"/>
  <c r="S295" i="3" s="1"/>
  <c r="B295" i="3"/>
  <c r="A295" i="3"/>
  <c r="R295" i="3" s="1"/>
  <c r="V295" i="3" s="1"/>
  <c r="W295" i="3" s="1"/>
  <c r="E294" i="3"/>
  <c r="D294" i="3"/>
  <c r="S294" i="3" s="1"/>
  <c r="B294" i="3"/>
  <c r="A294" i="3"/>
  <c r="R294" i="3" s="1"/>
  <c r="V294" i="3" s="1"/>
  <c r="W294" i="3" s="1"/>
  <c r="E293" i="3"/>
  <c r="D293" i="3"/>
  <c r="S293" i="3" s="1"/>
  <c r="B293" i="3"/>
  <c r="A293" i="3"/>
  <c r="R293" i="3" s="1"/>
  <c r="O293" i="3" s="1"/>
  <c r="E292" i="3"/>
  <c r="D292" i="3"/>
  <c r="S292" i="3" s="1"/>
  <c r="B292" i="3"/>
  <c r="A292" i="3"/>
  <c r="R292" i="3" s="1"/>
  <c r="E291" i="3"/>
  <c r="D291" i="3"/>
  <c r="S291" i="3" s="1"/>
  <c r="B291" i="3"/>
  <c r="A291" i="3"/>
  <c r="R291" i="3" s="1"/>
  <c r="Z291" i="3" s="1"/>
  <c r="E290" i="3"/>
  <c r="D290" i="3"/>
  <c r="S290" i="3" s="1"/>
  <c r="B290" i="3"/>
  <c r="A290" i="3"/>
  <c r="R290" i="3" s="1"/>
  <c r="O290" i="3" s="1"/>
  <c r="E289" i="3"/>
  <c r="D289" i="3"/>
  <c r="S289" i="3" s="1"/>
  <c r="B289" i="3"/>
  <c r="A289" i="3"/>
  <c r="R289" i="3" s="1"/>
  <c r="E288" i="3"/>
  <c r="D288" i="3"/>
  <c r="S288" i="3" s="1"/>
  <c r="B288" i="3"/>
  <c r="A288" i="3"/>
  <c r="R288" i="3" s="1"/>
  <c r="V288" i="3" s="1"/>
  <c r="W288" i="3" s="1"/>
  <c r="E287" i="3"/>
  <c r="D287" i="3"/>
  <c r="S287" i="3" s="1"/>
  <c r="B287" i="3"/>
  <c r="A287" i="3"/>
  <c r="R287" i="3" s="1"/>
  <c r="E286" i="3"/>
  <c r="D286" i="3"/>
  <c r="S286" i="3" s="1"/>
  <c r="B286" i="3"/>
  <c r="A286" i="3"/>
  <c r="R286" i="3" s="1"/>
  <c r="E285" i="3"/>
  <c r="D285" i="3"/>
  <c r="S285" i="3" s="1"/>
  <c r="B285" i="3"/>
  <c r="A285" i="3"/>
  <c r="R285" i="3" s="1"/>
  <c r="E284" i="3"/>
  <c r="D284" i="3"/>
  <c r="S284" i="3" s="1"/>
  <c r="B284" i="3"/>
  <c r="A284" i="3"/>
  <c r="R284" i="3" s="1"/>
  <c r="V284" i="3" s="1"/>
  <c r="W284" i="3" s="1"/>
  <c r="E283" i="3"/>
  <c r="D283" i="3"/>
  <c r="S283" i="3" s="1"/>
  <c r="B283" i="3"/>
  <c r="A283" i="3"/>
  <c r="R283" i="3" s="1"/>
  <c r="Z283" i="3" s="1"/>
  <c r="E282" i="3"/>
  <c r="D282" i="3"/>
  <c r="S282" i="3" s="1"/>
  <c r="B282" i="3"/>
  <c r="A282" i="3"/>
  <c r="R282" i="3" s="1"/>
  <c r="E281" i="3"/>
  <c r="D281" i="3"/>
  <c r="S281" i="3" s="1"/>
  <c r="B281" i="3"/>
  <c r="A281" i="3"/>
  <c r="R281" i="3" s="1"/>
  <c r="V281" i="3" s="1"/>
  <c r="W281" i="3" s="1"/>
  <c r="E280" i="3"/>
  <c r="D280" i="3"/>
  <c r="S280" i="3" s="1"/>
  <c r="B280" i="3"/>
  <c r="A280" i="3"/>
  <c r="R280" i="3" s="1"/>
  <c r="V280" i="3" s="1"/>
  <c r="W280" i="3" s="1"/>
  <c r="E279" i="3"/>
  <c r="D279" i="3"/>
  <c r="S279" i="3" s="1"/>
  <c r="B279" i="3"/>
  <c r="A279" i="3"/>
  <c r="R279" i="3" s="1"/>
  <c r="Z279" i="3" s="1"/>
  <c r="E278" i="3"/>
  <c r="D278" i="3"/>
  <c r="S278" i="3" s="1"/>
  <c r="B278" i="3"/>
  <c r="A278" i="3"/>
  <c r="R278" i="3" s="1"/>
  <c r="Z278" i="3" s="1"/>
  <c r="E277" i="3"/>
  <c r="D277" i="3"/>
  <c r="S277" i="3" s="1"/>
  <c r="B277" i="3"/>
  <c r="A277" i="3"/>
  <c r="R277" i="3" s="1"/>
  <c r="V277" i="3" s="1"/>
  <c r="W277" i="3" s="1"/>
  <c r="E276" i="3"/>
  <c r="D276" i="3"/>
  <c r="S276" i="3" s="1"/>
  <c r="B276" i="3"/>
  <c r="A276" i="3"/>
  <c r="R276" i="3" s="1"/>
  <c r="Z276" i="3" s="1"/>
  <c r="E275" i="3"/>
  <c r="D275" i="3"/>
  <c r="S275" i="3" s="1"/>
  <c r="B275" i="3"/>
  <c r="A275" i="3"/>
  <c r="R275" i="3" s="1"/>
  <c r="Z275" i="3" s="1"/>
  <c r="E274" i="3"/>
  <c r="D274" i="3"/>
  <c r="S274" i="3" s="1"/>
  <c r="B274" i="3"/>
  <c r="A274" i="3"/>
  <c r="R274" i="3" s="1"/>
  <c r="E273" i="3"/>
  <c r="D273" i="3"/>
  <c r="S273" i="3" s="1"/>
  <c r="B273" i="3"/>
  <c r="A273" i="3"/>
  <c r="R273" i="3" s="1"/>
  <c r="E272" i="3"/>
  <c r="D272" i="3"/>
  <c r="S272" i="3" s="1"/>
  <c r="B272" i="3"/>
  <c r="A272" i="3"/>
  <c r="R272" i="3" s="1"/>
  <c r="E271" i="3"/>
  <c r="D271" i="3"/>
  <c r="B271" i="3"/>
  <c r="A271" i="3"/>
  <c r="R271" i="3" s="1"/>
  <c r="E270" i="3"/>
  <c r="D270" i="3"/>
  <c r="S270" i="3" s="1"/>
  <c r="B270" i="3"/>
  <c r="A270" i="3"/>
  <c r="R270" i="3" s="1"/>
  <c r="E269" i="3"/>
  <c r="D269" i="3"/>
  <c r="S269" i="3" s="1"/>
  <c r="B269" i="3"/>
  <c r="A269" i="3"/>
  <c r="R269" i="3" s="1"/>
  <c r="O269" i="3" s="1"/>
  <c r="E268" i="3"/>
  <c r="D268" i="3"/>
  <c r="S268" i="3" s="1"/>
  <c r="B268" i="3"/>
  <c r="A268" i="3"/>
  <c r="R268" i="3" s="1"/>
  <c r="E267" i="3"/>
  <c r="D267" i="3"/>
  <c r="S267" i="3" s="1"/>
  <c r="B267" i="3"/>
  <c r="A267" i="3"/>
  <c r="R267" i="3" s="1"/>
  <c r="E266" i="3"/>
  <c r="D266" i="3"/>
  <c r="S266" i="3" s="1"/>
  <c r="B266" i="3"/>
  <c r="A266" i="3"/>
  <c r="R266" i="3" s="1"/>
  <c r="E265" i="3"/>
  <c r="D265" i="3"/>
  <c r="S265" i="3" s="1"/>
  <c r="B265" i="3"/>
  <c r="A265" i="3"/>
  <c r="R265" i="3" s="1"/>
  <c r="V265" i="3" s="1"/>
  <c r="W265" i="3" s="1"/>
  <c r="E264" i="3"/>
  <c r="D264" i="3"/>
  <c r="S264" i="3" s="1"/>
  <c r="B264" i="3"/>
  <c r="A264" i="3"/>
  <c r="R264" i="3" s="1"/>
  <c r="O264" i="3" s="1"/>
  <c r="E263" i="3"/>
  <c r="D263" i="3"/>
  <c r="S263" i="3" s="1"/>
  <c r="B263" i="3"/>
  <c r="A263" i="3"/>
  <c r="R263" i="3" s="1"/>
  <c r="T263" i="3" s="1"/>
  <c r="E262" i="3"/>
  <c r="D262" i="3"/>
  <c r="S262" i="3" s="1"/>
  <c r="B262" i="3"/>
  <c r="A262" i="3"/>
  <c r="R262" i="3" s="1"/>
  <c r="V262" i="3" s="1"/>
  <c r="W262" i="3" s="1"/>
  <c r="E261" i="3"/>
  <c r="D261" i="3"/>
  <c r="S261" i="3" s="1"/>
  <c r="B261" i="3"/>
  <c r="A261" i="3"/>
  <c r="R261" i="3" s="1"/>
  <c r="E260" i="3"/>
  <c r="D260" i="3"/>
  <c r="S260" i="3" s="1"/>
  <c r="B260" i="3"/>
  <c r="A260" i="3"/>
  <c r="R260" i="3" s="1"/>
  <c r="O260" i="3" s="1"/>
  <c r="E259" i="3"/>
  <c r="D259" i="3"/>
  <c r="S259" i="3" s="1"/>
  <c r="B259" i="3"/>
  <c r="A259" i="3"/>
  <c r="R259" i="3" s="1"/>
  <c r="T259" i="3" s="1"/>
  <c r="E258" i="3"/>
  <c r="D258" i="3"/>
  <c r="S258" i="3" s="1"/>
  <c r="B258" i="3"/>
  <c r="A258" i="3"/>
  <c r="R258" i="3" s="1"/>
  <c r="V258" i="3" s="1"/>
  <c r="W258" i="3" s="1"/>
  <c r="E257" i="3"/>
  <c r="D257" i="3"/>
  <c r="S257" i="3" s="1"/>
  <c r="B257" i="3"/>
  <c r="A257" i="3"/>
  <c r="R257" i="3" s="1"/>
  <c r="V257" i="3" s="1"/>
  <c r="W257" i="3" s="1"/>
  <c r="E256" i="3"/>
  <c r="D256" i="3"/>
  <c r="S256" i="3" s="1"/>
  <c r="B256" i="3"/>
  <c r="A256" i="3"/>
  <c r="R256" i="3" s="1"/>
  <c r="V256" i="3" s="1"/>
  <c r="W256" i="3" s="1"/>
  <c r="E255" i="3"/>
  <c r="D255" i="3"/>
  <c r="S255" i="3" s="1"/>
  <c r="B255" i="3"/>
  <c r="A255" i="3"/>
  <c r="R255" i="3" s="1"/>
  <c r="T255" i="3" s="1"/>
  <c r="E254" i="3"/>
  <c r="D254" i="3"/>
  <c r="S254" i="3" s="1"/>
  <c r="B254" i="3"/>
  <c r="A254" i="3"/>
  <c r="R254" i="3" s="1"/>
  <c r="V254" i="3" s="1"/>
  <c r="W254" i="3" s="1"/>
  <c r="E253" i="3"/>
  <c r="D253" i="3"/>
  <c r="S253" i="3" s="1"/>
  <c r="B253" i="3"/>
  <c r="A253" i="3"/>
  <c r="R253" i="3" s="1"/>
  <c r="T253" i="3" s="1"/>
  <c r="E252" i="3"/>
  <c r="D252" i="3"/>
  <c r="S252" i="3" s="1"/>
  <c r="B252" i="3"/>
  <c r="A252" i="3"/>
  <c r="R252" i="3" s="1"/>
  <c r="E251" i="3"/>
  <c r="D251" i="3"/>
  <c r="S251" i="3" s="1"/>
  <c r="B251" i="3"/>
  <c r="A251" i="3"/>
  <c r="R251" i="3" s="1"/>
  <c r="E250" i="3"/>
  <c r="D250" i="3"/>
  <c r="S250" i="3" s="1"/>
  <c r="B250" i="3"/>
  <c r="A250" i="3"/>
  <c r="R250" i="3" s="1"/>
  <c r="E249" i="3"/>
  <c r="D249" i="3"/>
  <c r="S249" i="3" s="1"/>
  <c r="B249" i="3"/>
  <c r="A249" i="3"/>
  <c r="R249" i="3" s="1"/>
  <c r="T249" i="3" s="1"/>
  <c r="E248" i="3"/>
  <c r="D248" i="3"/>
  <c r="S248" i="3" s="1"/>
  <c r="B248" i="3"/>
  <c r="A248" i="3"/>
  <c r="R248" i="3" s="1"/>
  <c r="E247" i="3"/>
  <c r="D247" i="3"/>
  <c r="S247" i="3" s="1"/>
  <c r="B247" i="3"/>
  <c r="A247" i="3"/>
  <c r="R247" i="3" s="1"/>
  <c r="E246" i="3"/>
  <c r="D246" i="3"/>
  <c r="S246" i="3" s="1"/>
  <c r="B246" i="3"/>
  <c r="A246" i="3"/>
  <c r="R246" i="3" s="1"/>
  <c r="Z246" i="3" s="1"/>
  <c r="E245" i="3"/>
  <c r="D245" i="3"/>
  <c r="S245" i="3" s="1"/>
  <c r="B245" i="3"/>
  <c r="A245" i="3"/>
  <c r="R245" i="3" s="1"/>
  <c r="O245" i="3" s="1"/>
  <c r="E244" i="3"/>
  <c r="D244" i="3"/>
  <c r="S244" i="3" s="1"/>
  <c r="B244" i="3"/>
  <c r="A244" i="3"/>
  <c r="R244" i="3" s="1"/>
  <c r="E243" i="3"/>
  <c r="D243" i="3"/>
  <c r="S243" i="3" s="1"/>
  <c r="B243" i="3"/>
  <c r="A243" i="3"/>
  <c r="R243" i="3" s="1"/>
  <c r="E242" i="3"/>
  <c r="D242" i="3"/>
  <c r="S242" i="3" s="1"/>
  <c r="B242" i="3"/>
  <c r="A242" i="3"/>
  <c r="R242" i="3" s="1"/>
  <c r="Z242" i="3" s="1"/>
  <c r="E241" i="3"/>
  <c r="D241" i="3"/>
  <c r="S241" i="3" s="1"/>
  <c r="B241" i="3"/>
  <c r="A241" i="3"/>
  <c r="R241" i="3" s="1"/>
  <c r="E240" i="3"/>
  <c r="D240" i="3"/>
  <c r="S240" i="3" s="1"/>
  <c r="B240" i="3"/>
  <c r="A240" i="3"/>
  <c r="R240" i="3" s="1"/>
  <c r="T240" i="3" s="1"/>
  <c r="E239" i="3"/>
  <c r="D239" i="3"/>
  <c r="S239" i="3" s="1"/>
  <c r="B239" i="3"/>
  <c r="A239" i="3"/>
  <c r="R239" i="3" s="1"/>
  <c r="Z239" i="3" s="1"/>
  <c r="E238" i="3"/>
  <c r="D238" i="3"/>
  <c r="S238" i="3" s="1"/>
  <c r="B238" i="3"/>
  <c r="A238" i="3"/>
  <c r="R238" i="3" s="1"/>
  <c r="Z238" i="3" s="1"/>
  <c r="E237" i="3"/>
  <c r="D237" i="3"/>
  <c r="S237" i="3" s="1"/>
  <c r="B237" i="3"/>
  <c r="A237" i="3"/>
  <c r="R237" i="3" s="1"/>
  <c r="V237" i="3" s="1"/>
  <c r="W237" i="3" s="1"/>
  <c r="E236" i="3"/>
  <c r="D236" i="3"/>
  <c r="S236" i="3" s="1"/>
  <c r="B236" i="3"/>
  <c r="A236" i="3"/>
  <c r="R236" i="3" s="1"/>
  <c r="E235" i="3"/>
  <c r="D235" i="3"/>
  <c r="B235" i="3"/>
  <c r="A235" i="3"/>
  <c r="R235" i="3" s="1"/>
  <c r="E234" i="3"/>
  <c r="D234" i="3"/>
  <c r="S234" i="3" s="1"/>
  <c r="B234" i="3"/>
  <c r="A234" i="3"/>
  <c r="R234" i="3" s="1"/>
  <c r="E233" i="3"/>
  <c r="D233" i="3"/>
  <c r="S233" i="3" s="1"/>
  <c r="B233" i="3"/>
  <c r="A233" i="3"/>
  <c r="R233" i="3" s="1"/>
  <c r="E232" i="3"/>
  <c r="D232" i="3"/>
  <c r="S232" i="3" s="1"/>
  <c r="B232" i="3"/>
  <c r="A232" i="3"/>
  <c r="R232" i="3" s="1"/>
  <c r="Z232" i="3" s="1"/>
  <c r="E231" i="3"/>
  <c r="D231" i="3"/>
  <c r="S231" i="3" s="1"/>
  <c r="B231" i="3"/>
  <c r="A231" i="3"/>
  <c r="R231" i="3" s="1"/>
  <c r="E230" i="3"/>
  <c r="D230" i="3"/>
  <c r="S230" i="3" s="1"/>
  <c r="B230" i="3"/>
  <c r="A230" i="3"/>
  <c r="R230" i="3" s="1"/>
  <c r="E229" i="3"/>
  <c r="D229" i="3"/>
  <c r="S229" i="3" s="1"/>
  <c r="B229" i="3"/>
  <c r="A229" i="3"/>
  <c r="R229" i="3" s="1"/>
  <c r="E228" i="3"/>
  <c r="D228" i="3"/>
  <c r="S228" i="3" s="1"/>
  <c r="B228" i="3"/>
  <c r="A228" i="3"/>
  <c r="R228" i="3" s="1"/>
  <c r="Z228" i="3" s="1"/>
  <c r="E227" i="3"/>
  <c r="D227" i="3"/>
  <c r="S227" i="3" s="1"/>
  <c r="B227" i="3"/>
  <c r="A227" i="3"/>
  <c r="R227" i="3" s="1"/>
  <c r="E226" i="3"/>
  <c r="D226" i="3"/>
  <c r="S226" i="3" s="1"/>
  <c r="B226" i="3"/>
  <c r="A226" i="3"/>
  <c r="R226" i="3" s="1"/>
  <c r="E225" i="3"/>
  <c r="D225" i="3"/>
  <c r="S225" i="3" s="1"/>
  <c r="B225" i="3"/>
  <c r="A225" i="3"/>
  <c r="R225" i="3" s="1"/>
  <c r="E224" i="3"/>
  <c r="D224" i="3"/>
  <c r="S224" i="3" s="1"/>
  <c r="B224" i="3"/>
  <c r="A224" i="3"/>
  <c r="R224" i="3" s="1"/>
  <c r="Z224" i="3" s="1"/>
  <c r="E223" i="3"/>
  <c r="D223" i="3"/>
  <c r="S223" i="3" s="1"/>
  <c r="B223" i="3"/>
  <c r="A223" i="3"/>
  <c r="R223" i="3" s="1"/>
  <c r="E222" i="3"/>
  <c r="D222" i="3"/>
  <c r="S222" i="3" s="1"/>
  <c r="B222" i="3"/>
  <c r="A222" i="3"/>
  <c r="R222" i="3" s="1"/>
  <c r="E221" i="3"/>
  <c r="D221" i="3"/>
  <c r="S221" i="3" s="1"/>
  <c r="B221" i="3"/>
  <c r="A221" i="3"/>
  <c r="R221" i="3" s="1"/>
  <c r="E220" i="3"/>
  <c r="D220" i="3"/>
  <c r="S220" i="3" s="1"/>
  <c r="B220" i="3"/>
  <c r="A220" i="3"/>
  <c r="R220" i="3" s="1"/>
  <c r="E219" i="3"/>
  <c r="D219" i="3"/>
  <c r="S219" i="3" s="1"/>
  <c r="B219" i="3"/>
  <c r="A219" i="3"/>
  <c r="R219" i="3" s="1"/>
  <c r="E218" i="3"/>
  <c r="D218" i="3"/>
  <c r="S218" i="3" s="1"/>
  <c r="B218" i="3"/>
  <c r="A218" i="3"/>
  <c r="R218" i="3" s="1"/>
  <c r="O218" i="3" s="1"/>
  <c r="E217" i="3"/>
  <c r="D217" i="3"/>
  <c r="S217" i="3" s="1"/>
  <c r="B217" i="3"/>
  <c r="A217" i="3"/>
  <c r="R217" i="3" s="1"/>
  <c r="T217" i="3" s="1"/>
  <c r="E216" i="3"/>
  <c r="D216" i="3"/>
  <c r="S216" i="3" s="1"/>
  <c r="B216" i="3"/>
  <c r="A216" i="3"/>
  <c r="R216" i="3" s="1"/>
  <c r="E215" i="3"/>
  <c r="D215" i="3"/>
  <c r="S215" i="3" s="1"/>
  <c r="B215" i="3"/>
  <c r="A215" i="3"/>
  <c r="R215" i="3" s="1"/>
  <c r="E214" i="3"/>
  <c r="D214" i="3"/>
  <c r="S214" i="3" s="1"/>
  <c r="B214" i="3"/>
  <c r="A214" i="3"/>
  <c r="R214" i="3" s="1"/>
  <c r="O214" i="3" s="1"/>
  <c r="E213" i="3"/>
  <c r="D213" i="3"/>
  <c r="S213" i="3" s="1"/>
  <c r="B213" i="3"/>
  <c r="A213" i="3"/>
  <c r="R213" i="3" s="1"/>
  <c r="T213" i="3" s="1"/>
  <c r="E212" i="3"/>
  <c r="D212" i="3"/>
  <c r="S212" i="3" s="1"/>
  <c r="B212" i="3"/>
  <c r="A212" i="3"/>
  <c r="R212" i="3" s="1"/>
  <c r="E211" i="3"/>
  <c r="D211" i="3"/>
  <c r="S211" i="3" s="1"/>
  <c r="B211" i="3"/>
  <c r="A211" i="3"/>
  <c r="R211" i="3" s="1"/>
  <c r="E210" i="3"/>
  <c r="D210" i="3"/>
  <c r="S210" i="3" s="1"/>
  <c r="B210" i="3"/>
  <c r="A210" i="3"/>
  <c r="R210" i="3" s="1"/>
  <c r="O210" i="3" s="1"/>
  <c r="E209" i="3"/>
  <c r="D209" i="3"/>
  <c r="S209" i="3" s="1"/>
  <c r="B209" i="3"/>
  <c r="A209" i="3"/>
  <c r="R209" i="3" s="1"/>
  <c r="E208" i="3"/>
  <c r="D208" i="3"/>
  <c r="S208" i="3" s="1"/>
  <c r="B208" i="3"/>
  <c r="A208" i="3"/>
  <c r="R208" i="3" s="1"/>
  <c r="O208" i="3" s="1"/>
  <c r="E207" i="3"/>
  <c r="D207" i="3"/>
  <c r="S207" i="3" s="1"/>
  <c r="B207" i="3"/>
  <c r="A207" i="3"/>
  <c r="R207" i="3" s="1"/>
  <c r="E206" i="3"/>
  <c r="D206" i="3"/>
  <c r="S206" i="3" s="1"/>
  <c r="B206" i="3"/>
  <c r="A206" i="3"/>
  <c r="R206" i="3" s="1"/>
  <c r="Z206" i="3" s="1"/>
  <c r="E205" i="3"/>
  <c r="D205" i="3"/>
  <c r="S205" i="3" s="1"/>
  <c r="B205" i="3"/>
  <c r="A205" i="3"/>
  <c r="R205" i="3" s="1"/>
  <c r="T205" i="3" s="1"/>
  <c r="E204" i="3"/>
  <c r="D204" i="3"/>
  <c r="S204" i="3" s="1"/>
  <c r="B204" i="3"/>
  <c r="A204" i="3"/>
  <c r="R204" i="3" s="1"/>
  <c r="O204" i="3" s="1"/>
  <c r="E203" i="3"/>
  <c r="D203" i="3"/>
  <c r="S203" i="3" s="1"/>
  <c r="B203" i="3"/>
  <c r="A203" i="3"/>
  <c r="R203" i="3" s="1"/>
  <c r="E202" i="3"/>
  <c r="D202" i="3"/>
  <c r="S202" i="3" s="1"/>
  <c r="B202" i="3"/>
  <c r="A202" i="3"/>
  <c r="R202" i="3" s="1"/>
  <c r="E201" i="3"/>
  <c r="D201" i="3"/>
  <c r="S201" i="3" s="1"/>
  <c r="B201" i="3"/>
  <c r="A201" i="3"/>
  <c r="R201" i="3" s="1"/>
  <c r="O201" i="3" s="1"/>
  <c r="E200" i="3"/>
  <c r="D200" i="3"/>
  <c r="S200" i="3" s="1"/>
  <c r="B200" i="3"/>
  <c r="A200" i="3"/>
  <c r="R200" i="3" s="1"/>
  <c r="V200" i="3" s="1"/>
  <c r="W200" i="3" s="1"/>
  <c r="E199" i="3"/>
  <c r="D199" i="3"/>
  <c r="S199" i="3" s="1"/>
  <c r="B199" i="3"/>
  <c r="A199" i="3"/>
  <c r="R199" i="3" s="1"/>
  <c r="E198" i="3"/>
  <c r="D198" i="3"/>
  <c r="S198" i="3" s="1"/>
  <c r="B198" i="3"/>
  <c r="A198" i="3"/>
  <c r="R198" i="3" s="1"/>
  <c r="V198" i="3" s="1"/>
  <c r="W198" i="3" s="1"/>
  <c r="E197" i="3"/>
  <c r="D197" i="3"/>
  <c r="S197" i="3" s="1"/>
  <c r="B197" i="3"/>
  <c r="A197" i="3"/>
  <c r="R197" i="3" s="1"/>
  <c r="E196" i="3"/>
  <c r="D196" i="3"/>
  <c r="S196" i="3" s="1"/>
  <c r="B196" i="3"/>
  <c r="A196" i="3"/>
  <c r="R196" i="3" s="1"/>
  <c r="E195" i="3"/>
  <c r="D195" i="3"/>
  <c r="B195" i="3"/>
  <c r="A195" i="3"/>
  <c r="R195" i="3" s="1"/>
  <c r="T195" i="3" s="1"/>
  <c r="E194" i="3"/>
  <c r="D194" i="3"/>
  <c r="S194" i="3" s="1"/>
  <c r="B194" i="3"/>
  <c r="A194" i="3"/>
  <c r="R194" i="3" s="1"/>
  <c r="E193" i="3"/>
  <c r="D193" i="3"/>
  <c r="S193" i="3" s="1"/>
  <c r="B193" i="3"/>
  <c r="A193" i="3"/>
  <c r="R193" i="3" s="1"/>
  <c r="E192" i="3"/>
  <c r="D192" i="3"/>
  <c r="S192" i="3" s="1"/>
  <c r="B192" i="3"/>
  <c r="A192" i="3"/>
  <c r="R192" i="3" s="1"/>
  <c r="V192" i="3" s="1"/>
  <c r="W192" i="3" s="1"/>
  <c r="E191" i="3"/>
  <c r="D191" i="3"/>
  <c r="S191" i="3" s="1"/>
  <c r="B191" i="3"/>
  <c r="A191" i="3"/>
  <c r="R191" i="3" s="1"/>
  <c r="Z191" i="3" s="1"/>
  <c r="E190" i="3"/>
  <c r="D190" i="3"/>
  <c r="S190" i="3" s="1"/>
  <c r="B190" i="3"/>
  <c r="A190" i="3"/>
  <c r="R190" i="3" s="1"/>
  <c r="E189" i="3"/>
  <c r="D189" i="3"/>
  <c r="S189" i="3" s="1"/>
  <c r="B189" i="3"/>
  <c r="A189" i="3"/>
  <c r="R189" i="3" s="1"/>
  <c r="E188" i="3"/>
  <c r="D188" i="3"/>
  <c r="S188" i="3" s="1"/>
  <c r="B188" i="3"/>
  <c r="A188" i="3"/>
  <c r="R188" i="3" s="1"/>
  <c r="E187" i="3"/>
  <c r="D187" i="3"/>
  <c r="S187" i="3" s="1"/>
  <c r="B187" i="3"/>
  <c r="A187" i="3"/>
  <c r="R187" i="3" s="1"/>
  <c r="E186" i="3"/>
  <c r="D186" i="3"/>
  <c r="S186" i="3" s="1"/>
  <c r="B186" i="3"/>
  <c r="A186" i="3"/>
  <c r="R186" i="3" s="1"/>
  <c r="E185" i="3"/>
  <c r="D185" i="3"/>
  <c r="S185" i="3" s="1"/>
  <c r="B185" i="3"/>
  <c r="A185" i="3"/>
  <c r="R185" i="3" s="1"/>
  <c r="V185" i="3" s="1"/>
  <c r="W185" i="3" s="1"/>
  <c r="E184" i="3"/>
  <c r="D184" i="3"/>
  <c r="S184" i="3" s="1"/>
  <c r="B184" i="3"/>
  <c r="A184" i="3"/>
  <c r="R184" i="3" s="1"/>
  <c r="E183" i="3"/>
  <c r="D183" i="3"/>
  <c r="S183" i="3" s="1"/>
  <c r="B183" i="3"/>
  <c r="A183" i="3"/>
  <c r="R183" i="3" s="1"/>
  <c r="Z183" i="3" s="1"/>
  <c r="E182" i="3"/>
  <c r="D182" i="3"/>
  <c r="S182" i="3" s="1"/>
  <c r="B182" i="3"/>
  <c r="A182" i="3"/>
  <c r="R182" i="3" s="1"/>
  <c r="O182" i="3" s="1"/>
  <c r="E181" i="3"/>
  <c r="D181" i="3"/>
  <c r="S181" i="3" s="1"/>
  <c r="B181" i="3"/>
  <c r="A181" i="3"/>
  <c r="R181" i="3" s="1"/>
  <c r="E180" i="3"/>
  <c r="D180" i="3"/>
  <c r="S180" i="3" s="1"/>
  <c r="B180" i="3"/>
  <c r="A180" i="3"/>
  <c r="R180" i="3" s="1"/>
  <c r="V180" i="3" s="1"/>
  <c r="W180" i="3" s="1"/>
  <c r="E179" i="3"/>
  <c r="D179" i="3"/>
  <c r="S179" i="3" s="1"/>
  <c r="B179" i="3"/>
  <c r="A179" i="3"/>
  <c r="R179" i="3" s="1"/>
  <c r="Z179" i="3" s="1"/>
  <c r="E178" i="3"/>
  <c r="D178" i="3"/>
  <c r="S178" i="3" s="1"/>
  <c r="B178" i="3"/>
  <c r="A178" i="3"/>
  <c r="R178" i="3" s="1"/>
  <c r="Z178" i="3" s="1"/>
  <c r="E177" i="3"/>
  <c r="D177" i="3"/>
  <c r="S177" i="3" s="1"/>
  <c r="B177" i="3"/>
  <c r="A177" i="3"/>
  <c r="R177" i="3" s="1"/>
  <c r="E176" i="3"/>
  <c r="D176" i="3"/>
  <c r="S176" i="3" s="1"/>
  <c r="B176" i="3"/>
  <c r="A176" i="3"/>
  <c r="R176" i="3" s="1"/>
  <c r="E175" i="3"/>
  <c r="D175" i="3"/>
  <c r="S175" i="3" s="1"/>
  <c r="B175" i="3"/>
  <c r="A175" i="3"/>
  <c r="R175" i="3" s="1"/>
  <c r="E174" i="3"/>
  <c r="D174" i="3"/>
  <c r="S174" i="3" s="1"/>
  <c r="B174" i="3"/>
  <c r="A174" i="3"/>
  <c r="R174" i="3" s="1"/>
  <c r="O174" i="3" s="1"/>
  <c r="E173" i="3"/>
  <c r="D173" i="3"/>
  <c r="S173" i="3" s="1"/>
  <c r="B173" i="3"/>
  <c r="A173" i="3"/>
  <c r="R173" i="3" s="1"/>
  <c r="E172" i="3"/>
  <c r="D172" i="3"/>
  <c r="S172" i="3" s="1"/>
  <c r="B172" i="3"/>
  <c r="A172" i="3"/>
  <c r="R172" i="3" s="1"/>
  <c r="E171" i="3"/>
  <c r="D171" i="3"/>
  <c r="S171" i="3" s="1"/>
  <c r="B171" i="3"/>
  <c r="A171" i="3"/>
  <c r="R171" i="3" s="1"/>
  <c r="E170" i="3"/>
  <c r="D170" i="3"/>
  <c r="S170" i="3" s="1"/>
  <c r="B170" i="3"/>
  <c r="A170" i="3"/>
  <c r="R170" i="3" s="1"/>
  <c r="E169" i="3"/>
  <c r="D169" i="3"/>
  <c r="S169" i="3" s="1"/>
  <c r="B169" i="3"/>
  <c r="A169" i="3"/>
  <c r="R169" i="3" s="1"/>
  <c r="O169" i="3" s="1"/>
  <c r="E168" i="3"/>
  <c r="D168" i="3"/>
  <c r="S168" i="3" s="1"/>
  <c r="B168" i="3"/>
  <c r="A168" i="3"/>
  <c r="R168" i="3" s="1"/>
  <c r="E167" i="3"/>
  <c r="D167" i="3"/>
  <c r="S167" i="3" s="1"/>
  <c r="B167" i="3"/>
  <c r="A167" i="3"/>
  <c r="R167" i="3" s="1"/>
  <c r="E166" i="3"/>
  <c r="D166" i="3"/>
  <c r="S166" i="3" s="1"/>
  <c r="B166" i="3"/>
  <c r="A166" i="3"/>
  <c r="R166" i="3" s="1"/>
  <c r="V166" i="3" s="1"/>
  <c r="W166" i="3" s="1"/>
  <c r="E165" i="3"/>
  <c r="D165" i="3"/>
  <c r="S165" i="3" s="1"/>
  <c r="B165" i="3"/>
  <c r="A165" i="3"/>
  <c r="R165" i="3" s="1"/>
  <c r="E164" i="3"/>
  <c r="D164" i="3"/>
  <c r="S164" i="3" s="1"/>
  <c r="B164" i="3"/>
  <c r="A164" i="3"/>
  <c r="R164" i="3" s="1"/>
  <c r="Z164" i="3" s="1"/>
  <c r="E163" i="3"/>
  <c r="D163" i="3"/>
  <c r="S163" i="3" s="1"/>
  <c r="B163" i="3"/>
  <c r="A163" i="3"/>
  <c r="R163" i="3" s="1"/>
  <c r="T163" i="3" s="1"/>
  <c r="E162" i="3"/>
  <c r="D162" i="3"/>
  <c r="S162" i="3" s="1"/>
  <c r="B162" i="3"/>
  <c r="A162" i="3"/>
  <c r="R162" i="3" s="1"/>
  <c r="E161" i="3"/>
  <c r="D161" i="3"/>
  <c r="S161" i="3" s="1"/>
  <c r="B161" i="3"/>
  <c r="A161" i="3"/>
  <c r="R161" i="3" s="1"/>
  <c r="E160" i="3"/>
  <c r="D160" i="3"/>
  <c r="S160" i="3" s="1"/>
  <c r="B160" i="3"/>
  <c r="A160" i="3"/>
  <c r="R160" i="3" s="1"/>
  <c r="E159" i="3"/>
  <c r="D159" i="3"/>
  <c r="S159" i="3" s="1"/>
  <c r="B159" i="3"/>
  <c r="A159" i="3"/>
  <c r="R159" i="3" s="1"/>
  <c r="T159" i="3" s="1"/>
  <c r="E158" i="3"/>
  <c r="D158" i="3"/>
  <c r="S158" i="3" s="1"/>
  <c r="B158" i="3"/>
  <c r="A158" i="3"/>
  <c r="R158" i="3" s="1"/>
  <c r="E157" i="3"/>
  <c r="D157" i="3"/>
  <c r="S157" i="3" s="1"/>
  <c r="B157" i="3"/>
  <c r="A157" i="3"/>
  <c r="R157" i="3" s="1"/>
  <c r="E156" i="3"/>
  <c r="D156" i="3"/>
  <c r="S156" i="3" s="1"/>
  <c r="B156" i="3"/>
  <c r="A156" i="3"/>
  <c r="R156" i="3" s="1"/>
  <c r="V156" i="3" s="1"/>
  <c r="W156" i="3" s="1"/>
  <c r="E155" i="3"/>
  <c r="D155" i="3"/>
  <c r="S155" i="3" s="1"/>
  <c r="B155" i="3"/>
  <c r="A155" i="3"/>
  <c r="R155" i="3" s="1"/>
  <c r="E154" i="3"/>
  <c r="D154" i="3"/>
  <c r="S154" i="3" s="1"/>
  <c r="B154" i="3"/>
  <c r="A154" i="3"/>
  <c r="R154" i="3" s="1"/>
  <c r="E153" i="3"/>
  <c r="D153" i="3"/>
  <c r="S153" i="3" s="1"/>
  <c r="B153" i="3"/>
  <c r="A153" i="3"/>
  <c r="R153" i="3" s="1"/>
  <c r="E152" i="3"/>
  <c r="D152" i="3"/>
  <c r="S152" i="3" s="1"/>
  <c r="B152" i="3"/>
  <c r="A152" i="3"/>
  <c r="R152" i="3" s="1"/>
  <c r="E151" i="3"/>
  <c r="D151" i="3"/>
  <c r="S151" i="3" s="1"/>
  <c r="B151" i="3"/>
  <c r="A151" i="3"/>
  <c r="R151" i="3" s="1"/>
  <c r="E150" i="3"/>
  <c r="D150" i="3"/>
  <c r="S150" i="3" s="1"/>
  <c r="B150" i="3"/>
  <c r="A150" i="3"/>
  <c r="R150" i="3" s="1"/>
  <c r="E149" i="3"/>
  <c r="D149" i="3"/>
  <c r="S149" i="3" s="1"/>
  <c r="B149" i="3"/>
  <c r="A149" i="3"/>
  <c r="R149" i="3" s="1"/>
  <c r="E148" i="3"/>
  <c r="D148" i="3"/>
  <c r="S148" i="3" s="1"/>
  <c r="B148" i="3"/>
  <c r="A148" i="3"/>
  <c r="R148" i="3" s="1"/>
  <c r="E147" i="3"/>
  <c r="D147" i="3"/>
  <c r="S147" i="3" s="1"/>
  <c r="B147" i="3"/>
  <c r="A147" i="3"/>
  <c r="R147" i="3" s="1"/>
  <c r="T147" i="3" s="1"/>
  <c r="E146" i="3"/>
  <c r="D146" i="3"/>
  <c r="S146" i="3" s="1"/>
  <c r="B146" i="3"/>
  <c r="A146" i="3"/>
  <c r="R146" i="3" s="1"/>
  <c r="Z146" i="3" s="1"/>
  <c r="E145" i="3"/>
  <c r="D145" i="3"/>
  <c r="S145" i="3" s="1"/>
  <c r="B145" i="3"/>
  <c r="A145" i="3"/>
  <c r="R145" i="3" s="1"/>
  <c r="V145" i="3" s="1"/>
  <c r="W145" i="3" s="1"/>
  <c r="E144" i="3"/>
  <c r="D144" i="3"/>
  <c r="S144" i="3" s="1"/>
  <c r="B144" i="3"/>
  <c r="A144" i="3"/>
  <c r="R144" i="3" s="1"/>
  <c r="E143" i="3"/>
  <c r="D143" i="3"/>
  <c r="S143" i="3" s="1"/>
  <c r="B143" i="3"/>
  <c r="A143" i="3"/>
  <c r="R143" i="3" s="1"/>
  <c r="E142" i="3"/>
  <c r="D142" i="3"/>
  <c r="S142" i="3" s="1"/>
  <c r="B142" i="3"/>
  <c r="A142" i="3"/>
  <c r="R142" i="3" s="1"/>
  <c r="E141" i="3"/>
  <c r="D141" i="3"/>
  <c r="S141" i="3" s="1"/>
  <c r="B141" i="3"/>
  <c r="A141" i="3"/>
  <c r="R141" i="3" s="1"/>
  <c r="T141" i="3" s="1"/>
  <c r="E140" i="3"/>
  <c r="D140" i="3"/>
  <c r="S140" i="3" s="1"/>
  <c r="B140" i="3"/>
  <c r="A140" i="3"/>
  <c r="R140" i="3" s="1"/>
  <c r="O140" i="3" s="1"/>
  <c r="E139" i="3"/>
  <c r="D139" i="3"/>
  <c r="S139" i="3" s="1"/>
  <c r="B139" i="3"/>
  <c r="A139" i="3"/>
  <c r="R139" i="3" s="1"/>
  <c r="E138" i="3"/>
  <c r="D138" i="3"/>
  <c r="S138" i="3" s="1"/>
  <c r="B138" i="3"/>
  <c r="A138" i="3"/>
  <c r="R138" i="3" s="1"/>
  <c r="Z138" i="3" s="1"/>
  <c r="E137" i="3"/>
  <c r="D137" i="3"/>
  <c r="S137" i="3" s="1"/>
  <c r="B137" i="3"/>
  <c r="A137" i="3"/>
  <c r="R137" i="3" s="1"/>
  <c r="E136" i="3"/>
  <c r="D136" i="3"/>
  <c r="S136" i="3" s="1"/>
  <c r="B136" i="3"/>
  <c r="A136" i="3"/>
  <c r="R136" i="3" s="1"/>
  <c r="E135" i="3"/>
  <c r="D135" i="3"/>
  <c r="S135" i="3" s="1"/>
  <c r="B135" i="3"/>
  <c r="A135" i="3"/>
  <c r="R135" i="3" s="1"/>
  <c r="T135" i="3" s="1"/>
  <c r="E134" i="3"/>
  <c r="D134" i="3"/>
  <c r="S134" i="3" s="1"/>
  <c r="B134" i="3"/>
  <c r="A134" i="3"/>
  <c r="R134" i="3" s="1"/>
  <c r="E133" i="3"/>
  <c r="D133" i="3"/>
  <c r="S133" i="3" s="1"/>
  <c r="B133" i="3"/>
  <c r="A133" i="3"/>
  <c r="R133" i="3" s="1"/>
  <c r="V133" i="3" s="1"/>
  <c r="W133" i="3" s="1"/>
  <c r="E132" i="3"/>
  <c r="D132" i="3"/>
  <c r="S132" i="3" s="1"/>
  <c r="B132" i="3"/>
  <c r="A132" i="3"/>
  <c r="R132" i="3" s="1"/>
  <c r="V132" i="3" s="1"/>
  <c r="W132" i="3" s="1"/>
  <c r="E131" i="3"/>
  <c r="D131" i="3"/>
  <c r="S131" i="3" s="1"/>
  <c r="B131" i="3"/>
  <c r="A131" i="3"/>
  <c r="R131" i="3" s="1"/>
  <c r="E130" i="3"/>
  <c r="D130" i="3"/>
  <c r="S130" i="3" s="1"/>
  <c r="B130" i="3"/>
  <c r="A130" i="3"/>
  <c r="R130" i="3" s="1"/>
  <c r="Z130" i="3" s="1"/>
  <c r="E129" i="3"/>
  <c r="D129" i="3"/>
  <c r="S129" i="3" s="1"/>
  <c r="B129" i="3"/>
  <c r="A129" i="3"/>
  <c r="R129" i="3" s="1"/>
  <c r="E128" i="3"/>
  <c r="D128" i="3"/>
  <c r="S128" i="3" s="1"/>
  <c r="B128" i="3"/>
  <c r="A128" i="3"/>
  <c r="R128" i="3" s="1"/>
  <c r="Z128" i="3" s="1"/>
  <c r="E127" i="3"/>
  <c r="D127" i="3"/>
  <c r="S127" i="3" s="1"/>
  <c r="B127" i="3"/>
  <c r="A127" i="3"/>
  <c r="R127" i="3" s="1"/>
  <c r="E126" i="3"/>
  <c r="D126" i="3"/>
  <c r="S126" i="3" s="1"/>
  <c r="B126" i="3"/>
  <c r="A126" i="3"/>
  <c r="R126" i="3" s="1"/>
  <c r="E125" i="3"/>
  <c r="D125" i="3"/>
  <c r="S125" i="3" s="1"/>
  <c r="B125" i="3"/>
  <c r="A125" i="3"/>
  <c r="R125" i="3" s="1"/>
  <c r="E124" i="3"/>
  <c r="D124" i="3"/>
  <c r="S124" i="3" s="1"/>
  <c r="B124" i="3"/>
  <c r="A124" i="3"/>
  <c r="R124" i="3" s="1"/>
  <c r="V124" i="3" s="1"/>
  <c r="W124" i="3" s="1"/>
  <c r="E123" i="3"/>
  <c r="D123" i="3"/>
  <c r="S123" i="3" s="1"/>
  <c r="B123" i="3"/>
  <c r="A123" i="3"/>
  <c r="R123" i="3" s="1"/>
  <c r="Z123" i="3" s="1"/>
  <c r="E122" i="3"/>
  <c r="D122" i="3"/>
  <c r="S122" i="3" s="1"/>
  <c r="B122" i="3"/>
  <c r="A122" i="3"/>
  <c r="R122" i="3" s="1"/>
  <c r="O122" i="3" s="1"/>
  <c r="E121" i="3"/>
  <c r="D121" i="3"/>
  <c r="S121" i="3" s="1"/>
  <c r="B121" i="3"/>
  <c r="A121" i="3"/>
  <c r="R121" i="3" s="1"/>
  <c r="E120" i="3"/>
  <c r="D120" i="3"/>
  <c r="S120" i="3" s="1"/>
  <c r="B120" i="3"/>
  <c r="A120" i="3"/>
  <c r="R120" i="3" s="1"/>
  <c r="V120" i="3" s="1"/>
  <c r="W120" i="3" s="1"/>
  <c r="E119" i="3"/>
  <c r="D119" i="3"/>
  <c r="S119" i="3" s="1"/>
  <c r="B119" i="3"/>
  <c r="A119" i="3"/>
  <c r="R119" i="3" s="1"/>
  <c r="E118" i="3"/>
  <c r="D118" i="3"/>
  <c r="S118" i="3" s="1"/>
  <c r="B118" i="3"/>
  <c r="A118" i="3"/>
  <c r="R118" i="3" s="1"/>
  <c r="O118" i="3" s="1"/>
  <c r="E117" i="3"/>
  <c r="D117" i="3"/>
  <c r="S117" i="3" s="1"/>
  <c r="B117" i="3"/>
  <c r="A117" i="3"/>
  <c r="R117" i="3" s="1"/>
  <c r="V117" i="3" s="1"/>
  <c r="W117" i="3" s="1"/>
  <c r="E116" i="3"/>
  <c r="D116" i="3"/>
  <c r="S116" i="3" s="1"/>
  <c r="B116" i="3"/>
  <c r="A116" i="3"/>
  <c r="R116" i="3" s="1"/>
  <c r="E115" i="3"/>
  <c r="D115" i="3"/>
  <c r="S115" i="3" s="1"/>
  <c r="B115" i="3"/>
  <c r="A115" i="3"/>
  <c r="E114" i="3"/>
  <c r="D114" i="3"/>
  <c r="S114" i="3" s="1"/>
  <c r="B114" i="3"/>
  <c r="A114" i="3"/>
  <c r="R114" i="3" s="1"/>
  <c r="O114" i="3" s="1"/>
  <c r="E113" i="3"/>
  <c r="D113" i="3"/>
  <c r="S113" i="3" s="1"/>
  <c r="B113" i="3"/>
  <c r="A113" i="3"/>
  <c r="R113" i="3" s="1"/>
  <c r="E112" i="3"/>
  <c r="D112" i="3"/>
  <c r="S112" i="3" s="1"/>
  <c r="B112" i="3"/>
  <c r="A112" i="3"/>
  <c r="R112" i="3" s="1"/>
  <c r="E111" i="3"/>
  <c r="D111" i="3"/>
  <c r="S111" i="3" s="1"/>
  <c r="B111" i="3"/>
  <c r="A111" i="3"/>
  <c r="E110" i="3"/>
  <c r="D110" i="3"/>
  <c r="S110" i="3" s="1"/>
  <c r="B110" i="3"/>
  <c r="A110" i="3"/>
  <c r="R110" i="3" s="1"/>
  <c r="E109" i="3"/>
  <c r="D109" i="3"/>
  <c r="S109" i="3" s="1"/>
  <c r="B109" i="3"/>
  <c r="A109" i="3"/>
  <c r="R109" i="3" s="1"/>
  <c r="E108" i="3"/>
  <c r="D108" i="3"/>
  <c r="S108" i="3" s="1"/>
  <c r="B108" i="3"/>
  <c r="A108" i="3"/>
  <c r="R108" i="3" s="1"/>
  <c r="O108" i="3" s="1"/>
  <c r="S107" i="3"/>
  <c r="E106" i="3"/>
  <c r="D106" i="3"/>
  <c r="K436" i="3" s="1"/>
  <c r="B106" i="3"/>
  <c r="S105" i="3"/>
  <c r="L435" i="3" s="1"/>
  <c r="S104" i="3"/>
  <c r="L434" i="3" s="1"/>
  <c r="S103" i="3"/>
  <c r="L433" i="3" s="1"/>
  <c r="E102" i="3"/>
  <c r="D102" i="3"/>
  <c r="B102" i="3"/>
  <c r="S101" i="3"/>
  <c r="L431" i="3" s="1"/>
  <c r="S100" i="3"/>
  <c r="L430" i="3" s="1"/>
  <c r="A79" i="3"/>
  <c r="A78" i="3"/>
  <c r="O39" i="3"/>
  <c r="N39" i="3"/>
  <c r="M39" i="3"/>
  <c r="L39" i="3"/>
  <c r="K39" i="3"/>
  <c r="J39" i="3"/>
  <c r="I39" i="3"/>
  <c r="H39" i="3"/>
  <c r="G39" i="3"/>
  <c r="F39" i="3"/>
  <c r="E39" i="3"/>
  <c r="D39" i="3"/>
  <c r="O29" i="3"/>
  <c r="N29" i="3"/>
  <c r="M29" i="3"/>
  <c r="L29" i="3"/>
  <c r="K29" i="3"/>
  <c r="J29" i="3"/>
  <c r="I29" i="3"/>
  <c r="H29" i="3"/>
  <c r="G29" i="3"/>
  <c r="F29" i="3"/>
  <c r="E29" i="3"/>
  <c r="D29" i="3"/>
  <c r="I16" i="3"/>
  <c r="A16" i="3"/>
  <c r="C13" i="3"/>
  <c r="C12" i="3"/>
  <c r="F11" i="3"/>
  <c r="C11" i="3"/>
  <c r="C10" i="3"/>
  <c r="F9" i="3"/>
  <c r="C9" i="3"/>
  <c r="F8" i="3"/>
  <c r="C8" i="3"/>
  <c r="A4" i="3"/>
  <c r="D3" i="3"/>
  <c r="Z500" i="4"/>
  <c r="Y500" i="4"/>
  <c r="I500" i="4"/>
  <c r="Q500" i="4" s="1"/>
  <c r="P500" i="4" s="1"/>
  <c r="R500" i="4" s="1"/>
  <c r="H500" i="4"/>
  <c r="Z499" i="4"/>
  <c r="Y499" i="4"/>
  <c r="I499" i="4"/>
  <c r="Q499" i="4" s="1"/>
  <c r="U499" i="4" s="1"/>
  <c r="H499" i="4"/>
  <c r="Z498" i="4"/>
  <c r="Y498" i="4"/>
  <c r="I498" i="4"/>
  <c r="Q498" i="4" s="1"/>
  <c r="H498" i="4"/>
  <c r="Z497" i="4"/>
  <c r="Y497" i="4"/>
  <c r="I497" i="4"/>
  <c r="Q497" i="4" s="1"/>
  <c r="H497" i="4"/>
  <c r="Z496" i="4"/>
  <c r="Y496" i="4"/>
  <c r="I496" i="4"/>
  <c r="Q496" i="4" s="1"/>
  <c r="H496" i="4"/>
  <c r="Z495" i="4"/>
  <c r="Y495" i="4"/>
  <c r="I495" i="4"/>
  <c r="Q495" i="4" s="1"/>
  <c r="H495" i="4"/>
  <c r="Z494" i="4"/>
  <c r="Y494" i="4"/>
  <c r="I494" i="4"/>
  <c r="Q494" i="4" s="1"/>
  <c r="H494" i="4"/>
  <c r="Z493" i="4"/>
  <c r="Y493" i="4"/>
  <c r="I493" i="4"/>
  <c r="Q493" i="4" s="1"/>
  <c r="P493" i="4" s="1"/>
  <c r="R493" i="4" s="1"/>
  <c r="H493" i="4"/>
  <c r="Z492" i="4"/>
  <c r="Y492" i="4"/>
  <c r="I492" i="4"/>
  <c r="Q492" i="4" s="1"/>
  <c r="S492" i="4" s="1"/>
  <c r="H492" i="4"/>
  <c r="Z491" i="4"/>
  <c r="Y491" i="4"/>
  <c r="I491" i="4"/>
  <c r="Q491" i="4" s="1"/>
  <c r="H491" i="4"/>
  <c r="Z490" i="4"/>
  <c r="Y490" i="4"/>
  <c r="I490" i="4"/>
  <c r="Q490" i="4" s="1"/>
  <c r="H490" i="4"/>
  <c r="Z489" i="4"/>
  <c r="Y489" i="4"/>
  <c r="I489" i="4"/>
  <c r="Q489" i="4" s="1"/>
  <c r="H489" i="4"/>
  <c r="Z488" i="4"/>
  <c r="Y488" i="4"/>
  <c r="I488" i="4"/>
  <c r="Q488" i="4" s="1"/>
  <c r="S488" i="4" s="1"/>
  <c r="H488" i="4"/>
  <c r="Z487" i="4"/>
  <c r="Y487" i="4"/>
  <c r="I487" i="4"/>
  <c r="Q487" i="4" s="1"/>
  <c r="H487" i="4"/>
  <c r="Z486" i="4"/>
  <c r="Y486" i="4"/>
  <c r="I486" i="4"/>
  <c r="Q486" i="4" s="1"/>
  <c r="H486" i="4"/>
  <c r="Z485" i="4"/>
  <c r="Y485" i="4"/>
  <c r="I485" i="4"/>
  <c r="Q485" i="4" s="1"/>
  <c r="H485" i="4"/>
  <c r="Z484" i="4"/>
  <c r="Y484" i="4"/>
  <c r="I484" i="4"/>
  <c r="Q484" i="4" s="1"/>
  <c r="T484" i="4" s="1"/>
  <c r="H484" i="4"/>
  <c r="Z483" i="4"/>
  <c r="Y483" i="4"/>
  <c r="I483" i="4"/>
  <c r="Q483" i="4" s="1"/>
  <c r="P483" i="4" s="1"/>
  <c r="R483" i="4" s="1"/>
  <c r="H483" i="4"/>
  <c r="Z482" i="4"/>
  <c r="Y482" i="4"/>
  <c r="I482" i="4"/>
  <c r="Q482" i="4" s="1"/>
  <c r="U482" i="4" s="1"/>
  <c r="H482" i="4"/>
  <c r="Z481" i="4"/>
  <c r="Y481" i="4"/>
  <c r="I481" i="4"/>
  <c r="Q481" i="4" s="1"/>
  <c r="H481" i="4"/>
  <c r="Z480" i="4"/>
  <c r="Y480" i="4"/>
  <c r="I480" i="4"/>
  <c r="Q480" i="4" s="1"/>
  <c r="H480" i="4"/>
  <c r="Z479" i="4"/>
  <c r="Y479" i="4"/>
  <c r="I479" i="4"/>
  <c r="Q479" i="4" s="1"/>
  <c r="H479" i="4"/>
  <c r="Z478" i="4"/>
  <c r="Y478" i="4"/>
  <c r="I478" i="4"/>
  <c r="Q478" i="4" s="1"/>
  <c r="P478" i="4" s="1"/>
  <c r="R478" i="4" s="1"/>
  <c r="H478" i="4"/>
  <c r="Z477" i="4"/>
  <c r="Y477" i="4"/>
  <c r="I477" i="4"/>
  <c r="Q477" i="4" s="1"/>
  <c r="H477" i="4"/>
  <c r="Z476" i="4"/>
  <c r="Y476" i="4"/>
  <c r="I476" i="4"/>
  <c r="Q476" i="4" s="1"/>
  <c r="H476" i="4"/>
  <c r="Z475" i="4"/>
  <c r="Y475" i="4"/>
  <c r="I475" i="4"/>
  <c r="Q475" i="4" s="1"/>
  <c r="H475" i="4"/>
  <c r="Z474" i="4"/>
  <c r="Y474" i="4"/>
  <c r="I474" i="4"/>
  <c r="Q474" i="4" s="1"/>
  <c r="P474" i="4" s="1"/>
  <c r="R474" i="4" s="1"/>
  <c r="H474" i="4"/>
  <c r="Z473" i="4"/>
  <c r="Y473" i="4"/>
  <c r="I473" i="4"/>
  <c r="Q473" i="4" s="1"/>
  <c r="H473" i="4"/>
  <c r="Z472" i="4"/>
  <c r="Y472" i="4"/>
  <c r="I472" i="4"/>
  <c r="Q472" i="4" s="1"/>
  <c r="U472" i="4" s="1"/>
  <c r="H472" i="4"/>
  <c r="Z471" i="4"/>
  <c r="Y471" i="4"/>
  <c r="I471" i="4"/>
  <c r="Q471" i="4" s="1"/>
  <c r="U471" i="4" s="1"/>
  <c r="H471" i="4"/>
  <c r="Z470" i="4"/>
  <c r="Y470" i="4"/>
  <c r="I470" i="4"/>
  <c r="Q470" i="4" s="1"/>
  <c r="U470" i="4" s="1"/>
  <c r="H470" i="4"/>
  <c r="Z469" i="4"/>
  <c r="Y469" i="4"/>
  <c r="I469" i="4"/>
  <c r="Q469" i="4" s="1"/>
  <c r="H469" i="4"/>
  <c r="Z468" i="4"/>
  <c r="Y468" i="4"/>
  <c r="I468" i="4"/>
  <c r="Q468" i="4" s="1"/>
  <c r="S468" i="4" s="1"/>
  <c r="H468" i="4"/>
  <c r="Z467" i="4"/>
  <c r="Y467" i="4"/>
  <c r="I467" i="4"/>
  <c r="Q467" i="4" s="1"/>
  <c r="U467" i="4" s="1"/>
  <c r="H467" i="4"/>
  <c r="Z466" i="4"/>
  <c r="Y466" i="4"/>
  <c r="I466" i="4"/>
  <c r="Q466" i="4" s="1"/>
  <c r="H466" i="4"/>
  <c r="Z465" i="4"/>
  <c r="Y465" i="4"/>
  <c r="I465" i="4"/>
  <c r="Q465" i="4" s="1"/>
  <c r="H465" i="4"/>
  <c r="Z464" i="4"/>
  <c r="Y464" i="4"/>
  <c r="I464" i="4"/>
  <c r="Q464" i="4" s="1"/>
  <c r="H464" i="4"/>
  <c r="Z463" i="4"/>
  <c r="Y463" i="4"/>
  <c r="I463" i="4"/>
  <c r="Q463" i="4" s="1"/>
  <c r="H463" i="4"/>
  <c r="Z462" i="4"/>
  <c r="Y462" i="4"/>
  <c r="I462" i="4"/>
  <c r="Q462" i="4" s="1"/>
  <c r="S462" i="4" s="1"/>
  <c r="H462" i="4"/>
  <c r="Z461" i="4"/>
  <c r="Y461" i="4"/>
  <c r="I461" i="4"/>
  <c r="Q461" i="4" s="1"/>
  <c r="P461" i="4" s="1"/>
  <c r="R461" i="4" s="1"/>
  <c r="H461" i="4"/>
  <c r="Z460" i="4"/>
  <c r="Y460" i="4"/>
  <c r="I460" i="4"/>
  <c r="Q460" i="4" s="1"/>
  <c r="U460" i="4" s="1"/>
  <c r="H460" i="4"/>
  <c r="Z459" i="4"/>
  <c r="Y459" i="4"/>
  <c r="I459" i="4"/>
  <c r="Q459" i="4" s="1"/>
  <c r="S459" i="4" s="1"/>
  <c r="H459" i="4"/>
  <c r="Z458" i="4"/>
  <c r="Y458" i="4"/>
  <c r="I458" i="4"/>
  <c r="Q458" i="4" s="1"/>
  <c r="S458" i="4" s="1"/>
  <c r="H458" i="4"/>
  <c r="Z457" i="4"/>
  <c r="Y457" i="4"/>
  <c r="I457" i="4"/>
  <c r="Q457" i="4" s="1"/>
  <c r="U457" i="4" s="1"/>
  <c r="H457" i="4"/>
  <c r="Z456" i="4"/>
  <c r="Y456" i="4"/>
  <c r="I456" i="4"/>
  <c r="Q456" i="4" s="1"/>
  <c r="H456" i="4"/>
  <c r="Z455" i="4"/>
  <c r="Y455" i="4"/>
  <c r="I455" i="4"/>
  <c r="Q455" i="4" s="1"/>
  <c r="T455" i="4" s="1"/>
  <c r="H455" i="4"/>
  <c r="Z454" i="4"/>
  <c r="Y454" i="4"/>
  <c r="I454" i="4"/>
  <c r="Q454" i="4" s="1"/>
  <c r="H454" i="4"/>
  <c r="Z453" i="4"/>
  <c r="Y453" i="4"/>
  <c r="I453" i="4"/>
  <c r="Q453" i="4" s="1"/>
  <c r="H453" i="4"/>
  <c r="Z452" i="4"/>
  <c r="Y452" i="4"/>
  <c r="I452" i="4"/>
  <c r="Q452" i="4" s="1"/>
  <c r="H452" i="4"/>
  <c r="Z451" i="4"/>
  <c r="Y451" i="4"/>
  <c r="I451" i="4"/>
  <c r="Q451" i="4" s="1"/>
  <c r="H451" i="4"/>
  <c r="Z450" i="4"/>
  <c r="Y450" i="4"/>
  <c r="I450" i="4"/>
  <c r="Q450" i="4" s="1"/>
  <c r="H450" i="4"/>
  <c r="Z449" i="4"/>
  <c r="Y449" i="4"/>
  <c r="I449" i="4"/>
  <c r="Q449" i="4" s="1"/>
  <c r="H449" i="4"/>
  <c r="Z448" i="4"/>
  <c r="Y448" i="4"/>
  <c r="I448" i="4"/>
  <c r="Q448" i="4" s="1"/>
  <c r="H448" i="4"/>
  <c r="Z447" i="4"/>
  <c r="Y447" i="4"/>
  <c r="I447" i="4"/>
  <c r="Q447" i="4" s="1"/>
  <c r="T447" i="4" s="1"/>
  <c r="H447" i="4"/>
  <c r="Z446" i="4"/>
  <c r="Y446" i="4"/>
  <c r="I446" i="4"/>
  <c r="Q446" i="4" s="1"/>
  <c r="P446" i="4" s="1"/>
  <c r="R446" i="4" s="1"/>
  <c r="H446" i="4"/>
  <c r="Z445" i="4"/>
  <c r="Y445" i="4"/>
  <c r="I445" i="4"/>
  <c r="Q445" i="4" s="1"/>
  <c r="T445" i="4" s="1"/>
  <c r="H445" i="4"/>
  <c r="Z444" i="4"/>
  <c r="Y444" i="4"/>
  <c r="I444" i="4"/>
  <c r="Q444" i="4" s="1"/>
  <c r="H444" i="4"/>
  <c r="Z443" i="4"/>
  <c r="Y443" i="4"/>
  <c r="I443" i="4"/>
  <c r="Q443" i="4" s="1"/>
  <c r="H443" i="4"/>
  <c r="Z442" i="4"/>
  <c r="Y442" i="4"/>
  <c r="I442" i="4"/>
  <c r="Q442" i="4" s="1"/>
  <c r="H442" i="4"/>
  <c r="Z441" i="4"/>
  <c r="Y441" i="4"/>
  <c r="I441" i="4"/>
  <c r="Q441" i="4" s="1"/>
  <c r="H441" i="4"/>
  <c r="Z440" i="4"/>
  <c r="Y440" i="4"/>
  <c r="I440" i="4"/>
  <c r="Q440" i="4" s="1"/>
  <c r="H440" i="4"/>
  <c r="Z439" i="4"/>
  <c r="Y439" i="4"/>
  <c r="I439" i="4"/>
  <c r="Q439" i="4" s="1"/>
  <c r="P439" i="4" s="1"/>
  <c r="R439" i="4" s="1"/>
  <c r="H439" i="4"/>
  <c r="Z438" i="4"/>
  <c r="Y438" i="4"/>
  <c r="I438" i="4"/>
  <c r="Q438" i="4" s="1"/>
  <c r="H438" i="4"/>
  <c r="Z437" i="4"/>
  <c r="Y437" i="4"/>
  <c r="I437" i="4"/>
  <c r="Q437" i="4" s="1"/>
  <c r="H437" i="4"/>
  <c r="Z436" i="4"/>
  <c r="Y436" i="4"/>
  <c r="I436" i="4"/>
  <c r="Q436" i="4" s="1"/>
  <c r="H436" i="4"/>
  <c r="Z435" i="4"/>
  <c r="Y435" i="4"/>
  <c r="I435" i="4"/>
  <c r="Q435" i="4" s="1"/>
  <c r="H435" i="4"/>
  <c r="Z434" i="4"/>
  <c r="Y434" i="4"/>
  <c r="I434" i="4"/>
  <c r="Q434" i="4" s="1"/>
  <c r="S434" i="4" s="1"/>
  <c r="H434" i="4"/>
  <c r="Z433" i="4"/>
  <c r="Y433" i="4"/>
  <c r="I433" i="4"/>
  <c r="Q433" i="4" s="1"/>
  <c r="S433" i="4" s="1"/>
  <c r="H433" i="4"/>
  <c r="Z432" i="4"/>
  <c r="Y432" i="4"/>
  <c r="I432" i="4"/>
  <c r="Q432" i="4" s="1"/>
  <c r="H432" i="4"/>
  <c r="Z431" i="4"/>
  <c r="Y431" i="4"/>
  <c r="I431" i="4"/>
  <c r="Q431" i="4" s="1"/>
  <c r="T431" i="4" s="1"/>
  <c r="H431" i="4"/>
  <c r="Z430" i="4"/>
  <c r="Y430" i="4"/>
  <c r="I430" i="4"/>
  <c r="Q430" i="4" s="1"/>
  <c r="H430" i="4"/>
  <c r="Z429" i="4"/>
  <c r="Y429" i="4"/>
  <c r="I429" i="4"/>
  <c r="Q429" i="4" s="1"/>
  <c r="P429" i="4" s="1"/>
  <c r="R429" i="4" s="1"/>
  <c r="H429" i="4"/>
  <c r="Z428" i="4"/>
  <c r="Y428" i="4"/>
  <c r="I428" i="4"/>
  <c r="Q428" i="4" s="1"/>
  <c r="U428" i="4" s="1"/>
  <c r="H428" i="4"/>
  <c r="Z427" i="4"/>
  <c r="Y427" i="4"/>
  <c r="I427" i="4"/>
  <c r="Q427" i="4" s="1"/>
  <c r="H427" i="4"/>
  <c r="Z426" i="4"/>
  <c r="Y426" i="4"/>
  <c r="I426" i="4"/>
  <c r="Q426" i="4" s="1"/>
  <c r="H426" i="4"/>
  <c r="Z425" i="4"/>
  <c r="Y425" i="4"/>
  <c r="I425" i="4"/>
  <c r="Q425" i="4" s="1"/>
  <c r="H425" i="4"/>
  <c r="Z424" i="4"/>
  <c r="Y424" i="4"/>
  <c r="I424" i="4"/>
  <c r="Q424" i="4" s="1"/>
  <c r="H424" i="4"/>
  <c r="Z423" i="4"/>
  <c r="Y423" i="4"/>
  <c r="I423" i="4"/>
  <c r="Q423" i="4" s="1"/>
  <c r="H423" i="4"/>
  <c r="Z422" i="4"/>
  <c r="Y422" i="4"/>
  <c r="I422" i="4"/>
  <c r="Q422" i="4" s="1"/>
  <c r="H422" i="4"/>
  <c r="Z421" i="4"/>
  <c r="Y421" i="4"/>
  <c r="I421" i="4"/>
  <c r="Q421" i="4" s="1"/>
  <c r="T421" i="4" s="1"/>
  <c r="H421" i="4"/>
  <c r="Z420" i="4"/>
  <c r="Y420" i="4"/>
  <c r="I420" i="4"/>
  <c r="Q420" i="4" s="1"/>
  <c r="H420" i="4"/>
  <c r="Z419" i="4"/>
  <c r="Y419" i="4"/>
  <c r="I419" i="4"/>
  <c r="Q419" i="4" s="1"/>
  <c r="H419" i="4"/>
  <c r="Z418" i="4"/>
  <c r="Y418" i="4"/>
  <c r="I418" i="4"/>
  <c r="Q418" i="4" s="1"/>
  <c r="H418" i="4"/>
  <c r="Z417" i="4"/>
  <c r="Y417" i="4"/>
  <c r="I417" i="4"/>
  <c r="Q417" i="4" s="1"/>
  <c r="H417" i="4"/>
  <c r="Z416" i="4"/>
  <c r="Y416" i="4"/>
  <c r="I416" i="4"/>
  <c r="Q416" i="4" s="1"/>
  <c r="H416" i="4"/>
  <c r="Z415" i="4"/>
  <c r="Y415" i="4"/>
  <c r="I415" i="4"/>
  <c r="Q415" i="4" s="1"/>
  <c r="T415" i="4" s="1"/>
  <c r="H415" i="4"/>
  <c r="Z414" i="4"/>
  <c r="Y414" i="4"/>
  <c r="I414" i="4"/>
  <c r="Q414" i="4" s="1"/>
  <c r="S414" i="4" s="1"/>
  <c r="H414" i="4"/>
  <c r="Z413" i="4"/>
  <c r="Y413" i="4"/>
  <c r="I413" i="4"/>
  <c r="Q413" i="4" s="1"/>
  <c r="T413" i="4" s="1"/>
  <c r="H413" i="4"/>
  <c r="Z412" i="4"/>
  <c r="Y412" i="4"/>
  <c r="I412" i="4"/>
  <c r="Q412" i="4" s="1"/>
  <c r="H412" i="4"/>
  <c r="Z411" i="4"/>
  <c r="Y411" i="4"/>
  <c r="I411" i="4"/>
  <c r="Q411" i="4" s="1"/>
  <c r="P411" i="4" s="1"/>
  <c r="R411" i="4" s="1"/>
  <c r="H411" i="4"/>
  <c r="Z410" i="4"/>
  <c r="Y410" i="4"/>
  <c r="I410" i="4"/>
  <c r="Q410" i="4" s="1"/>
  <c r="H410" i="4"/>
  <c r="Z409" i="4"/>
  <c r="Y409" i="4"/>
  <c r="I409" i="4"/>
  <c r="Q409" i="4" s="1"/>
  <c r="H409" i="4"/>
  <c r="Z408" i="4"/>
  <c r="Y408" i="4"/>
  <c r="I408" i="4"/>
  <c r="Q408" i="4" s="1"/>
  <c r="H408" i="4"/>
  <c r="Z407" i="4"/>
  <c r="Y407" i="4"/>
  <c r="I407" i="4"/>
  <c r="Q407" i="4" s="1"/>
  <c r="H407" i="4"/>
  <c r="Z406" i="4"/>
  <c r="Y406" i="4"/>
  <c r="I406" i="4"/>
  <c r="Q406" i="4" s="1"/>
  <c r="H406" i="4"/>
  <c r="Z405" i="4"/>
  <c r="Y405" i="4"/>
  <c r="I405" i="4"/>
  <c r="Q405" i="4" s="1"/>
  <c r="P405" i="4" s="1"/>
  <c r="R405" i="4" s="1"/>
  <c r="H405" i="4"/>
  <c r="Z404" i="4"/>
  <c r="Y404" i="4"/>
  <c r="I404" i="4"/>
  <c r="Q404" i="4" s="1"/>
  <c r="H404" i="4"/>
  <c r="Z403" i="4"/>
  <c r="Y403" i="4"/>
  <c r="I403" i="4"/>
  <c r="Q403" i="4" s="1"/>
  <c r="H403" i="4"/>
  <c r="Z402" i="4"/>
  <c r="Y402" i="4"/>
  <c r="I402" i="4"/>
  <c r="Q402" i="4" s="1"/>
  <c r="H402" i="4"/>
  <c r="Z401" i="4"/>
  <c r="Y401" i="4"/>
  <c r="I401" i="4"/>
  <c r="Q401" i="4" s="1"/>
  <c r="H401" i="4"/>
  <c r="Z400" i="4"/>
  <c r="Y400" i="4"/>
  <c r="I400" i="4"/>
  <c r="Q400" i="4" s="1"/>
  <c r="H400" i="4"/>
  <c r="Z399" i="4"/>
  <c r="Y399" i="4"/>
  <c r="I399" i="4"/>
  <c r="Q399" i="4" s="1"/>
  <c r="H399" i="4"/>
  <c r="Z398" i="4"/>
  <c r="Y398" i="4"/>
  <c r="I398" i="4"/>
  <c r="Q398" i="4" s="1"/>
  <c r="H398" i="4"/>
  <c r="Z397" i="4"/>
  <c r="Y397" i="4"/>
  <c r="I397" i="4"/>
  <c r="Q397" i="4" s="1"/>
  <c r="P397" i="4" s="1"/>
  <c r="R397" i="4" s="1"/>
  <c r="H397" i="4"/>
  <c r="Z396" i="4"/>
  <c r="Y396" i="4"/>
  <c r="I396" i="4"/>
  <c r="Q396" i="4" s="1"/>
  <c r="S396" i="4" s="1"/>
  <c r="H396" i="4"/>
  <c r="Z395" i="4"/>
  <c r="Y395" i="4"/>
  <c r="I395" i="4"/>
  <c r="Q395" i="4" s="1"/>
  <c r="P395" i="4" s="1"/>
  <c r="R395" i="4" s="1"/>
  <c r="H395" i="4"/>
  <c r="Z394" i="4"/>
  <c r="Y394" i="4"/>
  <c r="I394" i="4"/>
  <c r="Q394" i="4" s="1"/>
  <c r="H394" i="4"/>
  <c r="Z393" i="4"/>
  <c r="Y393" i="4"/>
  <c r="I393" i="4"/>
  <c r="Q393" i="4" s="1"/>
  <c r="H393" i="4"/>
  <c r="Z392" i="4"/>
  <c r="Y392" i="4"/>
  <c r="I392" i="4"/>
  <c r="Q392" i="4" s="1"/>
  <c r="U392" i="4" s="1"/>
  <c r="H392" i="4"/>
  <c r="Z391" i="4"/>
  <c r="Y391" i="4"/>
  <c r="I391" i="4"/>
  <c r="Q391" i="4" s="1"/>
  <c r="H391" i="4"/>
  <c r="Z390" i="4"/>
  <c r="Y390" i="4"/>
  <c r="I390" i="4"/>
  <c r="Q390" i="4" s="1"/>
  <c r="U390" i="4" s="1"/>
  <c r="H390" i="4"/>
  <c r="Z389" i="4"/>
  <c r="Y389" i="4"/>
  <c r="I389" i="4"/>
  <c r="Q389" i="4" s="1"/>
  <c r="H389" i="4"/>
  <c r="Z388" i="4"/>
  <c r="Y388" i="4"/>
  <c r="I388" i="4"/>
  <c r="Q388" i="4" s="1"/>
  <c r="H388" i="4"/>
  <c r="Z387" i="4"/>
  <c r="Y387" i="4"/>
  <c r="I387" i="4"/>
  <c r="Q387" i="4" s="1"/>
  <c r="H387" i="4"/>
  <c r="Z386" i="4"/>
  <c r="Y386" i="4"/>
  <c r="I386" i="4"/>
  <c r="Q386" i="4" s="1"/>
  <c r="H386" i="4"/>
  <c r="Z385" i="4"/>
  <c r="Y385" i="4"/>
  <c r="I385" i="4"/>
  <c r="Q385" i="4" s="1"/>
  <c r="H385" i="4"/>
  <c r="Z384" i="4"/>
  <c r="Y384" i="4"/>
  <c r="I384" i="4"/>
  <c r="Q384" i="4" s="1"/>
  <c r="H384" i="4"/>
  <c r="Z383" i="4"/>
  <c r="Y383" i="4"/>
  <c r="I383" i="4"/>
  <c r="Q383" i="4" s="1"/>
  <c r="T383" i="4" s="1"/>
  <c r="H383" i="4"/>
  <c r="Z382" i="4"/>
  <c r="Y382" i="4"/>
  <c r="I382" i="4"/>
  <c r="Q382" i="4" s="1"/>
  <c r="H382" i="4"/>
  <c r="Z381" i="4"/>
  <c r="Y381" i="4"/>
  <c r="I381" i="4"/>
  <c r="Q381" i="4" s="1"/>
  <c r="H381" i="4"/>
  <c r="Z380" i="4"/>
  <c r="Y380" i="4"/>
  <c r="I380" i="4"/>
  <c r="Q380" i="4" s="1"/>
  <c r="H380" i="4"/>
  <c r="Z379" i="4"/>
  <c r="Y379" i="4"/>
  <c r="I379" i="4"/>
  <c r="Q379" i="4" s="1"/>
  <c r="H379" i="4"/>
  <c r="Z378" i="4"/>
  <c r="Y378" i="4"/>
  <c r="I378" i="4"/>
  <c r="Q378" i="4" s="1"/>
  <c r="U378" i="4" s="1"/>
  <c r="H378" i="4"/>
  <c r="Z377" i="4"/>
  <c r="Y377" i="4"/>
  <c r="I377" i="4"/>
  <c r="Q377" i="4" s="1"/>
  <c r="H377" i="4"/>
  <c r="Z376" i="4"/>
  <c r="Y376" i="4"/>
  <c r="I376" i="4"/>
  <c r="Q376" i="4" s="1"/>
  <c r="S376" i="4" s="1"/>
  <c r="H376" i="4"/>
  <c r="Z375" i="4"/>
  <c r="Y375" i="4"/>
  <c r="I375" i="4"/>
  <c r="Q375" i="4" s="1"/>
  <c r="H375" i="4"/>
  <c r="Z374" i="4"/>
  <c r="Y374" i="4"/>
  <c r="I374" i="4"/>
  <c r="Q374" i="4" s="1"/>
  <c r="H374" i="4"/>
  <c r="Z373" i="4"/>
  <c r="Y373" i="4"/>
  <c r="I373" i="4"/>
  <c r="Q373" i="4" s="1"/>
  <c r="P373" i="4" s="1"/>
  <c r="R373" i="4" s="1"/>
  <c r="H373" i="4"/>
  <c r="Z372" i="4"/>
  <c r="Y372" i="4"/>
  <c r="I372" i="4"/>
  <c r="Q372" i="4" s="1"/>
  <c r="H372" i="4"/>
  <c r="Z371" i="4"/>
  <c r="Y371" i="4"/>
  <c r="I371" i="4"/>
  <c r="Q371" i="4" s="1"/>
  <c r="H371" i="4"/>
  <c r="Z370" i="4"/>
  <c r="Y370" i="4"/>
  <c r="I370" i="4"/>
  <c r="Q370" i="4" s="1"/>
  <c r="P370" i="4" s="1"/>
  <c r="R370" i="4" s="1"/>
  <c r="H370" i="4"/>
  <c r="Z369" i="4"/>
  <c r="Y369" i="4"/>
  <c r="I369" i="4"/>
  <c r="Q369" i="4" s="1"/>
  <c r="H369" i="4"/>
  <c r="Z368" i="4"/>
  <c r="Y368" i="4"/>
  <c r="I368" i="4"/>
  <c r="Q368" i="4" s="1"/>
  <c r="P368" i="4" s="1"/>
  <c r="R368" i="4" s="1"/>
  <c r="H368" i="4"/>
  <c r="Z367" i="4"/>
  <c r="Y367" i="4"/>
  <c r="I367" i="4"/>
  <c r="Q367" i="4" s="1"/>
  <c r="H367" i="4"/>
  <c r="Z366" i="4"/>
  <c r="Y366" i="4"/>
  <c r="I366" i="4"/>
  <c r="Q366" i="4" s="1"/>
  <c r="T366" i="4" s="1"/>
  <c r="H366" i="4"/>
  <c r="Z365" i="4"/>
  <c r="Y365" i="4"/>
  <c r="I365" i="4"/>
  <c r="Q365" i="4" s="1"/>
  <c r="H365" i="4"/>
  <c r="Z364" i="4"/>
  <c r="Y364" i="4"/>
  <c r="I364" i="4"/>
  <c r="Q364" i="4" s="1"/>
  <c r="S364" i="4" s="1"/>
  <c r="H364" i="4"/>
  <c r="Z363" i="4"/>
  <c r="Y363" i="4"/>
  <c r="I363" i="4"/>
  <c r="Q363" i="4" s="1"/>
  <c r="H363" i="4"/>
  <c r="Z362" i="4"/>
  <c r="Y362" i="4"/>
  <c r="I362" i="4"/>
  <c r="Q362" i="4" s="1"/>
  <c r="H362" i="4"/>
  <c r="Z361" i="4"/>
  <c r="Y361" i="4"/>
  <c r="I361" i="4"/>
  <c r="Q361" i="4" s="1"/>
  <c r="S361" i="4" s="1"/>
  <c r="H361" i="4"/>
  <c r="Z360" i="4"/>
  <c r="Y360" i="4"/>
  <c r="I360" i="4"/>
  <c r="Q360" i="4" s="1"/>
  <c r="H360" i="4"/>
  <c r="Z359" i="4"/>
  <c r="Y359" i="4"/>
  <c r="I359" i="4"/>
  <c r="Q359" i="4" s="1"/>
  <c r="T359" i="4" s="1"/>
  <c r="H359" i="4"/>
  <c r="Z358" i="4"/>
  <c r="Y358" i="4"/>
  <c r="I358" i="4"/>
  <c r="Q358" i="4" s="1"/>
  <c r="U358" i="4" s="1"/>
  <c r="H358" i="4"/>
  <c r="Z357" i="4"/>
  <c r="Y357" i="4"/>
  <c r="I357" i="4"/>
  <c r="Q357" i="4" s="1"/>
  <c r="H357" i="4"/>
  <c r="Z356" i="4"/>
  <c r="Y356" i="4"/>
  <c r="I356" i="4"/>
  <c r="Q356" i="4" s="1"/>
  <c r="H356" i="4"/>
  <c r="Z355" i="4"/>
  <c r="Y355" i="4"/>
  <c r="I355" i="4"/>
  <c r="Q355" i="4" s="1"/>
  <c r="H355" i="4"/>
  <c r="Z354" i="4"/>
  <c r="Y354" i="4"/>
  <c r="I354" i="4"/>
  <c r="Q354" i="4" s="1"/>
  <c r="H354" i="4"/>
  <c r="Z353" i="4"/>
  <c r="Y353" i="4"/>
  <c r="I353" i="4"/>
  <c r="Q353" i="4" s="1"/>
  <c r="T353" i="4" s="1"/>
  <c r="H353" i="4"/>
  <c r="Z352" i="4"/>
  <c r="Y352" i="4"/>
  <c r="I352" i="4"/>
  <c r="Q352" i="4" s="1"/>
  <c r="H352" i="4"/>
  <c r="Z351" i="4"/>
  <c r="Y351" i="4"/>
  <c r="I351" i="4"/>
  <c r="Q351" i="4" s="1"/>
  <c r="U351" i="4" s="1"/>
  <c r="H351" i="4"/>
  <c r="Z350" i="4"/>
  <c r="Y350" i="4"/>
  <c r="I350" i="4"/>
  <c r="Q350" i="4" s="1"/>
  <c r="U350" i="4" s="1"/>
  <c r="H350" i="4"/>
  <c r="Z349" i="4"/>
  <c r="Y349" i="4"/>
  <c r="I349" i="4"/>
  <c r="Q349" i="4" s="1"/>
  <c r="U349" i="4" s="1"/>
  <c r="H349" i="4"/>
  <c r="Z348" i="4"/>
  <c r="Y348" i="4"/>
  <c r="I348" i="4"/>
  <c r="Q348" i="4" s="1"/>
  <c r="P348" i="4" s="1"/>
  <c r="R348" i="4" s="1"/>
  <c r="H348" i="4"/>
  <c r="Z347" i="4"/>
  <c r="Y347" i="4"/>
  <c r="I347" i="4"/>
  <c r="Q347" i="4" s="1"/>
  <c r="H347" i="4"/>
  <c r="Z346" i="4"/>
  <c r="Y346" i="4"/>
  <c r="I346" i="4"/>
  <c r="Q346" i="4" s="1"/>
  <c r="H346" i="4"/>
  <c r="Z345" i="4"/>
  <c r="Y345" i="4"/>
  <c r="I345" i="4"/>
  <c r="Q345" i="4" s="1"/>
  <c r="U345" i="4" s="1"/>
  <c r="H345" i="4"/>
  <c r="Z344" i="4"/>
  <c r="Y344" i="4"/>
  <c r="I344" i="4"/>
  <c r="Q344" i="4" s="1"/>
  <c r="S344" i="4" s="1"/>
  <c r="H344" i="4"/>
  <c r="Z343" i="4"/>
  <c r="Y343" i="4"/>
  <c r="I343" i="4"/>
  <c r="Q343" i="4" s="1"/>
  <c r="H343" i="4"/>
  <c r="Z342" i="4"/>
  <c r="Y342" i="4"/>
  <c r="I342" i="4"/>
  <c r="Q342" i="4" s="1"/>
  <c r="H342" i="4"/>
  <c r="Z341" i="4"/>
  <c r="Y341" i="4"/>
  <c r="I341" i="4"/>
  <c r="Q341" i="4" s="1"/>
  <c r="H341" i="4"/>
  <c r="Z340" i="4"/>
  <c r="Y340" i="4"/>
  <c r="I340" i="4"/>
  <c r="Q340" i="4" s="1"/>
  <c r="S340" i="4" s="1"/>
  <c r="H340" i="4"/>
  <c r="Z339" i="4"/>
  <c r="Y339" i="4"/>
  <c r="I339" i="4"/>
  <c r="Q339" i="4" s="1"/>
  <c r="T339" i="4" s="1"/>
  <c r="H339" i="4"/>
  <c r="Z338" i="4"/>
  <c r="Y338" i="4"/>
  <c r="I338" i="4"/>
  <c r="Q338" i="4" s="1"/>
  <c r="H338" i="4"/>
  <c r="Z337" i="4"/>
  <c r="Y337" i="4"/>
  <c r="I337" i="4"/>
  <c r="Q337" i="4" s="1"/>
  <c r="H337" i="4"/>
  <c r="Z336" i="4"/>
  <c r="Y336" i="4"/>
  <c r="I336" i="4"/>
  <c r="Q336" i="4" s="1"/>
  <c r="U336" i="4" s="1"/>
  <c r="H336" i="4"/>
  <c r="Z335" i="4"/>
  <c r="Y335" i="4"/>
  <c r="I335" i="4"/>
  <c r="Q335" i="4" s="1"/>
  <c r="H335" i="4"/>
  <c r="Z334" i="4"/>
  <c r="Y334" i="4"/>
  <c r="I334" i="4"/>
  <c r="Q334" i="4" s="1"/>
  <c r="H334" i="4"/>
  <c r="Z333" i="4"/>
  <c r="Y333" i="4"/>
  <c r="I333" i="4"/>
  <c r="Q333" i="4" s="1"/>
  <c r="H333" i="4"/>
  <c r="Z332" i="4"/>
  <c r="Y332" i="4"/>
  <c r="I332" i="4"/>
  <c r="Q332" i="4" s="1"/>
  <c r="H332" i="4"/>
  <c r="Z331" i="4"/>
  <c r="Y331" i="4"/>
  <c r="I331" i="4"/>
  <c r="Q331" i="4" s="1"/>
  <c r="H331" i="4"/>
  <c r="Z330" i="4"/>
  <c r="Y330" i="4"/>
  <c r="I330" i="4"/>
  <c r="Q330" i="4" s="1"/>
  <c r="T330" i="4" s="1"/>
  <c r="H330" i="4"/>
  <c r="Z329" i="4"/>
  <c r="Y329" i="4"/>
  <c r="I329" i="4"/>
  <c r="Q329" i="4" s="1"/>
  <c r="H329" i="4"/>
  <c r="Z328" i="4"/>
  <c r="Y328" i="4"/>
  <c r="I328" i="4"/>
  <c r="Q328" i="4" s="1"/>
  <c r="H328" i="4"/>
  <c r="Z327" i="4"/>
  <c r="Y327" i="4"/>
  <c r="I327" i="4"/>
  <c r="Q327" i="4" s="1"/>
  <c r="H327" i="4"/>
  <c r="Z326" i="4"/>
  <c r="Y326" i="4"/>
  <c r="I326" i="4"/>
  <c r="Q326" i="4" s="1"/>
  <c r="T326" i="4" s="1"/>
  <c r="H326" i="4"/>
  <c r="Z325" i="4"/>
  <c r="Y325" i="4"/>
  <c r="I325" i="4"/>
  <c r="Q325" i="4" s="1"/>
  <c r="H325" i="4"/>
  <c r="Z324" i="4"/>
  <c r="Y324" i="4"/>
  <c r="I324" i="4"/>
  <c r="Q324" i="4" s="1"/>
  <c r="P324" i="4" s="1"/>
  <c r="R324" i="4" s="1"/>
  <c r="H324" i="4"/>
  <c r="Z323" i="4"/>
  <c r="Y323" i="4"/>
  <c r="I323" i="4"/>
  <c r="Q323" i="4" s="1"/>
  <c r="H323" i="4"/>
  <c r="Z322" i="4"/>
  <c r="Y322" i="4"/>
  <c r="I322" i="4"/>
  <c r="Q322" i="4" s="1"/>
  <c r="H322" i="4"/>
  <c r="Z321" i="4"/>
  <c r="Y321" i="4"/>
  <c r="I321" i="4"/>
  <c r="Q321" i="4" s="1"/>
  <c r="H321" i="4"/>
  <c r="Z320" i="4"/>
  <c r="Y320" i="4"/>
  <c r="I320" i="4"/>
  <c r="Q320" i="4" s="1"/>
  <c r="H320" i="4"/>
  <c r="Z319" i="4"/>
  <c r="Y319" i="4"/>
  <c r="I319" i="4"/>
  <c r="Q319" i="4" s="1"/>
  <c r="H319" i="4"/>
  <c r="Z318" i="4"/>
  <c r="Y318" i="4"/>
  <c r="I318" i="4"/>
  <c r="Q318" i="4" s="1"/>
  <c r="T318" i="4" s="1"/>
  <c r="H318" i="4"/>
  <c r="Z317" i="4"/>
  <c r="Y317" i="4"/>
  <c r="I317" i="4"/>
  <c r="Q317" i="4" s="1"/>
  <c r="H317" i="4"/>
  <c r="Z316" i="4"/>
  <c r="Y316" i="4"/>
  <c r="I316" i="4"/>
  <c r="Q316" i="4" s="1"/>
  <c r="U316" i="4" s="1"/>
  <c r="H316" i="4"/>
  <c r="Z315" i="4"/>
  <c r="Y315" i="4"/>
  <c r="I315" i="4"/>
  <c r="Q315" i="4" s="1"/>
  <c r="H315" i="4"/>
  <c r="Z314" i="4"/>
  <c r="Y314" i="4"/>
  <c r="I314" i="4"/>
  <c r="Q314" i="4" s="1"/>
  <c r="T314" i="4" s="1"/>
  <c r="H314" i="4"/>
  <c r="Z313" i="4"/>
  <c r="Y313" i="4"/>
  <c r="I313" i="4"/>
  <c r="Q313" i="4" s="1"/>
  <c r="H313" i="4"/>
  <c r="Z312" i="4"/>
  <c r="Y312" i="4"/>
  <c r="I312" i="4"/>
  <c r="Q312" i="4" s="1"/>
  <c r="P312" i="4" s="1"/>
  <c r="R312" i="4" s="1"/>
  <c r="H312" i="4"/>
  <c r="Z311" i="4"/>
  <c r="Y311" i="4"/>
  <c r="I311" i="4"/>
  <c r="Q311" i="4" s="1"/>
  <c r="H311" i="4"/>
  <c r="Z310" i="4"/>
  <c r="Y310" i="4"/>
  <c r="I310" i="4"/>
  <c r="Q310" i="4" s="1"/>
  <c r="T310" i="4" s="1"/>
  <c r="H310" i="4"/>
  <c r="Z309" i="4"/>
  <c r="Y309" i="4"/>
  <c r="I309" i="4"/>
  <c r="Q309" i="4" s="1"/>
  <c r="H309" i="4"/>
  <c r="Z308" i="4"/>
  <c r="Y308" i="4"/>
  <c r="I308" i="4"/>
  <c r="Q308" i="4" s="1"/>
  <c r="U308" i="4" s="1"/>
  <c r="H308" i="4"/>
  <c r="Z307" i="4"/>
  <c r="Y307" i="4"/>
  <c r="I307" i="4"/>
  <c r="Q307" i="4" s="1"/>
  <c r="H307" i="4"/>
  <c r="Z306" i="4"/>
  <c r="Y306" i="4"/>
  <c r="I306" i="4"/>
  <c r="Q306" i="4" s="1"/>
  <c r="H306" i="4"/>
  <c r="Z305" i="4"/>
  <c r="Y305" i="4"/>
  <c r="I305" i="4"/>
  <c r="Q305" i="4" s="1"/>
  <c r="H305" i="4"/>
  <c r="Z304" i="4"/>
  <c r="Y304" i="4"/>
  <c r="I304" i="4"/>
  <c r="Q304" i="4" s="1"/>
  <c r="H304" i="4"/>
  <c r="Z303" i="4"/>
  <c r="Y303" i="4"/>
  <c r="I303" i="4"/>
  <c r="Q303" i="4" s="1"/>
  <c r="H303" i="4"/>
  <c r="Z302" i="4"/>
  <c r="Y302" i="4"/>
  <c r="I302" i="4"/>
  <c r="Q302" i="4" s="1"/>
  <c r="T302" i="4" s="1"/>
  <c r="H302" i="4"/>
  <c r="Z301" i="4"/>
  <c r="Y301" i="4"/>
  <c r="I301" i="4"/>
  <c r="Q301" i="4" s="1"/>
  <c r="H301" i="4"/>
  <c r="Z300" i="4"/>
  <c r="Y300" i="4"/>
  <c r="I300" i="4"/>
  <c r="Q300" i="4" s="1"/>
  <c r="P300" i="4" s="1"/>
  <c r="R300" i="4" s="1"/>
  <c r="H300" i="4"/>
  <c r="Z299" i="4"/>
  <c r="Y299" i="4"/>
  <c r="I299" i="4"/>
  <c r="Q299" i="4" s="1"/>
  <c r="H299" i="4"/>
  <c r="Z298" i="4"/>
  <c r="Y298" i="4"/>
  <c r="I298" i="4"/>
  <c r="Q298" i="4" s="1"/>
  <c r="T298" i="4" s="1"/>
  <c r="H298" i="4"/>
  <c r="Z297" i="4"/>
  <c r="Y297" i="4"/>
  <c r="I297" i="4"/>
  <c r="Q297" i="4" s="1"/>
  <c r="H297" i="4"/>
  <c r="Z296" i="4"/>
  <c r="Y296" i="4"/>
  <c r="I296" i="4"/>
  <c r="Q296" i="4" s="1"/>
  <c r="P296" i="4" s="1"/>
  <c r="R296" i="4" s="1"/>
  <c r="H296" i="4"/>
  <c r="Z295" i="4"/>
  <c r="Y295" i="4"/>
  <c r="I295" i="4"/>
  <c r="Q295" i="4" s="1"/>
  <c r="H295" i="4"/>
  <c r="Z294" i="4"/>
  <c r="Y294" i="4"/>
  <c r="I294" i="4"/>
  <c r="Q294" i="4" s="1"/>
  <c r="T294" i="4" s="1"/>
  <c r="H294" i="4"/>
  <c r="Z293" i="4"/>
  <c r="Y293" i="4"/>
  <c r="I293" i="4"/>
  <c r="Q293" i="4" s="1"/>
  <c r="H293" i="4"/>
  <c r="Z292" i="4"/>
  <c r="Y292" i="4"/>
  <c r="I292" i="4"/>
  <c r="Q292" i="4" s="1"/>
  <c r="P292" i="4" s="1"/>
  <c r="R292" i="4" s="1"/>
  <c r="H292" i="4"/>
  <c r="Z291" i="4"/>
  <c r="Y291" i="4"/>
  <c r="I291" i="4"/>
  <c r="Q291" i="4" s="1"/>
  <c r="H291" i="4"/>
  <c r="Z290" i="4"/>
  <c r="Y290" i="4"/>
  <c r="I290" i="4"/>
  <c r="Q290" i="4" s="1"/>
  <c r="H290" i="4"/>
  <c r="Z289" i="4"/>
  <c r="Y289" i="4"/>
  <c r="I289" i="4"/>
  <c r="Q289" i="4" s="1"/>
  <c r="H289" i="4"/>
  <c r="Z288" i="4"/>
  <c r="Y288" i="4"/>
  <c r="I288" i="4"/>
  <c r="Q288" i="4" s="1"/>
  <c r="H288" i="4"/>
  <c r="Z287" i="4"/>
  <c r="Y287" i="4"/>
  <c r="I287" i="4"/>
  <c r="Q287" i="4" s="1"/>
  <c r="H287" i="4"/>
  <c r="Z286" i="4"/>
  <c r="Y286" i="4"/>
  <c r="I286" i="4"/>
  <c r="Q286" i="4" s="1"/>
  <c r="T286" i="4" s="1"/>
  <c r="H286" i="4"/>
  <c r="Z285" i="4"/>
  <c r="Y285" i="4"/>
  <c r="I285" i="4"/>
  <c r="Q285" i="4" s="1"/>
  <c r="H285" i="4"/>
  <c r="Z284" i="4"/>
  <c r="Y284" i="4"/>
  <c r="I284" i="4"/>
  <c r="Q284" i="4" s="1"/>
  <c r="U284" i="4" s="1"/>
  <c r="H284" i="4"/>
  <c r="Z283" i="4"/>
  <c r="Y283" i="4"/>
  <c r="I283" i="4"/>
  <c r="Q283" i="4" s="1"/>
  <c r="H283" i="4"/>
  <c r="Z282" i="4"/>
  <c r="Y282" i="4"/>
  <c r="I282" i="4"/>
  <c r="Q282" i="4" s="1"/>
  <c r="T282" i="4" s="1"/>
  <c r="H282" i="4"/>
  <c r="Z281" i="4"/>
  <c r="Y281" i="4"/>
  <c r="I281" i="4"/>
  <c r="Q281" i="4" s="1"/>
  <c r="P281" i="4" s="1"/>
  <c r="R281" i="4" s="1"/>
  <c r="H281" i="4"/>
  <c r="Z280" i="4"/>
  <c r="Y280" i="4"/>
  <c r="I280" i="4"/>
  <c r="Q280" i="4" s="1"/>
  <c r="P280" i="4" s="1"/>
  <c r="R280" i="4" s="1"/>
  <c r="H280" i="4"/>
  <c r="Z279" i="4"/>
  <c r="Y279" i="4"/>
  <c r="I279" i="4"/>
  <c r="Q279" i="4" s="1"/>
  <c r="H279" i="4"/>
  <c r="Z278" i="4"/>
  <c r="Y278" i="4"/>
  <c r="I278" i="4"/>
  <c r="Q278" i="4" s="1"/>
  <c r="T278" i="4" s="1"/>
  <c r="H278" i="4"/>
  <c r="Z277" i="4"/>
  <c r="Y277" i="4"/>
  <c r="I277" i="4"/>
  <c r="Q277" i="4" s="1"/>
  <c r="H277" i="4"/>
  <c r="Z276" i="4"/>
  <c r="Y276" i="4"/>
  <c r="I276" i="4"/>
  <c r="Q276" i="4" s="1"/>
  <c r="P276" i="4" s="1"/>
  <c r="R276" i="4" s="1"/>
  <c r="H276" i="4"/>
  <c r="Z275" i="4"/>
  <c r="Y275" i="4"/>
  <c r="I275" i="4"/>
  <c r="Q275" i="4" s="1"/>
  <c r="H275" i="4"/>
  <c r="Z274" i="4"/>
  <c r="Y274" i="4"/>
  <c r="I274" i="4"/>
  <c r="Q274" i="4" s="1"/>
  <c r="H274" i="4"/>
  <c r="Z273" i="4"/>
  <c r="Y273" i="4"/>
  <c r="I273" i="4"/>
  <c r="Q273" i="4" s="1"/>
  <c r="P273" i="4" s="1"/>
  <c r="R273" i="4" s="1"/>
  <c r="H273" i="4"/>
  <c r="Z272" i="4"/>
  <c r="Y272" i="4"/>
  <c r="I272" i="4"/>
  <c r="Q272" i="4" s="1"/>
  <c r="H272" i="4"/>
  <c r="Z271" i="4"/>
  <c r="Y271" i="4"/>
  <c r="I271" i="4"/>
  <c r="Q271" i="4" s="1"/>
  <c r="H271" i="4"/>
  <c r="Z270" i="4"/>
  <c r="Y270" i="4"/>
  <c r="I270" i="4"/>
  <c r="Q270" i="4" s="1"/>
  <c r="T270" i="4" s="1"/>
  <c r="H270" i="4"/>
  <c r="Z269" i="4"/>
  <c r="Y269" i="4"/>
  <c r="I269" i="4"/>
  <c r="Q269" i="4" s="1"/>
  <c r="U269" i="4" s="1"/>
  <c r="H269" i="4"/>
  <c r="Z268" i="4"/>
  <c r="Y268" i="4"/>
  <c r="I268" i="4"/>
  <c r="Q268" i="4" s="1"/>
  <c r="U268" i="4" s="1"/>
  <c r="H268" i="4"/>
  <c r="Z267" i="4"/>
  <c r="Y267" i="4"/>
  <c r="I267" i="4"/>
  <c r="Q267" i="4" s="1"/>
  <c r="H267" i="4"/>
  <c r="Z266" i="4"/>
  <c r="Y266" i="4"/>
  <c r="I266" i="4"/>
  <c r="Q266" i="4" s="1"/>
  <c r="T266" i="4" s="1"/>
  <c r="H266" i="4"/>
  <c r="Z265" i="4"/>
  <c r="Y265" i="4"/>
  <c r="I265" i="4"/>
  <c r="Q265" i="4" s="1"/>
  <c r="H265" i="4"/>
  <c r="Z264" i="4"/>
  <c r="Y264" i="4"/>
  <c r="I264" i="4"/>
  <c r="Q264" i="4" s="1"/>
  <c r="P264" i="4" s="1"/>
  <c r="R264" i="4" s="1"/>
  <c r="H264" i="4"/>
  <c r="Z263" i="4"/>
  <c r="Y263" i="4"/>
  <c r="I263" i="4"/>
  <c r="Q263" i="4" s="1"/>
  <c r="H263" i="4"/>
  <c r="Z262" i="4"/>
  <c r="Y262" i="4"/>
  <c r="I262" i="4"/>
  <c r="Q262" i="4" s="1"/>
  <c r="T262" i="4" s="1"/>
  <c r="H262" i="4"/>
  <c r="Z261" i="4"/>
  <c r="Y261" i="4"/>
  <c r="I261" i="4"/>
  <c r="Q261" i="4" s="1"/>
  <c r="H261" i="4"/>
  <c r="Z260" i="4"/>
  <c r="Y260" i="4"/>
  <c r="I260" i="4"/>
  <c r="Q260" i="4" s="1"/>
  <c r="U260" i="4" s="1"/>
  <c r="H260" i="4"/>
  <c r="Z259" i="4"/>
  <c r="Y259" i="4"/>
  <c r="I259" i="4"/>
  <c r="Q259" i="4" s="1"/>
  <c r="H259" i="4"/>
  <c r="Z258" i="4"/>
  <c r="Y258" i="4"/>
  <c r="I258" i="4"/>
  <c r="Q258" i="4" s="1"/>
  <c r="H258" i="4"/>
  <c r="Z257" i="4"/>
  <c r="Y257" i="4"/>
  <c r="I257" i="4"/>
  <c r="Q257" i="4" s="1"/>
  <c r="H257" i="4"/>
  <c r="Z256" i="4"/>
  <c r="Y256" i="4"/>
  <c r="I256" i="4"/>
  <c r="Q256" i="4" s="1"/>
  <c r="H256" i="4"/>
  <c r="Z255" i="4"/>
  <c r="Y255" i="4"/>
  <c r="I255" i="4"/>
  <c r="Q255" i="4" s="1"/>
  <c r="H255" i="4"/>
  <c r="Z254" i="4"/>
  <c r="Y254" i="4"/>
  <c r="I254" i="4"/>
  <c r="Q254" i="4" s="1"/>
  <c r="T254" i="4" s="1"/>
  <c r="H254" i="4"/>
  <c r="Z253" i="4"/>
  <c r="Y253" i="4"/>
  <c r="I253" i="4"/>
  <c r="Q253" i="4" s="1"/>
  <c r="H253" i="4"/>
  <c r="Z252" i="4"/>
  <c r="Y252" i="4"/>
  <c r="I252" i="4"/>
  <c r="Q252" i="4" s="1"/>
  <c r="P252" i="4" s="1"/>
  <c r="R252" i="4" s="1"/>
  <c r="H252" i="4"/>
  <c r="Z251" i="4"/>
  <c r="Y251" i="4"/>
  <c r="I251" i="4"/>
  <c r="Q251" i="4" s="1"/>
  <c r="H251" i="4"/>
  <c r="Z250" i="4"/>
  <c r="Y250" i="4"/>
  <c r="I250" i="4"/>
  <c r="Q250" i="4" s="1"/>
  <c r="T250" i="4" s="1"/>
  <c r="H250" i="4"/>
  <c r="Z249" i="4"/>
  <c r="I249" i="4"/>
  <c r="Y249" i="4" s="1"/>
  <c r="H249" i="4"/>
  <c r="Z248" i="4"/>
  <c r="I248" i="4"/>
  <c r="Q248" i="4" s="1"/>
  <c r="U248" i="4" s="1"/>
  <c r="H248" i="4"/>
  <c r="Z247" i="4"/>
  <c r="I247" i="4"/>
  <c r="Y247" i="4" s="1"/>
  <c r="H247" i="4"/>
  <c r="Z246" i="4"/>
  <c r="I246" i="4"/>
  <c r="Q246" i="4" s="1"/>
  <c r="H246" i="4"/>
  <c r="Z245" i="4"/>
  <c r="I245" i="4"/>
  <c r="Q245" i="4" s="1"/>
  <c r="H245" i="4"/>
  <c r="Z244" i="4"/>
  <c r="I244" i="4"/>
  <c r="H244" i="4"/>
  <c r="Z243" i="4"/>
  <c r="I243" i="4"/>
  <c r="H243" i="4"/>
  <c r="Z242" i="4"/>
  <c r="I242" i="4"/>
  <c r="Y242" i="4" s="1"/>
  <c r="H242" i="4"/>
  <c r="Z241" i="4"/>
  <c r="I241" i="4"/>
  <c r="Y241" i="4" s="1"/>
  <c r="H241" i="4"/>
  <c r="Z240" i="4"/>
  <c r="I240" i="4"/>
  <c r="H240" i="4"/>
  <c r="Z239" i="4"/>
  <c r="I239" i="4"/>
  <c r="Y239" i="4" s="1"/>
  <c r="H239" i="4"/>
  <c r="Z238" i="4"/>
  <c r="I238" i="4"/>
  <c r="Y238" i="4" s="1"/>
  <c r="H238" i="4"/>
  <c r="Z237" i="4"/>
  <c r="I237" i="4"/>
  <c r="Y237" i="4" s="1"/>
  <c r="H237" i="4"/>
  <c r="Z236" i="4"/>
  <c r="I236" i="4"/>
  <c r="H236" i="4"/>
  <c r="Z235" i="4"/>
  <c r="I235" i="4"/>
  <c r="Y235" i="4" s="1"/>
  <c r="H235" i="4"/>
  <c r="Z234" i="4"/>
  <c r="I234" i="4"/>
  <c r="Y234" i="4" s="1"/>
  <c r="H234" i="4"/>
  <c r="Z233" i="4"/>
  <c r="I233" i="4"/>
  <c r="Y233" i="4" s="1"/>
  <c r="H233" i="4"/>
  <c r="Z232" i="4"/>
  <c r="I232" i="4"/>
  <c r="H232" i="4"/>
  <c r="Z231" i="4"/>
  <c r="I231" i="4"/>
  <c r="Y231" i="4" s="1"/>
  <c r="H231" i="4"/>
  <c r="Z230" i="4"/>
  <c r="I230" i="4"/>
  <c r="Y230" i="4" s="1"/>
  <c r="H230" i="4"/>
  <c r="Z229" i="4"/>
  <c r="I229" i="4"/>
  <c r="Y229" i="4" s="1"/>
  <c r="H229" i="4"/>
  <c r="Z228" i="4"/>
  <c r="I228" i="4"/>
  <c r="H228" i="4"/>
  <c r="Z227" i="4"/>
  <c r="I227" i="4"/>
  <c r="Y227" i="4" s="1"/>
  <c r="H227" i="4"/>
  <c r="Z226" i="4"/>
  <c r="I226" i="4"/>
  <c r="Y226" i="4" s="1"/>
  <c r="H226" i="4"/>
  <c r="Z225" i="4"/>
  <c r="I225" i="4"/>
  <c r="Y225" i="4" s="1"/>
  <c r="H225" i="4"/>
  <c r="Z224" i="4"/>
  <c r="I224" i="4"/>
  <c r="H224" i="4"/>
  <c r="Z223" i="4"/>
  <c r="I223" i="4"/>
  <c r="Y223" i="4" s="1"/>
  <c r="H223" i="4"/>
  <c r="Z222" i="4"/>
  <c r="I222" i="4"/>
  <c r="Q222" i="4" s="1"/>
  <c r="H222" i="4"/>
  <c r="Z221" i="4"/>
  <c r="I221" i="4"/>
  <c r="Y221" i="4" s="1"/>
  <c r="H221" i="4"/>
  <c r="Z220" i="4"/>
  <c r="I220" i="4"/>
  <c r="Y220" i="4" s="1"/>
  <c r="H220" i="4"/>
  <c r="Z219" i="4"/>
  <c r="I219" i="4"/>
  <c r="Y219" i="4" s="1"/>
  <c r="H219" i="4"/>
  <c r="Z218" i="4"/>
  <c r="I218" i="4"/>
  <c r="Y218" i="4" s="1"/>
  <c r="H218" i="4"/>
  <c r="Z217" i="4"/>
  <c r="I217" i="4"/>
  <c r="Y217" i="4" s="1"/>
  <c r="H217" i="4"/>
  <c r="Z216" i="4"/>
  <c r="I216" i="4"/>
  <c r="Y216" i="4" s="1"/>
  <c r="H216" i="4"/>
  <c r="Z215" i="4"/>
  <c r="I215" i="4"/>
  <c r="Y215" i="4" s="1"/>
  <c r="H215" i="4"/>
  <c r="Z214" i="4"/>
  <c r="I214" i="4"/>
  <c r="Y214" i="4" s="1"/>
  <c r="H214" i="4"/>
  <c r="Z213" i="4"/>
  <c r="I213" i="4"/>
  <c r="Q213" i="4" s="1"/>
  <c r="H213" i="4"/>
  <c r="Z212" i="4"/>
  <c r="I212" i="4"/>
  <c r="Y212" i="4" s="1"/>
  <c r="H212" i="4"/>
  <c r="Z211" i="4"/>
  <c r="I211" i="4"/>
  <c r="Y211" i="4" s="1"/>
  <c r="H211" i="4"/>
  <c r="Z210" i="4"/>
  <c r="I210" i="4"/>
  <c r="Y210" i="4" s="1"/>
  <c r="H210" i="4"/>
  <c r="Z209" i="4"/>
  <c r="I209" i="4"/>
  <c r="Y209" i="4" s="1"/>
  <c r="H209" i="4"/>
  <c r="Z208" i="4"/>
  <c r="I208" i="4"/>
  <c r="Y208" i="4" s="1"/>
  <c r="H208" i="4"/>
  <c r="Z207" i="4"/>
  <c r="I207" i="4"/>
  <c r="Y207" i="4" s="1"/>
  <c r="H207" i="4"/>
  <c r="Z206" i="4"/>
  <c r="I206" i="4"/>
  <c r="Y206" i="4" s="1"/>
  <c r="H206" i="4"/>
  <c r="Z205" i="4"/>
  <c r="I205" i="4"/>
  <c r="Q205" i="4" s="1"/>
  <c r="H205" i="4"/>
  <c r="Z204" i="4"/>
  <c r="I204" i="4"/>
  <c r="Y204" i="4" s="1"/>
  <c r="H204" i="4"/>
  <c r="Z203" i="4"/>
  <c r="I203" i="4"/>
  <c r="Y203" i="4" s="1"/>
  <c r="H203" i="4"/>
  <c r="Z202" i="4"/>
  <c r="I202" i="4"/>
  <c r="Y202" i="4" s="1"/>
  <c r="H202" i="4"/>
  <c r="Z201" i="4"/>
  <c r="I201" i="4"/>
  <c r="H201" i="4"/>
  <c r="Z200" i="4"/>
  <c r="I200" i="4"/>
  <c r="Y200" i="4" s="1"/>
  <c r="H200" i="4"/>
  <c r="Z199" i="4"/>
  <c r="I199" i="4"/>
  <c r="Y199" i="4" s="1"/>
  <c r="H199" i="4"/>
  <c r="Z198" i="4"/>
  <c r="I198" i="4"/>
  <c r="Y198" i="4" s="1"/>
  <c r="H198" i="4"/>
  <c r="Z197" i="4"/>
  <c r="I197" i="4"/>
  <c r="Q197" i="4" s="1"/>
  <c r="H197" i="4"/>
  <c r="Z196" i="4"/>
  <c r="I196" i="4"/>
  <c r="Y196" i="4" s="1"/>
  <c r="H196" i="4"/>
  <c r="Z195" i="4"/>
  <c r="I195" i="4"/>
  <c r="Y195" i="4" s="1"/>
  <c r="H195" i="4"/>
  <c r="Z194" i="4"/>
  <c r="I194" i="4"/>
  <c r="Y194" i="4" s="1"/>
  <c r="H194" i="4"/>
  <c r="Z193" i="4"/>
  <c r="I193" i="4"/>
  <c r="H193" i="4"/>
  <c r="Z192" i="4"/>
  <c r="I192" i="4"/>
  <c r="Y192" i="4" s="1"/>
  <c r="H192" i="4"/>
  <c r="Z191" i="4"/>
  <c r="I191" i="4"/>
  <c r="Y191" i="4" s="1"/>
  <c r="H191" i="4"/>
  <c r="Z190" i="4"/>
  <c r="I190" i="4"/>
  <c r="Y190" i="4" s="1"/>
  <c r="H190" i="4"/>
  <c r="Z189" i="4"/>
  <c r="I189" i="4"/>
  <c r="Q189" i="4" s="1"/>
  <c r="H189" i="4"/>
  <c r="Z188" i="4"/>
  <c r="I188" i="4"/>
  <c r="Q188" i="4" s="1"/>
  <c r="H188" i="4"/>
  <c r="Z187" i="4"/>
  <c r="I187" i="4"/>
  <c r="Y187" i="4" s="1"/>
  <c r="H187" i="4"/>
  <c r="Z186" i="4"/>
  <c r="I186" i="4"/>
  <c r="Y186" i="4" s="1"/>
  <c r="H186" i="4"/>
  <c r="Z185" i="4"/>
  <c r="I185" i="4"/>
  <c r="H185" i="4"/>
  <c r="Z184" i="4"/>
  <c r="I184" i="4"/>
  <c r="Y184" i="4" s="1"/>
  <c r="H184" i="4"/>
  <c r="Z183" i="4"/>
  <c r="I183" i="4"/>
  <c r="Y183" i="4" s="1"/>
  <c r="H183" i="4"/>
  <c r="Z182" i="4"/>
  <c r="I182" i="4"/>
  <c r="Y182" i="4" s="1"/>
  <c r="H182" i="4"/>
  <c r="Z181" i="4"/>
  <c r="I181" i="4"/>
  <c r="Q181" i="4" s="1"/>
  <c r="H181" i="4"/>
  <c r="Z180" i="4"/>
  <c r="I180" i="4"/>
  <c r="Y180" i="4" s="1"/>
  <c r="H180" i="4"/>
  <c r="Z179" i="4"/>
  <c r="I179" i="4"/>
  <c r="Y179" i="4" s="1"/>
  <c r="H179" i="4"/>
  <c r="Z178" i="4"/>
  <c r="I178" i="4"/>
  <c r="Y178" i="4" s="1"/>
  <c r="H178" i="4"/>
  <c r="Z177" i="4"/>
  <c r="I177" i="4"/>
  <c r="H177" i="4"/>
  <c r="Z176" i="4"/>
  <c r="I176" i="4"/>
  <c r="Y176" i="4" s="1"/>
  <c r="H176" i="4"/>
  <c r="Z175" i="4"/>
  <c r="I175" i="4"/>
  <c r="Y175" i="4" s="1"/>
  <c r="H175" i="4"/>
  <c r="Z174" i="4"/>
  <c r="I174" i="4"/>
  <c r="Y174" i="4" s="1"/>
  <c r="H174" i="4"/>
  <c r="Z173" i="4"/>
  <c r="I173" i="4"/>
  <c r="Q173" i="4" s="1"/>
  <c r="H173" i="4"/>
  <c r="Z172" i="4"/>
  <c r="I172" i="4"/>
  <c r="Y172" i="4" s="1"/>
  <c r="H172" i="4"/>
  <c r="Z171" i="4"/>
  <c r="I171" i="4"/>
  <c r="Y171" i="4" s="1"/>
  <c r="H171" i="4"/>
  <c r="Z170" i="4"/>
  <c r="I170" i="4"/>
  <c r="Y170" i="4" s="1"/>
  <c r="H170" i="4"/>
  <c r="Z169" i="4"/>
  <c r="I169" i="4"/>
  <c r="Q169" i="4" s="1"/>
  <c r="H169" i="4"/>
  <c r="Z168" i="4"/>
  <c r="I168" i="4"/>
  <c r="Y168" i="4" s="1"/>
  <c r="H168" i="4"/>
  <c r="Z167" i="4"/>
  <c r="I167" i="4"/>
  <c r="Y167" i="4" s="1"/>
  <c r="H167" i="4"/>
  <c r="Z166" i="4"/>
  <c r="I166" i="4"/>
  <c r="Y166" i="4" s="1"/>
  <c r="H166" i="4"/>
  <c r="Z165" i="4"/>
  <c r="I165" i="4"/>
  <c r="H165" i="4"/>
  <c r="Z164" i="4"/>
  <c r="I164" i="4"/>
  <c r="Y164" i="4" s="1"/>
  <c r="H164" i="4"/>
  <c r="Z163" i="4"/>
  <c r="I163" i="4"/>
  <c r="Y163" i="4" s="1"/>
  <c r="H163" i="4"/>
  <c r="Z162" i="4"/>
  <c r="I162" i="4"/>
  <c r="Y162" i="4" s="1"/>
  <c r="H162" i="4"/>
  <c r="Z161" i="4"/>
  <c r="I161" i="4"/>
  <c r="Q161" i="4" s="1"/>
  <c r="H161" i="4"/>
  <c r="Z160" i="4"/>
  <c r="I160" i="4"/>
  <c r="Y160" i="4" s="1"/>
  <c r="H160" i="4"/>
  <c r="Z159" i="4"/>
  <c r="I159" i="4"/>
  <c r="Y159" i="4" s="1"/>
  <c r="H159" i="4"/>
  <c r="Z158" i="4"/>
  <c r="I158" i="4"/>
  <c r="Y158" i="4" s="1"/>
  <c r="H158" i="4"/>
  <c r="Z157" i="4"/>
  <c r="I157" i="4"/>
  <c r="Q157" i="4" s="1"/>
  <c r="U157" i="4" s="1"/>
  <c r="H157" i="4"/>
  <c r="Z156" i="4"/>
  <c r="I156" i="4"/>
  <c r="Y156" i="4" s="1"/>
  <c r="H156" i="4"/>
  <c r="Z155" i="4"/>
  <c r="I155" i="4"/>
  <c r="Y155" i="4" s="1"/>
  <c r="H155" i="4"/>
  <c r="Z154" i="4"/>
  <c r="I154" i="4"/>
  <c r="Y154" i="4" s="1"/>
  <c r="H154" i="4"/>
  <c r="Z153" i="4"/>
  <c r="I153" i="4"/>
  <c r="Y153" i="4" s="1"/>
  <c r="H153" i="4"/>
  <c r="Z152" i="4"/>
  <c r="I152" i="4"/>
  <c r="H152" i="4"/>
  <c r="Z151" i="4"/>
  <c r="I151" i="4"/>
  <c r="Y151" i="4" s="1"/>
  <c r="H151" i="4"/>
  <c r="Z150" i="4"/>
  <c r="I150" i="4"/>
  <c r="Y150" i="4" s="1"/>
  <c r="H150" i="4"/>
  <c r="Z149" i="4"/>
  <c r="I149" i="4"/>
  <c r="Y149" i="4" s="1"/>
  <c r="H149" i="4"/>
  <c r="Z148" i="4"/>
  <c r="I148" i="4"/>
  <c r="Y148" i="4" s="1"/>
  <c r="H148" i="4"/>
  <c r="Z147" i="4"/>
  <c r="I147" i="4"/>
  <c r="Y147" i="4" s="1"/>
  <c r="H147" i="4"/>
  <c r="Z146" i="4"/>
  <c r="I146" i="4"/>
  <c r="Y146" i="4" s="1"/>
  <c r="H146" i="4"/>
  <c r="Z145" i="4"/>
  <c r="I145" i="4"/>
  <c r="Y145" i="4" s="1"/>
  <c r="H145" i="4"/>
  <c r="Z144" i="4"/>
  <c r="I144" i="4"/>
  <c r="H144" i="4"/>
  <c r="Z143" i="4"/>
  <c r="I143" i="4"/>
  <c r="Y143" i="4" s="1"/>
  <c r="H143" i="4"/>
  <c r="Z142" i="4"/>
  <c r="I142" i="4"/>
  <c r="Y142" i="4" s="1"/>
  <c r="H142" i="4"/>
  <c r="Z141" i="4"/>
  <c r="I141" i="4"/>
  <c r="Y141" i="4" s="1"/>
  <c r="H141" i="4"/>
  <c r="Z140" i="4"/>
  <c r="I140" i="4"/>
  <c r="Y140" i="4" s="1"/>
  <c r="H140" i="4"/>
  <c r="Z139" i="4"/>
  <c r="I139" i="4"/>
  <c r="Y139" i="4" s="1"/>
  <c r="H139" i="4"/>
  <c r="Z138" i="4"/>
  <c r="I138" i="4"/>
  <c r="Y138" i="4" s="1"/>
  <c r="H138" i="4"/>
  <c r="Z137" i="4"/>
  <c r="I137" i="4"/>
  <c r="Y137" i="4" s="1"/>
  <c r="H137" i="4"/>
  <c r="Z136" i="4"/>
  <c r="I136" i="4"/>
  <c r="H136" i="4"/>
  <c r="Z135" i="4"/>
  <c r="I135" i="4"/>
  <c r="Y135" i="4" s="1"/>
  <c r="H135" i="4"/>
  <c r="Z134" i="4"/>
  <c r="I134" i="4"/>
  <c r="Y134" i="4" s="1"/>
  <c r="H134" i="4"/>
  <c r="Z133" i="4"/>
  <c r="I133" i="4"/>
  <c r="Y133" i="4" s="1"/>
  <c r="H133" i="4"/>
  <c r="Z132" i="4"/>
  <c r="I132" i="4"/>
  <c r="Y132" i="4" s="1"/>
  <c r="H132" i="4"/>
  <c r="Z131" i="4"/>
  <c r="I131" i="4"/>
  <c r="H131" i="4"/>
  <c r="Z130" i="4"/>
  <c r="I130" i="4"/>
  <c r="Y130" i="4" s="1"/>
  <c r="H130" i="4"/>
  <c r="Z129" i="4"/>
  <c r="I129" i="4"/>
  <c r="Y129" i="4" s="1"/>
  <c r="H129" i="4"/>
  <c r="Z128" i="4"/>
  <c r="I128" i="4"/>
  <c r="H128" i="4"/>
  <c r="Z127" i="4"/>
  <c r="I127" i="4"/>
  <c r="Y127" i="4" s="1"/>
  <c r="H127" i="4"/>
  <c r="Z126" i="4"/>
  <c r="I126" i="4"/>
  <c r="Y126" i="4" s="1"/>
  <c r="H126" i="4"/>
  <c r="Z125" i="4"/>
  <c r="I125" i="4"/>
  <c r="Q125" i="4" s="1"/>
  <c r="P125" i="4" s="1"/>
  <c r="H125" i="4"/>
  <c r="Z124" i="4"/>
  <c r="I124" i="4"/>
  <c r="H124" i="4"/>
  <c r="Z123" i="4"/>
  <c r="I123" i="4"/>
  <c r="Y123" i="4" s="1"/>
  <c r="H123" i="4"/>
  <c r="Z122" i="4"/>
  <c r="I122" i="4"/>
  <c r="Q122" i="4" s="1"/>
  <c r="H122" i="4"/>
  <c r="Z121" i="4"/>
  <c r="I121" i="4"/>
  <c r="Q121" i="4" s="1"/>
  <c r="P121" i="4" s="1"/>
  <c r="H121" i="4"/>
  <c r="Z120" i="4"/>
  <c r="I120" i="4"/>
  <c r="H120" i="4"/>
  <c r="Z119" i="4"/>
  <c r="I119" i="4"/>
  <c r="Y119" i="4" s="1"/>
  <c r="H119" i="4"/>
  <c r="Z118" i="4"/>
  <c r="I118" i="4"/>
  <c r="Q118" i="4" s="1"/>
  <c r="H118" i="4"/>
  <c r="Z117" i="4"/>
  <c r="I117" i="4"/>
  <c r="Q117" i="4" s="1"/>
  <c r="P117" i="4" s="1"/>
  <c r="H117" i="4"/>
  <c r="Z116" i="4"/>
  <c r="I116" i="4"/>
  <c r="H116" i="4"/>
  <c r="Z115" i="4"/>
  <c r="I115" i="4"/>
  <c r="Y115" i="4" s="1"/>
  <c r="H115" i="4"/>
  <c r="Z114" i="4"/>
  <c r="I114" i="4"/>
  <c r="Q114" i="4" s="1"/>
  <c r="H114" i="4"/>
  <c r="Z113" i="4"/>
  <c r="I113" i="4"/>
  <c r="Q113" i="4" s="1"/>
  <c r="P113" i="4" s="1"/>
  <c r="H113" i="4"/>
  <c r="Z112" i="4"/>
  <c r="I112" i="4"/>
  <c r="H112" i="4"/>
  <c r="Z111" i="4"/>
  <c r="I111" i="4"/>
  <c r="Y111" i="4" s="1"/>
  <c r="H111" i="4"/>
  <c r="Z110" i="4"/>
  <c r="I110" i="4"/>
  <c r="H110" i="4"/>
  <c r="Z109" i="4"/>
  <c r="I109" i="4"/>
  <c r="Q109" i="4" s="1"/>
  <c r="P109" i="4" s="1"/>
  <c r="H109" i="4"/>
  <c r="Z108" i="4"/>
  <c r="I108" i="4"/>
  <c r="H108" i="4"/>
  <c r="Z107" i="4"/>
  <c r="I107" i="4"/>
  <c r="Y107" i="4" s="1"/>
  <c r="H107" i="4"/>
  <c r="Z106" i="4"/>
  <c r="I106" i="4"/>
  <c r="Y106" i="4" s="1"/>
  <c r="H106" i="4"/>
  <c r="Z105" i="4"/>
  <c r="I105" i="4"/>
  <c r="Q105" i="4" s="1"/>
  <c r="P105" i="4" s="1"/>
  <c r="H105" i="4"/>
  <c r="Z104" i="4"/>
  <c r="I104" i="4"/>
  <c r="H104" i="4"/>
  <c r="Z103" i="4"/>
  <c r="I103" i="4"/>
  <c r="Y103" i="4" s="1"/>
  <c r="H103" i="4"/>
  <c r="Z102" i="4"/>
  <c r="I102" i="4"/>
  <c r="Q102" i="4" s="1"/>
  <c r="H102" i="4"/>
  <c r="Z101" i="4"/>
  <c r="I101" i="4"/>
  <c r="Q101" i="4" s="1"/>
  <c r="P101" i="4" s="1"/>
  <c r="H101" i="4"/>
  <c r="Z100" i="4"/>
  <c r="I100" i="4"/>
  <c r="H100" i="4"/>
  <c r="Z99" i="4"/>
  <c r="I99" i="4"/>
  <c r="Y99" i="4" s="1"/>
  <c r="H99" i="4"/>
  <c r="Z98" i="4"/>
  <c r="I98" i="4"/>
  <c r="Q98" i="4" s="1"/>
  <c r="H98" i="4"/>
  <c r="Z97" i="4"/>
  <c r="I97" i="4"/>
  <c r="Q97" i="4" s="1"/>
  <c r="P97" i="4" s="1"/>
  <c r="R97" i="4" s="1"/>
  <c r="H97" i="4"/>
  <c r="Z96" i="4"/>
  <c r="I96" i="4"/>
  <c r="H96" i="4"/>
  <c r="Z95" i="4"/>
  <c r="I95" i="4"/>
  <c r="Y95" i="4" s="1"/>
  <c r="H95" i="4"/>
  <c r="D13" i="4" s="1"/>
  <c r="Z94" i="4"/>
  <c r="I94" i="4"/>
  <c r="H94" i="4"/>
  <c r="Z93" i="4"/>
  <c r="I93" i="4"/>
  <c r="Q93" i="4" s="1"/>
  <c r="U93" i="4" s="1"/>
  <c r="H93" i="4"/>
  <c r="Z92" i="4"/>
  <c r="I92" i="4"/>
  <c r="H92" i="4"/>
  <c r="Z91" i="4"/>
  <c r="I91" i="4"/>
  <c r="Y91" i="4" s="1"/>
  <c r="H91" i="4"/>
  <c r="Z90" i="4"/>
  <c r="I90" i="4"/>
  <c r="Q90" i="4" s="1"/>
  <c r="H90" i="4"/>
  <c r="Z89" i="4"/>
  <c r="I89" i="4"/>
  <c r="Q89" i="4" s="1"/>
  <c r="U89" i="4" s="1"/>
  <c r="H89" i="4"/>
  <c r="Z88" i="4"/>
  <c r="I88" i="4"/>
  <c r="H88" i="4"/>
  <c r="Z87" i="4"/>
  <c r="I87" i="4"/>
  <c r="Y87" i="4" s="1"/>
  <c r="H87" i="4"/>
  <c r="Z86" i="4"/>
  <c r="I86" i="4"/>
  <c r="Q86" i="4" s="1"/>
  <c r="H86" i="4"/>
  <c r="Z85" i="4"/>
  <c r="I85" i="4"/>
  <c r="Q85" i="4" s="1"/>
  <c r="U85" i="4" s="1"/>
  <c r="H85" i="4"/>
  <c r="Z84" i="4"/>
  <c r="I84" i="4"/>
  <c r="H84" i="4"/>
  <c r="Z83" i="4"/>
  <c r="I83" i="4"/>
  <c r="Y83" i="4" s="1"/>
  <c r="H83" i="4"/>
  <c r="Z82" i="4"/>
  <c r="I82" i="4"/>
  <c r="Q82" i="4" s="1"/>
  <c r="H82" i="4"/>
  <c r="Z81" i="4"/>
  <c r="I81" i="4"/>
  <c r="Q81" i="4" s="1"/>
  <c r="H81" i="4"/>
  <c r="Z80" i="4"/>
  <c r="I80" i="4"/>
  <c r="H80" i="4"/>
  <c r="Z79" i="4"/>
  <c r="I79" i="4"/>
  <c r="Y79" i="4" s="1"/>
  <c r="H79" i="4"/>
  <c r="Z78" i="4"/>
  <c r="I78" i="4"/>
  <c r="Q78" i="4" s="1"/>
  <c r="H78" i="4"/>
  <c r="Z77" i="4"/>
  <c r="I77" i="4"/>
  <c r="Q77" i="4" s="1"/>
  <c r="U77" i="4" s="1"/>
  <c r="H77" i="4"/>
  <c r="Z76" i="4"/>
  <c r="I76" i="4"/>
  <c r="H76" i="4"/>
  <c r="Z75" i="4"/>
  <c r="I75" i="4"/>
  <c r="Y75" i="4" s="1"/>
  <c r="H75" i="4"/>
  <c r="Z74" i="4"/>
  <c r="I74" i="4"/>
  <c r="Q74" i="4" s="1"/>
  <c r="H74" i="4"/>
  <c r="Z73" i="4"/>
  <c r="I73" i="4"/>
  <c r="Q73" i="4" s="1"/>
  <c r="H73" i="4"/>
  <c r="Z72" i="4"/>
  <c r="I72" i="4"/>
  <c r="H72" i="4"/>
  <c r="Z71" i="4"/>
  <c r="I71" i="4"/>
  <c r="Y71" i="4" s="1"/>
  <c r="H71" i="4"/>
  <c r="Z70" i="4"/>
  <c r="I70" i="4"/>
  <c r="H70" i="4"/>
  <c r="Z69" i="4"/>
  <c r="I69" i="4"/>
  <c r="Q69" i="4" s="1"/>
  <c r="H69" i="4"/>
  <c r="Z68" i="4"/>
  <c r="I68" i="4"/>
  <c r="H68" i="4"/>
  <c r="Z67" i="4"/>
  <c r="I67" i="4"/>
  <c r="Y67" i="4" s="1"/>
  <c r="H67" i="4"/>
  <c r="C11" i="4" s="1"/>
  <c r="Z66" i="4"/>
  <c r="I66" i="4"/>
  <c r="Q66" i="4" s="1"/>
  <c r="H66" i="4"/>
  <c r="Z65" i="4"/>
  <c r="I65" i="4"/>
  <c r="Q65" i="4" s="1"/>
  <c r="H65" i="4"/>
  <c r="Z64" i="4"/>
  <c r="I64" i="4"/>
  <c r="H64" i="4"/>
  <c r="V35" i="4"/>
  <c r="B35" i="4"/>
  <c r="L32" i="4"/>
  <c r="K32" i="4"/>
  <c r="L30" i="4"/>
  <c r="K30" i="4"/>
  <c r="L29" i="4"/>
  <c r="K29" i="4"/>
  <c r="C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C13" i="4"/>
  <c r="D12" i="4"/>
  <c r="C12" i="4"/>
  <c r="D10" i="4"/>
  <c r="H9" i="4"/>
  <c r="D9" i="4"/>
  <c r="H8" i="4"/>
  <c r="C8" i="10"/>
  <c r="C3" i="26"/>
  <c r="C9" i="18"/>
  <c r="C5" i="8"/>
  <c r="C5" i="24"/>
  <c r="C4" i="26"/>
  <c r="C5" i="10"/>
  <c r="C10" i="20"/>
  <c r="C9" i="12"/>
  <c r="C5" i="14"/>
  <c r="C7" i="18"/>
  <c r="C4" i="12"/>
  <c r="C6" i="18"/>
  <c r="C9" i="28"/>
  <c r="C8" i="24"/>
  <c r="C10" i="10"/>
  <c r="C5" i="28"/>
  <c r="C8" i="20"/>
  <c r="C6" i="14"/>
  <c r="C5" i="20"/>
  <c r="C5" i="16"/>
  <c r="C10" i="8"/>
  <c r="C6" i="8"/>
  <c r="C7" i="16"/>
  <c r="C3" i="10"/>
  <c r="C9" i="24"/>
  <c r="C4" i="18"/>
  <c r="C10" i="6"/>
  <c r="C3" i="28"/>
  <c r="C10" i="24"/>
  <c r="C7" i="6"/>
  <c r="C9" i="16"/>
  <c r="C6" i="10"/>
  <c r="C7" i="12"/>
  <c r="C3" i="14"/>
  <c r="C9" i="8"/>
  <c r="C8" i="8"/>
  <c r="C4" i="24"/>
  <c r="C4" i="16"/>
  <c r="C3" i="6"/>
  <c r="C6" i="26"/>
  <c r="C7" i="22"/>
  <c r="C3" i="22"/>
  <c r="C7" i="14"/>
  <c r="C8" i="6"/>
  <c r="C10" i="22"/>
  <c r="C10" i="16"/>
  <c r="C10" i="28"/>
  <c r="C3" i="8"/>
  <c r="C9" i="22"/>
  <c r="C10" i="14"/>
  <c r="C7" i="28"/>
  <c r="C5" i="26"/>
  <c r="C6" i="22"/>
  <c r="C7" i="26"/>
  <c r="C8" i="12"/>
  <c r="C9" i="20"/>
  <c r="C4" i="20"/>
  <c r="C9" i="10"/>
  <c r="C4" i="8"/>
  <c r="C6" i="28"/>
  <c r="C9" i="6"/>
  <c r="C8" i="28"/>
  <c r="C10" i="12"/>
  <c r="C7" i="24"/>
  <c r="C3" i="24"/>
  <c r="C5" i="18"/>
  <c r="C4" i="28"/>
  <c r="C7" i="8"/>
  <c r="C10" i="18"/>
  <c r="C4" i="14"/>
  <c r="C4" i="6"/>
  <c r="C6" i="20"/>
  <c r="C6" i="24"/>
  <c r="C10" i="26"/>
  <c r="C5" i="12"/>
  <c r="C4" i="22"/>
  <c r="C8" i="22"/>
  <c r="C6" i="16"/>
  <c r="C7" i="20"/>
  <c r="C6" i="6"/>
  <c r="C8" i="14"/>
  <c r="C6" i="12"/>
  <c r="C3" i="18"/>
  <c r="C8" i="16"/>
  <c r="C9" i="26"/>
  <c r="C5" i="22"/>
  <c r="C4" i="10"/>
  <c r="C8" i="26"/>
  <c r="C3" i="20"/>
  <c r="C3" i="12"/>
  <c r="C3" i="16"/>
  <c r="C9" i="14"/>
  <c r="C8" i="18"/>
  <c r="C5" i="6"/>
  <c r="C7" i="10"/>
  <c r="O64" i="9" l="1"/>
  <c r="P95" i="46"/>
  <c r="N94" i="46"/>
  <c r="M94" i="46"/>
  <c r="O96" i="46"/>
  <c r="M96" i="46"/>
  <c r="J94" i="46"/>
  <c r="P97" i="46"/>
  <c r="O94" i="46"/>
  <c r="N96" i="46"/>
  <c r="C9" i="21"/>
  <c r="M68" i="23"/>
  <c r="I12" i="4"/>
  <c r="M67" i="23"/>
  <c r="O67" i="23" s="1"/>
  <c r="I11" i="4"/>
  <c r="M65" i="23"/>
  <c r="I9" i="4"/>
  <c r="M64" i="23"/>
  <c r="O64" i="23" s="1"/>
  <c r="I8" i="4"/>
  <c r="M52" i="23"/>
  <c r="H12" i="4"/>
  <c r="M51" i="23"/>
  <c r="H11" i="4"/>
  <c r="T394" i="3"/>
  <c r="O394" i="3"/>
  <c r="O389" i="3"/>
  <c r="Z389" i="3"/>
  <c r="T361" i="3"/>
  <c r="V361" i="3"/>
  <c r="W361" i="3" s="1"/>
  <c r="V160" i="3"/>
  <c r="W160" i="3" s="1"/>
  <c r="Z160" i="3"/>
  <c r="V134" i="3"/>
  <c r="W134" i="3" s="1"/>
  <c r="Z134" i="3"/>
  <c r="Z131" i="3"/>
  <c r="T131" i="3"/>
  <c r="V116" i="3"/>
  <c r="W116" i="3" s="1"/>
  <c r="Z116" i="3"/>
  <c r="T486" i="4"/>
  <c r="S486" i="4"/>
  <c r="T365" i="4"/>
  <c r="U365" i="4"/>
  <c r="P337" i="4"/>
  <c r="R337" i="4" s="1"/>
  <c r="T337" i="4"/>
  <c r="D11" i="4"/>
  <c r="O65" i="15"/>
  <c r="T256" i="3"/>
  <c r="U144" i="3"/>
  <c r="J12" i="4"/>
  <c r="O134" i="3"/>
  <c r="U222" i="3"/>
  <c r="U377" i="3"/>
  <c r="H16" i="25"/>
  <c r="G16" i="25"/>
  <c r="O379" i="3"/>
  <c r="Z379" i="3"/>
  <c r="Y98" i="4"/>
  <c r="Q149" i="4"/>
  <c r="T364" i="4"/>
  <c r="U313" i="3"/>
  <c r="K11" i="4"/>
  <c r="Z195" i="3"/>
  <c r="T237" i="3"/>
  <c r="O265" i="3"/>
  <c r="I16" i="7"/>
  <c r="B9" i="21"/>
  <c r="B14" i="21"/>
  <c r="D14" i="4"/>
  <c r="E14" i="4" s="1"/>
  <c r="U215" i="3"/>
  <c r="T298" i="3"/>
  <c r="O334" i="3"/>
  <c r="C21" i="27"/>
  <c r="V382" i="3"/>
  <c r="W382" i="3" s="1"/>
  <c r="C9" i="4"/>
  <c r="J9" i="4" s="1"/>
  <c r="Q238" i="4"/>
  <c r="U129" i="3"/>
  <c r="U262" i="3"/>
  <c r="O366" i="3"/>
  <c r="O64" i="15"/>
  <c r="F6" i="27"/>
  <c r="T109" i="3"/>
  <c r="V109" i="3"/>
  <c r="W109" i="3" s="1"/>
  <c r="T487" i="4"/>
  <c r="S487" i="4"/>
  <c r="P305" i="4"/>
  <c r="R305" i="4" s="1"/>
  <c r="T305" i="4"/>
  <c r="U305" i="4"/>
  <c r="S305" i="4"/>
  <c r="O172" i="3"/>
  <c r="Z172" i="3"/>
  <c r="V165" i="3"/>
  <c r="W165" i="3" s="1"/>
  <c r="O165" i="3"/>
  <c r="Z110" i="3"/>
  <c r="O110" i="3"/>
  <c r="U261" i="4"/>
  <c r="S261" i="4"/>
  <c r="P289" i="4"/>
  <c r="R289" i="4" s="1"/>
  <c r="T289" i="4"/>
  <c r="U289" i="4"/>
  <c r="V393" i="3"/>
  <c r="W393" i="3" s="1"/>
  <c r="O393" i="3"/>
  <c r="C41" i="21"/>
  <c r="H21" i="27"/>
  <c r="T405" i="4"/>
  <c r="T414" i="4"/>
  <c r="T468" i="4"/>
  <c r="T492" i="4"/>
  <c r="O166" i="3"/>
  <c r="V201" i="3"/>
  <c r="W201" i="3" s="1"/>
  <c r="O315" i="3"/>
  <c r="D14" i="21"/>
  <c r="C41" i="23"/>
  <c r="H52" i="23"/>
  <c r="F5" i="23" s="1"/>
  <c r="B21" i="27"/>
  <c r="W31" i="46"/>
  <c r="Y114" i="4"/>
  <c r="Y122" i="4"/>
  <c r="Q166" i="4"/>
  <c r="T396" i="4"/>
  <c r="U414" i="4"/>
  <c r="U195" i="3"/>
  <c r="U242" i="3"/>
  <c r="X242" i="3" s="1"/>
  <c r="Y242" i="3" s="1"/>
  <c r="U271" i="3"/>
  <c r="U390" i="3"/>
  <c r="P308" i="4"/>
  <c r="R308" i="4" s="1"/>
  <c r="U139" i="3"/>
  <c r="U166" i="3"/>
  <c r="U173" i="3"/>
  <c r="T389" i="3"/>
  <c r="V390" i="3"/>
  <c r="W390" i="3" s="1"/>
  <c r="O65" i="11"/>
  <c r="C10" i="4"/>
  <c r="Q179" i="4"/>
  <c r="S179" i="4" s="1"/>
  <c r="Y181" i="4"/>
  <c r="Q186" i="4"/>
  <c r="Q206" i="4"/>
  <c r="Q221" i="4"/>
  <c r="D8" i="4"/>
  <c r="K8" i="4" s="1"/>
  <c r="Q204" i="4"/>
  <c r="O64" i="5"/>
  <c r="Q202" i="4"/>
  <c r="P202" i="4" s="1"/>
  <c r="Q214" i="4"/>
  <c r="U292" i="4"/>
  <c r="T160" i="3"/>
  <c r="S195" i="3"/>
  <c r="X195" i="3" s="1"/>
  <c r="Y195" i="3" s="1"/>
  <c r="O237" i="3"/>
  <c r="O257" i="3"/>
  <c r="O323" i="3"/>
  <c r="O330" i="3"/>
  <c r="O357" i="3"/>
  <c r="V389" i="3"/>
  <c r="W389" i="3" s="1"/>
  <c r="I6" i="17"/>
  <c r="D21" i="25"/>
  <c r="D21" i="27"/>
  <c r="W16" i="46"/>
  <c r="W28" i="46"/>
  <c r="Q227" i="4"/>
  <c r="U227" i="4" s="1"/>
  <c r="P316" i="4"/>
  <c r="R316" i="4" s="1"/>
  <c r="U493" i="4"/>
  <c r="U500" i="4"/>
  <c r="U229" i="3"/>
  <c r="U231" i="3"/>
  <c r="X231" i="3" s="1"/>
  <c r="Y231" i="3" s="1"/>
  <c r="U338" i="3"/>
  <c r="H6" i="27"/>
  <c r="O65" i="27"/>
  <c r="Q147" i="4"/>
  <c r="Y74" i="4"/>
  <c r="Q190" i="4"/>
  <c r="Q210" i="4"/>
  <c r="P210" i="4" s="1"/>
  <c r="O141" i="3"/>
  <c r="T204" i="3"/>
  <c r="M69" i="5"/>
  <c r="C26" i="27"/>
  <c r="W4" i="8"/>
  <c r="W10" i="28"/>
  <c r="W9" i="8"/>
  <c r="W4" i="12"/>
  <c r="W7" i="10"/>
  <c r="W7" i="16"/>
  <c r="W3" i="18"/>
  <c r="W4" i="6"/>
  <c r="W9" i="10"/>
  <c r="W10" i="16"/>
  <c r="W3" i="14"/>
  <c r="W7" i="18"/>
  <c r="W5" i="6"/>
  <c r="W6" i="8"/>
  <c r="W6" i="12"/>
  <c r="W4" i="14"/>
  <c r="W4" i="20"/>
  <c r="W10" i="22"/>
  <c r="W7" i="12"/>
  <c r="W5" i="14"/>
  <c r="W8" i="18"/>
  <c r="W10" i="8"/>
  <c r="W8" i="14"/>
  <c r="W10" i="18"/>
  <c r="W9" i="20"/>
  <c r="W8" i="6"/>
  <c r="W6" i="10"/>
  <c r="W9" i="12"/>
  <c r="W9" i="14"/>
  <c r="W5" i="16"/>
  <c r="W6" i="6"/>
  <c r="W7" i="8"/>
  <c r="W8" i="12"/>
  <c r="W7" i="14"/>
  <c r="W9" i="16"/>
  <c r="W10" i="20"/>
  <c r="W3" i="16"/>
  <c r="W5" i="20"/>
  <c r="W7" i="20"/>
  <c r="W4" i="28"/>
  <c r="W7" i="26"/>
  <c r="W3" i="22"/>
  <c r="W7" i="6"/>
  <c r="W5" i="10"/>
  <c r="W3" i="12"/>
  <c r="W6" i="14"/>
  <c r="W6" i="16"/>
  <c r="W5" i="18"/>
  <c r="W6" i="22"/>
  <c r="W7" i="22"/>
  <c r="W10" i="24"/>
  <c r="W4" i="26"/>
  <c r="W3" i="20"/>
  <c r="W8" i="20"/>
  <c r="W8" i="22"/>
  <c r="W3" i="24"/>
  <c r="W5" i="26"/>
  <c r="W6" i="26"/>
  <c r="W3" i="28"/>
  <c r="W5" i="24"/>
  <c r="W8" i="26"/>
  <c r="W5" i="28"/>
  <c r="W4" i="22"/>
  <c r="W7" i="24"/>
  <c r="W7" i="28"/>
  <c r="W3" i="6"/>
  <c r="W10" i="6"/>
  <c r="W5" i="8"/>
  <c r="W4" i="10"/>
  <c r="W10" i="10"/>
  <c r="W5" i="12"/>
  <c r="W10" i="12"/>
  <c r="W10" i="14"/>
  <c r="W4" i="16"/>
  <c r="W4" i="18"/>
  <c r="W9" i="18"/>
  <c r="W5" i="22"/>
  <c r="W8" i="24"/>
  <c r="W10" i="26"/>
  <c r="W8" i="28"/>
  <c r="W9" i="22"/>
  <c r="U313" i="4"/>
  <c r="T313" i="4"/>
  <c r="S313" i="4"/>
  <c r="P313" i="4"/>
  <c r="R313" i="4" s="1"/>
  <c r="U257" i="4"/>
  <c r="S257" i="4"/>
  <c r="P257" i="4"/>
  <c r="R257" i="4" s="1"/>
  <c r="U285" i="4"/>
  <c r="P285" i="4"/>
  <c r="R285" i="4" s="1"/>
  <c r="S285" i="4"/>
  <c r="U317" i="4"/>
  <c r="T317" i="4"/>
  <c r="S317" i="4"/>
  <c r="S321" i="4"/>
  <c r="U321" i="4"/>
  <c r="T321" i="4"/>
  <c r="T379" i="4"/>
  <c r="P379" i="4"/>
  <c r="R379" i="4" s="1"/>
  <c r="S379" i="4"/>
  <c r="T241" i="3"/>
  <c r="V241" i="3"/>
  <c r="W241" i="3" s="1"/>
  <c r="Z311" i="3"/>
  <c r="V311" i="3"/>
  <c r="W311" i="3" s="1"/>
  <c r="S325" i="4"/>
  <c r="U325" i="4"/>
  <c r="T325" i="4"/>
  <c r="P398" i="4"/>
  <c r="R398" i="4" s="1"/>
  <c r="U398" i="4"/>
  <c r="T398" i="4"/>
  <c r="S398" i="4"/>
  <c r="P430" i="4"/>
  <c r="R430" i="4" s="1"/>
  <c r="S430" i="4"/>
  <c r="T285" i="3"/>
  <c r="O285" i="3"/>
  <c r="U193" i="3"/>
  <c r="V193" i="3"/>
  <c r="W193" i="3" s="1"/>
  <c r="O193" i="3"/>
  <c r="T273" i="3"/>
  <c r="V273" i="3"/>
  <c r="W273" i="3" s="1"/>
  <c r="T292" i="3"/>
  <c r="Z292" i="3"/>
  <c r="U265" i="4"/>
  <c r="P265" i="4"/>
  <c r="R265" i="4" s="1"/>
  <c r="S265" i="4"/>
  <c r="Z272" i="3"/>
  <c r="U272" i="3"/>
  <c r="P297" i="4"/>
  <c r="R297" i="4" s="1"/>
  <c r="U297" i="4"/>
  <c r="T297" i="4"/>
  <c r="S297" i="4"/>
  <c r="U301" i="4"/>
  <c r="T301" i="4"/>
  <c r="Z136" i="3"/>
  <c r="V136" i="3"/>
  <c r="W136" i="3" s="1"/>
  <c r="O261" i="3"/>
  <c r="T261" i="3"/>
  <c r="P293" i="4"/>
  <c r="R293" i="4" s="1"/>
  <c r="U293" i="4"/>
  <c r="T293" i="4"/>
  <c r="S293" i="4"/>
  <c r="U309" i="4"/>
  <c r="T309" i="4"/>
  <c r="S309" i="4"/>
  <c r="P309" i="4"/>
  <c r="R309" i="4" s="1"/>
  <c r="T149" i="3"/>
  <c r="O149" i="3"/>
  <c r="P277" i="4"/>
  <c r="R277" i="4" s="1"/>
  <c r="T277" i="4"/>
  <c r="T417" i="4"/>
  <c r="S417" i="4"/>
  <c r="U343" i="4"/>
  <c r="P343" i="4"/>
  <c r="R343" i="4" s="1"/>
  <c r="T399" i="4"/>
  <c r="U399" i="4"/>
  <c r="S399" i="4"/>
  <c r="Y118" i="4"/>
  <c r="Q145" i="4"/>
  <c r="Q171" i="4"/>
  <c r="S171" i="4" s="1"/>
  <c r="Y173" i="4"/>
  <c r="Q178" i="4"/>
  <c r="Q182" i="4"/>
  <c r="Y169" i="4"/>
  <c r="Q233" i="4"/>
  <c r="Y245" i="4"/>
  <c r="C7" i="4" s="1"/>
  <c r="S455" i="4"/>
  <c r="O133" i="3"/>
  <c r="O234" i="3"/>
  <c r="Z234" i="3"/>
  <c r="T257" i="3"/>
  <c r="T281" i="3"/>
  <c r="I16" i="9"/>
  <c r="M28" i="13"/>
  <c r="G9" i="23"/>
  <c r="U455" i="4"/>
  <c r="T140" i="3"/>
  <c r="T245" i="3"/>
  <c r="V245" i="3"/>
  <c r="W245" i="3" s="1"/>
  <c r="U256" i="3"/>
  <c r="U326" i="3"/>
  <c r="I21" i="9"/>
  <c r="O64" i="19"/>
  <c r="C6" i="27"/>
  <c r="Q129" i="4"/>
  <c r="Q134" i="4"/>
  <c r="Q141" i="4"/>
  <c r="Y157" i="4"/>
  <c r="N97" i="46" s="1"/>
  <c r="Q229" i="4"/>
  <c r="S229" i="4" s="1"/>
  <c r="U252" i="4"/>
  <c r="U276" i="4"/>
  <c r="P284" i="4"/>
  <c r="R284" i="4" s="1"/>
  <c r="U300" i="4"/>
  <c r="U324" i="4"/>
  <c r="S358" i="4"/>
  <c r="S366" i="4"/>
  <c r="S383" i="4"/>
  <c r="T397" i="4"/>
  <c r="T460" i="4"/>
  <c r="P487" i="4"/>
  <c r="R487" i="4" s="1"/>
  <c r="U131" i="3"/>
  <c r="X131" i="3" s="1"/>
  <c r="Y131" i="3" s="1"/>
  <c r="Z140" i="3"/>
  <c r="T191" i="3"/>
  <c r="U196" i="3"/>
  <c r="U211" i="3"/>
  <c r="U355" i="3"/>
  <c r="O388" i="3"/>
  <c r="I21" i="11"/>
  <c r="I20" i="25"/>
  <c r="C15" i="4"/>
  <c r="C14" i="4"/>
  <c r="F14" i="4" s="1"/>
  <c r="Q139" i="4"/>
  <c r="Q150" i="4"/>
  <c r="Q218" i="4"/>
  <c r="P218" i="4" s="1"/>
  <c r="Q225" i="4"/>
  <c r="U122" i="3"/>
  <c r="U230" i="3"/>
  <c r="U235" i="3"/>
  <c r="V260" i="3"/>
  <c r="W260" i="3" s="1"/>
  <c r="Z264" i="3"/>
  <c r="O361" i="3"/>
  <c r="T388" i="3"/>
  <c r="M28" i="7"/>
  <c r="P96" i="46"/>
  <c r="Y246" i="4"/>
  <c r="P261" i="4"/>
  <c r="R261" i="4" s="1"/>
  <c r="T273" i="4"/>
  <c r="T281" i="4"/>
  <c r="S289" i="4"/>
  <c r="O109" i="3"/>
  <c r="Z260" i="3"/>
  <c r="U334" i="3"/>
  <c r="I33" i="5"/>
  <c r="Q30" i="5" s="1"/>
  <c r="F55" i="19"/>
  <c r="H55" i="19" s="1"/>
  <c r="V269" i="3"/>
  <c r="W269" i="3" s="1"/>
  <c r="T269" i="3"/>
  <c r="U305" i="3"/>
  <c r="V305" i="3"/>
  <c r="W305" i="3" s="1"/>
  <c r="U345" i="3"/>
  <c r="I39" i="13"/>
  <c r="G6" i="27"/>
  <c r="T342" i="3"/>
  <c r="V342" i="3"/>
  <c r="W342" i="3" s="1"/>
  <c r="O67" i="19"/>
  <c r="P260" i="4"/>
  <c r="R260" i="4" s="1"/>
  <c r="U359" i="4"/>
  <c r="U364" i="4"/>
  <c r="P455" i="4"/>
  <c r="R455" i="4" s="1"/>
  <c r="T461" i="4"/>
  <c r="O268" i="3"/>
  <c r="Z268" i="3"/>
  <c r="Z297" i="3"/>
  <c r="T297" i="3"/>
  <c r="I21" i="7"/>
  <c r="I26" i="11"/>
  <c r="Q25" i="27"/>
  <c r="H37" i="27" s="1"/>
  <c r="R6" i="27"/>
  <c r="U197" i="3"/>
  <c r="U319" i="3"/>
  <c r="U323" i="3"/>
  <c r="X323" i="3" s="1"/>
  <c r="Y323" i="3" s="1"/>
  <c r="I16" i="17"/>
  <c r="D5" i="21"/>
  <c r="C10" i="21"/>
  <c r="AB54" i="23"/>
  <c r="B19" i="23" s="1"/>
  <c r="C16" i="25"/>
  <c r="O65" i="5"/>
  <c r="U8" i="46"/>
  <c r="D16" i="25"/>
  <c r="G21" i="27"/>
  <c r="O64" i="21"/>
  <c r="I15" i="25"/>
  <c r="I62" i="23"/>
  <c r="H39" i="23" s="1"/>
  <c r="B21" i="25"/>
  <c r="O67" i="25"/>
  <c r="R65" i="27"/>
  <c r="W4" i="24"/>
  <c r="W9" i="24"/>
  <c r="W3" i="26"/>
  <c r="W9" i="26"/>
  <c r="W9" i="28"/>
  <c r="W6" i="24"/>
  <c r="W9" i="6"/>
  <c r="W3" i="8"/>
  <c r="W8" i="8"/>
  <c r="W3" i="10"/>
  <c r="W8" i="10"/>
  <c r="W8" i="16"/>
  <c r="W6" i="18"/>
  <c r="W6" i="20"/>
  <c r="W6" i="28"/>
  <c r="Q110" i="4"/>
  <c r="Y110" i="4"/>
  <c r="T246" i="4"/>
  <c r="S246" i="4"/>
  <c r="T113" i="3"/>
  <c r="O113" i="3"/>
  <c r="V113" i="3"/>
  <c r="W113" i="3" s="1"/>
  <c r="T391" i="4"/>
  <c r="U391" i="4"/>
  <c r="U137" i="3"/>
  <c r="O137" i="3"/>
  <c r="V137" i="3"/>
  <c r="W137" i="3" s="1"/>
  <c r="T137" i="3"/>
  <c r="T152" i="3"/>
  <c r="O152" i="3"/>
  <c r="T376" i="3"/>
  <c r="U376" i="3"/>
  <c r="N48" i="5"/>
  <c r="O48" i="5" s="1"/>
  <c r="C8" i="4"/>
  <c r="J8" i="4" s="1"/>
  <c r="Q70" i="4"/>
  <c r="Y70" i="4"/>
  <c r="P372" i="4"/>
  <c r="R372" i="4" s="1"/>
  <c r="U372" i="4"/>
  <c r="P449" i="4"/>
  <c r="R449" i="4" s="1"/>
  <c r="U449" i="4"/>
  <c r="S449" i="4"/>
  <c r="T125" i="3"/>
  <c r="V125" i="3"/>
  <c r="W125" i="3" s="1"/>
  <c r="O125" i="3"/>
  <c r="V181" i="3"/>
  <c r="W181" i="3" s="1"/>
  <c r="O181" i="3"/>
  <c r="T181" i="3"/>
  <c r="O248" i="3"/>
  <c r="T248" i="3"/>
  <c r="U248" i="3"/>
  <c r="U253" i="4"/>
  <c r="T253" i="4"/>
  <c r="S253" i="4"/>
  <c r="P253" i="4"/>
  <c r="R253" i="4" s="1"/>
  <c r="T346" i="4"/>
  <c r="P346" i="4"/>
  <c r="R346" i="4" s="1"/>
  <c r="S346" i="4"/>
  <c r="U346" i="4"/>
  <c r="T404" i="4"/>
  <c r="U404" i="4"/>
  <c r="S440" i="4"/>
  <c r="P440" i="4"/>
  <c r="R440" i="4" s="1"/>
  <c r="U440" i="4"/>
  <c r="P442" i="4"/>
  <c r="R442" i="4" s="1"/>
  <c r="T442" i="4"/>
  <c r="T444" i="4"/>
  <c r="U444" i="4"/>
  <c r="Z176" i="3"/>
  <c r="T176" i="3"/>
  <c r="O176" i="3"/>
  <c r="O325" i="3"/>
  <c r="T325" i="3"/>
  <c r="Q94" i="4"/>
  <c r="Y94" i="4"/>
  <c r="Z112" i="3"/>
  <c r="O112" i="3"/>
  <c r="U121" i="3"/>
  <c r="V121" i="3"/>
  <c r="W121" i="3" s="1"/>
  <c r="T121" i="3"/>
  <c r="O121" i="3"/>
  <c r="Z287" i="3"/>
  <c r="T287" i="3"/>
  <c r="U289" i="3"/>
  <c r="O289" i="3"/>
  <c r="V289" i="3"/>
  <c r="W289" i="3" s="1"/>
  <c r="T289" i="3"/>
  <c r="Y82" i="4"/>
  <c r="K95" i="46" s="1"/>
  <c r="Y131" i="4"/>
  <c r="M95" i="46" s="1"/>
  <c r="Q131" i="4"/>
  <c r="U418" i="4"/>
  <c r="T418" i="4"/>
  <c r="T161" i="3"/>
  <c r="V161" i="3"/>
  <c r="W161" i="3" s="1"/>
  <c r="O161" i="3"/>
  <c r="T426" i="4"/>
  <c r="U426" i="4"/>
  <c r="S426" i="4"/>
  <c r="P426" i="4"/>
  <c r="R426" i="4" s="1"/>
  <c r="P481" i="4"/>
  <c r="R481" i="4" s="1"/>
  <c r="S481" i="4"/>
  <c r="U481" i="4"/>
  <c r="T481" i="4"/>
  <c r="U189" i="3"/>
  <c r="O189" i="3"/>
  <c r="V189" i="3"/>
  <c r="W189" i="3" s="1"/>
  <c r="T189" i="3"/>
  <c r="T209" i="3"/>
  <c r="O209" i="3"/>
  <c r="V209" i="3"/>
  <c r="W209" i="3" s="1"/>
  <c r="U233" i="3"/>
  <c r="O233" i="3"/>
  <c r="V233" i="3"/>
  <c r="W233" i="3" s="1"/>
  <c r="T233" i="3"/>
  <c r="U307" i="3"/>
  <c r="V307" i="3"/>
  <c r="W307" i="3" s="1"/>
  <c r="D15" i="4"/>
  <c r="E15" i="4" s="1"/>
  <c r="Q165" i="4"/>
  <c r="Y165" i="4"/>
  <c r="P441" i="4"/>
  <c r="R441" i="4" s="1"/>
  <c r="U441" i="4"/>
  <c r="T177" i="3"/>
  <c r="V177" i="3"/>
  <c r="W177" i="3" s="1"/>
  <c r="O177" i="3"/>
  <c r="T324" i="3"/>
  <c r="O324" i="3"/>
  <c r="Z324" i="3"/>
  <c r="T245" i="4"/>
  <c r="S245" i="4"/>
  <c r="S360" i="4"/>
  <c r="T360" i="4"/>
  <c r="T363" i="4"/>
  <c r="P363" i="4"/>
  <c r="R363" i="4" s="1"/>
  <c r="T422" i="4"/>
  <c r="S422" i="4"/>
  <c r="U185" i="3"/>
  <c r="T185" i="3"/>
  <c r="V197" i="3"/>
  <c r="W197" i="3" s="1"/>
  <c r="O200" i="3"/>
  <c r="U227" i="3"/>
  <c r="O241" i="3"/>
  <c r="U317" i="3"/>
  <c r="T317" i="3"/>
  <c r="U362" i="3"/>
  <c r="V383" i="3"/>
  <c r="W383" i="3" s="1"/>
  <c r="Z383" i="3"/>
  <c r="O383" i="3"/>
  <c r="Z387" i="3"/>
  <c r="O387" i="3"/>
  <c r="O391" i="3"/>
  <c r="V391" i="3"/>
  <c r="W391" i="3" s="1"/>
  <c r="Z391" i="3"/>
  <c r="O67" i="5"/>
  <c r="R67" i="5"/>
  <c r="Q187" i="4"/>
  <c r="S187" i="4" s="1"/>
  <c r="Y189" i="4"/>
  <c r="O97" i="46" s="1"/>
  <c r="S204" i="4"/>
  <c r="Y213" i="4"/>
  <c r="Q226" i="4"/>
  <c r="Q241" i="4"/>
  <c r="Y243" i="4"/>
  <c r="P32" i="46" s="1"/>
  <c r="W32" i="46" s="1"/>
  <c r="Q243" i="4"/>
  <c r="U245" i="4"/>
  <c r="P269" i="4"/>
  <c r="R269" i="4" s="1"/>
  <c r="S273" i="4"/>
  <c r="S277" i="4"/>
  <c r="S281" i="4"/>
  <c r="S301" i="4"/>
  <c r="P339" i="4"/>
  <c r="R339" i="4" s="1"/>
  <c r="U360" i="4"/>
  <c r="U363" i="4"/>
  <c r="T373" i="4"/>
  <c r="P383" i="4"/>
  <c r="R383" i="4" s="1"/>
  <c r="S390" i="4"/>
  <c r="P396" i="4"/>
  <c r="R396" i="4" s="1"/>
  <c r="P431" i="4"/>
  <c r="R431" i="4" s="1"/>
  <c r="U439" i="4"/>
  <c r="P468" i="4"/>
  <c r="R468" i="4" s="1"/>
  <c r="P471" i="4"/>
  <c r="R471" i="4" s="1"/>
  <c r="O129" i="3"/>
  <c r="O144" i="3"/>
  <c r="O145" i="3"/>
  <c r="O240" i="3"/>
  <c r="O384" i="3"/>
  <c r="T384" i="3"/>
  <c r="Q133" i="4"/>
  <c r="Q162" i="4"/>
  <c r="Q194" i="4"/>
  <c r="P194" i="4" s="1"/>
  <c r="Q198" i="4"/>
  <c r="U204" i="4"/>
  <c r="U153" i="3"/>
  <c r="V153" i="3"/>
  <c r="W153" i="3" s="1"/>
  <c r="O153" i="3"/>
  <c r="U157" i="3"/>
  <c r="O157" i="3"/>
  <c r="V221" i="3"/>
  <c r="W221" i="3" s="1"/>
  <c r="O221" i="3"/>
  <c r="U226" i="3"/>
  <c r="Z226" i="3"/>
  <c r="X226" i="3" s="1"/>
  <c r="Y226" i="3" s="1"/>
  <c r="O244" i="3"/>
  <c r="U244" i="3"/>
  <c r="U329" i="3"/>
  <c r="Z329" i="3"/>
  <c r="X329" i="3" s="1"/>
  <c r="Y329" i="3" s="1"/>
  <c r="V329" i="3"/>
  <c r="W329" i="3" s="1"/>
  <c r="O329" i="3"/>
  <c r="V351" i="3"/>
  <c r="W351" i="3" s="1"/>
  <c r="Z351" i="3"/>
  <c r="U381" i="3"/>
  <c r="T381" i="3"/>
  <c r="Y90" i="4"/>
  <c r="Q156" i="4"/>
  <c r="Q164" i="4"/>
  <c r="P164" i="4" s="1"/>
  <c r="Q170" i="4"/>
  <c r="Q174" i="4"/>
  <c r="Q203" i="4"/>
  <c r="S203" i="4" s="1"/>
  <c r="Q237" i="4"/>
  <c r="Q249" i="4"/>
  <c r="T257" i="4"/>
  <c r="T261" i="4"/>
  <c r="T265" i="4"/>
  <c r="P268" i="4"/>
  <c r="R268" i="4" s="1"/>
  <c r="S269" i="4"/>
  <c r="U273" i="4"/>
  <c r="U277" i="4"/>
  <c r="U281" i="4"/>
  <c r="T285" i="4"/>
  <c r="S339" i="4"/>
  <c r="P350" i="4"/>
  <c r="R350" i="4" s="1"/>
  <c r="T429" i="4"/>
  <c r="T430" i="4"/>
  <c r="S431" i="4"/>
  <c r="S447" i="4"/>
  <c r="U468" i="4"/>
  <c r="T474" i="4"/>
  <c r="P482" i="4"/>
  <c r="R482" i="4" s="1"/>
  <c r="O117" i="3"/>
  <c r="T129" i="3"/>
  <c r="U133" i="3"/>
  <c r="T133" i="3"/>
  <c r="T144" i="3"/>
  <c r="T153" i="3"/>
  <c r="T156" i="3"/>
  <c r="T157" i="3"/>
  <c r="U165" i="3"/>
  <c r="T221" i="3"/>
  <c r="U240" i="3"/>
  <c r="U265" i="3"/>
  <c r="T265" i="3"/>
  <c r="O278" i="3"/>
  <c r="V301" i="3"/>
  <c r="W301" i="3" s="1"/>
  <c r="Z301" i="3"/>
  <c r="O301" i="3"/>
  <c r="U316" i="3"/>
  <c r="X316" i="3" s="1"/>
  <c r="Y316" i="3" s="1"/>
  <c r="S319" i="3"/>
  <c r="X319" i="3" s="1"/>
  <c r="Y319" i="3" s="1"/>
  <c r="Z327" i="3"/>
  <c r="O327" i="3"/>
  <c r="T329" i="3"/>
  <c r="S347" i="3"/>
  <c r="U347" i="3"/>
  <c r="U351" i="3"/>
  <c r="V365" i="3"/>
  <c r="W365" i="3" s="1"/>
  <c r="Z365" i="3"/>
  <c r="T365" i="3"/>
  <c r="Y78" i="4"/>
  <c r="Q130" i="4"/>
  <c r="Q148" i="4"/>
  <c r="Q158" i="4"/>
  <c r="S225" i="4"/>
  <c r="U225" i="4"/>
  <c r="T269" i="4"/>
  <c r="P321" i="4"/>
  <c r="R321" i="4" s="1"/>
  <c r="P325" i="4"/>
  <c r="R325" i="4" s="1"/>
  <c r="S350" i="4"/>
  <c r="P358" i="4"/>
  <c r="R358" i="4" s="1"/>
  <c r="P365" i="4"/>
  <c r="R365" i="4" s="1"/>
  <c r="S365" i="4"/>
  <c r="P366" i="4"/>
  <c r="R366" i="4" s="1"/>
  <c r="P392" i="4"/>
  <c r="R392" i="4" s="1"/>
  <c r="U430" i="4"/>
  <c r="P462" i="4"/>
  <c r="R462" i="4" s="1"/>
  <c r="T470" i="4"/>
  <c r="S482" i="4"/>
  <c r="T117" i="3"/>
  <c r="O120" i="3"/>
  <c r="V129" i="3"/>
  <c r="W129" i="3" s="1"/>
  <c r="T145" i="3"/>
  <c r="V149" i="3"/>
  <c r="W149" i="3" s="1"/>
  <c r="U156" i="3"/>
  <c r="V157" i="3"/>
  <c r="W157" i="3" s="1"/>
  <c r="T165" i="3"/>
  <c r="O173" i="3"/>
  <c r="O178" i="3"/>
  <c r="T193" i="3"/>
  <c r="T211" i="3"/>
  <c r="V217" i="3"/>
  <c r="W217" i="3" s="1"/>
  <c r="O217" i="3"/>
  <c r="Z227" i="3"/>
  <c r="X227" i="3" s="1"/>
  <c r="Y227" i="3" s="1"/>
  <c r="O230" i="3"/>
  <c r="S235" i="3"/>
  <c r="U239" i="3"/>
  <c r="X239" i="3" s="1"/>
  <c r="Y239" i="3" s="1"/>
  <c r="O249" i="3"/>
  <c r="V249" i="3"/>
  <c r="W249" i="3" s="1"/>
  <c r="O277" i="3"/>
  <c r="U281" i="3"/>
  <c r="O281" i="3"/>
  <c r="V346" i="3"/>
  <c r="W346" i="3" s="1"/>
  <c r="T346" i="3"/>
  <c r="O370" i="3"/>
  <c r="T370" i="3"/>
  <c r="U387" i="3"/>
  <c r="R65" i="5"/>
  <c r="Y102" i="4"/>
  <c r="M433" i="3" s="1"/>
  <c r="T350" i="4"/>
  <c r="P473" i="4"/>
  <c r="R473" i="4" s="1"/>
  <c r="U473" i="4"/>
  <c r="T482" i="4"/>
  <c r="K623" i="3"/>
  <c r="U120" i="3"/>
  <c r="U169" i="3"/>
  <c r="V169" i="3"/>
  <c r="W169" i="3" s="1"/>
  <c r="T173" i="3"/>
  <c r="O197" i="3"/>
  <c r="O229" i="3"/>
  <c r="V230" i="3"/>
  <c r="W230" i="3" s="1"/>
  <c r="U260" i="3"/>
  <c r="U261" i="3"/>
  <c r="V261" i="3"/>
  <c r="W261" i="3" s="1"/>
  <c r="T277" i="3"/>
  <c r="T302" i="3"/>
  <c r="O306" i="3"/>
  <c r="U306" i="3"/>
  <c r="U312" i="3"/>
  <c r="T318" i="3"/>
  <c r="O320" i="3"/>
  <c r="Z320" i="3"/>
  <c r="U330" i="3"/>
  <c r="Z333" i="3"/>
  <c r="V333" i="3"/>
  <c r="W333" i="3" s="1"/>
  <c r="O338" i="3"/>
  <c r="Z384" i="3"/>
  <c r="U386" i="3"/>
  <c r="S386" i="3"/>
  <c r="U398" i="3"/>
  <c r="T398" i="3"/>
  <c r="K9" i="4"/>
  <c r="N49" i="7"/>
  <c r="O49" i="7" s="1"/>
  <c r="Y66" i="4"/>
  <c r="P93" i="4"/>
  <c r="R93" i="4" s="1"/>
  <c r="Q126" i="4"/>
  <c r="Y86" i="4"/>
  <c r="Q132" i="4"/>
  <c r="Q142" i="4"/>
  <c r="Q155" i="4"/>
  <c r="Q163" i="4"/>
  <c r="S163" i="4" s="1"/>
  <c r="Q195" i="4"/>
  <c r="S195" i="4" s="1"/>
  <c r="Y197" i="4"/>
  <c r="Y205" i="4"/>
  <c r="Q231" i="4"/>
  <c r="P317" i="4"/>
  <c r="R317" i="4" s="1"/>
  <c r="T343" i="4"/>
  <c r="S343" i="4"/>
  <c r="P364" i="4"/>
  <c r="R364" i="4" s="1"/>
  <c r="U366" i="4"/>
  <c r="T392" i="4"/>
  <c r="P399" i="4"/>
  <c r="R399" i="4" s="1"/>
  <c r="P414" i="4"/>
  <c r="R414" i="4" s="1"/>
  <c r="S415" i="4"/>
  <c r="T428" i="4"/>
  <c r="S446" i="4"/>
  <c r="T446" i="4"/>
  <c r="T462" i="4"/>
  <c r="P486" i="4"/>
  <c r="R486" i="4" s="1"/>
  <c r="U486" i="4"/>
  <c r="U130" i="3"/>
  <c r="X130" i="3" s="1"/>
  <c r="Y130" i="3" s="1"/>
  <c r="U134" i="3"/>
  <c r="U162" i="3"/>
  <c r="V162" i="3"/>
  <c r="W162" i="3" s="1"/>
  <c r="T169" i="3"/>
  <c r="V173" i="3"/>
  <c r="W173" i="3" s="1"/>
  <c r="O196" i="3"/>
  <c r="Z212" i="3"/>
  <c r="V212" i="3"/>
  <c r="W212" i="3" s="1"/>
  <c r="V213" i="3"/>
  <c r="W213" i="3" s="1"/>
  <c r="O213" i="3"/>
  <c r="T229" i="3"/>
  <c r="Z230" i="3"/>
  <c r="X230" i="3" s="1"/>
  <c r="Y230" i="3" s="1"/>
  <c r="O238" i="3"/>
  <c r="U250" i="3"/>
  <c r="O273" i="3"/>
  <c r="O274" i="3"/>
  <c r="Z274" i="3"/>
  <c r="T280" i="3"/>
  <c r="U297" i="3"/>
  <c r="O297" i="3"/>
  <c r="T338" i="3"/>
  <c r="O362" i="3"/>
  <c r="U393" i="3"/>
  <c r="T393" i="3"/>
  <c r="Z393" i="3"/>
  <c r="X393" i="3" s="1"/>
  <c r="Y393" i="3" s="1"/>
  <c r="I33" i="11"/>
  <c r="Q30" i="11" s="1"/>
  <c r="H53" i="11"/>
  <c r="P301" i="4"/>
  <c r="R301" i="4" s="1"/>
  <c r="P360" i="4"/>
  <c r="R360" i="4" s="1"/>
  <c r="P417" i="4"/>
  <c r="R417" i="4" s="1"/>
  <c r="U417" i="4"/>
  <c r="T458" i="4"/>
  <c r="P458" i="4"/>
  <c r="R458" i="4" s="1"/>
  <c r="S472" i="4"/>
  <c r="P472" i="4"/>
  <c r="R472" i="4" s="1"/>
  <c r="P494" i="4"/>
  <c r="R494" i="4" s="1"/>
  <c r="T494" i="4"/>
  <c r="R106" i="3"/>
  <c r="Z142" i="3"/>
  <c r="O142" i="3"/>
  <c r="O185" i="3"/>
  <c r="V196" i="3"/>
  <c r="W196" i="3" s="1"/>
  <c r="T197" i="3"/>
  <c r="U201" i="3"/>
  <c r="T201" i="3"/>
  <c r="O205" i="3"/>
  <c r="V205" i="3"/>
  <c r="W205" i="3" s="1"/>
  <c r="U225" i="3"/>
  <c r="T225" i="3"/>
  <c r="V225" i="3"/>
  <c r="W225" i="3" s="1"/>
  <c r="O225" i="3"/>
  <c r="V226" i="3"/>
  <c r="W226" i="3" s="1"/>
  <c r="V229" i="3"/>
  <c r="W229" i="3" s="1"/>
  <c r="O242" i="3"/>
  <c r="U253" i="3"/>
  <c r="O253" i="3"/>
  <c r="V253" i="3"/>
  <c r="W253" i="3" s="1"/>
  <c r="Z271" i="3"/>
  <c r="T271" i="3"/>
  <c r="O272" i="3"/>
  <c r="U292" i="3"/>
  <c r="X292" i="3" s="1"/>
  <c r="Y292" i="3" s="1"/>
  <c r="O292" i="3"/>
  <c r="V319" i="3"/>
  <c r="W319" i="3" s="1"/>
  <c r="O319" i="3"/>
  <c r="U356" i="3"/>
  <c r="O356" i="3"/>
  <c r="Z356" i="3"/>
  <c r="X356" i="3" s="1"/>
  <c r="Y356" i="3" s="1"/>
  <c r="I6" i="13"/>
  <c r="U116" i="3"/>
  <c r="U141" i="3"/>
  <c r="U207" i="3"/>
  <c r="T207" i="3"/>
  <c r="O216" i="3"/>
  <c r="V216" i="3"/>
  <c r="W216" i="3" s="1"/>
  <c r="U361" i="3"/>
  <c r="Z361" i="3"/>
  <c r="X361" i="3" s="1"/>
  <c r="Y361" i="3" s="1"/>
  <c r="U383" i="3"/>
  <c r="I16" i="5"/>
  <c r="I26" i="5"/>
  <c r="I26" i="13"/>
  <c r="F56" i="19"/>
  <c r="H56" i="19" s="1"/>
  <c r="V141" i="3"/>
  <c r="W141" i="3" s="1"/>
  <c r="U192" i="3"/>
  <c r="U237" i="3"/>
  <c r="V326" i="3"/>
  <c r="W326" i="3" s="1"/>
  <c r="O326" i="3"/>
  <c r="S383" i="3"/>
  <c r="I11" i="9"/>
  <c r="R67" i="23"/>
  <c r="U164" i="3"/>
  <c r="X164" i="3" s="1"/>
  <c r="Y164" i="3" s="1"/>
  <c r="U285" i="3"/>
  <c r="V285" i="3"/>
  <c r="W285" i="3" s="1"/>
  <c r="I11" i="13"/>
  <c r="C25" i="23"/>
  <c r="E10" i="23"/>
  <c r="F20" i="23"/>
  <c r="F14" i="23"/>
  <c r="D10" i="23"/>
  <c r="D19" i="23"/>
  <c r="F15" i="23"/>
  <c r="E15" i="23"/>
  <c r="F25" i="23"/>
  <c r="C20" i="23"/>
  <c r="G24" i="23"/>
  <c r="D24" i="23"/>
  <c r="H19" i="23"/>
  <c r="B24" i="23"/>
  <c r="D9" i="23"/>
  <c r="D11" i="23" s="1"/>
  <c r="M69" i="21"/>
  <c r="AB54" i="21"/>
  <c r="H19" i="21" s="1"/>
  <c r="I62" i="7"/>
  <c r="H39" i="7" s="1"/>
  <c r="I33" i="13"/>
  <c r="Q30" i="13" s="1"/>
  <c r="I16" i="13"/>
  <c r="M69" i="13"/>
  <c r="M28" i="15"/>
  <c r="C11" i="25"/>
  <c r="C11" i="27"/>
  <c r="B26" i="27"/>
  <c r="I6" i="19"/>
  <c r="E5" i="21"/>
  <c r="D25" i="21"/>
  <c r="F16" i="27"/>
  <c r="I62" i="27"/>
  <c r="H39" i="27" s="1"/>
  <c r="O64" i="25"/>
  <c r="H53" i="23"/>
  <c r="G15" i="23" s="1"/>
  <c r="I25" i="27"/>
  <c r="M69" i="27"/>
  <c r="E25" i="23"/>
  <c r="H14" i="23"/>
  <c r="F9" i="23"/>
  <c r="E19" i="23"/>
  <c r="D14" i="23"/>
  <c r="H10" i="23"/>
  <c r="B9" i="23"/>
  <c r="E5" i="23"/>
  <c r="F24" i="23"/>
  <c r="H20" i="23"/>
  <c r="C15" i="23"/>
  <c r="B10" i="23"/>
  <c r="G4" i="23"/>
  <c r="O65" i="23"/>
  <c r="E75" i="25"/>
  <c r="J75" i="25" s="1"/>
  <c r="H11" i="25"/>
  <c r="H11" i="27"/>
  <c r="V50" i="46"/>
  <c r="H73" i="46" s="1"/>
  <c r="M69" i="19"/>
  <c r="U55" i="46"/>
  <c r="M69" i="17"/>
  <c r="C20" i="21"/>
  <c r="E16" i="25"/>
  <c r="E26" i="27"/>
  <c r="H51" i="46"/>
  <c r="M50" i="5" s="1"/>
  <c r="P51" i="46"/>
  <c r="M50" i="21" s="1"/>
  <c r="M53" i="21" s="1"/>
  <c r="U39" i="46"/>
  <c r="I39" i="23"/>
  <c r="C21" i="25"/>
  <c r="B26" i="25"/>
  <c r="I39" i="25"/>
  <c r="U11" i="46"/>
  <c r="W25" i="46"/>
  <c r="V47" i="46"/>
  <c r="H72" i="46" s="1"/>
  <c r="D25" i="23"/>
  <c r="F16" i="25"/>
  <c r="F21" i="25"/>
  <c r="E26" i="25"/>
  <c r="W22" i="46"/>
  <c r="V56" i="46"/>
  <c r="H75" i="46" s="1"/>
  <c r="V59" i="46"/>
  <c r="H76" i="46" s="1"/>
  <c r="I6" i="5"/>
  <c r="I33" i="7"/>
  <c r="Q30" i="7" s="1"/>
  <c r="I33" i="9"/>
  <c r="Q30" i="9" s="1"/>
  <c r="I16" i="11"/>
  <c r="H15" i="21"/>
  <c r="H21" i="25"/>
  <c r="G21" i="25"/>
  <c r="O36" i="46"/>
  <c r="W10" i="46"/>
  <c r="U58" i="46"/>
  <c r="P78" i="4"/>
  <c r="T78" i="4"/>
  <c r="S78" i="4"/>
  <c r="U78" i="4"/>
  <c r="P86" i="4"/>
  <c r="T86" i="4"/>
  <c r="S86" i="4"/>
  <c r="U86" i="4"/>
  <c r="P74" i="4"/>
  <c r="T74" i="4"/>
  <c r="S74" i="4"/>
  <c r="U74" i="4"/>
  <c r="P98" i="4"/>
  <c r="T98" i="4"/>
  <c r="S98" i="4"/>
  <c r="U98" i="4"/>
  <c r="P90" i="4"/>
  <c r="T90" i="4"/>
  <c r="S90" i="4"/>
  <c r="U90" i="4"/>
  <c r="P102" i="4"/>
  <c r="T102" i="4"/>
  <c r="S102" i="4"/>
  <c r="U102" i="4"/>
  <c r="P66" i="4"/>
  <c r="T66" i="4"/>
  <c r="S66" i="4"/>
  <c r="U66" i="4"/>
  <c r="P82" i="4"/>
  <c r="T82" i="4"/>
  <c r="S82" i="4"/>
  <c r="U82" i="4"/>
  <c r="Y76" i="4"/>
  <c r="Q76" i="4"/>
  <c r="Y84" i="4"/>
  <c r="D29" i="4" s="1"/>
  <c r="Q84" i="4"/>
  <c r="Y88" i="4"/>
  <c r="Q88" i="4"/>
  <c r="Y92" i="4"/>
  <c r="Q92" i="4"/>
  <c r="Y65" i="4"/>
  <c r="Y69" i="4"/>
  <c r="Y73" i="4"/>
  <c r="K86" i="46" s="1"/>
  <c r="Y77" i="4"/>
  <c r="Y81" i="4"/>
  <c r="K94" i="46" s="1"/>
  <c r="Y85" i="4"/>
  <c r="Y89" i="4"/>
  <c r="Y93" i="4"/>
  <c r="Y97" i="4"/>
  <c r="Y101" i="4"/>
  <c r="L94" i="46" s="1"/>
  <c r="Y105" i="4"/>
  <c r="Y109" i="4"/>
  <c r="Y113" i="4"/>
  <c r="Y117" i="4"/>
  <c r="Y121" i="4"/>
  <c r="Y125" i="4"/>
  <c r="Y144" i="4"/>
  <c r="Q144" i="4"/>
  <c r="P186" i="4"/>
  <c r="U186" i="4"/>
  <c r="T186" i="4"/>
  <c r="S186" i="4"/>
  <c r="T161" i="4"/>
  <c r="P161" i="4"/>
  <c r="U161" i="4"/>
  <c r="S161" i="4"/>
  <c r="T188" i="4"/>
  <c r="P188" i="4"/>
  <c r="U188" i="4"/>
  <c r="K12" i="4"/>
  <c r="J11" i="4"/>
  <c r="Q67" i="4"/>
  <c r="Q71" i="4"/>
  <c r="Q75" i="4"/>
  <c r="Q79" i="4"/>
  <c r="Q83" i="4"/>
  <c r="Q87" i="4"/>
  <c r="Q91" i="4"/>
  <c r="Q95" i="4"/>
  <c r="Q99" i="4"/>
  <c r="Q103" i="4"/>
  <c r="Q107" i="4"/>
  <c r="Q111" i="4"/>
  <c r="Q115" i="4"/>
  <c r="Q119" i="4"/>
  <c r="Q123" i="4"/>
  <c r="Q127" i="4"/>
  <c r="Q137" i="4"/>
  <c r="Q140" i="4"/>
  <c r="Q153" i="4"/>
  <c r="Y161" i="4"/>
  <c r="P166" i="4"/>
  <c r="T166" i="4"/>
  <c r="S166" i="4"/>
  <c r="U166" i="4"/>
  <c r="S188" i="4"/>
  <c r="Y201" i="4"/>
  <c r="Q201" i="4"/>
  <c r="AC501" i="4"/>
  <c r="M434" i="3"/>
  <c r="S134" i="4"/>
  <c r="Q146" i="4"/>
  <c r="Y193" i="4"/>
  <c r="Q193" i="4"/>
  <c r="Q106" i="4"/>
  <c r="P114" i="4"/>
  <c r="T114" i="4"/>
  <c r="S114" i="4"/>
  <c r="P118" i="4"/>
  <c r="T118" i="4"/>
  <c r="S118" i="4"/>
  <c r="P122" i="4"/>
  <c r="R122" i="4" s="1"/>
  <c r="T122" i="4"/>
  <c r="S122" i="4"/>
  <c r="Y136" i="4"/>
  <c r="Q136" i="4"/>
  <c r="T149" i="4"/>
  <c r="P149" i="4"/>
  <c r="S149" i="4"/>
  <c r="Y152" i="4"/>
  <c r="Q152" i="4"/>
  <c r="Y185" i="4"/>
  <c r="Q185" i="4"/>
  <c r="T197" i="4"/>
  <c r="P197" i="4"/>
  <c r="S197" i="4"/>
  <c r="U197" i="4"/>
  <c r="T205" i="4"/>
  <c r="P205" i="4"/>
  <c r="S205" i="4"/>
  <c r="U205" i="4"/>
  <c r="T69" i="4"/>
  <c r="S69" i="4"/>
  <c r="T73" i="4"/>
  <c r="S73" i="4"/>
  <c r="T77" i="4"/>
  <c r="S77" i="4"/>
  <c r="T81" i="4"/>
  <c r="S81" i="4"/>
  <c r="T85" i="4"/>
  <c r="S85" i="4"/>
  <c r="T89" i="4"/>
  <c r="S89" i="4"/>
  <c r="T93" i="4"/>
  <c r="S93" i="4"/>
  <c r="T97" i="4"/>
  <c r="S97" i="4"/>
  <c r="T101" i="4"/>
  <c r="S101" i="4"/>
  <c r="T105" i="4"/>
  <c r="S105" i="4"/>
  <c r="T109" i="4"/>
  <c r="S109" i="4"/>
  <c r="U110" i="4"/>
  <c r="T113" i="4"/>
  <c r="S113" i="4"/>
  <c r="U114" i="4"/>
  <c r="T117" i="4"/>
  <c r="S117" i="4"/>
  <c r="U118" i="4"/>
  <c r="T121" i="4"/>
  <c r="S121" i="4"/>
  <c r="U122" i="4"/>
  <c r="T125" i="4"/>
  <c r="S125" i="4"/>
  <c r="U149" i="4"/>
  <c r="T169" i="4"/>
  <c r="P169" i="4"/>
  <c r="U169" i="4"/>
  <c r="S169" i="4"/>
  <c r="Y177" i="4"/>
  <c r="Q177" i="4"/>
  <c r="T189" i="4"/>
  <c r="P189" i="4"/>
  <c r="S189" i="4"/>
  <c r="U189" i="4"/>
  <c r="T65" i="4"/>
  <c r="S65" i="4"/>
  <c r="P65" i="4"/>
  <c r="P69" i="4"/>
  <c r="P73" i="4"/>
  <c r="P77" i="4"/>
  <c r="P81" i="4"/>
  <c r="P85" i="4"/>
  <c r="P89" i="4"/>
  <c r="T129" i="4"/>
  <c r="P129" i="4"/>
  <c r="U129" i="4"/>
  <c r="S129" i="4"/>
  <c r="T145" i="4"/>
  <c r="P145" i="4"/>
  <c r="U145" i="4"/>
  <c r="S145" i="4"/>
  <c r="T181" i="4"/>
  <c r="P181" i="4"/>
  <c r="S181" i="4"/>
  <c r="U181" i="4"/>
  <c r="I501" i="4"/>
  <c r="Y64" i="4"/>
  <c r="M432" i="3" s="1"/>
  <c r="Q64" i="4"/>
  <c r="U65" i="4"/>
  <c r="Y68" i="4"/>
  <c r="Q68" i="4"/>
  <c r="U69" i="4"/>
  <c r="Y72" i="4"/>
  <c r="Q72" i="4"/>
  <c r="U73" i="4"/>
  <c r="Y80" i="4"/>
  <c r="Q80" i="4"/>
  <c r="U81" i="4"/>
  <c r="Y96" i="4"/>
  <c r="Q96" i="4"/>
  <c r="U97" i="4"/>
  <c r="Y100" i="4"/>
  <c r="Q100" i="4"/>
  <c r="U101" i="4"/>
  <c r="Y104" i="4"/>
  <c r="L95" i="46" s="1"/>
  <c r="Q104" i="4"/>
  <c r="U105" i="4"/>
  <c r="Y108" i="4"/>
  <c r="Q108" i="4"/>
  <c r="U109" i="4"/>
  <c r="Y112" i="4"/>
  <c r="Q112" i="4"/>
  <c r="U113" i="4"/>
  <c r="Y116" i="4"/>
  <c r="Q116" i="4"/>
  <c r="U117" i="4"/>
  <c r="Y120" i="4"/>
  <c r="Q120" i="4"/>
  <c r="U121" i="4"/>
  <c r="Y124" i="4"/>
  <c r="Q124" i="4"/>
  <c r="U125" i="4"/>
  <c r="Y128" i="4"/>
  <c r="Q128" i="4"/>
  <c r="S132" i="4"/>
  <c r="Q138" i="4"/>
  <c r="S142" i="4"/>
  <c r="S148" i="4"/>
  <c r="Q154" i="4"/>
  <c r="T157" i="4"/>
  <c r="P157" i="4"/>
  <c r="S157" i="4"/>
  <c r="T173" i="4"/>
  <c r="P173" i="4"/>
  <c r="R173" i="4" s="1"/>
  <c r="S173" i="4"/>
  <c r="U173" i="4"/>
  <c r="U194" i="4"/>
  <c r="S194" i="4"/>
  <c r="T213" i="4"/>
  <c r="P213" i="4"/>
  <c r="R213" i="4" s="1"/>
  <c r="S213" i="4"/>
  <c r="U213" i="4"/>
  <c r="P163" i="4"/>
  <c r="P171" i="4"/>
  <c r="T171" i="4"/>
  <c r="Q172" i="4"/>
  <c r="P179" i="4"/>
  <c r="T179" i="4"/>
  <c r="Q180" i="4"/>
  <c r="U182" i="4"/>
  <c r="P187" i="4"/>
  <c r="T187" i="4"/>
  <c r="U190" i="4"/>
  <c r="P195" i="4"/>
  <c r="T195" i="4"/>
  <c r="Q196" i="4"/>
  <c r="U198" i="4"/>
  <c r="P203" i="4"/>
  <c r="T203" i="4"/>
  <c r="U206" i="4"/>
  <c r="Q211" i="4"/>
  <c r="Q212" i="4"/>
  <c r="U214" i="4"/>
  <c r="Q219" i="4"/>
  <c r="Q220" i="4"/>
  <c r="Q224" i="4"/>
  <c r="Y224" i="4"/>
  <c r="T229" i="4"/>
  <c r="P229" i="4"/>
  <c r="Q234" i="4"/>
  <c r="S243" i="4"/>
  <c r="P243" i="4"/>
  <c r="T243" i="4"/>
  <c r="S263" i="4"/>
  <c r="P263" i="4"/>
  <c r="R263" i="4" s="1"/>
  <c r="U263" i="4"/>
  <c r="T263" i="4"/>
  <c r="S279" i="4"/>
  <c r="P279" i="4"/>
  <c r="R279" i="4" s="1"/>
  <c r="U279" i="4"/>
  <c r="T279" i="4"/>
  <c r="S295" i="4"/>
  <c r="P295" i="4"/>
  <c r="R295" i="4" s="1"/>
  <c r="U295" i="4"/>
  <c r="T295" i="4"/>
  <c r="S311" i="4"/>
  <c r="P311" i="4"/>
  <c r="R311" i="4" s="1"/>
  <c r="U311" i="4"/>
  <c r="T311" i="4"/>
  <c r="T327" i="4"/>
  <c r="S327" i="4"/>
  <c r="P327" i="4"/>
  <c r="R327" i="4" s="1"/>
  <c r="U327" i="4"/>
  <c r="P333" i="4"/>
  <c r="R333" i="4" s="1"/>
  <c r="U333" i="4"/>
  <c r="S333" i="4"/>
  <c r="T375" i="4"/>
  <c r="S375" i="4"/>
  <c r="U375" i="4"/>
  <c r="P375" i="4"/>
  <c r="R375" i="4" s="1"/>
  <c r="P386" i="4"/>
  <c r="R386" i="4" s="1"/>
  <c r="U386" i="4"/>
  <c r="T386" i="4"/>
  <c r="S386" i="4"/>
  <c r="T388" i="4"/>
  <c r="U388" i="4"/>
  <c r="S388" i="4"/>
  <c r="P388" i="4"/>
  <c r="R388" i="4" s="1"/>
  <c r="T394" i="4"/>
  <c r="P394" i="4"/>
  <c r="R394" i="4" s="1"/>
  <c r="U394" i="4"/>
  <c r="S394" i="4"/>
  <c r="T407" i="4"/>
  <c r="S407" i="4"/>
  <c r="P407" i="4"/>
  <c r="R407" i="4" s="1"/>
  <c r="U407" i="4"/>
  <c r="P412" i="4"/>
  <c r="R412" i="4" s="1"/>
  <c r="U412" i="4"/>
  <c r="T412" i="4"/>
  <c r="S412" i="4"/>
  <c r="U438" i="4"/>
  <c r="P438" i="4"/>
  <c r="R438" i="4" s="1"/>
  <c r="T438" i="4"/>
  <c r="S438" i="4"/>
  <c r="P477" i="4"/>
  <c r="R477" i="4" s="1"/>
  <c r="U477" i="4"/>
  <c r="T477" i="4"/>
  <c r="S477" i="4"/>
  <c r="BP373" i="46"/>
  <c r="BM373" i="46"/>
  <c r="BQ373" i="46"/>
  <c r="BU373" i="46"/>
  <c r="BJ373" i="46"/>
  <c r="BS373" i="46"/>
  <c r="BO373" i="46"/>
  <c r="BN373" i="46"/>
  <c r="BT373" i="46"/>
  <c r="BR373" i="46"/>
  <c r="BL373" i="46"/>
  <c r="BK373" i="46"/>
  <c r="BI373" i="46"/>
  <c r="Z373" i="3"/>
  <c r="O373" i="3"/>
  <c r="T373" i="3"/>
  <c r="U373" i="3"/>
  <c r="V373" i="3"/>
  <c r="W373" i="3" s="1"/>
  <c r="Q228" i="4"/>
  <c r="Y228" i="4"/>
  <c r="T233" i="4"/>
  <c r="P233" i="4"/>
  <c r="U238" i="4"/>
  <c r="P238" i="4"/>
  <c r="T256" i="4"/>
  <c r="S256" i="4"/>
  <c r="U258" i="4"/>
  <c r="S258" i="4"/>
  <c r="P258" i="4"/>
  <c r="R258" i="4" s="1"/>
  <c r="T272" i="4"/>
  <c r="S272" i="4"/>
  <c r="U274" i="4"/>
  <c r="S274" i="4"/>
  <c r="P274" i="4"/>
  <c r="R274" i="4" s="1"/>
  <c r="T288" i="4"/>
  <c r="S288" i="4"/>
  <c r="U290" i="4"/>
  <c r="S290" i="4"/>
  <c r="P290" i="4"/>
  <c r="R290" i="4" s="1"/>
  <c r="T304" i="4"/>
  <c r="S304" i="4"/>
  <c r="U306" i="4"/>
  <c r="S306" i="4"/>
  <c r="P306" i="4"/>
  <c r="R306" i="4" s="1"/>
  <c r="T320" i="4"/>
  <c r="S320" i="4"/>
  <c r="U322" i="4"/>
  <c r="S322" i="4"/>
  <c r="P322" i="4"/>
  <c r="R322" i="4" s="1"/>
  <c r="T333" i="4"/>
  <c r="T342" i="4"/>
  <c r="S342" i="4"/>
  <c r="P352" i="4"/>
  <c r="R352" i="4" s="1"/>
  <c r="T352" i="4"/>
  <c r="S352" i="4"/>
  <c r="T355" i="4"/>
  <c r="U355" i="4"/>
  <c r="S355" i="4"/>
  <c r="P369" i="4"/>
  <c r="R369" i="4" s="1"/>
  <c r="T369" i="4"/>
  <c r="U369" i="4"/>
  <c r="S369" i="4"/>
  <c r="P377" i="4"/>
  <c r="R377" i="4" s="1"/>
  <c r="U377" i="4"/>
  <c r="T377" i="4"/>
  <c r="S377" i="4"/>
  <c r="T380" i="4"/>
  <c r="P380" i="4"/>
  <c r="R380" i="4" s="1"/>
  <c r="U380" i="4"/>
  <c r="P409" i="4"/>
  <c r="R409" i="4" s="1"/>
  <c r="T409" i="4"/>
  <c r="U409" i="4"/>
  <c r="T419" i="4"/>
  <c r="U419" i="4"/>
  <c r="S419" i="4"/>
  <c r="P419" i="4"/>
  <c r="R419" i="4" s="1"/>
  <c r="T435" i="4"/>
  <c r="P435" i="4"/>
  <c r="R435" i="4" s="1"/>
  <c r="S435" i="4"/>
  <c r="U435" i="4"/>
  <c r="P469" i="4"/>
  <c r="R469" i="4" s="1"/>
  <c r="U469" i="4"/>
  <c r="T469" i="4"/>
  <c r="S469" i="4"/>
  <c r="T479" i="4"/>
  <c r="P479" i="4"/>
  <c r="R479" i="4" s="1"/>
  <c r="U479" i="4"/>
  <c r="S479" i="4"/>
  <c r="U490" i="4"/>
  <c r="T490" i="4"/>
  <c r="S490" i="4"/>
  <c r="U496" i="4"/>
  <c r="S496" i="4"/>
  <c r="P496" i="4"/>
  <c r="R496" i="4" s="1"/>
  <c r="T496" i="4"/>
  <c r="AF12" i="46"/>
  <c r="N68" i="25" s="1"/>
  <c r="AF11" i="46"/>
  <c r="N68" i="23" s="1"/>
  <c r="AF10" i="46"/>
  <c r="N68" i="21" s="1"/>
  <c r="AG13" i="46"/>
  <c r="AH12" i="46"/>
  <c r="AG12" i="46"/>
  <c r="AF9" i="46"/>
  <c r="N68" i="19" s="1"/>
  <c r="AF13" i="46"/>
  <c r="N68" i="27" s="1"/>
  <c r="AF2" i="46"/>
  <c r="N68" i="5" s="1"/>
  <c r="AF6" i="46"/>
  <c r="N68" i="13" s="1"/>
  <c r="AF4" i="46"/>
  <c r="N68" i="9" s="1"/>
  <c r="AF8" i="46"/>
  <c r="N68" i="17" s="1"/>
  <c r="N69" i="17" s="1"/>
  <c r="AH13" i="46"/>
  <c r="AF7" i="46"/>
  <c r="N68" i="15" s="1"/>
  <c r="N69" i="15" s="1"/>
  <c r="AF5" i="46"/>
  <c r="N68" i="11" s="1"/>
  <c r="S102" i="3"/>
  <c r="L432" i="3" s="1"/>
  <c r="K432" i="3"/>
  <c r="F12" i="3"/>
  <c r="R102" i="3"/>
  <c r="BR340" i="46"/>
  <c r="BJ340" i="46"/>
  <c r="BQ340" i="46"/>
  <c r="BN340" i="46"/>
  <c r="BP340" i="46"/>
  <c r="BI340" i="46"/>
  <c r="BU340" i="46"/>
  <c r="BT340" i="46"/>
  <c r="BO340" i="46"/>
  <c r="BL340" i="46"/>
  <c r="BK340" i="46"/>
  <c r="BS340" i="46"/>
  <c r="BM340" i="46"/>
  <c r="V340" i="3"/>
  <c r="W340" i="3" s="1"/>
  <c r="T340" i="3"/>
  <c r="Z340" i="3"/>
  <c r="O340" i="3"/>
  <c r="U340" i="3"/>
  <c r="S202" i="4"/>
  <c r="Q209" i="4"/>
  <c r="S210" i="4"/>
  <c r="Q217" i="4"/>
  <c r="U229" i="4"/>
  <c r="Q232" i="4"/>
  <c r="Y232" i="4"/>
  <c r="S233" i="4"/>
  <c r="T237" i="4"/>
  <c r="P237" i="4"/>
  <c r="S238" i="4"/>
  <c r="Q242" i="4"/>
  <c r="U243" i="4"/>
  <c r="Q247" i="4"/>
  <c r="S251" i="4"/>
  <c r="P251" i="4"/>
  <c r="R251" i="4" s="1"/>
  <c r="U251" i="4"/>
  <c r="T251" i="4"/>
  <c r="P256" i="4"/>
  <c r="R256" i="4" s="1"/>
  <c r="T258" i="4"/>
  <c r="S267" i="4"/>
  <c r="P267" i="4"/>
  <c r="R267" i="4" s="1"/>
  <c r="U267" i="4"/>
  <c r="T267" i="4"/>
  <c r="P272" i="4"/>
  <c r="R272" i="4" s="1"/>
  <c r="T274" i="4"/>
  <c r="S283" i="4"/>
  <c r="P283" i="4"/>
  <c r="R283" i="4" s="1"/>
  <c r="U283" i="4"/>
  <c r="T283" i="4"/>
  <c r="P288" i="4"/>
  <c r="R288" i="4" s="1"/>
  <c r="T290" i="4"/>
  <c r="S299" i="4"/>
  <c r="P299" i="4"/>
  <c r="R299" i="4" s="1"/>
  <c r="U299" i="4"/>
  <c r="T299" i="4"/>
  <c r="P304" i="4"/>
  <c r="R304" i="4" s="1"/>
  <c r="T306" i="4"/>
  <c r="S315" i="4"/>
  <c r="P315" i="4"/>
  <c r="R315" i="4" s="1"/>
  <c r="U315" i="4"/>
  <c r="T315" i="4"/>
  <c r="P320" i="4"/>
  <c r="R320" i="4" s="1"/>
  <c r="T322" i="4"/>
  <c r="T332" i="4"/>
  <c r="S332" i="4"/>
  <c r="P332" i="4"/>
  <c r="R332" i="4" s="1"/>
  <c r="T335" i="4"/>
  <c r="U335" i="4"/>
  <c r="S335" i="4"/>
  <c r="T338" i="4"/>
  <c r="S338" i="4"/>
  <c r="P338" i="4"/>
  <c r="R338" i="4" s="1"/>
  <c r="P342" i="4"/>
  <c r="R342" i="4" s="1"/>
  <c r="U352" i="4"/>
  <c r="P355" i="4"/>
  <c r="R355" i="4" s="1"/>
  <c r="T362" i="4"/>
  <c r="S362" i="4"/>
  <c r="P362" i="4"/>
  <c r="R362" i="4" s="1"/>
  <c r="T371" i="4"/>
  <c r="P371" i="4"/>
  <c r="R371" i="4" s="1"/>
  <c r="U371" i="4"/>
  <c r="S371" i="4"/>
  <c r="U374" i="4"/>
  <c r="T374" i="4"/>
  <c r="S374" i="4"/>
  <c r="P374" i="4"/>
  <c r="R374" i="4" s="1"/>
  <c r="S380" i="4"/>
  <c r="P393" i="4"/>
  <c r="R393" i="4" s="1"/>
  <c r="T393" i="4"/>
  <c r="U393" i="4"/>
  <c r="P401" i="4"/>
  <c r="R401" i="4" s="1"/>
  <c r="T401" i="4"/>
  <c r="U401" i="4"/>
  <c r="S401" i="4"/>
  <c r="T403" i="4"/>
  <c r="P403" i="4"/>
  <c r="R403" i="4" s="1"/>
  <c r="U403" i="4"/>
  <c r="S403" i="4"/>
  <c r="U406" i="4"/>
  <c r="S406" i="4"/>
  <c r="P406" i="4"/>
  <c r="R406" i="4" s="1"/>
  <c r="T406" i="4"/>
  <c r="S409" i="4"/>
  <c r="U424" i="4"/>
  <c r="T424" i="4"/>
  <c r="S424" i="4"/>
  <c r="U432" i="4"/>
  <c r="T432" i="4"/>
  <c r="P432" i="4"/>
  <c r="R432" i="4" s="1"/>
  <c r="P448" i="4"/>
  <c r="R448" i="4" s="1"/>
  <c r="U448" i="4"/>
  <c r="S448" i="4"/>
  <c r="T463" i="4"/>
  <c r="U463" i="4"/>
  <c r="S463" i="4"/>
  <c r="P490" i="4"/>
  <c r="R490" i="4" s="1"/>
  <c r="S498" i="4"/>
  <c r="U498" i="4"/>
  <c r="P498" i="4"/>
  <c r="R498" i="4" s="1"/>
  <c r="BP158" i="46"/>
  <c r="BO158" i="46"/>
  <c r="BN158" i="46"/>
  <c r="BR158" i="46"/>
  <c r="BQ158" i="46"/>
  <c r="BM158" i="46"/>
  <c r="BL158" i="46"/>
  <c r="BK158" i="46"/>
  <c r="BU158" i="46"/>
  <c r="BJ158" i="46"/>
  <c r="BT158" i="46"/>
  <c r="BI158" i="46"/>
  <c r="BS158" i="46"/>
  <c r="T158" i="3"/>
  <c r="O158" i="3"/>
  <c r="Z158" i="3"/>
  <c r="V158" i="3"/>
  <c r="W158" i="3" s="1"/>
  <c r="U158" i="3"/>
  <c r="BP203" i="46"/>
  <c r="BN203" i="46"/>
  <c r="BR203" i="46"/>
  <c r="BI203" i="46"/>
  <c r="BK203" i="46"/>
  <c r="BU203" i="46"/>
  <c r="BJ203" i="46"/>
  <c r="BT203" i="46"/>
  <c r="BS203" i="46"/>
  <c r="BQ203" i="46"/>
  <c r="BO203" i="46"/>
  <c r="BM203" i="46"/>
  <c r="BL203" i="46"/>
  <c r="V203" i="3"/>
  <c r="W203" i="3" s="1"/>
  <c r="O203" i="3"/>
  <c r="Z203" i="3"/>
  <c r="U203" i="3"/>
  <c r="T203" i="3"/>
  <c r="BR220" i="46"/>
  <c r="BJ220" i="46"/>
  <c r="BQ220" i="46"/>
  <c r="BT220" i="46"/>
  <c r="BI220" i="46"/>
  <c r="BU220" i="46"/>
  <c r="BM220" i="46"/>
  <c r="BS220" i="46"/>
  <c r="BP220" i="46"/>
  <c r="BO220" i="46"/>
  <c r="BN220" i="46"/>
  <c r="BL220" i="46"/>
  <c r="BK220" i="46"/>
  <c r="O220" i="3"/>
  <c r="Z220" i="3"/>
  <c r="V220" i="3"/>
  <c r="W220" i="3" s="1"/>
  <c r="U220" i="3"/>
  <c r="T220" i="3"/>
  <c r="BP266" i="46"/>
  <c r="BO266" i="46"/>
  <c r="BM266" i="46"/>
  <c r="BT266" i="46"/>
  <c r="BI266" i="46"/>
  <c r="BS266" i="46"/>
  <c r="BR266" i="46"/>
  <c r="BK266" i="46"/>
  <c r="BJ266" i="46"/>
  <c r="BU266" i="46"/>
  <c r="BQ266" i="46"/>
  <c r="BN266" i="46"/>
  <c r="BL266" i="46"/>
  <c r="T266" i="3"/>
  <c r="U266" i="3"/>
  <c r="O266" i="3"/>
  <c r="Z266" i="3"/>
  <c r="V266" i="3"/>
  <c r="W266" i="3" s="1"/>
  <c r="U163" i="4"/>
  <c r="U171" i="4"/>
  <c r="U179" i="4"/>
  <c r="U187" i="4"/>
  <c r="U195" i="4"/>
  <c r="T202" i="4"/>
  <c r="U203" i="4"/>
  <c r="T210" i="4"/>
  <c r="T218" i="4"/>
  <c r="Q223" i="4"/>
  <c r="U233" i="4"/>
  <c r="Q236" i="4"/>
  <c r="Y236" i="4"/>
  <c r="S237" i="4"/>
  <c r="T238" i="4"/>
  <c r="T241" i="4"/>
  <c r="P241" i="4"/>
  <c r="U246" i="4"/>
  <c r="P246" i="4"/>
  <c r="U256" i="4"/>
  <c r="T260" i="4"/>
  <c r="S260" i="4"/>
  <c r="U262" i="4"/>
  <c r="S262" i="4"/>
  <c r="P262" i="4"/>
  <c r="R262" i="4" s="1"/>
  <c r="U272" i="4"/>
  <c r="T276" i="4"/>
  <c r="S276" i="4"/>
  <c r="U278" i="4"/>
  <c r="S278" i="4"/>
  <c r="P278" i="4"/>
  <c r="R278" i="4" s="1"/>
  <c r="U288" i="4"/>
  <c r="T292" i="4"/>
  <c r="S292" i="4"/>
  <c r="U294" i="4"/>
  <c r="S294" i="4"/>
  <c r="P294" i="4"/>
  <c r="R294" i="4" s="1"/>
  <c r="U304" i="4"/>
  <c r="T308" i="4"/>
  <c r="S308" i="4"/>
  <c r="U310" i="4"/>
  <c r="S310" i="4"/>
  <c r="P310" i="4"/>
  <c r="R310" i="4" s="1"/>
  <c r="U320" i="4"/>
  <c r="T324" i="4"/>
  <c r="S324" i="4"/>
  <c r="U326" i="4"/>
  <c r="S326" i="4"/>
  <c r="P326" i="4"/>
  <c r="R326" i="4" s="1"/>
  <c r="P329" i="4"/>
  <c r="R329" i="4" s="1"/>
  <c r="U329" i="4"/>
  <c r="T329" i="4"/>
  <c r="S329" i="4"/>
  <c r="U332" i="4"/>
  <c r="P335" i="4"/>
  <c r="R335" i="4" s="1"/>
  <c r="U342" i="4"/>
  <c r="T347" i="4"/>
  <c r="P347" i="4"/>
  <c r="R347" i="4" s="1"/>
  <c r="U347" i="4"/>
  <c r="S347" i="4"/>
  <c r="T351" i="4"/>
  <c r="S351" i="4"/>
  <c r="P351" i="4"/>
  <c r="R351" i="4" s="1"/>
  <c r="U362" i="4"/>
  <c r="U368" i="4"/>
  <c r="T368" i="4"/>
  <c r="S368" i="4"/>
  <c r="S393" i="4"/>
  <c r="T411" i="4"/>
  <c r="U411" i="4"/>
  <c r="S411" i="4"/>
  <c r="P421" i="4"/>
  <c r="R421" i="4" s="1"/>
  <c r="S421" i="4"/>
  <c r="U421" i="4"/>
  <c r="P424" i="4"/>
  <c r="R424" i="4" s="1"/>
  <c r="T427" i="4"/>
  <c r="U427" i="4"/>
  <c r="S427" i="4"/>
  <c r="P427" i="4"/>
  <c r="R427" i="4" s="1"/>
  <c r="S432" i="4"/>
  <c r="T448" i="4"/>
  <c r="T451" i="4"/>
  <c r="U451" i="4"/>
  <c r="P451" i="4"/>
  <c r="R451" i="4" s="1"/>
  <c r="S451" i="4"/>
  <c r="P453" i="4"/>
  <c r="R453" i="4" s="1"/>
  <c r="S453" i="4"/>
  <c r="U453" i="4"/>
  <c r="T453" i="4"/>
  <c r="U456" i="4"/>
  <c r="T456" i="4"/>
  <c r="S456" i="4"/>
  <c r="P456" i="4"/>
  <c r="R456" i="4" s="1"/>
  <c r="T459" i="4"/>
  <c r="U459" i="4"/>
  <c r="P459" i="4"/>
  <c r="R459" i="4" s="1"/>
  <c r="P463" i="4"/>
  <c r="R463" i="4" s="1"/>
  <c r="P465" i="4"/>
  <c r="R465" i="4" s="1"/>
  <c r="T465" i="4"/>
  <c r="U465" i="4"/>
  <c r="S465" i="4"/>
  <c r="S476" i="4"/>
  <c r="P476" i="4"/>
  <c r="R476" i="4" s="1"/>
  <c r="U476" i="4"/>
  <c r="T476" i="4"/>
  <c r="T495" i="4"/>
  <c r="S495" i="4"/>
  <c r="P495" i="4"/>
  <c r="R495" i="4" s="1"/>
  <c r="U495" i="4"/>
  <c r="T498" i="4"/>
  <c r="BO170" i="46"/>
  <c r="BN170" i="46"/>
  <c r="BT170" i="46"/>
  <c r="BJ170" i="46"/>
  <c r="BS170" i="46"/>
  <c r="BI170" i="46"/>
  <c r="BQ170" i="46"/>
  <c r="BP170" i="46"/>
  <c r="BM170" i="46"/>
  <c r="BL170" i="46"/>
  <c r="BK170" i="46"/>
  <c r="BU170" i="46"/>
  <c r="BR170" i="46"/>
  <c r="T170" i="3"/>
  <c r="U170" i="3"/>
  <c r="X170" i="3" s="1"/>
  <c r="Y170" i="3" s="1"/>
  <c r="Z170" i="3"/>
  <c r="O170" i="3"/>
  <c r="V170" i="3"/>
  <c r="W170" i="3" s="1"/>
  <c r="BU184" i="46"/>
  <c r="BM184" i="46"/>
  <c r="BN184" i="46"/>
  <c r="BR184" i="46"/>
  <c r="BP184" i="46"/>
  <c r="BO184" i="46"/>
  <c r="BI184" i="46"/>
  <c r="BT184" i="46"/>
  <c r="BS184" i="46"/>
  <c r="BQ184" i="46"/>
  <c r="BL184" i="46"/>
  <c r="BK184" i="46"/>
  <c r="BJ184" i="46"/>
  <c r="Z184" i="3"/>
  <c r="O184" i="3"/>
  <c r="V184" i="3"/>
  <c r="W184" i="3" s="1"/>
  <c r="U184" i="3"/>
  <c r="T184" i="3"/>
  <c r="Q135" i="4"/>
  <c r="Q143" i="4"/>
  <c r="Q151" i="4"/>
  <c r="Q159" i="4"/>
  <c r="Q160" i="4"/>
  <c r="Q167" i="4"/>
  <c r="Q168" i="4"/>
  <c r="Q175" i="4"/>
  <c r="Q176" i="4"/>
  <c r="Q183" i="4"/>
  <c r="Q184" i="4"/>
  <c r="Q191" i="4"/>
  <c r="Q192" i="4"/>
  <c r="Q199" i="4"/>
  <c r="Q200" i="4"/>
  <c r="U202" i="4"/>
  <c r="Q207" i="4"/>
  <c r="Q208" i="4"/>
  <c r="U210" i="4"/>
  <c r="Q215" i="4"/>
  <c r="Q216" i="4"/>
  <c r="U218" i="4"/>
  <c r="Y222" i="4"/>
  <c r="M436" i="3" s="1"/>
  <c r="S227" i="4"/>
  <c r="P227" i="4"/>
  <c r="T227" i="4"/>
  <c r="U237" i="4"/>
  <c r="Q240" i="4"/>
  <c r="Y240" i="4"/>
  <c r="S255" i="4"/>
  <c r="P255" i="4"/>
  <c r="R255" i="4" s="1"/>
  <c r="U255" i="4"/>
  <c r="T255" i="4"/>
  <c r="S271" i="4"/>
  <c r="P271" i="4"/>
  <c r="R271" i="4" s="1"/>
  <c r="U271" i="4"/>
  <c r="T271" i="4"/>
  <c r="S287" i="4"/>
  <c r="P287" i="4"/>
  <c r="R287" i="4" s="1"/>
  <c r="U287" i="4"/>
  <c r="T287" i="4"/>
  <c r="S303" i="4"/>
  <c r="P303" i="4"/>
  <c r="R303" i="4" s="1"/>
  <c r="U303" i="4"/>
  <c r="T303" i="4"/>
  <c r="S319" i="4"/>
  <c r="P319" i="4"/>
  <c r="R319" i="4" s="1"/>
  <c r="U319" i="4"/>
  <c r="T319" i="4"/>
  <c r="T331" i="4"/>
  <c r="U331" i="4"/>
  <c r="S331" i="4"/>
  <c r="P331" i="4"/>
  <c r="R331" i="4" s="1"/>
  <c r="U338" i="4"/>
  <c r="P341" i="4"/>
  <c r="R341" i="4" s="1"/>
  <c r="S341" i="4"/>
  <c r="U341" i="4"/>
  <c r="T341" i="4"/>
  <c r="P345" i="4"/>
  <c r="R345" i="4" s="1"/>
  <c r="T345" i="4"/>
  <c r="S345" i="4"/>
  <c r="P349" i="4"/>
  <c r="R349" i="4" s="1"/>
  <c r="T349" i="4"/>
  <c r="S349" i="4"/>
  <c r="S354" i="4"/>
  <c r="P354" i="4"/>
  <c r="R354" i="4" s="1"/>
  <c r="U354" i="4"/>
  <c r="T354" i="4"/>
  <c r="P357" i="4"/>
  <c r="R357" i="4" s="1"/>
  <c r="S357" i="4"/>
  <c r="U357" i="4"/>
  <c r="T357" i="4"/>
  <c r="P361" i="4"/>
  <c r="R361" i="4" s="1"/>
  <c r="U361" i="4"/>
  <c r="T361" i="4"/>
  <c r="S382" i="4"/>
  <c r="P382" i="4"/>
  <c r="R382" i="4" s="1"/>
  <c r="U382" i="4"/>
  <c r="T382" i="4"/>
  <c r="P385" i="4"/>
  <c r="R385" i="4" s="1"/>
  <c r="U385" i="4"/>
  <c r="T385" i="4"/>
  <c r="S385" i="4"/>
  <c r="T387" i="4"/>
  <c r="U387" i="4"/>
  <c r="S387" i="4"/>
  <c r="P387" i="4"/>
  <c r="R387" i="4" s="1"/>
  <c r="P389" i="4"/>
  <c r="R389" i="4" s="1"/>
  <c r="S389" i="4"/>
  <c r="U389" i="4"/>
  <c r="T389" i="4"/>
  <c r="T395" i="4"/>
  <c r="U395" i="4"/>
  <c r="S395" i="4"/>
  <c r="T434" i="4"/>
  <c r="P434" i="4"/>
  <c r="R434" i="4" s="1"/>
  <c r="U434" i="4"/>
  <c r="P437" i="4"/>
  <c r="R437" i="4" s="1"/>
  <c r="U437" i="4"/>
  <c r="T437" i="4"/>
  <c r="S437" i="4"/>
  <c r="S478" i="4"/>
  <c r="U478" i="4"/>
  <c r="T478" i="4"/>
  <c r="P489" i="4"/>
  <c r="R489" i="4" s="1"/>
  <c r="S489" i="4"/>
  <c r="U489" i="4"/>
  <c r="T489" i="4"/>
  <c r="BP150" i="46"/>
  <c r="BR150" i="46"/>
  <c r="BI150" i="46"/>
  <c r="BQ150" i="46"/>
  <c r="BS150" i="46"/>
  <c r="BO150" i="46"/>
  <c r="BN150" i="46"/>
  <c r="BM150" i="46"/>
  <c r="BL150" i="46"/>
  <c r="BK150" i="46"/>
  <c r="BU150" i="46"/>
  <c r="BJ150" i="46"/>
  <c r="BT150" i="46"/>
  <c r="T150" i="3"/>
  <c r="O150" i="3"/>
  <c r="Z150" i="3"/>
  <c r="V150" i="3"/>
  <c r="W150" i="3" s="1"/>
  <c r="U150" i="3"/>
  <c r="BU247" i="46"/>
  <c r="BM247" i="46"/>
  <c r="BT247" i="46"/>
  <c r="BK247" i="46"/>
  <c r="BR247" i="46"/>
  <c r="BI247" i="46"/>
  <c r="BJ247" i="46"/>
  <c r="BN247" i="46"/>
  <c r="BQ247" i="46"/>
  <c r="BP247" i="46"/>
  <c r="BO247" i="46"/>
  <c r="BL247" i="46"/>
  <c r="BS247" i="46"/>
  <c r="V247" i="3"/>
  <c r="W247" i="3" s="1"/>
  <c r="O247" i="3"/>
  <c r="T247" i="3"/>
  <c r="Z247" i="3"/>
  <c r="U247" i="3"/>
  <c r="U222" i="4"/>
  <c r="P222" i="4"/>
  <c r="Q244" i="4"/>
  <c r="Y244" i="4"/>
  <c r="U250" i="4"/>
  <c r="S250" i="4"/>
  <c r="P250" i="4"/>
  <c r="R250" i="4" s="1"/>
  <c r="T264" i="4"/>
  <c r="S264" i="4"/>
  <c r="U266" i="4"/>
  <c r="S266" i="4"/>
  <c r="P266" i="4"/>
  <c r="R266" i="4" s="1"/>
  <c r="T280" i="4"/>
  <c r="S280" i="4"/>
  <c r="U282" i="4"/>
  <c r="S282" i="4"/>
  <c r="P282" i="4"/>
  <c r="R282" i="4" s="1"/>
  <c r="T296" i="4"/>
  <c r="S296" i="4"/>
  <c r="U298" i="4"/>
  <c r="S298" i="4"/>
  <c r="P298" i="4"/>
  <c r="R298" i="4" s="1"/>
  <c r="T312" i="4"/>
  <c r="S312" i="4"/>
  <c r="U314" i="4"/>
  <c r="S314" i="4"/>
  <c r="P314" i="4"/>
  <c r="R314" i="4" s="1"/>
  <c r="S334" i="4"/>
  <c r="P334" i="4"/>
  <c r="R334" i="4" s="1"/>
  <c r="U334" i="4"/>
  <c r="T334" i="4"/>
  <c r="U370" i="4"/>
  <c r="T370" i="4"/>
  <c r="S370" i="4"/>
  <c r="P378" i="4"/>
  <c r="R378" i="4" s="1"/>
  <c r="T378" i="4"/>
  <c r="S378" i="4"/>
  <c r="S408" i="4"/>
  <c r="T408" i="4"/>
  <c r="P408" i="4"/>
  <c r="R408" i="4" s="1"/>
  <c r="U408" i="4"/>
  <c r="T475" i="4"/>
  <c r="S475" i="4"/>
  <c r="P475" i="4"/>
  <c r="R475" i="4" s="1"/>
  <c r="U475" i="4"/>
  <c r="P480" i="4"/>
  <c r="R480" i="4" s="1"/>
  <c r="U480" i="4"/>
  <c r="T480" i="4"/>
  <c r="S480" i="4"/>
  <c r="P485" i="4"/>
  <c r="R485" i="4" s="1"/>
  <c r="S485" i="4"/>
  <c r="U485" i="4"/>
  <c r="T485" i="4"/>
  <c r="P497" i="4"/>
  <c r="R497" i="4" s="1"/>
  <c r="U497" i="4"/>
  <c r="T497" i="4"/>
  <c r="S497" i="4"/>
  <c r="Y188" i="4"/>
  <c r="M435" i="3" s="1"/>
  <c r="S222" i="4"/>
  <c r="Q235" i="4"/>
  <c r="T248" i="4"/>
  <c r="S248" i="4"/>
  <c r="S259" i="4"/>
  <c r="P259" i="4"/>
  <c r="R259" i="4" s="1"/>
  <c r="U259" i="4"/>
  <c r="T259" i="4"/>
  <c r="S275" i="4"/>
  <c r="P275" i="4"/>
  <c r="R275" i="4" s="1"/>
  <c r="U275" i="4"/>
  <c r="T275" i="4"/>
  <c r="S291" i="4"/>
  <c r="P291" i="4"/>
  <c r="R291" i="4" s="1"/>
  <c r="U291" i="4"/>
  <c r="T291" i="4"/>
  <c r="S307" i="4"/>
  <c r="P307" i="4"/>
  <c r="R307" i="4" s="1"/>
  <c r="U307" i="4"/>
  <c r="T307" i="4"/>
  <c r="S323" i="4"/>
  <c r="P323" i="4"/>
  <c r="R323" i="4" s="1"/>
  <c r="U323" i="4"/>
  <c r="T323" i="4"/>
  <c r="S328" i="4"/>
  <c r="P328" i="4"/>
  <c r="R328" i="4" s="1"/>
  <c r="U328" i="4"/>
  <c r="T328" i="4"/>
  <c r="T356" i="4"/>
  <c r="U356" i="4"/>
  <c r="S356" i="4"/>
  <c r="P381" i="4"/>
  <c r="R381" i="4" s="1"/>
  <c r="U381" i="4"/>
  <c r="S381" i="4"/>
  <c r="T381" i="4"/>
  <c r="U400" i="4"/>
  <c r="T400" i="4"/>
  <c r="S400" i="4"/>
  <c r="P400" i="4"/>
  <c r="R400" i="4" s="1"/>
  <c r="U402" i="4"/>
  <c r="T402" i="4"/>
  <c r="S402" i="4"/>
  <c r="P402" i="4"/>
  <c r="R402" i="4" s="1"/>
  <c r="P410" i="4"/>
  <c r="R410" i="4" s="1"/>
  <c r="S410" i="4"/>
  <c r="U410" i="4"/>
  <c r="T410" i="4"/>
  <c r="T420" i="4"/>
  <c r="U420" i="4"/>
  <c r="P420" i="4"/>
  <c r="R420" i="4" s="1"/>
  <c r="T423" i="4"/>
  <c r="P423" i="4"/>
  <c r="R423" i="4" s="1"/>
  <c r="U423" i="4"/>
  <c r="S423" i="4"/>
  <c r="T443" i="4"/>
  <c r="U443" i="4"/>
  <c r="S443" i="4"/>
  <c r="P443" i="4"/>
  <c r="R443" i="4" s="1"/>
  <c r="T491" i="4"/>
  <c r="S491" i="4"/>
  <c r="U491" i="4"/>
  <c r="BT119" i="46"/>
  <c r="BL119" i="46"/>
  <c r="BS119" i="46"/>
  <c r="BK119" i="46"/>
  <c r="BQ119" i="46"/>
  <c r="BP119" i="46"/>
  <c r="BO119" i="46"/>
  <c r="BN119" i="46"/>
  <c r="BM119" i="46"/>
  <c r="BJ119" i="46"/>
  <c r="BU119" i="46"/>
  <c r="BI119" i="46"/>
  <c r="BR119" i="46"/>
  <c r="V119" i="3"/>
  <c r="W119" i="3" s="1"/>
  <c r="O119" i="3"/>
  <c r="T119" i="3"/>
  <c r="Z119" i="3"/>
  <c r="U119" i="3"/>
  <c r="BT154" i="46"/>
  <c r="BL154" i="46"/>
  <c r="BM154" i="46"/>
  <c r="BU154" i="46"/>
  <c r="BK154" i="46"/>
  <c r="BR154" i="46"/>
  <c r="BQ154" i="46"/>
  <c r="BP154" i="46"/>
  <c r="BO154" i="46"/>
  <c r="BN154" i="46"/>
  <c r="BJ154" i="46"/>
  <c r="BI154" i="46"/>
  <c r="BS154" i="46"/>
  <c r="T154" i="3"/>
  <c r="Z154" i="3"/>
  <c r="O154" i="3"/>
  <c r="V154" i="3"/>
  <c r="W154" i="3" s="1"/>
  <c r="U154" i="3"/>
  <c r="BU168" i="46"/>
  <c r="BR168" i="46"/>
  <c r="BJ168" i="46"/>
  <c r="BT168" i="46"/>
  <c r="BK168" i="46"/>
  <c r="BS168" i="46"/>
  <c r="BI168" i="46"/>
  <c r="BQ168" i="46"/>
  <c r="BP168" i="46"/>
  <c r="BO168" i="46"/>
  <c r="BN168" i="46"/>
  <c r="BM168" i="46"/>
  <c r="BL168" i="46"/>
  <c r="U168" i="3"/>
  <c r="T168" i="3"/>
  <c r="V168" i="3"/>
  <c r="W168" i="3" s="1"/>
  <c r="Z168" i="3"/>
  <c r="O168" i="3"/>
  <c r="BQ251" i="46"/>
  <c r="BI251" i="46"/>
  <c r="BN251" i="46"/>
  <c r="BU251" i="46"/>
  <c r="BL251" i="46"/>
  <c r="BT251" i="46"/>
  <c r="BS251" i="46"/>
  <c r="BK251" i="46"/>
  <c r="BJ251" i="46"/>
  <c r="BR251" i="46"/>
  <c r="BP251" i="46"/>
  <c r="BO251" i="46"/>
  <c r="BM251" i="46"/>
  <c r="V251" i="3"/>
  <c r="W251" i="3" s="1"/>
  <c r="O251" i="3"/>
  <c r="U251" i="3"/>
  <c r="T251" i="3"/>
  <c r="Z251" i="3"/>
  <c r="BT286" i="46"/>
  <c r="BL286" i="46"/>
  <c r="BU286" i="46"/>
  <c r="BK286" i="46"/>
  <c r="BP286" i="46"/>
  <c r="BJ286" i="46"/>
  <c r="BS286" i="46"/>
  <c r="BN286" i="46"/>
  <c r="BM286" i="46"/>
  <c r="BI286" i="46"/>
  <c r="BR286" i="46"/>
  <c r="BQ286" i="46"/>
  <c r="BO286" i="46"/>
  <c r="T286" i="3"/>
  <c r="O286" i="3"/>
  <c r="Z286" i="3"/>
  <c r="V286" i="3"/>
  <c r="W286" i="3" s="1"/>
  <c r="U286" i="3"/>
  <c r="T222" i="4"/>
  <c r="Q230" i="4"/>
  <c r="Q239" i="4"/>
  <c r="P248" i="4"/>
  <c r="T252" i="4"/>
  <c r="S252" i="4"/>
  <c r="U254" i="4"/>
  <c r="S254" i="4"/>
  <c r="P254" i="4"/>
  <c r="R254" i="4" s="1"/>
  <c r="U264" i="4"/>
  <c r="T268" i="4"/>
  <c r="S268" i="4"/>
  <c r="U270" i="4"/>
  <c r="S270" i="4"/>
  <c r="P270" i="4"/>
  <c r="R270" i="4" s="1"/>
  <c r="U280" i="4"/>
  <c r="T284" i="4"/>
  <c r="S284" i="4"/>
  <c r="U286" i="4"/>
  <c r="S286" i="4"/>
  <c r="P286" i="4"/>
  <c r="R286" i="4" s="1"/>
  <c r="U296" i="4"/>
  <c r="T300" i="4"/>
  <c r="S300" i="4"/>
  <c r="U302" i="4"/>
  <c r="S302" i="4"/>
  <c r="P302" i="4"/>
  <c r="R302" i="4" s="1"/>
  <c r="U312" i="4"/>
  <c r="T316" i="4"/>
  <c r="S316" i="4"/>
  <c r="U318" i="4"/>
  <c r="S318" i="4"/>
  <c r="P318" i="4"/>
  <c r="R318" i="4" s="1"/>
  <c r="P330" i="4"/>
  <c r="R330" i="4" s="1"/>
  <c r="U330" i="4"/>
  <c r="S330" i="4"/>
  <c r="P336" i="4"/>
  <c r="R336" i="4" s="1"/>
  <c r="T336" i="4"/>
  <c r="S336" i="4"/>
  <c r="T340" i="4"/>
  <c r="P340" i="4"/>
  <c r="R340" i="4" s="1"/>
  <c r="U340" i="4"/>
  <c r="U344" i="4"/>
  <c r="T344" i="4"/>
  <c r="P344" i="4"/>
  <c r="R344" i="4" s="1"/>
  <c r="U348" i="4"/>
  <c r="T348" i="4"/>
  <c r="S348" i="4"/>
  <c r="P353" i="4"/>
  <c r="R353" i="4" s="1"/>
  <c r="U353" i="4"/>
  <c r="S353" i="4"/>
  <c r="P356" i="4"/>
  <c r="R356" i="4" s="1"/>
  <c r="T367" i="4"/>
  <c r="P367" i="4"/>
  <c r="R367" i="4" s="1"/>
  <c r="U367" i="4"/>
  <c r="S367" i="4"/>
  <c r="P384" i="4"/>
  <c r="R384" i="4" s="1"/>
  <c r="S384" i="4"/>
  <c r="U384" i="4"/>
  <c r="T384" i="4"/>
  <c r="P416" i="4"/>
  <c r="R416" i="4" s="1"/>
  <c r="U416" i="4"/>
  <c r="T416" i="4"/>
  <c r="S416" i="4"/>
  <c r="S420" i="4"/>
  <c r="P425" i="4"/>
  <c r="R425" i="4" s="1"/>
  <c r="U425" i="4"/>
  <c r="T425" i="4"/>
  <c r="S425" i="4"/>
  <c r="P433" i="4"/>
  <c r="R433" i="4" s="1"/>
  <c r="T433" i="4"/>
  <c r="U433" i="4"/>
  <c r="S436" i="4"/>
  <c r="P436" i="4"/>
  <c r="R436" i="4" s="1"/>
  <c r="U436" i="4"/>
  <c r="T436" i="4"/>
  <c r="P450" i="4"/>
  <c r="R450" i="4" s="1"/>
  <c r="U450" i="4"/>
  <c r="T450" i="4"/>
  <c r="S450" i="4"/>
  <c r="T452" i="4"/>
  <c r="P452" i="4"/>
  <c r="R452" i="4" s="1"/>
  <c r="U452" i="4"/>
  <c r="S452" i="4"/>
  <c r="P454" i="4"/>
  <c r="R454" i="4" s="1"/>
  <c r="U454" i="4"/>
  <c r="T454" i="4"/>
  <c r="S454" i="4"/>
  <c r="P457" i="4"/>
  <c r="R457" i="4" s="1"/>
  <c r="T457" i="4"/>
  <c r="S457" i="4"/>
  <c r="U464" i="4"/>
  <c r="P464" i="4"/>
  <c r="R464" i="4" s="1"/>
  <c r="T464" i="4"/>
  <c r="S464" i="4"/>
  <c r="P466" i="4"/>
  <c r="R466" i="4" s="1"/>
  <c r="U466" i="4"/>
  <c r="T466" i="4"/>
  <c r="S466" i="4"/>
  <c r="T488" i="4"/>
  <c r="P488" i="4"/>
  <c r="R488" i="4" s="1"/>
  <c r="U488" i="4"/>
  <c r="P491" i="4"/>
  <c r="R491" i="4" s="1"/>
  <c r="BO186" i="46"/>
  <c r="BS186" i="46"/>
  <c r="BJ186" i="46"/>
  <c r="BR186" i="46"/>
  <c r="BP186" i="46"/>
  <c r="BN186" i="46"/>
  <c r="BI186" i="46"/>
  <c r="BU186" i="46"/>
  <c r="BT186" i="46"/>
  <c r="BQ186" i="46"/>
  <c r="BM186" i="46"/>
  <c r="BL186" i="46"/>
  <c r="BK186" i="46"/>
  <c r="T186" i="3"/>
  <c r="Z186" i="3"/>
  <c r="U186" i="3"/>
  <c r="V186" i="3"/>
  <c r="W186" i="3" s="1"/>
  <c r="O186" i="3"/>
  <c r="P245" i="4"/>
  <c r="P413" i="4"/>
  <c r="R413" i="4" s="1"/>
  <c r="U413" i="4"/>
  <c r="U422" i="4"/>
  <c r="T467" i="4"/>
  <c r="P467" i="4"/>
  <c r="R467" i="4" s="1"/>
  <c r="R101" i="3"/>
  <c r="BS126" i="46"/>
  <c r="BK126" i="46"/>
  <c r="BR126" i="46"/>
  <c r="BJ126" i="46"/>
  <c r="BP126" i="46"/>
  <c r="BO126" i="46"/>
  <c r="BN126" i="46"/>
  <c r="BM126" i="46"/>
  <c r="BL126" i="46"/>
  <c r="BU126" i="46"/>
  <c r="BI126" i="46"/>
  <c r="BT126" i="46"/>
  <c r="BQ126" i="46"/>
  <c r="T126" i="3"/>
  <c r="O126" i="3"/>
  <c r="Z126" i="3"/>
  <c r="V126" i="3"/>
  <c r="W126" i="3" s="1"/>
  <c r="BT127" i="46"/>
  <c r="BL127" i="46"/>
  <c r="BS127" i="46"/>
  <c r="BK127" i="46"/>
  <c r="BM127" i="46"/>
  <c r="BJ127" i="46"/>
  <c r="BU127" i="46"/>
  <c r="BI127" i="46"/>
  <c r="BR127" i="46"/>
  <c r="BQ127" i="46"/>
  <c r="BP127" i="46"/>
  <c r="BO127" i="46"/>
  <c r="BN127" i="46"/>
  <c r="V127" i="3"/>
  <c r="W127" i="3" s="1"/>
  <c r="O127" i="3"/>
  <c r="U127" i="3"/>
  <c r="T127" i="3"/>
  <c r="BT138" i="46"/>
  <c r="BL138" i="46"/>
  <c r="BQ138" i="46"/>
  <c r="BP138" i="46"/>
  <c r="BK138" i="46"/>
  <c r="BJ138" i="46"/>
  <c r="BU138" i="46"/>
  <c r="BI138" i="46"/>
  <c r="BS138" i="46"/>
  <c r="BR138" i="46"/>
  <c r="BO138" i="46"/>
  <c r="BN138" i="46"/>
  <c r="BM138" i="46"/>
  <c r="T138" i="3"/>
  <c r="U138" i="3"/>
  <c r="X138" i="3" s="1"/>
  <c r="Y138" i="3" s="1"/>
  <c r="V138" i="3"/>
  <c r="W138" i="3" s="1"/>
  <c r="U143" i="3"/>
  <c r="BN148" i="46"/>
  <c r="BU148" i="46"/>
  <c r="BL148" i="46"/>
  <c r="BT148" i="46"/>
  <c r="BK148" i="46"/>
  <c r="BO148" i="46"/>
  <c r="BM148" i="46"/>
  <c r="BJ148" i="46"/>
  <c r="BI148" i="46"/>
  <c r="BS148" i="46"/>
  <c r="BR148" i="46"/>
  <c r="BQ148" i="46"/>
  <c r="BP148" i="46"/>
  <c r="Z148" i="3"/>
  <c r="V148" i="3"/>
  <c r="W148" i="3" s="1"/>
  <c r="BU155" i="46"/>
  <c r="BM155" i="46"/>
  <c r="BP155" i="46"/>
  <c r="BO155" i="46"/>
  <c r="BN155" i="46"/>
  <c r="BL155" i="46"/>
  <c r="BK155" i="46"/>
  <c r="BJ155" i="46"/>
  <c r="BT155" i="46"/>
  <c r="BI155" i="46"/>
  <c r="BS155" i="46"/>
  <c r="BR155" i="46"/>
  <c r="BQ155" i="46"/>
  <c r="V155" i="3"/>
  <c r="W155" i="3" s="1"/>
  <c r="O155" i="3"/>
  <c r="U155" i="3"/>
  <c r="T155" i="3"/>
  <c r="BP171" i="46"/>
  <c r="BR171" i="46"/>
  <c r="BI171" i="46"/>
  <c r="BS171" i="46"/>
  <c r="BO171" i="46"/>
  <c r="BN171" i="46"/>
  <c r="BQ171" i="46"/>
  <c r="BM171" i="46"/>
  <c r="BL171" i="46"/>
  <c r="BK171" i="46"/>
  <c r="BJ171" i="46"/>
  <c r="BU171" i="46"/>
  <c r="BT171" i="46"/>
  <c r="V171" i="3"/>
  <c r="W171" i="3" s="1"/>
  <c r="O171" i="3"/>
  <c r="Z171" i="3"/>
  <c r="U171" i="3"/>
  <c r="BT175" i="46"/>
  <c r="BL175" i="46"/>
  <c r="BM175" i="46"/>
  <c r="BU175" i="46"/>
  <c r="BJ175" i="46"/>
  <c r="BR175" i="46"/>
  <c r="BQ175" i="46"/>
  <c r="BS175" i="46"/>
  <c r="BP175" i="46"/>
  <c r="BO175" i="46"/>
  <c r="BN175" i="46"/>
  <c r="BK175" i="46"/>
  <c r="BI175" i="46"/>
  <c r="V175" i="3"/>
  <c r="W175" i="3" s="1"/>
  <c r="O175" i="3"/>
  <c r="U175" i="3"/>
  <c r="BQ180" i="46"/>
  <c r="BI180" i="46"/>
  <c r="BS180" i="46"/>
  <c r="BJ180" i="46"/>
  <c r="BP180" i="46"/>
  <c r="BN180" i="46"/>
  <c r="BM180" i="46"/>
  <c r="BU180" i="46"/>
  <c r="BT180" i="46"/>
  <c r="BR180" i="46"/>
  <c r="BO180" i="46"/>
  <c r="BL180" i="46"/>
  <c r="BK180" i="46"/>
  <c r="O180" i="3"/>
  <c r="BQ188" i="46"/>
  <c r="BI188" i="46"/>
  <c r="BP188" i="46"/>
  <c r="BL188" i="46"/>
  <c r="BS188" i="46"/>
  <c r="BO188" i="46"/>
  <c r="BN188" i="46"/>
  <c r="BK188" i="46"/>
  <c r="BJ188" i="46"/>
  <c r="BU188" i="46"/>
  <c r="BT188" i="46"/>
  <c r="BR188" i="46"/>
  <c r="BM188" i="46"/>
  <c r="O188" i="3"/>
  <c r="Z188" i="3"/>
  <c r="BQ243" i="46"/>
  <c r="BI243" i="46"/>
  <c r="BP243" i="46"/>
  <c r="BL243" i="46"/>
  <c r="BT243" i="46"/>
  <c r="BM243" i="46"/>
  <c r="BK243" i="46"/>
  <c r="BR243" i="46"/>
  <c r="BO243" i="46"/>
  <c r="BN243" i="46"/>
  <c r="BJ243" i="46"/>
  <c r="BU243" i="46"/>
  <c r="BS243" i="46"/>
  <c r="V243" i="3"/>
  <c r="W243" i="3" s="1"/>
  <c r="O243" i="3"/>
  <c r="Z243" i="3"/>
  <c r="U246" i="3"/>
  <c r="X246" i="3" s="1"/>
  <c r="Y246" i="3" s="1"/>
  <c r="BR270" i="46"/>
  <c r="BJ270" i="46"/>
  <c r="BS270" i="46"/>
  <c r="BI270" i="46"/>
  <c r="BP270" i="46"/>
  <c r="BN270" i="46"/>
  <c r="BM270" i="46"/>
  <c r="BL270" i="46"/>
  <c r="BK270" i="46"/>
  <c r="BQ270" i="46"/>
  <c r="BO270" i="46"/>
  <c r="BU270" i="46"/>
  <c r="BT270" i="46"/>
  <c r="T270" i="3"/>
  <c r="V270" i="3"/>
  <c r="W270" i="3" s="1"/>
  <c r="U270" i="3"/>
  <c r="Z270" i="3"/>
  <c r="U276" i="3"/>
  <c r="X276" i="3" s="1"/>
  <c r="Y276" i="3" s="1"/>
  <c r="BN282" i="46"/>
  <c r="BT282" i="46"/>
  <c r="BK282" i="46"/>
  <c r="BS282" i="46"/>
  <c r="BI282" i="46"/>
  <c r="BQ282" i="46"/>
  <c r="BR282" i="46"/>
  <c r="BP282" i="46"/>
  <c r="BO282" i="46"/>
  <c r="BJ282" i="46"/>
  <c r="BU282" i="46"/>
  <c r="BM282" i="46"/>
  <c r="BL282" i="46"/>
  <c r="T282" i="3"/>
  <c r="Z282" i="3"/>
  <c r="V282" i="3"/>
  <c r="W282" i="3" s="1"/>
  <c r="U282" i="3"/>
  <c r="BR300" i="46"/>
  <c r="BJ300" i="46"/>
  <c r="BP300" i="46"/>
  <c r="BN300" i="46"/>
  <c r="BQ300" i="46"/>
  <c r="BL300" i="46"/>
  <c r="BK300" i="46"/>
  <c r="BT300" i="46"/>
  <c r="BM300" i="46"/>
  <c r="BI300" i="46"/>
  <c r="BU300" i="46"/>
  <c r="BS300" i="46"/>
  <c r="BO300" i="46"/>
  <c r="V300" i="3"/>
  <c r="W300" i="3" s="1"/>
  <c r="T300" i="3"/>
  <c r="Z300" i="3"/>
  <c r="O300" i="3"/>
  <c r="BU303" i="46"/>
  <c r="BM303" i="46"/>
  <c r="BQ303" i="46"/>
  <c r="BK303" i="46"/>
  <c r="BN303" i="46"/>
  <c r="BI303" i="46"/>
  <c r="BT303" i="46"/>
  <c r="BJ303" i="46"/>
  <c r="BS303" i="46"/>
  <c r="BR303" i="46"/>
  <c r="BP303" i="46"/>
  <c r="BO303" i="46"/>
  <c r="BL303" i="46"/>
  <c r="T303" i="3"/>
  <c r="U303" i="3"/>
  <c r="Z303" i="3"/>
  <c r="O303" i="3"/>
  <c r="V303" i="3"/>
  <c r="W303" i="3" s="1"/>
  <c r="BQ358" i="46"/>
  <c r="BI358" i="46"/>
  <c r="BU358" i="46"/>
  <c r="BL358" i="46"/>
  <c r="BO358" i="46"/>
  <c r="BN358" i="46"/>
  <c r="BK358" i="46"/>
  <c r="BS358" i="46"/>
  <c r="BP358" i="46"/>
  <c r="BM358" i="46"/>
  <c r="BJ358" i="46"/>
  <c r="BT358" i="46"/>
  <c r="BR358" i="46"/>
  <c r="Z358" i="3"/>
  <c r="T358" i="3"/>
  <c r="O358" i="3"/>
  <c r="V358" i="3"/>
  <c r="W358" i="3" s="1"/>
  <c r="U358" i="3"/>
  <c r="K456" i="3"/>
  <c r="L459" i="3"/>
  <c r="J460" i="3"/>
  <c r="L493" i="3"/>
  <c r="L510" i="3"/>
  <c r="K518" i="3"/>
  <c r="L594" i="3"/>
  <c r="K595" i="3"/>
  <c r="K598" i="3"/>
  <c r="K604" i="3"/>
  <c r="J634" i="3"/>
  <c r="K635" i="3"/>
  <c r="K636" i="3"/>
  <c r="K638" i="3"/>
  <c r="K653" i="3"/>
  <c r="L662" i="3"/>
  <c r="J663" i="3"/>
  <c r="L672" i="3"/>
  <c r="T358" i="4"/>
  <c r="S372" i="4"/>
  <c r="U383" i="4"/>
  <c r="P390" i="4"/>
  <c r="R390" i="4" s="1"/>
  <c r="U396" i="4"/>
  <c r="U397" i="4"/>
  <c r="P415" i="4"/>
  <c r="R415" i="4" s="1"/>
  <c r="P428" i="4"/>
  <c r="R428" i="4" s="1"/>
  <c r="T439" i="4"/>
  <c r="S439" i="4"/>
  <c r="S441" i="4"/>
  <c r="U462" i="4"/>
  <c r="A98" i="3"/>
  <c r="R107" i="3"/>
  <c r="AD11" i="46" s="1"/>
  <c r="N66" i="23" s="1"/>
  <c r="O116" i="3"/>
  <c r="U132" i="3"/>
  <c r="X132" i="3" s="1"/>
  <c r="Y132" i="3" s="1"/>
  <c r="BQ135" i="46"/>
  <c r="BI135" i="46"/>
  <c r="BP135" i="46"/>
  <c r="BO135" i="46"/>
  <c r="BU135" i="46"/>
  <c r="BJ135" i="46"/>
  <c r="BT135" i="46"/>
  <c r="BS135" i="46"/>
  <c r="BR135" i="46"/>
  <c r="BN135" i="46"/>
  <c r="BM135" i="46"/>
  <c r="BL135" i="46"/>
  <c r="BK135" i="46"/>
  <c r="V135" i="3"/>
  <c r="W135" i="3" s="1"/>
  <c r="O135" i="3"/>
  <c r="Z135" i="3"/>
  <c r="T139" i="3"/>
  <c r="BR144" i="46"/>
  <c r="BJ144" i="46"/>
  <c r="BQ144" i="46"/>
  <c r="BP144" i="46"/>
  <c r="BM144" i="46"/>
  <c r="BL144" i="46"/>
  <c r="BK144" i="46"/>
  <c r="BU144" i="46"/>
  <c r="BI144" i="46"/>
  <c r="BT144" i="46"/>
  <c r="BS144" i="46"/>
  <c r="BO144" i="46"/>
  <c r="BN144" i="46"/>
  <c r="V144" i="3"/>
  <c r="W144" i="3" s="1"/>
  <c r="Z144" i="3"/>
  <c r="T148" i="3"/>
  <c r="BN156" i="46"/>
  <c r="BS156" i="46"/>
  <c r="BJ156" i="46"/>
  <c r="BR156" i="46"/>
  <c r="BI156" i="46"/>
  <c r="BL156" i="46"/>
  <c r="BK156" i="46"/>
  <c r="BU156" i="46"/>
  <c r="BT156" i="46"/>
  <c r="BQ156" i="46"/>
  <c r="BP156" i="46"/>
  <c r="BO156" i="46"/>
  <c r="BM156" i="46"/>
  <c r="O156" i="3"/>
  <c r="Z156" i="3"/>
  <c r="O164" i="3"/>
  <c r="BO178" i="46"/>
  <c r="BU178" i="46"/>
  <c r="BL178" i="46"/>
  <c r="BP178" i="46"/>
  <c r="BM178" i="46"/>
  <c r="BK178" i="46"/>
  <c r="BS178" i="46"/>
  <c r="BR178" i="46"/>
  <c r="BQ178" i="46"/>
  <c r="BN178" i="46"/>
  <c r="BJ178" i="46"/>
  <c r="BI178" i="46"/>
  <c r="BT178" i="46"/>
  <c r="T178" i="3"/>
  <c r="V178" i="3"/>
  <c r="W178" i="3" s="1"/>
  <c r="U178" i="3"/>
  <c r="X178" i="3" s="1"/>
  <c r="Y178" i="3" s="1"/>
  <c r="T180" i="3"/>
  <c r="BP187" i="46"/>
  <c r="BM187" i="46"/>
  <c r="BR187" i="46"/>
  <c r="BN187" i="46"/>
  <c r="BU187" i="46"/>
  <c r="BK187" i="46"/>
  <c r="BT187" i="46"/>
  <c r="BJ187" i="46"/>
  <c r="BI187" i="46"/>
  <c r="BS187" i="46"/>
  <c r="BQ187" i="46"/>
  <c r="BO187" i="46"/>
  <c r="BL187" i="46"/>
  <c r="V187" i="3"/>
  <c r="W187" i="3" s="1"/>
  <c r="O187" i="3"/>
  <c r="U187" i="3"/>
  <c r="T187" i="3"/>
  <c r="V190" i="3"/>
  <c r="W190" i="3" s="1"/>
  <c r="T192" i="3"/>
  <c r="BR204" i="46"/>
  <c r="BQ204" i="46"/>
  <c r="BI204" i="46"/>
  <c r="BS204" i="46"/>
  <c r="BL204" i="46"/>
  <c r="BU204" i="46"/>
  <c r="BT204" i="46"/>
  <c r="BP204" i="46"/>
  <c r="BO204" i="46"/>
  <c r="BN204" i="46"/>
  <c r="BM204" i="46"/>
  <c r="BK204" i="46"/>
  <c r="BJ204" i="46"/>
  <c r="V204" i="3"/>
  <c r="W204" i="3" s="1"/>
  <c r="U204" i="3"/>
  <c r="Z204" i="3"/>
  <c r="BT206" i="46"/>
  <c r="BL206" i="46"/>
  <c r="BO206" i="46"/>
  <c r="BS206" i="46"/>
  <c r="BI206" i="46"/>
  <c r="BM206" i="46"/>
  <c r="BQ206" i="46"/>
  <c r="BP206" i="46"/>
  <c r="BN206" i="46"/>
  <c r="BK206" i="46"/>
  <c r="BJ206" i="46"/>
  <c r="BU206" i="46"/>
  <c r="BR206" i="46"/>
  <c r="T206" i="3"/>
  <c r="V206" i="3"/>
  <c r="W206" i="3" s="1"/>
  <c r="U206" i="3"/>
  <c r="X206" i="3" s="1"/>
  <c r="Y206" i="3" s="1"/>
  <c r="O206" i="3"/>
  <c r="V228" i="3"/>
  <c r="W228" i="3" s="1"/>
  <c r="V246" i="3"/>
  <c r="W246" i="3" s="1"/>
  <c r="BN248" i="46"/>
  <c r="BO248" i="46"/>
  <c r="BU248" i="46"/>
  <c r="BL248" i="46"/>
  <c r="BS248" i="46"/>
  <c r="BK248" i="46"/>
  <c r="BQ248" i="46"/>
  <c r="BP248" i="46"/>
  <c r="BT248" i="46"/>
  <c r="BR248" i="46"/>
  <c r="BM248" i="46"/>
  <c r="BJ248" i="46"/>
  <c r="BI248" i="46"/>
  <c r="Z248" i="3"/>
  <c r="V248" i="3"/>
  <c r="W248" i="3" s="1"/>
  <c r="U249" i="3"/>
  <c r="V276" i="3"/>
  <c r="W276" i="3" s="1"/>
  <c r="BR278" i="46"/>
  <c r="BJ278" i="46"/>
  <c r="BP278" i="46"/>
  <c r="BQ278" i="46"/>
  <c r="BN278" i="46"/>
  <c r="BK278" i="46"/>
  <c r="BI278" i="46"/>
  <c r="BU278" i="46"/>
  <c r="BO278" i="46"/>
  <c r="BS278" i="46"/>
  <c r="BM278" i="46"/>
  <c r="BL278" i="46"/>
  <c r="BT278" i="46"/>
  <c r="T278" i="3"/>
  <c r="V278" i="3"/>
  <c r="W278" i="3" s="1"/>
  <c r="U278" i="3"/>
  <c r="X278" i="3" s="1"/>
  <c r="Y278" i="3" s="1"/>
  <c r="BP284" i="46"/>
  <c r="BQ284" i="46"/>
  <c r="BS284" i="46"/>
  <c r="BI284" i="46"/>
  <c r="BO284" i="46"/>
  <c r="BM284" i="46"/>
  <c r="BL284" i="46"/>
  <c r="BK284" i="46"/>
  <c r="BT284" i="46"/>
  <c r="BJ284" i="46"/>
  <c r="BU284" i="46"/>
  <c r="BR284" i="46"/>
  <c r="BN284" i="46"/>
  <c r="O284" i="3"/>
  <c r="Z284" i="3"/>
  <c r="T284" i="3"/>
  <c r="BQ299" i="46"/>
  <c r="BI299" i="46"/>
  <c r="BM299" i="46"/>
  <c r="BT299" i="46"/>
  <c r="BJ299" i="46"/>
  <c r="BL299" i="46"/>
  <c r="BP299" i="46"/>
  <c r="BO299" i="46"/>
  <c r="BS299" i="46"/>
  <c r="BK299" i="46"/>
  <c r="BU299" i="46"/>
  <c r="BR299" i="46"/>
  <c r="BN299" i="46"/>
  <c r="T299" i="3"/>
  <c r="Z299" i="3"/>
  <c r="O299" i="3"/>
  <c r="U299" i="3"/>
  <c r="V299" i="3"/>
  <c r="W299" i="3" s="1"/>
  <c r="BO321" i="46"/>
  <c r="BU321" i="46"/>
  <c r="BL321" i="46"/>
  <c r="BM321" i="46"/>
  <c r="BT321" i="46"/>
  <c r="BJ321" i="46"/>
  <c r="BR321" i="46"/>
  <c r="BQ321" i="46"/>
  <c r="BI321" i="46"/>
  <c r="BS321" i="46"/>
  <c r="BN321" i="46"/>
  <c r="BK321" i="46"/>
  <c r="BP321" i="46"/>
  <c r="V321" i="3"/>
  <c r="W321" i="3" s="1"/>
  <c r="U321" i="3"/>
  <c r="T321" i="3"/>
  <c r="BQ331" i="46"/>
  <c r="BI331" i="46"/>
  <c r="BP331" i="46"/>
  <c r="BM331" i="46"/>
  <c r="BL331" i="46"/>
  <c r="BU331" i="46"/>
  <c r="BJ331" i="46"/>
  <c r="BS331" i="46"/>
  <c r="BO331" i="46"/>
  <c r="BN331" i="46"/>
  <c r="BT331" i="46"/>
  <c r="BR331" i="46"/>
  <c r="BK331" i="46"/>
  <c r="T331" i="3"/>
  <c r="Z331" i="3"/>
  <c r="O331" i="3"/>
  <c r="U331" i="3"/>
  <c r="V331" i="3"/>
  <c r="W331" i="3" s="1"/>
  <c r="BO348" i="46"/>
  <c r="BQ348" i="46"/>
  <c r="BT348" i="46"/>
  <c r="BK348" i="46"/>
  <c r="BR348" i="46"/>
  <c r="BM348" i="46"/>
  <c r="BS348" i="46"/>
  <c r="BJ348" i="46"/>
  <c r="BP348" i="46"/>
  <c r="BN348" i="46"/>
  <c r="BL348" i="46"/>
  <c r="BI348" i="46"/>
  <c r="BU348" i="46"/>
  <c r="V348" i="3"/>
  <c r="W348" i="3" s="1"/>
  <c r="U348" i="3"/>
  <c r="Z348" i="3"/>
  <c r="T348" i="3"/>
  <c r="BO372" i="46"/>
  <c r="BS372" i="46"/>
  <c r="BJ372" i="46"/>
  <c r="BM372" i="46"/>
  <c r="BN372" i="46"/>
  <c r="BK372" i="46"/>
  <c r="BT372" i="46"/>
  <c r="BR372" i="46"/>
  <c r="BP372" i="46"/>
  <c r="BL372" i="46"/>
  <c r="BI372" i="46"/>
  <c r="BU372" i="46"/>
  <c r="BQ372" i="46"/>
  <c r="V372" i="3"/>
  <c r="W372" i="3" s="1"/>
  <c r="T372" i="3"/>
  <c r="Z372" i="3"/>
  <c r="O372" i="3"/>
  <c r="U372" i="3"/>
  <c r="BS375" i="46"/>
  <c r="BK375" i="46"/>
  <c r="BM375" i="46"/>
  <c r="BN375" i="46"/>
  <c r="BQ375" i="46"/>
  <c r="BP375" i="46"/>
  <c r="BL375" i="46"/>
  <c r="BI375" i="46"/>
  <c r="BU375" i="46"/>
  <c r="BJ375" i="46"/>
  <c r="BR375" i="46"/>
  <c r="BT375" i="46"/>
  <c r="BO375" i="46"/>
  <c r="T375" i="3"/>
  <c r="U375" i="3"/>
  <c r="O375" i="3"/>
  <c r="U380" i="3"/>
  <c r="X380" i="3" s="1"/>
  <c r="Y380" i="3" s="1"/>
  <c r="J462" i="3"/>
  <c r="L480" i="3"/>
  <c r="L496" i="3"/>
  <c r="J519" i="3"/>
  <c r="L569" i="3"/>
  <c r="K573" i="3"/>
  <c r="J574" i="3"/>
  <c r="L576" i="3"/>
  <c r="L577" i="3"/>
  <c r="J579" i="3"/>
  <c r="L638" i="3"/>
  <c r="J639" i="3"/>
  <c r="K640" i="3"/>
  <c r="L641" i="3"/>
  <c r="L644" i="3"/>
  <c r="J649" i="3"/>
  <c r="L664" i="3"/>
  <c r="L675" i="3"/>
  <c r="K676" i="3"/>
  <c r="L677" i="3"/>
  <c r="K680" i="3"/>
  <c r="L694" i="3"/>
  <c r="J695" i="3"/>
  <c r="L696" i="3"/>
  <c r="L704" i="3"/>
  <c r="L705" i="3"/>
  <c r="J707" i="3"/>
  <c r="L708" i="3"/>
  <c r="K709" i="3"/>
  <c r="J712" i="3"/>
  <c r="K720" i="3"/>
  <c r="I39" i="15"/>
  <c r="I62" i="15"/>
  <c r="H39" i="15" s="1"/>
  <c r="S337" i="4"/>
  <c r="S359" i="4"/>
  <c r="T372" i="4"/>
  <c r="S373" i="4"/>
  <c r="P376" i="4"/>
  <c r="R376" i="4" s="1"/>
  <c r="P391" i="4"/>
  <c r="R391" i="4" s="1"/>
  <c r="P404" i="4"/>
  <c r="R404" i="4" s="1"/>
  <c r="S413" i="4"/>
  <c r="P418" i="4"/>
  <c r="R418" i="4" s="1"/>
  <c r="S428" i="4"/>
  <c r="S429" i="4"/>
  <c r="T440" i="4"/>
  <c r="T441" i="4"/>
  <c r="S442" i="4"/>
  <c r="P444" i="4"/>
  <c r="R444" i="4" s="1"/>
  <c r="S467" i="4"/>
  <c r="P470" i="4"/>
  <c r="R470" i="4" s="1"/>
  <c r="P484" i="4"/>
  <c r="R484" i="4" s="1"/>
  <c r="L438" i="3"/>
  <c r="L437" i="3"/>
  <c r="K728" i="3"/>
  <c r="U126" i="3"/>
  <c r="Z127" i="3"/>
  <c r="BN140" i="46"/>
  <c r="BO140" i="46"/>
  <c r="BM140" i="46"/>
  <c r="BR140" i="46"/>
  <c r="BQ140" i="46"/>
  <c r="BP140" i="46"/>
  <c r="BL140" i="46"/>
  <c r="BK140" i="46"/>
  <c r="BU140" i="46"/>
  <c r="BJ140" i="46"/>
  <c r="BT140" i="46"/>
  <c r="BI140" i="46"/>
  <c r="BS140" i="46"/>
  <c r="V140" i="3"/>
  <c r="W140" i="3" s="1"/>
  <c r="U140" i="3"/>
  <c r="BU147" i="46"/>
  <c r="BM147" i="46"/>
  <c r="BR147" i="46"/>
  <c r="BI147" i="46"/>
  <c r="BQ147" i="46"/>
  <c r="BP147" i="46"/>
  <c r="BO147" i="46"/>
  <c r="BN147" i="46"/>
  <c r="BL147" i="46"/>
  <c r="BK147" i="46"/>
  <c r="BJ147" i="46"/>
  <c r="BT147" i="46"/>
  <c r="BS147" i="46"/>
  <c r="V147" i="3"/>
  <c r="W147" i="3" s="1"/>
  <c r="O147" i="3"/>
  <c r="Z147" i="3"/>
  <c r="U148" i="3"/>
  <c r="BU163" i="46"/>
  <c r="BM163" i="46"/>
  <c r="BN163" i="46"/>
  <c r="BL163" i="46"/>
  <c r="BO163" i="46"/>
  <c r="BK163" i="46"/>
  <c r="BJ163" i="46"/>
  <c r="BT163" i="46"/>
  <c r="BI163" i="46"/>
  <c r="BS163" i="46"/>
  <c r="BR163" i="46"/>
  <c r="BQ163" i="46"/>
  <c r="BP163" i="46"/>
  <c r="V163" i="3"/>
  <c r="W163" i="3" s="1"/>
  <c r="O163" i="3"/>
  <c r="Z163" i="3"/>
  <c r="U163" i="3"/>
  <c r="T171" i="3"/>
  <c r="U180" i="3"/>
  <c r="BO194" i="46"/>
  <c r="BQ194" i="46"/>
  <c r="BM194" i="46"/>
  <c r="BT194" i="46"/>
  <c r="BJ194" i="46"/>
  <c r="BR194" i="46"/>
  <c r="BP194" i="46"/>
  <c r="BI194" i="46"/>
  <c r="BU194" i="46"/>
  <c r="BS194" i="46"/>
  <c r="BN194" i="46"/>
  <c r="BL194" i="46"/>
  <c r="BK194" i="46"/>
  <c r="T194" i="3"/>
  <c r="O194" i="3"/>
  <c r="U194" i="3"/>
  <c r="Z194" i="3"/>
  <c r="BO202" i="46"/>
  <c r="BT202" i="46"/>
  <c r="BK202" i="46"/>
  <c r="BN202" i="46"/>
  <c r="BM202" i="46"/>
  <c r="BL202" i="46"/>
  <c r="BU202" i="46"/>
  <c r="BI202" i="46"/>
  <c r="BS202" i="46"/>
  <c r="BR202" i="46"/>
  <c r="BQ202" i="46"/>
  <c r="BP202" i="46"/>
  <c r="BJ202" i="46"/>
  <c r="T202" i="3"/>
  <c r="U202" i="3"/>
  <c r="O202" i="3"/>
  <c r="Z202" i="3"/>
  <c r="O212" i="3"/>
  <c r="V232" i="3"/>
  <c r="W232" i="3" s="1"/>
  <c r="BU239" i="46"/>
  <c r="BM239" i="46"/>
  <c r="BN239" i="46"/>
  <c r="BK239" i="46"/>
  <c r="BO239" i="46"/>
  <c r="BR239" i="46"/>
  <c r="BP239" i="46"/>
  <c r="BL239" i="46"/>
  <c r="BJ239" i="46"/>
  <c r="BI239" i="46"/>
  <c r="BT239" i="46"/>
  <c r="BS239" i="46"/>
  <c r="BQ239" i="46"/>
  <c r="V239" i="3"/>
  <c r="W239" i="3" s="1"/>
  <c r="O239" i="3"/>
  <c r="T239" i="3"/>
  <c r="BT254" i="46"/>
  <c r="BL254" i="46"/>
  <c r="BO254" i="46"/>
  <c r="BM254" i="46"/>
  <c r="BK254" i="46"/>
  <c r="BQ254" i="46"/>
  <c r="BU254" i="46"/>
  <c r="BS254" i="46"/>
  <c r="BN254" i="46"/>
  <c r="BJ254" i="46"/>
  <c r="BI254" i="46"/>
  <c r="BR254" i="46"/>
  <c r="BP254" i="46"/>
  <c r="T254" i="3"/>
  <c r="O254" i="3"/>
  <c r="Z254" i="3"/>
  <c r="U258" i="3"/>
  <c r="BQ259" i="46"/>
  <c r="BI259" i="46"/>
  <c r="BU259" i="46"/>
  <c r="BL259" i="46"/>
  <c r="BS259" i="46"/>
  <c r="BJ259" i="46"/>
  <c r="BT259" i="46"/>
  <c r="BP259" i="46"/>
  <c r="BM259" i="46"/>
  <c r="BK259" i="46"/>
  <c r="BR259" i="46"/>
  <c r="BO259" i="46"/>
  <c r="BN259" i="46"/>
  <c r="V259" i="3"/>
  <c r="W259" i="3" s="1"/>
  <c r="O259" i="3"/>
  <c r="Z259" i="3"/>
  <c r="U259" i="3"/>
  <c r="BN274" i="46"/>
  <c r="BM274" i="46"/>
  <c r="BR274" i="46"/>
  <c r="BP274" i="46"/>
  <c r="BT274" i="46"/>
  <c r="BS274" i="46"/>
  <c r="BQ274" i="46"/>
  <c r="BU274" i="46"/>
  <c r="BO274" i="46"/>
  <c r="BJ274" i="46"/>
  <c r="BI274" i="46"/>
  <c r="BL274" i="46"/>
  <c r="BK274" i="46"/>
  <c r="T274" i="3"/>
  <c r="V274" i="3"/>
  <c r="W274" i="3" s="1"/>
  <c r="U274" i="3"/>
  <c r="BT280" i="46"/>
  <c r="BL280" i="46"/>
  <c r="BN280" i="46"/>
  <c r="BR280" i="46"/>
  <c r="BP280" i="46"/>
  <c r="BI280" i="46"/>
  <c r="BU280" i="46"/>
  <c r="BS280" i="46"/>
  <c r="BM280" i="46"/>
  <c r="BQ280" i="46"/>
  <c r="BJ280" i="46"/>
  <c r="BO280" i="46"/>
  <c r="BK280" i="46"/>
  <c r="Z280" i="3"/>
  <c r="O280" i="3"/>
  <c r="U294" i="3"/>
  <c r="O296" i="3"/>
  <c r="BQ307" i="46"/>
  <c r="BI307" i="46"/>
  <c r="BT307" i="46"/>
  <c r="BK307" i="46"/>
  <c r="BN307" i="46"/>
  <c r="BP307" i="46"/>
  <c r="BS307" i="46"/>
  <c r="BO307" i="46"/>
  <c r="BM307" i="46"/>
  <c r="BU307" i="46"/>
  <c r="BR307" i="46"/>
  <c r="BJ307" i="46"/>
  <c r="BL307" i="46"/>
  <c r="T307" i="3"/>
  <c r="Z307" i="3"/>
  <c r="O307" i="3"/>
  <c r="BT310" i="46"/>
  <c r="BL310" i="46"/>
  <c r="BO310" i="46"/>
  <c r="BN310" i="46"/>
  <c r="BR310" i="46"/>
  <c r="BJ310" i="46"/>
  <c r="BU310" i="46"/>
  <c r="BQ310" i="46"/>
  <c r="BM310" i="46"/>
  <c r="BI310" i="46"/>
  <c r="BS310" i="46"/>
  <c r="BP310" i="46"/>
  <c r="BK310" i="46"/>
  <c r="Z310" i="3"/>
  <c r="U310" i="3"/>
  <c r="O310" i="3"/>
  <c r="T310" i="3"/>
  <c r="BP314" i="46"/>
  <c r="BR314" i="46"/>
  <c r="BI314" i="46"/>
  <c r="BO314" i="46"/>
  <c r="BM314" i="46"/>
  <c r="BT314" i="46"/>
  <c r="BJ314" i="46"/>
  <c r="BS314" i="46"/>
  <c r="BN314" i="46"/>
  <c r="BK314" i="46"/>
  <c r="BQ314" i="46"/>
  <c r="BU314" i="46"/>
  <c r="BL314" i="46"/>
  <c r="Z314" i="3"/>
  <c r="O314" i="3"/>
  <c r="U314" i="3"/>
  <c r="V314" i="3"/>
  <c r="W314" i="3" s="1"/>
  <c r="U322" i="3"/>
  <c r="S322" i="3"/>
  <c r="U339" i="3"/>
  <c r="U344" i="3"/>
  <c r="BN347" i="46"/>
  <c r="BR347" i="46"/>
  <c r="BI347" i="46"/>
  <c r="BL347" i="46"/>
  <c r="BS347" i="46"/>
  <c r="BU347" i="46"/>
  <c r="BO347" i="46"/>
  <c r="BP347" i="46"/>
  <c r="BM347" i="46"/>
  <c r="BK347" i="46"/>
  <c r="BJ347" i="46"/>
  <c r="BT347" i="46"/>
  <c r="BQ347" i="46"/>
  <c r="T347" i="3"/>
  <c r="V347" i="3"/>
  <c r="W347" i="3" s="1"/>
  <c r="Z347" i="3"/>
  <c r="BN363" i="46"/>
  <c r="BS363" i="46"/>
  <c r="BJ363" i="46"/>
  <c r="BM363" i="46"/>
  <c r="BU363" i="46"/>
  <c r="BI363" i="46"/>
  <c r="BR363" i="46"/>
  <c r="BO363" i="46"/>
  <c r="BL363" i="46"/>
  <c r="BK363" i="46"/>
  <c r="BQ363" i="46"/>
  <c r="BT363" i="46"/>
  <c r="BP363" i="46"/>
  <c r="T363" i="3"/>
  <c r="Z363" i="3"/>
  <c r="O363" i="3"/>
  <c r="U363" i="3"/>
  <c r="V363" i="3"/>
  <c r="W363" i="3" s="1"/>
  <c r="BR367" i="46"/>
  <c r="BJ367" i="46"/>
  <c r="BM367" i="46"/>
  <c r="BP367" i="46"/>
  <c r="BS367" i="46"/>
  <c r="BO367" i="46"/>
  <c r="BL367" i="46"/>
  <c r="BK367" i="46"/>
  <c r="BN367" i="46"/>
  <c r="BI367" i="46"/>
  <c r="BU367" i="46"/>
  <c r="BT367" i="46"/>
  <c r="BQ367" i="46"/>
  <c r="T367" i="3"/>
  <c r="U367" i="3"/>
  <c r="Z367" i="3"/>
  <c r="O367" i="3"/>
  <c r="V367" i="3"/>
  <c r="W367" i="3" s="1"/>
  <c r="L483" i="3"/>
  <c r="J484" i="3"/>
  <c r="L485" i="3"/>
  <c r="J497" i="3"/>
  <c r="K499" i="3"/>
  <c r="K500" i="3"/>
  <c r="K579" i="3"/>
  <c r="K580" i="3"/>
  <c r="J584" i="3"/>
  <c r="J678" i="3"/>
  <c r="L680" i="3"/>
  <c r="L681" i="3"/>
  <c r="L684" i="3"/>
  <c r="J686" i="3"/>
  <c r="L690" i="3"/>
  <c r="J691" i="3"/>
  <c r="J699" i="3"/>
  <c r="K710" i="3"/>
  <c r="K712" i="3"/>
  <c r="K713" i="3"/>
  <c r="L720" i="3"/>
  <c r="L722" i="3"/>
  <c r="K723" i="3"/>
  <c r="I62" i="13"/>
  <c r="H39" i="13" s="1"/>
  <c r="P445" i="4"/>
  <c r="R445" i="4" s="1"/>
  <c r="U445" i="4"/>
  <c r="T483" i="4"/>
  <c r="U483" i="4"/>
  <c r="T499" i="4"/>
  <c r="P499" i="4"/>
  <c r="R499" i="4" s="1"/>
  <c r="BS108" i="46"/>
  <c r="BK108" i="46"/>
  <c r="BU108" i="46"/>
  <c r="BL108" i="46"/>
  <c r="BT108" i="46"/>
  <c r="BJ108" i="46"/>
  <c r="BR108" i="46"/>
  <c r="BI108" i="46"/>
  <c r="BQ108" i="46"/>
  <c r="BP108" i="46"/>
  <c r="BO108" i="46"/>
  <c r="BN108" i="46"/>
  <c r="BM108" i="46"/>
  <c r="V108" i="3"/>
  <c r="W108" i="3" s="1"/>
  <c r="U108" i="3"/>
  <c r="BU114" i="46"/>
  <c r="BM114" i="46"/>
  <c r="BP114" i="46"/>
  <c r="BO114" i="46"/>
  <c r="BN114" i="46"/>
  <c r="BL114" i="46"/>
  <c r="BT114" i="46"/>
  <c r="BK114" i="46"/>
  <c r="BS114" i="46"/>
  <c r="BJ114" i="46"/>
  <c r="BR114" i="46"/>
  <c r="BI114" i="46"/>
  <c r="BQ114" i="46"/>
  <c r="T114" i="3"/>
  <c r="V114" i="3"/>
  <c r="W114" i="3" s="1"/>
  <c r="Z114" i="3"/>
  <c r="BU128" i="46"/>
  <c r="BM128" i="46"/>
  <c r="BT128" i="46"/>
  <c r="BL128" i="46"/>
  <c r="BR128" i="46"/>
  <c r="BQ128" i="46"/>
  <c r="BP128" i="46"/>
  <c r="BO128" i="46"/>
  <c r="BN128" i="46"/>
  <c r="BK128" i="46"/>
  <c r="BJ128" i="46"/>
  <c r="BS128" i="46"/>
  <c r="BI128" i="46"/>
  <c r="O128" i="3"/>
  <c r="U128" i="3"/>
  <c r="X128" i="3" s="1"/>
  <c r="Y128" i="3" s="1"/>
  <c r="T128" i="3"/>
  <c r="BQ143" i="46"/>
  <c r="BI143" i="46"/>
  <c r="BN143" i="46"/>
  <c r="BM143" i="46"/>
  <c r="BR143" i="46"/>
  <c r="BP143" i="46"/>
  <c r="BO143" i="46"/>
  <c r="BL143" i="46"/>
  <c r="BK143" i="46"/>
  <c r="BU143" i="46"/>
  <c r="BJ143" i="46"/>
  <c r="BT143" i="46"/>
  <c r="BS143" i="46"/>
  <c r="V143" i="3"/>
  <c r="W143" i="3" s="1"/>
  <c r="O143" i="3"/>
  <c r="Z143" i="3"/>
  <c r="BQ151" i="46"/>
  <c r="BI151" i="46"/>
  <c r="BU151" i="46"/>
  <c r="BL151" i="46"/>
  <c r="BT151" i="46"/>
  <c r="BK151" i="46"/>
  <c r="BO151" i="46"/>
  <c r="BN151" i="46"/>
  <c r="BM151" i="46"/>
  <c r="BJ151" i="46"/>
  <c r="BS151" i="46"/>
  <c r="BR151" i="46"/>
  <c r="BP151" i="46"/>
  <c r="V151" i="3"/>
  <c r="W151" i="3" s="1"/>
  <c r="O151" i="3"/>
  <c r="T151" i="3"/>
  <c r="BS182" i="46"/>
  <c r="BK182" i="46"/>
  <c r="BP182" i="46"/>
  <c r="BQ182" i="46"/>
  <c r="BN182" i="46"/>
  <c r="BM182" i="46"/>
  <c r="BU182" i="46"/>
  <c r="BT182" i="46"/>
  <c r="BR182" i="46"/>
  <c r="BO182" i="46"/>
  <c r="BL182" i="46"/>
  <c r="BJ182" i="46"/>
  <c r="BI182" i="46"/>
  <c r="T182" i="3"/>
  <c r="U182" i="3"/>
  <c r="BT199" i="46"/>
  <c r="BL199" i="46"/>
  <c r="BU199" i="46"/>
  <c r="BO199" i="46"/>
  <c r="BK199" i="46"/>
  <c r="BJ199" i="46"/>
  <c r="BR199" i="46"/>
  <c r="BP199" i="46"/>
  <c r="BN199" i="46"/>
  <c r="BS199" i="46"/>
  <c r="BQ199" i="46"/>
  <c r="BM199" i="46"/>
  <c r="BI199" i="46"/>
  <c r="V199" i="3"/>
  <c r="W199" i="3" s="1"/>
  <c r="O199" i="3"/>
  <c r="Z199" i="3"/>
  <c r="BN208" i="46"/>
  <c r="BU208" i="46"/>
  <c r="BL208" i="46"/>
  <c r="BT208" i="46"/>
  <c r="BJ208" i="46"/>
  <c r="BO208" i="46"/>
  <c r="BP208" i="46"/>
  <c r="BM208" i="46"/>
  <c r="BK208" i="46"/>
  <c r="BI208" i="46"/>
  <c r="BS208" i="46"/>
  <c r="BR208" i="46"/>
  <c r="BQ208" i="46"/>
  <c r="V208" i="3"/>
  <c r="W208" i="3" s="1"/>
  <c r="U208" i="3"/>
  <c r="T208" i="3"/>
  <c r="BU223" i="46"/>
  <c r="BM223" i="46"/>
  <c r="BR223" i="46"/>
  <c r="BI223" i="46"/>
  <c r="BP223" i="46"/>
  <c r="BK223" i="46"/>
  <c r="BO223" i="46"/>
  <c r="BT223" i="46"/>
  <c r="BS223" i="46"/>
  <c r="BQ223" i="46"/>
  <c r="BN223" i="46"/>
  <c r="BL223" i="46"/>
  <c r="BJ223" i="46"/>
  <c r="V223" i="3"/>
  <c r="W223" i="3" s="1"/>
  <c r="O223" i="3"/>
  <c r="U223" i="3"/>
  <c r="T223" i="3"/>
  <c r="BR236" i="46"/>
  <c r="BJ236" i="46"/>
  <c r="BM236" i="46"/>
  <c r="BP236" i="46"/>
  <c r="BL236" i="46"/>
  <c r="BQ236" i="46"/>
  <c r="BS236" i="46"/>
  <c r="BO236" i="46"/>
  <c r="BN236" i="46"/>
  <c r="BK236" i="46"/>
  <c r="BI236" i="46"/>
  <c r="BU236" i="46"/>
  <c r="BT236" i="46"/>
  <c r="V236" i="3"/>
  <c r="W236" i="3" s="1"/>
  <c r="U236" i="3"/>
  <c r="O236" i="3"/>
  <c r="BT246" i="46"/>
  <c r="BL246" i="46"/>
  <c r="BQ246" i="46"/>
  <c r="BO246" i="46"/>
  <c r="BM246" i="46"/>
  <c r="BN246" i="46"/>
  <c r="BS246" i="46"/>
  <c r="BR246" i="46"/>
  <c r="BI246" i="46"/>
  <c r="BU246" i="46"/>
  <c r="BP246" i="46"/>
  <c r="BK246" i="46"/>
  <c r="BJ246" i="46"/>
  <c r="T246" i="3"/>
  <c r="O246" i="3"/>
  <c r="BR252" i="46"/>
  <c r="BJ252" i="46"/>
  <c r="BQ252" i="46"/>
  <c r="BO252" i="46"/>
  <c r="BS252" i="46"/>
  <c r="BT252" i="46"/>
  <c r="BK252" i="46"/>
  <c r="BI252" i="46"/>
  <c r="BU252" i="46"/>
  <c r="BP252" i="46"/>
  <c r="BN252" i="46"/>
  <c r="BM252" i="46"/>
  <c r="BL252" i="46"/>
  <c r="O252" i="3"/>
  <c r="Z252" i="3"/>
  <c r="BP276" i="46"/>
  <c r="BS276" i="46"/>
  <c r="BJ276" i="46"/>
  <c r="BQ276" i="46"/>
  <c r="BN276" i="46"/>
  <c r="BO276" i="46"/>
  <c r="BM276" i="46"/>
  <c r="BL276" i="46"/>
  <c r="BU276" i="46"/>
  <c r="BK276" i="46"/>
  <c r="BI276" i="46"/>
  <c r="BT276" i="46"/>
  <c r="BR276" i="46"/>
  <c r="O276" i="3"/>
  <c r="BO283" i="46"/>
  <c r="BM283" i="46"/>
  <c r="BN283" i="46"/>
  <c r="BU283" i="46"/>
  <c r="BK283" i="46"/>
  <c r="BQ283" i="46"/>
  <c r="BP283" i="46"/>
  <c r="BL283" i="46"/>
  <c r="BT283" i="46"/>
  <c r="BS283" i="46"/>
  <c r="BI283" i="46"/>
  <c r="BR283" i="46"/>
  <c r="BJ283" i="46"/>
  <c r="V283" i="3"/>
  <c r="W283" i="3" s="1"/>
  <c r="O283" i="3"/>
  <c r="U283" i="3"/>
  <c r="X283" i="3" s="1"/>
  <c r="Y283" i="3" s="1"/>
  <c r="T283" i="3"/>
  <c r="BN288" i="46"/>
  <c r="BR288" i="46"/>
  <c r="BI288" i="46"/>
  <c r="BQ288" i="46"/>
  <c r="BT288" i="46"/>
  <c r="BO288" i="46"/>
  <c r="BL288" i="46"/>
  <c r="BM288" i="46"/>
  <c r="BK288" i="46"/>
  <c r="BJ288" i="46"/>
  <c r="BU288" i="46"/>
  <c r="BS288" i="46"/>
  <c r="BP288" i="46"/>
  <c r="O288" i="3"/>
  <c r="T288" i="3"/>
  <c r="Z288" i="3"/>
  <c r="BS293" i="46"/>
  <c r="BK293" i="46"/>
  <c r="BM293" i="46"/>
  <c r="BT293" i="46"/>
  <c r="BI293" i="46"/>
  <c r="BL293" i="46"/>
  <c r="BO293" i="46"/>
  <c r="BJ293" i="46"/>
  <c r="BU293" i="46"/>
  <c r="BQ293" i="46"/>
  <c r="BR293" i="46"/>
  <c r="BP293" i="46"/>
  <c r="BN293" i="46"/>
  <c r="U293" i="3"/>
  <c r="V293" i="3"/>
  <c r="W293" i="3" s="1"/>
  <c r="T293" i="3"/>
  <c r="BS309" i="46"/>
  <c r="BK309" i="46"/>
  <c r="BU309" i="46"/>
  <c r="BL309" i="46"/>
  <c r="BR309" i="46"/>
  <c r="BM309" i="46"/>
  <c r="BJ309" i="46"/>
  <c r="BQ309" i="46"/>
  <c r="BO309" i="46"/>
  <c r="BN309" i="46"/>
  <c r="BI309" i="46"/>
  <c r="BT309" i="46"/>
  <c r="BP309" i="46"/>
  <c r="Z309" i="3"/>
  <c r="O309" i="3"/>
  <c r="T309" i="3"/>
  <c r="U309" i="3"/>
  <c r="BU335" i="46"/>
  <c r="BM335" i="46"/>
  <c r="BT335" i="46"/>
  <c r="BK335" i="46"/>
  <c r="BP335" i="46"/>
  <c r="BL335" i="46"/>
  <c r="BI335" i="46"/>
  <c r="BR335" i="46"/>
  <c r="BO335" i="46"/>
  <c r="BN335" i="46"/>
  <c r="BS335" i="46"/>
  <c r="BQ335" i="46"/>
  <c r="BJ335" i="46"/>
  <c r="T335" i="3"/>
  <c r="U335" i="3"/>
  <c r="Z335" i="3"/>
  <c r="O335" i="3"/>
  <c r="BN336" i="46"/>
  <c r="BO336" i="46"/>
  <c r="BU336" i="46"/>
  <c r="BK336" i="46"/>
  <c r="BT336" i="46"/>
  <c r="BI336" i="46"/>
  <c r="BR336" i="46"/>
  <c r="BP336" i="46"/>
  <c r="BL336" i="46"/>
  <c r="BJ336" i="46"/>
  <c r="BM336" i="46"/>
  <c r="BS336" i="46"/>
  <c r="BQ336" i="46"/>
  <c r="V336" i="3"/>
  <c r="W336" i="3" s="1"/>
  <c r="Z336" i="3"/>
  <c r="O336" i="3"/>
  <c r="T336" i="3"/>
  <c r="BS341" i="46"/>
  <c r="BK341" i="46"/>
  <c r="BU341" i="46"/>
  <c r="BL341" i="46"/>
  <c r="BQ341" i="46"/>
  <c r="BT341" i="46"/>
  <c r="BN341" i="46"/>
  <c r="BR341" i="46"/>
  <c r="BO341" i="46"/>
  <c r="BJ341" i="46"/>
  <c r="BI341" i="46"/>
  <c r="BP341" i="46"/>
  <c r="BM341" i="46"/>
  <c r="Z341" i="3"/>
  <c r="O341" i="3"/>
  <c r="T341" i="3"/>
  <c r="BU354" i="46"/>
  <c r="BM354" i="46"/>
  <c r="BR354" i="46"/>
  <c r="BI354" i="46"/>
  <c r="BL354" i="46"/>
  <c r="BN354" i="46"/>
  <c r="BT354" i="46"/>
  <c r="BJ354" i="46"/>
  <c r="BO354" i="46"/>
  <c r="BP354" i="46"/>
  <c r="BK354" i="46"/>
  <c r="BS354" i="46"/>
  <c r="BQ354" i="46"/>
  <c r="Z354" i="3"/>
  <c r="T354" i="3"/>
  <c r="O354" i="3"/>
  <c r="U354" i="3"/>
  <c r="BT369" i="46"/>
  <c r="BL369" i="46"/>
  <c r="BS369" i="46"/>
  <c r="BJ369" i="46"/>
  <c r="BN369" i="46"/>
  <c r="BK369" i="46"/>
  <c r="BU369" i="46"/>
  <c r="BQ369" i="46"/>
  <c r="BP369" i="46"/>
  <c r="BR369" i="46"/>
  <c r="BO369" i="46"/>
  <c r="BM369" i="46"/>
  <c r="BI369" i="46"/>
  <c r="T369" i="3"/>
  <c r="V369" i="3"/>
  <c r="W369" i="3" s="1"/>
  <c r="U369" i="3"/>
  <c r="X369" i="3" s="1"/>
  <c r="Y369" i="3" s="1"/>
  <c r="BR374" i="46"/>
  <c r="BJ374" i="46"/>
  <c r="BS374" i="46"/>
  <c r="BI374" i="46"/>
  <c r="BQ374" i="46"/>
  <c r="BL374" i="46"/>
  <c r="BT374" i="46"/>
  <c r="BO374" i="46"/>
  <c r="BM374" i="46"/>
  <c r="BK374" i="46"/>
  <c r="BU374" i="46"/>
  <c r="BP374" i="46"/>
  <c r="BN374" i="46"/>
  <c r="Z374" i="3"/>
  <c r="U374" i="3"/>
  <c r="O374" i="3"/>
  <c r="V374" i="3"/>
  <c r="W374" i="3" s="1"/>
  <c r="T374" i="3"/>
  <c r="BO385" i="46"/>
  <c r="BU385" i="46"/>
  <c r="BM385" i="46"/>
  <c r="BR385" i="46"/>
  <c r="BN385" i="46"/>
  <c r="BS385" i="46"/>
  <c r="BL385" i="46"/>
  <c r="BJ385" i="46"/>
  <c r="BT385" i="46"/>
  <c r="BK385" i="46"/>
  <c r="BI385" i="46"/>
  <c r="BQ385" i="46"/>
  <c r="BP385" i="46"/>
  <c r="V385" i="3"/>
  <c r="W385" i="3" s="1"/>
  <c r="Z385" i="3"/>
  <c r="U385" i="3"/>
  <c r="U394" i="3"/>
  <c r="S394" i="3"/>
  <c r="BS395" i="46"/>
  <c r="BK395" i="46"/>
  <c r="BQ395" i="46"/>
  <c r="BI395" i="46"/>
  <c r="BO395" i="46"/>
  <c r="BU395" i="46"/>
  <c r="BM395" i="46"/>
  <c r="BR395" i="46"/>
  <c r="BT395" i="46"/>
  <c r="BP395" i="46"/>
  <c r="BL395" i="46"/>
  <c r="BJ395" i="46"/>
  <c r="BN395" i="46"/>
  <c r="T395" i="3"/>
  <c r="Z395" i="3"/>
  <c r="O395" i="3"/>
  <c r="U395" i="3"/>
  <c r="V395" i="3"/>
  <c r="W395" i="3" s="1"/>
  <c r="BU397" i="46"/>
  <c r="BM397" i="46"/>
  <c r="BS397" i="46"/>
  <c r="BK397" i="46"/>
  <c r="BQ397" i="46"/>
  <c r="BI397" i="46"/>
  <c r="BO397" i="46"/>
  <c r="BR397" i="46"/>
  <c r="BL397" i="46"/>
  <c r="BN397" i="46"/>
  <c r="BJ397" i="46"/>
  <c r="BT397" i="46"/>
  <c r="BP397" i="46"/>
  <c r="U397" i="3"/>
  <c r="X397" i="3" s="1"/>
  <c r="Y397" i="3" s="1"/>
  <c r="O397" i="3"/>
  <c r="V397" i="3"/>
  <c r="W397" i="3" s="1"/>
  <c r="T397" i="3"/>
  <c r="M438" i="3"/>
  <c r="J486" i="3"/>
  <c r="K501" i="3"/>
  <c r="L580" i="3"/>
  <c r="K581" i="3"/>
  <c r="L617" i="3"/>
  <c r="K619" i="3"/>
  <c r="L699" i="3"/>
  <c r="K700" i="3"/>
  <c r="J714" i="3"/>
  <c r="K715" i="3"/>
  <c r="J716" i="3"/>
  <c r="N51" i="27"/>
  <c r="O51" i="27" s="1"/>
  <c r="N49" i="27"/>
  <c r="O49" i="27" s="1"/>
  <c r="N49" i="19"/>
  <c r="O49" i="19" s="1"/>
  <c r="N48" i="27"/>
  <c r="N48" i="25"/>
  <c r="N48" i="23"/>
  <c r="N51" i="19"/>
  <c r="O51" i="19" s="1"/>
  <c r="N49" i="17"/>
  <c r="O49" i="17" s="1"/>
  <c r="N48" i="15"/>
  <c r="N52" i="25"/>
  <c r="O52" i="25" s="1"/>
  <c r="N50" i="25"/>
  <c r="N50" i="23"/>
  <c r="N48" i="21"/>
  <c r="N51" i="17"/>
  <c r="O51" i="17" s="1"/>
  <c r="N50" i="27"/>
  <c r="N52" i="21"/>
  <c r="O52" i="21" s="1"/>
  <c r="N52" i="19"/>
  <c r="O52" i="19" s="1"/>
  <c r="N50" i="19"/>
  <c r="N48" i="17"/>
  <c r="N48" i="9"/>
  <c r="N52" i="7"/>
  <c r="O52" i="7" s="1"/>
  <c r="N50" i="7"/>
  <c r="N52" i="5"/>
  <c r="O52" i="5" s="1"/>
  <c r="N50" i="5"/>
  <c r="N52" i="27"/>
  <c r="O52" i="27" s="1"/>
  <c r="N49" i="25"/>
  <c r="O49" i="25" s="1"/>
  <c r="N49" i="23"/>
  <c r="O49" i="23" s="1"/>
  <c r="N50" i="21"/>
  <c r="N52" i="17"/>
  <c r="O52" i="17" s="1"/>
  <c r="N51" i="13"/>
  <c r="O51" i="13" s="1"/>
  <c r="N48" i="13"/>
  <c r="N49" i="9"/>
  <c r="O49" i="9" s="1"/>
  <c r="N51" i="25"/>
  <c r="O51" i="25" s="1"/>
  <c r="N51" i="23"/>
  <c r="N49" i="21"/>
  <c r="O49" i="21" s="1"/>
  <c r="N52" i="23"/>
  <c r="N52" i="13"/>
  <c r="O52" i="13" s="1"/>
  <c r="N49" i="13"/>
  <c r="O49" i="13" s="1"/>
  <c r="N50" i="11"/>
  <c r="N52" i="11"/>
  <c r="O52" i="11" s="1"/>
  <c r="N52" i="9"/>
  <c r="O52" i="9" s="1"/>
  <c r="N50" i="9"/>
  <c r="N51" i="21"/>
  <c r="O51" i="21" s="1"/>
  <c r="N50" i="15"/>
  <c r="N49" i="5"/>
  <c r="N50" i="17"/>
  <c r="N52" i="15"/>
  <c r="O52" i="15" s="1"/>
  <c r="N48" i="19"/>
  <c r="N49" i="15"/>
  <c r="O49" i="15" s="1"/>
  <c r="N49" i="11"/>
  <c r="O49" i="11" s="1"/>
  <c r="N51" i="5"/>
  <c r="N51" i="15"/>
  <c r="O51" i="15" s="1"/>
  <c r="N48" i="11"/>
  <c r="N48" i="7"/>
  <c r="N50" i="13"/>
  <c r="N51" i="7"/>
  <c r="O51" i="7" s="1"/>
  <c r="N51" i="11"/>
  <c r="O51" i="11" s="1"/>
  <c r="N51" i="9"/>
  <c r="O51" i="9" s="1"/>
  <c r="Y248" i="4"/>
  <c r="D7" i="4" s="1"/>
  <c r="U337" i="4"/>
  <c r="U373" i="4"/>
  <c r="T376" i="4"/>
  <c r="T390" i="4"/>
  <c r="S404" i="4"/>
  <c r="U415" i="4"/>
  <c r="P422" i="4"/>
  <c r="R422" i="4" s="1"/>
  <c r="U429" i="4"/>
  <c r="U442" i="4"/>
  <c r="S444" i="4"/>
  <c r="P447" i="4"/>
  <c r="R447" i="4" s="1"/>
  <c r="P460" i="4"/>
  <c r="R460" i="4" s="1"/>
  <c r="T471" i="4"/>
  <c r="S471" i="4"/>
  <c r="S473" i="4"/>
  <c r="S484" i="4"/>
  <c r="S493" i="4"/>
  <c r="S500" i="4"/>
  <c r="T108" i="3"/>
  <c r="BU139" i="46"/>
  <c r="BM139" i="46"/>
  <c r="BT139" i="46"/>
  <c r="BK139" i="46"/>
  <c r="BS139" i="46"/>
  <c r="BJ139" i="46"/>
  <c r="BR139" i="46"/>
  <c r="BQ139" i="46"/>
  <c r="BP139" i="46"/>
  <c r="BO139" i="46"/>
  <c r="BN139" i="46"/>
  <c r="BL139" i="46"/>
  <c r="BI139" i="46"/>
  <c r="V139" i="3"/>
  <c r="W139" i="3" s="1"/>
  <c r="O139" i="3"/>
  <c r="Z139" i="3"/>
  <c r="U151" i="3"/>
  <c r="Z155" i="3"/>
  <c r="X155" i="3" s="1"/>
  <c r="Y155" i="3" s="1"/>
  <c r="Z180" i="3"/>
  <c r="T188" i="3"/>
  <c r="BS190" i="46"/>
  <c r="BK190" i="46"/>
  <c r="BN190" i="46"/>
  <c r="BM190" i="46"/>
  <c r="BT190" i="46"/>
  <c r="BI190" i="46"/>
  <c r="BQ190" i="46"/>
  <c r="BP190" i="46"/>
  <c r="BR190" i="46"/>
  <c r="BO190" i="46"/>
  <c r="BL190" i="46"/>
  <c r="BJ190" i="46"/>
  <c r="BU190" i="46"/>
  <c r="T190" i="3"/>
  <c r="O190" i="3"/>
  <c r="Z190" i="3"/>
  <c r="U190" i="3"/>
  <c r="Z208" i="3"/>
  <c r="BU215" i="46"/>
  <c r="BM215" i="46"/>
  <c r="BP215" i="46"/>
  <c r="BR215" i="46"/>
  <c r="BK215" i="46"/>
  <c r="BN215" i="46"/>
  <c r="BL215" i="46"/>
  <c r="BJ215" i="46"/>
  <c r="BI215" i="46"/>
  <c r="BT215" i="46"/>
  <c r="BS215" i="46"/>
  <c r="BQ215" i="46"/>
  <c r="BO215" i="46"/>
  <c r="V215" i="3"/>
  <c r="W215" i="3" s="1"/>
  <c r="O215" i="3"/>
  <c r="T215" i="3"/>
  <c r="Z215" i="3"/>
  <c r="BQ219" i="46"/>
  <c r="BI219" i="46"/>
  <c r="BN219" i="46"/>
  <c r="BM219" i="46"/>
  <c r="BK219" i="46"/>
  <c r="BP219" i="46"/>
  <c r="BT219" i="46"/>
  <c r="BS219" i="46"/>
  <c r="BR219" i="46"/>
  <c r="BO219" i="46"/>
  <c r="BL219" i="46"/>
  <c r="BJ219" i="46"/>
  <c r="BU219" i="46"/>
  <c r="V219" i="3"/>
  <c r="W219" i="3" s="1"/>
  <c r="O219" i="3"/>
  <c r="U219" i="3"/>
  <c r="T219" i="3"/>
  <c r="Z219" i="3"/>
  <c r="BT222" i="46"/>
  <c r="BL222" i="46"/>
  <c r="BO222" i="46"/>
  <c r="BU222" i="46"/>
  <c r="BJ222" i="46"/>
  <c r="BN222" i="46"/>
  <c r="BR222" i="46"/>
  <c r="BS222" i="46"/>
  <c r="BQ222" i="46"/>
  <c r="BP222" i="46"/>
  <c r="BM222" i="46"/>
  <c r="BK222" i="46"/>
  <c r="BI222" i="46"/>
  <c r="T222" i="3"/>
  <c r="O222" i="3"/>
  <c r="Z222" i="3"/>
  <c r="X222" i="3" s="1"/>
  <c r="Y222" i="3" s="1"/>
  <c r="V222" i="3"/>
  <c r="W222" i="3" s="1"/>
  <c r="Z223" i="3"/>
  <c r="BP234" i="46"/>
  <c r="BO234" i="46"/>
  <c r="BN234" i="46"/>
  <c r="BS234" i="46"/>
  <c r="BK234" i="46"/>
  <c r="BR234" i="46"/>
  <c r="BQ234" i="46"/>
  <c r="BM234" i="46"/>
  <c r="BL234" i="46"/>
  <c r="BJ234" i="46"/>
  <c r="BI234" i="46"/>
  <c r="BU234" i="46"/>
  <c r="BT234" i="46"/>
  <c r="T234" i="3"/>
  <c r="U234" i="3"/>
  <c r="V234" i="3"/>
  <c r="W234" i="3" s="1"/>
  <c r="T236" i="3"/>
  <c r="T243" i="3"/>
  <c r="V250" i="3"/>
  <c r="W250" i="3" s="1"/>
  <c r="T252" i="3"/>
  <c r="BU263" i="46"/>
  <c r="BM263" i="46"/>
  <c r="BP263" i="46"/>
  <c r="BN263" i="46"/>
  <c r="BR263" i="46"/>
  <c r="BO263" i="46"/>
  <c r="BT263" i="46"/>
  <c r="BJ263" i="46"/>
  <c r="BI263" i="46"/>
  <c r="BS263" i="46"/>
  <c r="BQ263" i="46"/>
  <c r="BL263" i="46"/>
  <c r="BK263" i="46"/>
  <c r="V263" i="3"/>
  <c r="W263" i="3" s="1"/>
  <c r="O263" i="3"/>
  <c r="Z263" i="3"/>
  <c r="U263" i="3"/>
  <c r="BN264" i="46"/>
  <c r="BS264" i="46"/>
  <c r="BJ264" i="46"/>
  <c r="BQ264" i="46"/>
  <c r="BO264" i="46"/>
  <c r="BL264" i="46"/>
  <c r="BU264" i="46"/>
  <c r="BK264" i="46"/>
  <c r="BI264" i="46"/>
  <c r="BT264" i="46"/>
  <c r="BR264" i="46"/>
  <c r="BP264" i="46"/>
  <c r="BM264" i="46"/>
  <c r="U264" i="3"/>
  <c r="T264" i="3"/>
  <c r="V264" i="3"/>
  <c r="W264" i="3" s="1"/>
  <c r="BS279" i="46"/>
  <c r="BK279" i="46"/>
  <c r="BT279" i="46"/>
  <c r="BJ279" i="46"/>
  <c r="BM279" i="46"/>
  <c r="BU279" i="46"/>
  <c r="BI279" i="46"/>
  <c r="BR279" i="46"/>
  <c r="BO279" i="46"/>
  <c r="BP279" i="46"/>
  <c r="BN279" i="46"/>
  <c r="BL279" i="46"/>
  <c r="BQ279" i="46"/>
  <c r="V279" i="3"/>
  <c r="W279" i="3" s="1"/>
  <c r="O279" i="3"/>
  <c r="T279" i="3"/>
  <c r="U279" i="3"/>
  <c r="X279" i="3" s="1"/>
  <c r="Y279" i="3" s="1"/>
  <c r="S298" i="3"/>
  <c r="U298" i="3"/>
  <c r="BR343" i="46"/>
  <c r="BJ343" i="46"/>
  <c r="BN343" i="46"/>
  <c r="BT343" i="46"/>
  <c r="BI343" i="46"/>
  <c r="BP343" i="46"/>
  <c r="BO343" i="46"/>
  <c r="BK343" i="46"/>
  <c r="BS343" i="46"/>
  <c r="BM343" i="46"/>
  <c r="BL343" i="46"/>
  <c r="BU343" i="46"/>
  <c r="BQ343" i="46"/>
  <c r="T343" i="3"/>
  <c r="V343" i="3"/>
  <c r="W343" i="3" s="1"/>
  <c r="U343" i="3"/>
  <c r="Z343" i="3"/>
  <c r="BS360" i="46"/>
  <c r="BK360" i="46"/>
  <c r="BR360" i="46"/>
  <c r="BI360" i="46"/>
  <c r="BM360" i="46"/>
  <c r="BU360" i="46"/>
  <c r="BQ360" i="46"/>
  <c r="BN360" i="46"/>
  <c r="BT360" i="46"/>
  <c r="BJ360" i="46"/>
  <c r="BP360" i="46"/>
  <c r="BO360" i="46"/>
  <c r="BL360" i="46"/>
  <c r="V360" i="3"/>
  <c r="W360" i="3" s="1"/>
  <c r="U360" i="3"/>
  <c r="Z360" i="3"/>
  <c r="X360" i="3" s="1"/>
  <c r="Y360" i="3" s="1"/>
  <c r="O360" i="3"/>
  <c r="BO364" i="46"/>
  <c r="BU364" i="46"/>
  <c r="BL364" i="46"/>
  <c r="BP364" i="46"/>
  <c r="BQ364" i="46"/>
  <c r="BM364" i="46"/>
  <c r="BT364" i="46"/>
  <c r="BI364" i="46"/>
  <c r="BN364" i="46"/>
  <c r="BK364" i="46"/>
  <c r="BJ364" i="46"/>
  <c r="BS364" i="46"/>
  <c r="BR364" i="46"/>
  <c r="V364" i="3"/>
  <c r="W364" i="3" s="1"/>
  <c r="T364" i="3"/>
  <c r="Z364" i="3"/>
  <c r="U364" i="3"/>
  <c r="BQ381" i="46"/>
  <c r="BI381" i="46"/>
  <c r="BM381" i="46"/>
  <c r="BN381" i="46"/>
  <c r="BR381" i="46"/>
  <c r="BK381" i="46"/>
  <c r="BU381" i="46"/>
  <c r="BS381" i="46"/>
  <c r="BP381" i="46"/>
  <c r="BL381" i="46"/>
  <c r="BT381" i="46"/>
  <c r="BO381" i="46"/>
  <c r="BJ381" i="46"/>
  <c r="Z381" i="3"/>
  <c r="O381" i="3"/>
  <c r="V381" i="3"/>
  <c r="W381" i="3" s="1"/>
  <c r="T385" i="3"/>
  <c r="M437" i="3"/>
  <c r="L442" i="3"/>
  <c r="J445" i="3"/>
  <c r="J554" i="3"/>
  <c r="K555" i="3"/>
  <c r="L620" i="3"/>
  <c r="M28" i="5"/>
  <c r="R25" i="13"/>
  <c r="I37" i="13" s="1"/>
  <c r="S363" i="4"/>
  <c r="U376" i="4"/>
  <c r="S391" i="4"/>
  <c r="S392" i="4"/>
  <c r="S405" i="4"/>
  <c r="S418" i="4"/>
  <c r="S445" i="4"/>
  <c r="S460" i="4"/>
  <c r="S461" i="4"/>
  <c r="S470" i="4"/>
  <c r="T472" i="4"/>
  <c r="T473" i="4"/>
  <c r="S474" i="4"/>
  <c r="S483" i="4"/>
  <c r="U484" i="4"/>
  <c r="P492" i="4"/>
  <c r="R492" i="4" s="1"/>
  <c r="T493" i="4"/>
  <c r="S494" i="4"/>
  <c r="S499" i="4"/>
  <c r="T500" i="4"/>
  <c r="Z108" i="3"/>
  <c r="BQ110" i="46"/>
  <c r="BI110" i="46"/>
  <c r="BM110" i="46"/>
  <c r="BU110" i="46"/>
  <c r="BL110" i="46"/>
  <c r="BT110" i="46"/>
  <c r="BK110" i="46"/>
  <c r="BS110" i="46"/>
  <c r="BJ110" i="46"/>
  <c r="BR110" i="46"/>
  <c r="BP110" i="46"/>
  <c r="BO110" i="46"/>
  <c r="BN110" i="46"/>
  <c r="T110" i="3"/>
  <c r="V110" i="3"/>
  <c r="W110" i="3" s="1"/>
  <c r="U110" i="3"/>
  <c r="U114" i="3"/>
  <c r="BS116" i="46"/>
  <c r="BK116" i="46"/>
  <c r="BQ116" i="46"/>
  <c r="BP116" i="46"/>
  <c r="BO116" i="46"/>
  <c r="BN116" i="46"/>
  <c r="BM116" i="46"/>
  <c r="BU116" i="46"/>
  <c r="BL116" i="46"/>
  <c r="BT116" i="46"/>
  <c r="BJ116" i="46"/>
  <c r="BR116" i="46"/>
  <c r="BI116" i="46"/>
  <c r="T116" i="3"/>
  <c r="BQ118" i="46"/>
  <c r="BI118" i="46"/>
  <c r="BP118" i="46"/>
  <c r="BT118" i="46"/>
  <c r="BJ118" i="46"/>
  <c r="BS118" i="46"/>
  <c r="BR118" i="46"/>
  <c r="BO118" i="46"/>
  <c r="BN118" i="46"/>
  <c r="BM118" i="46"/>
  <c r="BL118" i="46"/>
  <c r="BU118" i="46"/>
  <c r="BK118" i="46"/>
  <c r="T118" i="3"/>
  <c r="Z118" i="3"/>
  <c r="V118" i="3"/>
  <c r="W118" i="3" s="1"/>
  <c r="BQ124" i="46"/>
  <c r="BI124" i="46"/>
  <c r="BP124" i="46"/>
  <c r="BN124" i="46"/>
  <c r="BM124" i="46"/>
  <c r="BL124" i="46"/>
  <c r="BU124" i="46"/>
  <c r="BK124" i="46"/>
  <c r="BT124" i="46"/>
  <c r="BJ124" i="46"/>
  <c r="BS124" i="46"/>
  <c r="BR124" i="46"/>
  <c r="BO124" i="46"/>
  <c r="O124" i="3"/>
  <c r="Z124" i="3"/>
  <c r="U124" i="3"/>
  <c r="T124" i="3"/>
  <c r="BO130" i="46"/>
  <c r="BN130" i="46"/>
  <c r="BS130" i="46"/>
  <c r="BI130" i="46"/>
  <c r="BR130" i="46"/>
  <c r="BQ130" i="46"/>
  <c r="BP130" i="46"/>
  <c r="BM130" i="46"/>
  <c r="BL130" i="46"/>
  <c r="BU130" i="46"/>
  <c r="BK130" i="46"/>
  <c r="BT130" i="46"/>
  <c r="BJ130" i="46"/>
  <c r="T130" i="3"/>
  <c r="O130" i="3"/>
  <c r="V130" i="3"/>
  <c r="W130" i="3" s="1"/>
  <c r="BQ132" i="46"/>
  <c r="BI132" i="46"/>
  <c r="BP132" i="46"/>
  <c r="BT132" i="46"/>
  <c r="BJ132" i="46"/>
  <c r="BS132" i="46"/>
  <c r="BR132" i="46"/>
  <c r="BO132" i="46"/>
  <c r="BN132" i="46"/>
  <c r="BM132" i="46"/>
  <c r="BL132" i="46"/>
  <c r="BU132" i="46"/>
  <c r="BK132" i="46"/>
  <c r="T132" i="3"/>
  <c r="O132" i="3"/>
  <c r="Z132" i="3"/>
  <c r="BR136" i="46"/>
  <c r="BJ136" i="46"/>
  <c r="BT136" i="46"/>
  <c r="BK136" i="46"/>
  <c r="BS136" i="46"/>
  <c r="BI136" i="46"/>
  <c r="BQ136" i="46"/>
  <c r="BP136" i="46"/>
  <c r="BO136" i="46"/>
  <c r="BN136" i="46"/>
  <c r="BM136" i="46"/>
  <c r="BL136" i="46"/>
  <c r="BU136" i="46"/>
  <c r="U136" i="3"/>
  <c r="T136" i="3"/>
  <c r="O136" i="3"/>
  <c r="BT146" i="46"/>
  <c r="BL146" i="46"/>
  <c r="BO146" i="46"/>
  <c r="BN146" i="46"/>
  <c r="BS146" i="46"/>
  <c r="BR146" i="46"/>
  <c r="BQ146" i="46"/>
  <c r="BP146" i="46"/>
  <c r="BM146" i="46"/>
  <c r="BK146" i="46"/>
  <c r="BJ146" i="46"/>
  <c r="BU146" i="46"/>
  <c r="BI146" i="46"/>
  <c r="T146" i="3"/>
  <c r="V146" i="3"/>
  <c r="W146" i="3" s="1"/>
  <c r="O146" i="3"/>
  <c r="BR152" i="46"/>
  <c r="BJ152" i="46"/>
  <c r="BO152" i="46"/>
  <c r="BN152" i="46"/>
  <c r="BL152" i="46"/>
  <c r="BK152" i="46"/>
  <c r="BU152" i="46"/>
  <c r="BI152" i="46"/>
  <c r="BT152" i="46"/>
  <c r="BS152" i="46"/>
  <c r="BQ152" i="46"/>
  <c r="BP152" i="46"/>
  <c r="BM152" i="46"/>
  <c r="Z152" i="3"/>
  <c r="V152" i="3"/>
  <c r="W152" i="3" s="1"/>
  <c r="BT162" i="46"/>
  <c r="BL162" i="46"/>
  <c r="BS162" i="46"/>
  <c r="BJ162" i="46"/>
  <c r="BR162" i="46"/>
  <c r="BI162" i="46"/>
  <c r="BP162" i="46"/>
  <c r="BO162" i="46"/>
  <c r="BN162" i="46"/>
  <c r="BM162" i="46"/>
  <c r="BK162" i="46"/>
  <c r="BU162" i="46"/>
  <c r="BQ162" i="46"/>
  <c r="T162" i="3"/>
  <c r="O162" i="3"/>
  <c r="Z162" i="3"/>
  <c r="BN164" i="46"/>
  <c r="BQ164" i="46"/>
  <c r="BP164" i="46"/>
  <c r="BU164" i="46"/>
  <c r="BJ164" i="46"/>
  <c r="BT164" i="46"/>
  <c r="BI164" i="46"/>
  <c r="BS164" i="46"/>
  <c r="BR164" i="46"/>
  <c r="BO164" i="46"/>
  <c r="BM164" i="46"/>
  <c r="BL164" i="46"/>
  <c r="BK164" i="46"/>
  <c r="T164" i="3"/>
  <c r="V164" i="3"/>
  <c r="W164" i="3" s="1"/>
  <c r="BQ167" i="46"/>
  <c r="BI167" i="46"/>
  <c r="BP167" i="46"/>
  <c r="BO167" i="46"/>
  <c r="BK167" i="46"/>
  <c r="BU167" i="46"/>
  <c r="BJ167" i="46"/>
  <c r="BT167" i="46"/>
  <c r="BS167" i="46"/>
  <c r="BR167" i="46"/>
  <c r="BN167" i="46"/>
  <c r="BM167" i="46"/>
  <c r="BL167" i="46"/>
  <c r="V167" i="3"/>
  <c r="W167" i="3" s="1"/>
  <c r="O167" i="3"/>
  <c r="Z167" i="3"/>
  <c r="U167" i="3"/>
  <c r="BS174" i="46"/>
  <c r="BK174" i="46"/>
  <c r="BR174" i="46"/>
  <c r="BI174" i="46"/>
  <c r="BO174" i="46"/>
  <c r="BM174" i="46"/>
  <c r="BL174" i="46"/>
  <c r="BT174" i="46"/>
  <c r="BQ174" i="46"/>
  <c r="BP174" i="46"/>
  <c r="BN174" i="46"/>
  <c r="BJ174" i="46"/>
  <c r="BU174" i="46"/>
  <c r="T174" i="3"/>
  <c r="V174" i="3"/>
  <c r="W174" i="3" s="1"/>
  <c r="U174" i="3"/>
  <c r="Z174" i="3"/>
  <c r="T175" i="3"/>
  <c r="BP179" i="46"/>
  <c r="BO179" i="46"/>
  <c r="BU179" i="46"/>
  <c r="BK179" i="46"/>
  <c r="BS179" i="46"/>
  <c r="BI179" i="46"/>
  <c r="BR179" i="46"/>
  <c r="BT179" i="46"/>
  <c r="BQ179" i="46"/>
  <c r="BN179" i="46"/>
  <c r="BM179" i="46"/>
  <c r="BL179" i="46"/>
  <c r="BJ179" i="46"/>
  <c r="V179" i="3"/>
  <c r="W179" i="3" s="1"/>
  <c r="O179" i="3"/>
  <c r="U179" i="3"/>
  <c r="X179" i="3" s="1"/>
  <c r="Y179" i="3" s="1"/>
  <c r="T179" i="3"/>
  <c r="V182" i="3"/>
  <c r="W182" i="3" s="1"/>
  <c r="U188" i="3"/>
  <c r="BU192" i="46"/>
  <c r="BM192" i="46"/>
  <c r="BT192" i="46"/>
  <c r="BK192" i="46"/>
  <c r="BO192" i="46"/>
  <c r="BJ192" i="46"/>
  <c r="BR192" i="46"/>
  <c r="BQ192" i="46"/>
  <c r="BS192" i="46"/>
  <c r="BP192" i="46"/>
  <c r="BN192" i="46"/>
  <c r="BL192" i="46"/>
  <c r="BI192" i="46"/>
  <c r="O192" i="3"/>
  <c r="Z192" i="3"/>
  <c r="T199" i="3"/>
  <c r="BU200" i="46"/>
  <c r="BM200" i="46"/>
  <c r="BO200" i="46"/>
  <c r="BR200" i="46"/>
  <c r="BI200" i="46"/>
  <c r="BT200" i="46"/>
  <c r="BS200" i="46"/>
  <c r="BP200" i="46"/>
  <c r="BL200" i="46"/>
  <c r="BK200" i="46"/>
  <c r="BQ200" i="46"/>
  <c r="BN200" i="46"/>
  <c r="BJ200" i="46"/>
  <c r="U200" i="3"/>
  <c r="T200" i="3"/>
  <c r="Z200" i="3"/>
  <c r="BP210" i="46"/>
  <c r="BR210" i="46"/>
  <c r="BI210" i="46"/>
  <c r="BU210" i="46"/>
  <c r="BK210" i="46"/>
  <c r="BN210" i="46"/>
  <c r="BL210" i="46"/>
  <c r="BJ210" i="46"/>
  <c r="BT210" i="46"/>
  <c r="BS210" i="46"/>
  <c r="BQ210" i="46"/>
  <c r="BO210" i="46"/>
  <c r="BM210" i="46"/>
  <c r="T210" i="3"/>
  <c r="V210" i="3"/>
  <c r="W210" i="3" s="1"/>
  <c r="Z210" i="3"/>
  <c r="BT214" i="46"/>
  <c r="BL214" i="46"/>
  <c r="BM214" i="46"/>
  <c r="BN214" i="46"/>
  <c r="BQ214" i="46"/>
  <c r="BR214" i="46"/>
  <c r="BP214" i="46"/>
  <c r="BO214" i="46"/>
  <c r="BK214" i="46"/>
  <c r="BJ214" i="46"/>
  <c r="BI214" i="46"/>
  <c r="BU214" i="46"/>
  <c r="BS214" i="46"/>
  <c r="T214" i="3"/>
  <c r="Z214" i="3"/>
  <c r="V214" i="3"/>
  <c r="W214" i="3" s="1"/>
  <c r="BP218" i="46"/>
  <c r="BT218" i="46"/>
  <c r="BK218" i="46"/>
  <c r="BR218" i="46"/>
  <c r="BN218" i="46"/>
  <c r="BS218" i="46"/>
  <c r="BU218" i="46"/>
  <c r="BQ218" i="46"/>
  <c r="BO218" i="46"/>
  <c r="BM218" i="46"/>
  <c r="BL218" i="46"/>
  <c r="BJ218" i="46"/>
  <c r="BI218" i="46"/>
  <c r="T218" i="3"/>
  <c r="Z218" i="3"/>
  <c r="V218" i="3"/>
  <c r="W218" i="3" s="1"/>
  <c r="BN224" i="46"/>
  <c r="BU224" i="46"/>
  <c r="BL224" i="46"/>
  <c r="BK224" i="46"/>
  <c r="BS224" i="46"/>
  <c r="BM224" i="46"/>
  <c r="BT224" i="46"/>
  <c r="BR224" i="46"/>
  <c r="BQ224" i="46"/>
  <c r="BP224" i="46"/>
  <c r="BO224" i="46"/>
  <c r="BJ224" i="46"/>
  <c r="BI224" i="46"/>
  <c r="O224" i="3"/>
  <c r="V224" i="3"/>
  <c r="W224" i="3" s="1"/>
  <c r="U224" i="3"/>
  <c r="X224" i="3" s="1"/>
  <c r="Y224" i="3" s="1"/>
  <c r="T224" i="3"/>
  <c r="BR228" i="46"/>
  <c r="BJ228" i="46"/>
  <c r="BO228" i="46"/>
  <c r="BM228" i="46"/>
  <c r="BP228" i="46"/>
  <c r="BT228" i="46"/>
  <c r="BS228" i="46"/>
  <c r="BQ228" i="46"/>
  <c r="BN228" i="46"/>
  <c r="BL228" i="46"/>
  <c r="BK228" i="46"/>
  <c r="BI228" i="46"/>
  <c r="BU228" i="46"/>
  <c r="T228" i="3"/>
  <c r="U228" i="3"/>
  <c r="X228" i="3" s="1"/>
  <c r="Y228" i="3" s="1"/>
  <c r="O228" i="3"/>
  <c r="U243" i="3"/>
  <c r="U252" i="3"/>
  <c r="BP258" i="46"/>
  <c r="BR258" i="46"/>
  <c r="BI258" i="46"/>
  <c r="BO258" i="46"/>
  <c r="BK258" i="46"/>
  <c r="BT258" i="46"/>
  <c r="BM258" i="46"/>
  <c r="BL258" i="46"/>
  <c r="BN258" i="46"/>
  <c r="BJ258" i="46"/>
  <c r="BU258" i="46"/>
  <c r="BS258" i="46"/>
  <c r="BQ258" i="46"/>
  <c r="T258" i="3"/>
  <c r="O258" i="3"/>
  <c r="Z258" i="3"/>
  <c r="BO267" i="46"/>
  <c r="BR267" i="46"/>
  <c r="BI267" i="46"/>
  <c r="BT267" i="46"/>
  <c r="BJ267" i="46"/>
  <c r="BQ267" i="46"/>
  <c r="BP267" i="46"/>
  <c r="BN267" i="46"/>
  <c r="BM267" i="46"/>
  <c r="BL267" i="46"/>
  <c r="BK267" i="46"/>
  <c r="BU267" i="46"/>
  <c r="BS267" i="46"/>
  <c r="V267" i="3"/>
  <c r="W267" i="3" s="1"/>
  <c r="O267" i="3"/>
  <c r="Z267" i="3"/>
  <c r="U267" i="3"/>
  <c r="BO275" i="46"/>
  <c r="BP275" i="46"/>
  <c r="BU275" i="46"/>
  <c r="BK275" i="46"/>
  <c r="BS275" i="46"/>
  <c r="BI275" i="46"/>
  <c r="BQ275" i="46"/>
  <c r="BN275" i="46"/>
  <c r="BM275" i="46"/>
  <c r="BL275" i="46"/>
  <c r="BJ275" i="46"/>
  <c r="BT275" i="46"/>
  <c r="BR275" i="46"/>
  <c r="V275" i="3"/>
  <c r="W275" i="3" s="1"/>
  <c r="O275" i="3"/>
  <c r="U275" i="3"/>
  <c r="X275" i="3" s="1"/>
  <c r="Y275" i="3" s="1"/>
  <c r="T275" i="3"/>
  <c r="U284" i="3"/>
  <c r="BQ291" i="46"/>
  <c r="BI291" i="46"/>
  <c r="BO291" i="46"/>
  <c r="BS291" i="46"/>
  <c r="BU291" i="46"/>
  <c r="BK291" i="46"/>
  <c r="BP291" i="46"/>
  <c r="BJ291" i="46"/>
  <c r="BT291" i="46"/>
  <c r="BN291" i="46"/>
  <c r="BR291" i="46"/>
  <c r="BL291" i="46"/>
  <c r="BM291" i="46"/>
  <c r="T291" i="3"/>
  <c r="V291" i="3"/>
  <c r="W291" i="3" s="1"/>
  <c r="O291" i="3"/>
  <c r="U291" i="3"/>
  <c r="X291" i="3" s="1"/>
  <c r="Y291" i="3" s="1"/>
  <c r="Z293" i="3"/>
  <c r="BU295" i="46"/>
  <c r="BM295" i="46"/>
  <c r="BS295" i="46"/>
  <c r="BJ295" i="46"/>
  <c r="BT295" i="46"/>
  <c r="BI295" i="46"/>
  <c r="BL295" i="46"/>
  <c r="BK295" i="46"/>
  <c r="BR295" i="46"/>
  <c r="BP295" i="46"/>
  <c r="BN295" i="46"/>
  <c r="BQ295" i="46"/>
  <c r="BO295" i="46"/>
  <c r="T295" i="3"/>
  <c r="U295" i="3"/>
  <c r="O295" i="3"/>
  <c r="Z295" i="3"/>
  <c r="U300" i="3"/>
  <c r="BO305" i="46"/>
  <c r="BM305" i="46"/>
  <c r="BQ305" i="46"/>
  <c r="BK305" i="46"/>
  <c r="BN305" i="46"/>
  <c r="BS305" i="46"/>
  <c r="BR305" i="46"/>
  <c r="BJ305" i="46"/>
  <c r="BI305" i="46"/>
  <c r="BU305" i="46"/>
  <c r="BT305" i="46"/>
  <c r="BP305" i="46"/>
  <c r="BL305" i="46"/>
  <c r="T305" i="3"/>
  <c r="O305" i="3"/>
  <c r="Z305" i="3"/>
  <c r="BR308" i="46"/>
  <c r="BJ308" i="46"/>
  <c r="BN308" i="46"/>
  <c r="BQ308" i="46"/>
  <c r="BM308" i="46"/>
  <c r="BT308" i="46"/>
  <c r="BP308" i="46"/>
  <c r="BS308" i="46"/>
  <c r="BO308" i="46"/>
  <c r="BU308" i="46"/>
  <c r="BL308" i="46"/>
  <c r="BK308" i="46"/>
  <c r="BI308" i="46"/>
  <c r="V308" i="3"/>
  <c r="W308" i="3" s="1"/>
  <c r="T308" i="3"/>
  <c r="Z308" i="3"/>
  <c r="O308" i="3"/>
  <c r="U308" i="3"/>
  <c r="BS325" i="46"/>
  <c r="BK325" i="46"/>
  <c r="BP325" i="46"/>
  <c r="BL325" i="46"/>
  <c r="BT325" i="46"/>
  <c r="BQ325" i="46"/>
  <c r="BN325" i="46"/>
  <c r="BM325" i="46"/>
  <c r="BI325" i="46"/>
  <c r="BU325" i="46"/>
  <c r="BR325" i="46"/>
  <c r="BO325" i="46"/>
  <c r="BJ325" i="46"/>
  <c r="U325" i="3"/>
  <c r="Z325" i="3"/>
  <c r="V335" i="3"/>
  <c r="W335" i="3" s="1"/>
  <c r="U336" i="3"/>
  <c r="U341" i="3"/>
  <c r="BR359" i="46"/>
  <c r="BJ359" i="46"/>
  <c r="BO359" i="46"/>
  <c r="BS359" i="46"/>
  <c r="BI359" i="46"/>
  <c r="BL359" i="46"/>
  <c r="BU359" i="46"/>
  <c r="BP359" i="46"/>
  <c r="BT359" i="46"/>
  <c r="BQ359" i="46"/>
  <c r="BN359" i="46"/>
  <c r="BM359" i="46"/>
  <c r="BK359" i="46"/>
  <c r="T359" i="3"/>
  <c r="U359" i="3"/>
  <c r="X359" i="3" s="1"/>
  <c r="Y359" i="3" s="1"/>
  <c r="O359" i="3"/>
  <c r="V359" i="3"/>
  <c r="W359" i="3" s="1"/>
  <c r="S366" i="3"/>
  <c r="U366" i="3"/>
  <c r="BP380" i="46"/>
  <c r="BS380" i="46"/>
  <c r="BJ380" i="46"/>
  <c r="BR380" i="46"/>
  <c r="BL380" i="46"/>
  <c r="BN380" i="46"/>
  <c r="BK380" i="46"/>
  <c r="BU380" i="46"/>
  <c r="BT380" i="46"/>
  <c r="BQ380" i="46"/>
  <c r="BO380" i="46"/>
  <c r="BM380" i="46"/>
  <c r="BI380" i="46"/>
  <c r="V380" i="3"/>
  <c r="W380" i="3" s="1"/>
  <c r="O380" i="3"/>
  <c r="T380" i="3"/>
  <c r="K440" i="3"/>
  <c r="L445" i="3"/>
  <c r="J473" i="3"/>
  <c r="J536" i="3"/>
  <c r="J550" i="3"/>
  <c r="J556" i="3"/>
  <c r="K558" i="3"/>
  <c r="K559" i="3"/>
  <c r="J622" i="3"/>
  <c r="I11" i="7"/>
  <c r="R115" i="3"/>
  <c r="BP123" i="46"/>
  <c r="BO123" i="46"/>
  <c r="BS123" i="46"/>
  <c r="BI123" i="46"/>
  <c r="BR123" i="46"/>
  <c r="BQ123" i="46"/>
  <c r="BN123" i="46"/>
  <c r="BM123" i="46"/>
  <c r="BL123" i="46"/>
  <c r="BU123" i="46"/>
  <c r="BK123" i="46"/>
  <c r="BT123" i="46"/>
  <c r="BJ123" i="46"/>
  <c r="V123" i="3"/>
  <c r="W123" i="3" s="1"/>
  <c r="O123" i="3"/>
  <c r="U123" i="3"/>
  <c r="X123" i="3" s="1"/>
  <c r="Y123" i="3" s="1"/>
  <c r="T123" i="3"/>
  <c r="U125" i="3"/>
  <c r="BQ159" i="46"/>
  <c r="BI159" i="46"/>
  <c r="BS159" i="46"/>
  <c r="BJ159" i="46"/>
  <c r="BR159" i="46"/>
  <c r="BN159" i="46"/>
  <c r="BM159" i="46"/>
  <c r="BL159" i="46"/>
  <c r="BK159" i="46"/>
  <c r="BU159" i="46"/>
  <c r="BT159" i="46"/>
  <c r="BP159" i="46"/>
  <c r="BO159" i="46"/>
  <c r="V159" i="3"/>
  <c r="W159" i="3" s="1"/>
  <c r="O159" i="3"/>
  <c r="U159" i="3"/>
  <c r="Z159" i="3"/>
  <c r="Z182" i="3"/>
  <c r="V188" i="3"/>
  <c r="W188" i="3" s="1"/>
  <c r="BS198" i="46"/>
  <c r="BK198" i="46"/>
  <c r="BU198" i="46"/>
  <c r="BL198" i="46"/>
  <c r="BP198" i="46"/>
  <c r="BO198" i="46"/>
  <c r="BM198" i="46"/>
  <c r="BT198" i="46"/>
  <c r="BI198" i="46"/>
  <c r="BR198" i="46"/>
  <c r="BQ198" i="46"/>
  <c r="BN198" i="46"/>
  <c r="BJ198" i="46"/>
  <c r="T198" i="3"/>
  <c r="U198" i="3"/>
  <c r="O198" i="3"/>
  <c r="Z198" i="3"/>
  <c r="U199" i="3"/>
  <c r="BR212" i="46"/>
  <c r="BJ212" i="46"/>
  <c r="BO212" i="46"/>
  <c r="BL212" i="46"/>
  <c r="BP212" i="46"/>
  <c r="BI212" i="46"/>
  <c r="BU212" i="46"/>
  <c r="BT212" i="46"/>
  <c r="BS212" i="46"/>
  <c r="BQ212" i="46"/>
  <c r="BN212" i="46"/>
  <c r="BM212" i="46"/>
  <c r="BK212" i="46"/>
  <c r="U212" i="3"/>
  <c r="T212" i="3"/>
  <c r="BN216" i="46"/>
  <c r="BS216" i="46"/>
  <c r="BJ216" i="46"/>
  <c r="BM216" i="46"/>
  <c r="BQ216" i="46"/>
  <c r="BK216" i="46"/>
  <c r="BI216" i="46"/>
  <c r="BU216" i="46"/>
  <c r="BT216" i="46"/>
  <c r="BR216" i="46"/>
  <c r="BP216" i="46"/>
  <c r="BO216" i="46"/>
  <c r="BL216" i="46"/>
  <c r="Z216" i="3"/>
  <c r="U216" i="3"/>
  <c r="T216" i="3"/>
  <c r="BN232" i="46"/>
  <c r="BS232" i="46"/>
  <c r="BJ232" i="46"/>
  <c r="BO232" i="46"/>
  <c r="BM232" i="46"/>
  <c r="BR232" i="46"/>
  <c r="BT232" i="46"/>
  <c r="BQ232" i="46"/>
  <c r="BP232" i="46"/>
  <c r="BL232" i="46"/>
  <c r="BK232" i="46"/>
  <c r="BI232" i="46"/>
  <c r="BU232" i="46"/>
  <c r="U232" i="3"/>
  <c r="X232" i="3" s="1"/>
  <c r="Y232" i="3" s="1"/>
  <c r="T232" i="3"/>
  <c r="O232" i="3"/>
  <c r="BR244" i="46"/>
  <c r="BJ244" i="46"/>
  <c r="BT244" i="46"/>
  <c r="BK244" i="46"/>
  <c r="BQ244" i="46"/>
  <c r="BS244" i="46"/>
  <c r="BO244" i="46"/>
  <c r="BU244" i="46"/>
  <c r="BP244" i="46"/>
  <c r="BN244" i="46"/>
  <c r="BM244" i="46"/>
  <c r="BL244" i="46"/>
  <c r="BI244" i="46"/>
  <c r="Z244" i="3"/>
  <c r="V244" i="3"/>
  <c r="W244" i="3" s="1"/>
  <c r="BP250" i="46"/>
  <c r="BT250" i="46"/>
  <c r="BK250" i="46"/>
  <c r="BR250" i="46"/>
  <c r="BI250" i="46"/>
  <c r="BL250" i="46"/>
  <c r="BU250" i="46"/>
  <c r="BM250" i="46"/>
  <c r="BJ250" i="46"/>
  <c r="BN250" i="46"/>
  <c r="BS250" i="46"/>
  <c r="BQ250" i="46"/>
  <c r="BO250" i="46"/>
  <c r="T250" i="3"/>
  <c r="Z250" i="3"/>
  <c r="O250" i="3"/>
  <c r="V252" i="3"/>
  <c r="W252" i="3" s="1"/>
  <c r="BP290" i="46"/>
  <c r="BN290" i="46"/>
  <c r="BQ290" i="46"/>
  <c r="BS290" i="46"/>
  <c r="BK290" i="46"/>
  <c r="BT290" i="46"/>
  <c r="BO290" i="46"/>
  <c r="BM290" i="46"/>
  <c r="BL290" i="46"/>
  <c r="BJ290" i="46"/>
  <c r="BI290" i="46"/>
  <c r="BU290" i="46"/>
  <c r="BR290" i="46"/>
  <c r="Z290" i="3"/>
  <c r="T290" i="3"/>
  <c r="U290" i="3"/>
  <c r="V290" i="3"/>
  <c r="W290" i="3" s="1"/>
  <c r="BT294" i="46"/>
  <c r="BL294" i="46"/>
  <c r="BP294" i="46"/>
  <c r="BN294" i="46"/>
  <c r="BQ294" i="46"/>
  <c r="BJ294" i="46"/>
  <c r="BI294" i="46"/>
  <c r="BS294" i="46"/>
  <c r="BO294" i="46"/>
  <c r="BU294" i="46"/>
  <c r="BM294" i="46"/>
  <c r="BK294" i="46"/>
  <c r="BR294" i="46"/>
  <c r="Z294" i="3"/>
  <c r="T294" i="3"/>
  <c r="O294" i="3"/>
  <c r="BN296" i="46"/>
  <c r="BM296" i="46"/>
  <c r="BP296" i="46"/>
  <c r="BR296" i="46"/>
  <c r="BU296" i="46"/>
  <c r="BI296" i="46"/>
  <c r="BT296" i="46"/>
  <c r="BK296" i="46"/>
  <c r="BQ296" i="46"/>
  <c r="BS296" i="46"/>
  <c r="BO296" i="46"/>
  <c r="BJ296" i="46"/>
  <c r="BL296" i="46"/>
  <c r="V296" i="3"/>
  <c r="W296" i="3" s="1"/>
  <c r="U296" i="3"/>
  <c r="Z296" i="3"/>
  <c r="BN304" i="46"/>
  <c r="BT304" i="46"/>
  <c r="BK304" i="46"/>
  <c r="BQ304" i="46"/>
  <c r="BS304" i="46"/>
  <c r="BI304" i="46"/>
  <c r="BU304" i="46"/>
  <c r="BR304" i="46"/>
  <c r="BJ304" i="46"/>
  <c r="BP304" i="46"/>
  <c r="BO304" i="46"/>
  <c r="BM304" i="46"/>
  <c r="BL304" i="46"/>
  <c r="V304" i="3"/>
  <c r="W304" i="3" s="1"/>
  <c r="Z304" i="3"/>
  <c r="O304" i="3"/>
  <c r="T304" i="3"/>
  <c r="U304" i="3"/>
  <c r="BU311" i="46"/>
  <c r="BM311" i="46"/>
  <c r="BR311" i="46"/>
  <c r="BI311" i="46"/>
  <c r="BT311" i="46"/>
  <c r="BJ311" i="46"/>
  <c r="BN311" i="46"/>
  <c r="BS311" i="46"/>
  <c r="BP311" i="46"/>
  <c r="BL311" i="46"/>
  <c r="BQ311" i="46"/>
  <c r="BK311" i="46"/>
  <c r="BO311" i="46"/>
  <c r="T311" i="3"/>
  <c r="O311" i="3"/>
  <c r="BR316" i="46"/>
  <c r="BJ316" i="46"/>
  <c r="BO316" i="46"/>
  <c r="BQ316" i="46"/>
  <c r="BN316" i="46"/>
  <c r="BU316" i="46"/>
  <c r="BK316" i="46"/>
  <c r="BT316" i="46"/>
  <c r="BP316" i="46"/>
  <c r="BL316" i="46"/>
  <c r="BI316" i="46"/>
  <c r="BM316" i="46"/>
  <c r="BS316" i="46"/>
  <c r="V316" i="3"/>
  <c r="W316" i="3" s="1"/>
  <c r="O316" i="3"/>
  <c r="S326" i="3"/>
  <c r="BS333" i="46"/>
  <c r="BK333" i="46"/>
  <c r="BN333" i="46"/>
  <c r="BO333" i="46"/>
  <c r="BR333" i="46"/>
  <c r="BP333" i="46"/>
  <c r="BL333" i="46"/>
  <c r="BU333" i="46"/>
  <c r="BI333" i="46"/>
  <c r="BT333" i="46"/>
  <c r="BQ333" i="46"/>
  <c r="BM333" i="46"/>
  <c r="BJ333" i="46"/>
  <c r="U333" i="3"/>
  <c r="O333" i="3"/>
  <c r="T333" i="3"/>
  <c r="BO337" i="46"/>
  <c r="BQ337" i="46"/>
  <c r="BN337" i="46"/>
  <c r="BP337" i="46"/>
  <c r="BL337" i="46"/>
  <c r="BU337" i="46"/>
  <c r="BJ337" i="46"/>
  <c r="BS337" i="46"/>
  <c r="BR337" i="46"/>
  <c r="BT337" i="46"/>
  <c r="BM337" i="46"/>
  <c r="BK337" i="46"/>
  <c r="BI337" i="46"/>
  <c r="T337" i="3"/>
  <c r="V337" i="3"/>
  <c r="W337" i="3" s="1"/>
  <c r="U337" i="3"/>
  <c r="X337" i="3" s="1"/>
  <c r="Y337" i="3" s="1"/>
  <c r="O337" i="3"/>
  <c r="BQ339" i="46"/>
  <c r="BI339" i="46"/>
  <c r="BN339" i="46"/>
  <c r="BT339" i="46"/>
  <c r="BK339" i="46"/>
  <c r="BS339" i="46"/>
  <c r="BJ339" i="46"/>
  <c r="BU339" i="46"/>
  <c r="BP339" i="46"/>
  <c r="BM339" i="46"/>
  <c r="BL339" i="46"/>
  <c r="BR339" i="46"/>
  <c r="BO339" i="46"/>
  <c r="T339" i="3"/>
  <c r="Z339" i="3"/>
  <c r="O339" i="3"/>
  <c r="V341" i="3"/>
  <c r="W341" i="3" s="1"/>
  <c r="BP349" i="46"/>
  <c r="BT349" i="46"/>
  <c r="BK349" i="46"/>
  <c r="BN349" i="46"/>
  <c r="BO349" i="46"/>
  <c r="BJ349" i="46"/>
  <c r="BS349" i="46"/>
  <c r="BL349" i="46"/>
  <c r="BU349" i="46"/>
  <c r="BR349" i="46"/>
  <c r="BQ349" i="46"/>
  <c r="BM349" i="46"/>
  <c r="BI349" i="46"/>
  <c r="Z349" i="3"/>
  <c r="O349" i="3"/>
  <c r="V349" i="3"/>
  <c r="W349" i="3" s="1"/>
  <c r="U349" i="3"/>
  <c r="T349" i="3"/>
  <c r="BT353" i="46"/>
  <c r="BL353" i="46"/>
  <c r="BO353" i="46"/>
  <c r="BR353" i="46"/>
  <c r="BI353" i="46"/>
  <c r="BP353" i="46"/>
  <c r="BK353" i="46"/>
  <c r="BU353" i="46"/>
  <c r="BM353" i="46"/>
  <c r="BS353" i="46"/>
  <c r="BQ353" i="46"/>
  <c r="BJ353" i="46"/>
  <c r="BN353" i="46"/>
  <c r="V353" i="3"/>
  <c r="W353" i="3" s="1"/>
  <c r="U353" i="3"/>
  <c r="T353" i="3"/>
  <c r="Z353" i="3"/>
  <c r="BS368" i="46"/>
  <c r="BK368" i="46"/>
  <c r="BP368" i="46"/>
  <c r="BT368" i="46"/>
  <c r="BJ368" i="46"/>
  <c r="BN368" i="46"/>
  <c r="BL368" i="46"/>
  <c r="BU368" i="46"/>
  <c r="BR368" i="46"/>
  <c r="BI368" i="46"/>
  <c r="BO368" i="46"/>
  <c r="BQ368" i="46"/>
  <c r="BM368" i="46"/>
  <c r="V368" i="3"/>
  <c r="W368" i="3" s="1"/>
  <c r="Z368" i="3"/>
  <c r="O368" i="3"/>
  <c r="T368" i="3"/>
  <c r="U368" i="3"/>
  <c r="BP392" i="46"/>
  <c r="BN392" i="46"/>
  <c r="BT392" i="46"/>
  <c r="BL392" i="46"/>
  <c r="BJ392" i="46"/>
  <c r="BS392" i="46"/>
  <c r="BK392" i="46"/>
  <c r="BQ392" i="46"/>
  <c r="BM392" i="46"/>
  <c r="BU392" i="46"/>
  <c r="BO392" i="46"/>
  <c r="BR392" i="46"/>
  <c r="BI392" i="46"/>
  <c r="V392" i="3"/>
  <c r="W392" i="3" s="1"/>
  <c r="U392" i="3"/>
  <c r="T392" i="3"/>
  <c r="Z392" i="3"/>
  <c r="X392" i="3" s="1"/>
  <c r="Y392" i="3" s="1"/>
  <c r="L446" i="3"/>
  <c r="L536" i="3"/>
  <c r="K539" i="3"/>
  <c r="L546" i="3"/>
  <c r="L560" i="3"/>
  <c r="K601" i="3"/>
  <c r="L609" i="3"/>
  <c r="J624" i="3"/>
  <c r="J627" i="3"/>
  <c r="Q25" i="5"/>
  <c r="H37" i="5" s="1"/>
  <c r="U339" i="4"/>
  <c r="P359" i="4"/>
  <c r="R359" i="4" s="1"/>
  <c r="U379" i="4"/>
  <c r="S397" i="4"/>
  <c r="U405" i="4"/>
  <c r="U431" i="4"/>
  <c r="U446" i="4"/>
  <c r="U447" i="4"/>
  <c r="T449" i="4"/>
  <c r="U458" i="4"/>
  <c r="U461" i="4"/>
  <c r="U474" i="4"/>
  <c r="U487" i="4"/>
  <c r="U492" i="4"/>
  <c r="U494" i="4"/>
  <c r="BO112" i="46"/>
  <c r="BN112" i="46"/>
  <c r="BM112" i="46"/>
  <c r="BU112" i="46"/>
  <c r="BL112" i="46"/>
  <c r="BT112" i="46"/>
  <c r="BK112" i="46"/>
  <c r="BS112" i="46"/>
  <c r="BJ112" i="46"/>
  <c r="BR112" i="46"/>
  <c r="BI112" i="46"/>
  <c r="BQ112" i="46"/>
  <c r="BP112" i="46"/>
  <c r="V112" i="3"/>
  <c r="W112" i="3" s="1"/>
  <c r="U112" i="3"/>
  <c r="T112" i="3"/>
  <c r="U118" i="3"/>
  <c r="BU120" i="46"/>
  <c r="BM120" i="46"/>
  <c r="BT120" i="46"/>
  <c r="BL120" i="46"/>
  <c r="BN120" i="46"/>
  <c r="BK120" i="46"/>
  <c r="BJ120" i="46"/>
  <c r="BS120" i="46"/>
  <c r="BI120" i="46"/>
  <c r="BR120" i="46"/>
  <c r="BQ120" i="46"/>
  <c r="BP120" i="46"/>
  <c r="BO120" i="46"/>
  <c r="Z120" i="3"/>
  <c r="T120" i="3"/>
  <c r="BO122" i="46"/>
  <c r="BN122" i="46"/>
  <c r="BM122" i="46"/>
  <c r="BL122" i="46"/>
  <c r="BU122" i="46"/>
  <c r="BK122" i="46"/>
  <c r="BT122" i="46"/>
  <c r="BJ122" i="46"/>
  <c r="BS122" i="46"/>
  <c r="BI122" i="46"/>
  <c r="BR122" i="46"/>
  <c r="BQ122" i="46"/>
  <c r="BP122" i="46"/>
  <c r="T122" i="3"/>
  <c r="Z122" i="3"/>
  <c r="V122" i="3"/>
  <c r="W122" i="3" s="1"/>
  <c r="V128" i="3"/>
  <c r="W128" i="3" s="1"/>
  <c r="U135" i="3"/>
  <c r="O138" i="3"/>
  <c r="T143" i="3"/>
  <c r="U146" i="3"/>
  <c r="X146" i="3" s="1"/>
  <c r="Y146" i="3" s="1"/>
  <c r="U147" i="3"/>
  <c r="O148" i="3"/>
  <c r="Z151" i="3"/>
  <c r="U152" i="3"/>
  <c r="U160" i="3"/>
  <c r="BP166" i="46"/>
  <c r="BM166" i="46"/>
  <c r="BU166" i="46"/>
  <c r="BL166" i="46"/>
  <c r="BO166" i="46"/>
  <c r="BN166" i="46"/>
  <c r="BK166" i="46"/>
  <c r="BJ166" i="46"/>
  <c r="BT166" i="46"/>
  <c r="BI166" i="46"/>
  <c r="BS166" i="46"/>
  <c r="BR166" i="46"/>
  <c r="BQ166" i="46"/>
  <c r="T166" i="3"/>
  <c r="Z166" i="3"/>
  <c r="T167" i="3"/>
  <c r="Z175" i="3"/>
  <c r="U176" i="3"/>
  <c r="BT183" i="46"/>
  <c r="BL183" i="46"/>
  <c r="BS183" i="46"/>
  <c r="BJ183" i="46"/>
  <c r="BM183" i="46"/>
  <c r="BU183" i="46"/>
  <c r="BI183" i="46"/>
  <c r="BR183" i="46"/>
  <c r="BQ183" i="46"/>
  <c r="BP183" i="46"/>
  <c r="BO183" i="46"/>
  <c r="BN183" i="46"/>
  <c r="BK183" i="46"/>
  <c r="V183" i="3"/>
  <c r="W183" i="3" s="1"/>
  <c r="O183" i="3"/>
  <c r="T183" i="3"/>
  <c r="U183" i="3"/>
  <c r="X183" i="3" s="1"/>
  <c r="Y183" i="3" s="1"/>
  <c r="Z187" i="3"/>
  <c r="V194" i="3"/>
  <c r="W194" i="3" s="1"/>
  <c r="BP195" i="46"/>
  <c r="BT195" i="46"/>
  <c r="BK195" i="46"/>
  <c r="BS195" i="46"/>
  <c r="BI195" i="46"/>
  <c r="BR195" i="46"/>
  <c r="BO195" i="46"/>
  <c r="BM195" i="46"/>
  <c r="BL195" i="46"/>
  <c r="BN195" i="46"/>
  <c r="BJ195" i="46"/>
  <c r="BU195" i="46"/>
  <c r="BQ195" i="46"/>
  <c r="V195" i="3"/>
  <c r="W195" i="3" s="1"/>
  <c r="O195" i="3"/>
  <c r="V202" i="3"/>
  <c r="W202" i="3" s="1"/>
  <c r="U210" i="3"/>
  <c r="U214" i="3"/>
  <c r="U218" i="3"/>
  <c r="BU231" i="46"/>
  <c r="BM231" i="46"/>
  <c r="BP231" i="46"/>
  <c r="BS231" i="46"/>
  <c r="BI231" i="46"/>
  <c r="BQ231" i="46"/>
  <c r="BJ231" i="46"/>
  <c r="BT231" i="46"/>
  <c r="BR231" i="46"/>
  <c r="BO231" i="46"/>
  <c r="BN231" i="46"/>
  <c r="BL231" i="46"/>
  <c r="BK231" i="46"/>
  <c r="V231" i="3"/>
  <c r="W231" i="3" s="1"/>
  <c r="O231" i="3"/>
  <c r="Z231" i="3"/>
  <c r="T231" i="3"/>
  <c r="BQ235" i="46"/>
  <c r="BI235" i="46"/>
  <c r="BS235" i="46"/>
  <c r="BJ235" i="46"/>
  <c r="BU235" i="46"/>
  <c r="BK235" i="46"/>
  <c r="BO235" i="46"/>
  <c r="BT235" i="46"/>
  <c r="BP235" i="46"/>
  <c r="BN235" i="46"/>
  <c r="BM235" i="46"/>
  <c r="BL235" i="46"/>
  <c r="BR235" i="46"/>
  <c r="V235" i="3"/>
  <c r="W235" i="3" s="1"/>
  <c r="O235" i="3"/>
  <c r="Z235" i="3"/>
  <c r="T235" i="3"/>
  <c r="Z236" i="3"/>
  <c r="BN240" i="46"/>
  <c r="BQ240" i="46"/>
  <c r="BR240" i="46"/>
  <c r="BU240" i="46"/>
  <c r="BJ240" i="46"/>
  <c r="BM240" i="46"/>
  <c r="BO240" i="46"/>
  <c r="BL240" i="46"/>
  <c r="BK240" i="46"/>
  <c r="BI240" i="46"/>
  <c r="BT240" i="46"/>
  <c r="BS240" i="46"/>
  <c r="BP240" i="46"/>
  <c r="V240" i="3"/>
  <c r="W240" i="3" s="1"/>
  <c r="Z240" i="3"/>
  <c r="T244" i="3"/>
  <c r="U254" i="3"/>
  <c r="BU255" i="46"/>
  <c r="BM255" i="46"/>
  <c r="BR255" i="46"/>
  <c r="BI255" i="46"/>
  <c r="BP255" i="46"/>
  <c r="BT255" i="46"/>
  <c r="BL255" i="46"/>
  <c r="BQ255" i="46"/>
  <c r="BO255" i="46"/>
  <c r="BS255" i="46"/>
  <c r="BN255" i="46"/>
  <c r="BK255" i="46"/>
  <c r="BJ255" i="46"/>
  <c r="V255" i="3"/>
  <c r="W255" i="3" s="1"/>
  <c r="O255" i="3"/>
  <c r="U255" i="3"/>
  <c r="Z255" i="3"/>
  <c r="BT262" i="46"/>
  <c r="BL262" i="46"/>
  <c r="BM262" i="46"/>
  <c r="BS262" i="46"/>
  <c r="BJ262" i="46"/>
  <c r="BI262" i="46"/>
  <c r="BR262" i="46"/>
  <c r="BN262" i="46"/>
  <c r="BK262" i="46"/>
  <c r="BP262" i="46"/>
  <c r="BO262" i="46"/>
  <c r="BU262" i="46"/>
  <c r="BQ262" i="46"/>
  <c r="T262" i="3"/>
  <c r="O262" i="3"/>
  <c r="Z262" i="3"/>
  <c r="T267" i="3"/>
  <c r="O270" i="3"/>
  <c r="S271" i="3"/>
  <c r="T276" i="3"/>
  <c r="U280" i="3"/>
  <c r="O282" i="3"/>
  <c r="U288" i="3"/>
  <c r="V310" i="3"/>
  <c r="W310" i="3" s="1"/>
  <c r="U311" i="3"/>
  <c r="BN312" i="46"/>
  <c r="BU312" i="46"/>
  <c r="BL312" i="46"/>
  <c r="BP312" i="46"/>
  <c r="BS312" i="46"/>
  <c r="BI312" i="46"/>
  <c r="BR312" i="46"/>
  <c r="BO312" i="46"/>
  <c r="BK312" i="46"/>
  <c r="BT312" i="46"/>
  <c r="BQ312" i="46"/>
  <c r="BM312" i="46"/>
  <c r="BJ312" i="46"/>
  <c r="V312" i="3"/>
  <c r="W312" i="3" s="1"/>
  <c r="Z312" i="3"/>
  <c r="O312" i="3"/>
  <c r="BO313" i="46"/>
  <c r="BN313" i="46"/>
  <c r="BT313" i="46"/>
  <c r="BJ313" i="46"/>
  <c r="BR313" i="46"/>
  <c r="BM313" i="46"/>
  <c r="BU313" i="46"/>
  <c r="BQ313" i="46"/>
  <c r="BL313" i="46"/>
  <c r="BI313" i="46"/>
  <c r="BP313" i="46"/>
  <c r="BK313" i="46"/>
  <c r="BS313" i="46"/>
  <c r="V313" i="3"/>
  <c r="W313" i="3" s="1"/>
  <c r="T313" i="3"/>
  <c r="Z313" i="3"/>
  <c r="O313" i="3"/>
  <c r="T314" i="3"/>
  <c r="T316" i="3"/>
  <c r="BS317" i="46"/>
  <c r="BK317" i="46"/>
  <c r="BR317" i="46"/>
  <c r="BI317" i="46"/>
  <c r="BM317" i="46"/>
  <c r="BU317" i="46"/>
  <c r="BJ317" i="46"/>
  <c r="BP317" i="46"/>
  <c r="BQ317" i="46"/>
  <c r="BN317" i="46"/>
  <c r="BL317" i="46"/>
  <c r="BT317" i="46"/>
  <c r="BO317" i="46"/>
  <c r="Z317" i="3"/>
  <c r="O317" i="3"/>
  <c r="V317" i="3"/>
  <c r="W317" i="3" s="1"/>
  <c r="Z321" i="3"/>
  <c r="V325" i="3"/>
  <c r="W325" i="3" s="1"/>
  <c r="BR332" i="46"/>
  <c r="BJ332" i="46"/>
  <c r="BT332" i="46"/>
  <c r="BK332" i="46"/>
  <c r="BS332" i="46"/>
  <c r="BI332" i="46"/>
  <c r="BQ332" i="46"/>
  <c r="BO332" i="46"/>
  <c r="BM332" i="46"/>
  <c r="BL332" i="46"/>
  <c r="BU332" i="46"/>
  <c r="BN332" i="46"/>
  <c r="BP332" i="46"/>
  <c r="V332" i="3"/>
  <c r="W332" i="3" s="1"/>
  <c r="T332" i="3"/>
  <c r="U332" i="3"/>
  <c r="X332" i="3" s="1"/>
  <c r="Y332" i="3" s="1"/>
  <c r="O332" i="3"/>
  <c r="V354" i="3"/>
  <c r="W354" i="3" s="1"/>
  <c r="O369" i="3"/>
  <c r="Z375" i="3"/>
  <c r="BN378" i="46"/>
  <c r="BM378" i="46"/>
  <c r="BS378" i="46"/>
  <c r="BI378" i="46"/>
  <c r="BL378" i="46"/>
  <c r="BU378" i="46"/>
  <c r="BR378" i="46"/>
  <c r="BP378" i="46"/>
  <c r="BO378" i="46"/>
  <c r="BJ378" i="46"/>
  <c r="BQ378" i="46"/>
  <c r="BK378" i="46"/>
  <c r="BT378" i="46"/>
  <c r="Z378" i="3"/>
  <c r="O378" i="3"/>
  <c r="U378" i="3"/>
  <c r="V378" i="3"/>
  <c r="W378" i="3" s="1"/>
  <c r="T378" i="3"/>
  <c r="S379" i="3"/>
  <c r="U379" i="3"/>
  <c r="K450" i="3"/>
  <c r="K452" i="3"/>
  <c r="K453" i="3"/>
  <c r="L455" i="3"/>
  <c r="L458" i="3"/>
  <c r="K459" i="3"/>
  <c r="K515" i="3"/>
  <c r="K517" i="3"/>
  <c r="J518" i="3"/>
  <c r="L526" i="3"/>
  <c r="J527" i="3"/>
  <c r="L530" i="3"/>
  <c r="L539" i="3"/>
  <c r="K590" i="3"/>
  <c r="K591" i="3"/>
  <c r="L592" i="3"/>
  <c r="J594" i="3"/>
  <c r="L601" i="3"/>
  <c r="J603" i="3"/>
  <c r="L630" i="3"/>
  <c r="J631" i="3"/>
  <c r="L656" i="3"/>
  <c r="L657" i="3"/>
  <c r="L660" i="3"/>
  <c r="L661" i="3"/>
  <c r="R25" i="5"/>
  <c r="I37" i="5" s="1"/>
  <c r="BQ196" i="46"/>
  <c r="BI196" i="46"/>
  <c r="BN196" i="46"/>
  <c r="BO196" i="46"/>
  <c r="BM196" i="46"/>
  <c r="BU196" i="46"/>
  <c r="BK196" i="46"/>
  <c r="BS196" i="46"/>
  <c r="BR196" i="46"/>
  <c r="BT196" i="46"/>
  <c r="BP196" i="46"/>
  <c r="BL196" i="46"/>
  <c r="BJ196" i="46"/>
  <c r="T196" i="3"/>
  <c r="U205" i="3"/>
  <c r="BU207" i="46"/>
  <c r="BM207" i="46"/>
  <c r="BR207" i="46"/>
  <c r="BI207" i="46"/>
  <c r="BO207" i="46"/>
  <c r="BS207" i="46"/>
  <c r="BP207" i="46"/>
  <c r="BN207" i="46"/>
  <c r="BL207" i="46"/>
  <c r="BK207" i="46"/>
  <c r="BJ207" i="46"/>
  <c r="BT207" i="46"/>
  <c r="BQ207" i="46"/>
  <c r="V207" i="3"/>
  <c r="W207" i="3" s="1"/>
  <c r="O207" i="3"/>
  <c r="BQ227" i="46"/>
  <c r="BI227" i="46"/>
  <c r="BU227" i="46"/>
  <c r="BL227" i="46"/>
  <c r="BR227" i="46"/>
  <c r="BS227" i="46"/>
  <c r="BK227" i="46"/>
  <c r="BP227" i="46"/>
  <c r="BO227" i="46"/>
  <c r="BN227" i="46"/>
  <c r="BM227" i="46"/>
  <c r="BJ227" i="46"/>
  <c r="BT227" i="46"/>
  <c r="V227" i="3"/>
  <c r="W227" i="3" s="1"/>
  <c r="O227" i="3"/>
  <c r="BT238" i="46"/>
  <c r="BL238" i="46"/>
  <c r="BS238" i="46"/>
  <c r="BJ238" i="46"/>
  <c r="BP238" i="46"/>
  <c r="BQ238" i="46"/>
  <c r="BI238" i="46"/>
  <c r="BO238" i="46"/>
  <c r="BN238" i="46"/>
  <c r="BM238" i="46"/>
  <c r="BK238" i="46"/>
  <c r="BU238" i="46"/>
  <c r="BR238" i="46"/>
  <c r="T238" i="3"/>
  <c r="V238" i="3"/>
  <c r="W238" i="3" s="1"/>
  <c r="U238" i="3"/>
  <c r="U257" i="3"/>
  <c r="BP268" i="46"/>
  <c r="BU268" i="46"/>
  <c r="BL268" i="46"/>
  <c r="BO268" i="46"/>
  <c r="BM268" i="46"/>
  <c r="BQ268" i="46"/>
  <c r="BN268" i="46"/>
  <c r="BK268" i="46"/>
  <c r="BR268" i="46"/>
  <c r="BJ268" i="46"/>
  <c r="BT268" i="46"/>
  <c r="BS268" i="46"/>
  <c r="BI268" i="46"/>
  <c r="V268" i="3"/>
  <c r="W268" i="3" s="1"/>
  <c r="U268" i="3"/>
  <c r="S302" i="3"/>
  <c r="U302" i="3"/>
  <c r="S315" i="3"/>
  <c r="U315" i="3"/>
  <c r="BT345" i="46"/>
  <c r="BL345" i="46"/>
  <c r="BU345" i="46"/>
  <c r="BK345" i="46"/>
  <c r="BJ345" i="46"/>
  <c r="BQ345" i="46"/>
  <c r="BM345" i="46"/>
  <c r="BR345" i="46"/>
  <c r="BN345" i="46"/>
  <c r="BI345" i="46"/>
  <c r="BP345" i="46"/>
  <c r="BO345" i="46"/>
  <c r="BS345" i="46"/>
  <c r="V345" i="3"/>
  <c r="W345" i="3" s="1"/>
  <c r="T345" i="3"/>
  <c r="Z345" i="3"/>
  <c r="O345" i="3"/>
  <c r="BU346" i="46"/>
  <c r="BM346" i="46"/>
  <c r="BO346" i="46"/>
  <c r="BQ346" i="46"/>
  <c r="BL346" i="46"/>
  <c r="BI346" i="46"/>
  <c r="BP346" i="46"/>
  <c r="BN346" i="46"/>
  <c r="BK346" i="46"/>
  <c r="BJ346" i="46"/>
  <c r="BS346" i="46"/>
  <c r="BR346" i="46"/>
  <c r="BT346" i="46"/>
  <c r="Z346" i="3"/>
  <c r="O346" i="3"/>
  <c r="U346" i="3"/>
  <c r="BS352" i="46"/>
  <c r="BK352" i="46"/>
  <c r="BU352" i="46"/>
  <c r="BL352" i="46"/>
  <c r="BO352" i="46"/>
  <c r="BR352" i="46"/>
  <c r="BN352" i="46"/>
  <c r="BT352" i="46"/>
  <c r="BJ352" i="46"/>
  <c r="BQ352" i="46"/>
  <c r="BP352" i="46"/>
  <c r="BM352" i="46"/>
  <c r="BI352" i="46"/>
  <c r="V352" i="3"/>
  <c r="W352" i="3" s="1"/>
  <c r="U352" i="3"/>
  <c r="Z352" i="3"/>
  <c r="J447" i="3"/>
  <c r="J463" i="3"/>
  <c r="J465" i="3"/>
  <c r="L469" i="3"/>
  <c r="K477" i="3"/>
  <c r="L486" i="3"/>
  <c r="K489" i="3"/>
  <c r="L490" i="3"/>
  <c r="J502" i="3"/>
  <c r="L504" i="3"/>
  <c r="K505" i="3"/>
  <c r="L506" i="3"/>
  <c r="L521" i="3"/>
  <c r="L540" i="3"/>
  <c r="K561" i="3"/>
  <c r="K564" i="3"/>
  <c r="K565" i="3"/>
  <c r="K605" i="3"/>
  <c r="J610" i="3"/>
  <c r="L627" i="3"/>
  <c r="L645" i="3"/>
  <c r="J665" i="3"/>
  <c r="K686" i="3"/>
  <c r="K687" i="3"/>
  <c r="K724" i="3"/>
  <c r="I11" i="5"/>
  <c r="U109" i="3"/>
  <c r="R111" i="3"/>
  <c r="R103" i="3"/>
  <c r="R105" i="3"/>
  <c r="BP131" i="46"/>
  <c r="BO131" i="46"/>
  <c r="BM131" i="46"/>
  <c r="BL131" i="46"/>
  <c r="BU131" i="46"/>
  <c r="BK131" i="46"/>
  <c r="BT131" i="46"/>
  <c r="BJ131" i="46"/>
  <c r="BS131" i="46"/>
  <c r="BI131" i="46"/>
  <c r="BR131" i="46"/>
  <c r="BQ131" i="46"/>
  <c r="BN131" i="46"/>
  <c r="V131" i="3"/>
  <c r="W131" i="3" s="1"/>
  <c r="O131" i="3"/>
  <c r="BP142" i="46"/>
  <c r="BT142" i="46"/>
  <c r="BK142" i="46"/>
  <c r="BS142" i="46"/>
  <c r="BJ142" i="46"/>
  <c r="BU142" i="46"/>
  <c r="BR142" i="46"/>
  <c r="BQ142" i="46"/>
  <c r="BO142" i="46"/>
  <c r="BN142" i="46"/>
  <c r="BM142" i="46"/>
  <c r="BL142" i="46"/>
  <c r="BI142" i="46"/>
  <c r="T142" i="3"/>
  <c r="V142" i="3"/>
  <c r="W142" i="3" s="1"/>
  <c r="U142" i="3"/>
  <c r="U161" i="3"/>
  <c r="BQ172" i="46"/>
  <c r="BI172" i="46"/>
  <c r="BU172" i="46"/>
  <c r="BL172" i="46"/>
  <c r="BN172" i="46"/>
  <c r="BK172" i="46"/>
  <c r="BT172" i="46"/>
  <c r="BJ172" i="46"/>
  <c r="BR172" i="46"/>
  <c r="BP172" i="46"/>
  <c r="BO172" i="46"/>
  <c r="BM172" i="46"/>
  <c r="BS172" i="46"/>
  <c r="V172" i="3"/>
  <c r="W172" i="3" s="1"/>
  <c r="U172" i="3"/>
  <c r="Z196" i="3"/>
  <c r="Z207" i="3"/>
  <c r="BT230" i="46"/>
  <c r="BL230" i="46"/>
  <c r="BM230" i="46"/>
  <c r="BO230" i="46"/>
  <c r="BU230" i="46"/>
  <c r="BI230" i="46"/>
  <c r="BN230" i="46"/>
  <c r="BS230" i="46"/>
  <c r="BR230" i="46"/>
  <c r="BQ230" i="46"/>
  <c r="BP230" i="46"/>
  <c r="BK230" i="46"/>
  <c r="BJ230" i="46"/>
  <c r="T230" i="3"/>
  <c r="BN256" i="46"/>
  <c r="BU256" i="46"/>
  <c r="BL256" i="46"/>
  <c r="BS256" i="46"/>
  <c r="BJ256" i="46"/>
  <c r="BQ256" i="46"/>
  <c r="BK256" i="46"/>
  <c r="BP256" i="46"/>
  <c r="BO256" i="46"/>
  <c r="BT256" i="46"/>
  <c r="BR256" i="46"/>
  <c r="BM256" i="46"/>
  <c r="BI256" i="46"/>
  <c r="O256" i="3"/>
  <c r="T268" i="3"/>
  <c r="BT272" i="46"/>
  <c r="BL272" i="46"/>
  <c r="BP272" i="46"/>
  <c r="BQ272" i="46"/>
  <c r="BN272" i="46"/>
  <c r="BI272" i="46"/>
  <c r="BU272" i="46"/>
  <c r="BS272" i="46"/>
  <c r="BM272" i="46"/>
  <c r="BK272" i="46"/>
  <c r="BJ272" i="46"/>
  <c r="BR272" i="46"/>
  <c r="BO272" i="46"/>
  <c r="V272" i="3"/>
  <c r="W272" i="3" s="1"/>
  <c r="BU287" i="46"/>
  <c r="BM287" i="46"/>
  <c r="BO287" i="46"/>
  <c r="BK287" i="46"/>
  <c r="BS287" i="46"/>
  <c r="BQ287" i="46"/>
  <c r="BN287" i="46"/>
  <c r="BL287" i="46"/>
  <c r="BJ287" i="46"/>
  <c r="BT287" i="46"/>
  <c r="BR287" i="46"/>
  <c r="BI287" i="46"/>
  <c r="BP287" i="46"/>
  <c r="V287" i="3"/>
  <c r="W287" i="3" s="1"/>
  <c r="O287" i="3"/>
  <c r="U287" i="3"/>
  <c r="BN328" i="46"/>
  <c r="BQ328" i="46"/>
  <c r="BS328" i="46"/>
  <c r="BI328" i="46"/>
  <c r="BU328" i="46"/>
  <c r="BJ328" i="46"/>
  <c r="BR328" i="46"/>
  <c r="BO328" i="46"/>
  <c r="BM328" i="46"/>
  <c r="BP328" i="46"/>
  <c r="BL328" i="46"/>
  <c r="BK328" i="46"/>
  <c r="BT328" i="46"/>
  <c r="V328" i="3"/>
  <c r="W328" i="3" s="1"/>
  <c r="U328" i="3"/>
  <c r="T328" i="3"/>
  <c r="Z328" i="3"/>
  <c r="BS344" i="46"/>
  <c r="BK344" i="46"/>
  <c r="BQ344" i="46"/>
  <c r="BO344" i="46"/>
  <c r="BL344" i="46"/>
  <c r="BN344" i="46"/>
  <c r="BU344" i="46"/>
  <c r="BJ344" i="46"/>
  <c r="BI344" i="46"/>
  <c r="BT344" i="46"/>
  <c r="BP344" i="46"/>
  <c r="BM344" i="46"/>
  <c r="BR344" i="46"/>
  <c r="V344" i="3"/>
  <c r="W344" i="3" s="1"/>
  <c r="Z344" i="3"/>
  <c r="O344" i="3"/>
  <c r="T344" i="3"/>
  <c r="BQ350" i="46"/>
  <c r="BI350" i="46"/>
  <c r="BN350" i="46"/>
  <c r="BR350" i="46"/>
  <c r="BL350" i="46"/>
  <c r="BT350" i="46"/>
  <c r="BS350" i="46"/>
  <c r="BK350" i="46"/>
  <c r="BU350" i="46"/>
  <c r="BP350" i="46"/>
  <c r="BM350" i="46"/>
  <c r="BJ350" i="46"/>
  <c r="BO350" i="46"/>
  <c r="Z350" i="3"/>
  <c r="U350" i="3"/>
  <c r="O350" i="3"/>
  <c r="T350" i="3"/>
  <c r="T352" i="3"/>
  <c r="BN371" i="46"/>
  <c r="BQ371" i="46"/>
  <c r="BT371" i="46"/>
  <c r="BK371" i="46"/>
  <c r="BR371" i="46"/>
  <c r="BO371" i="46"/>
  <c r="BL371" i="46"/>
  <c r="BJ371" i="46"/>
  <c r="BM371" i="46"/>
  <c r="BI371" i="46"/>
  <c r="BS371" i="46"/>
  <c r="BU371" i="46"/>
  <c r="BP371" i="46"/>
  <c r="T371" i="3"/>
  <c r="Z371" i="3"/>
  <c r="O371" i="3"/>
  <c r="BO399" i="46"/>
  <c r="BU399" i="46"/>
  <c r="BM399" i="46"/>
  <c r="BS399" i="46"/>
  <c r="BK399" i="46"/>
  <c r="BQ399" i="46"/>
  <c r="BI399" i="46"/>
  <c r="BR399" i="46"/>
  <c r="BJ399" i="46"/>
  <c r="BP399" i="46"/>
  <c r="BT399" i="46"/>
  <c r="BN399" i="46"/>
  <c r="BL399" i="46"/>
  <c r="T399" i="3"/>
  <c r="U399" i="3"/>
  <c r="Z399" i="3"/>
  <c r="O399" i="3"/>
  <c r="J448" i="3"/>
  <c r="L465" i="3"/>
  <c r="L466" i="3"/>
  <c r="K470" i="3"/>
  <c r="J478" i="3"/>
  <c r="L491" i="3"/>
  <c r="J492" i="3"/>
  <c r="K507" i="3"/>
  <c r="K508" i="3"/>
  <c r="J522" i="3"/>
  <c r="J523" i="3"/>
  <c r="J524" i="3"/>
  <c r="K542" i="3"/>
  <c r="K543" i="3"/>
  <c r="L565" i="3"/>
  <c r="J606" i="3"/>
  <c r="L611" i="3"/>
  <c r="L612" i="3"/>
  <c r="L613" i="3"/>
  <c r="J614" i="3"/>
  <c r="K629" i="3"/>
  <c r="L646" i="3"/>
  <c r="J647" i="3"/>
  <c r="L665" i="3"/>
  <c r="K668" i="3"/>
  <c r="K689" i="3"/>
  <c r="K725" i="3"/>
  <c r="J726" i="3"/>
  <c r="I39" i="5"/>
  <c r="I62" i="5"/>
  <c r="H39" i="5" s="1"/>
  <c r="K729" i="3"/>
  <c r="BP134" i="46"/>
  <c r="BM134" i="46"/>
  <c r="BU134" i="46"/>
  <c r="BL134" i="46"/>
  <c r="BN134" i="46"/>
  <c r="BK134" i="46"/>
  <c r="BJ134" i="46"/>
  <c r="BT134" i="46"/>
  <c r="BI134" i="46"/>
  <c r="BS134" i="46"/>
  <c r="BR134" i="46"/>
  <c r="BQ134" i="46"/>
  <c r="BO134" i="46"/>
  <c r="T134" i="3"/>
  <c r="BR160" i="46"/>
  <c r="BJ160" i="46"/>
  <c r="BM160" i="46"/>
  <c r="BU160" i="46"/>
  <c r="BL160" i="46"/>
  <c r="BK160" i="46"/>
  <c r="BI160" i="46"/>
  <c r="BT160" i="46"/>
  <c r="BS160" i="46"/>
  <c r="BQ160" i="46"/>
  <c r="BP160" i="46"/>
  <c r="BO160" i="46"/>
  <c r="BN160" i="46"/>
  <c r="O160" i="3"/>
  <c r="T172" i="3"/>
  <c r="BU176" i="46"/>
  <c r="BM176" i="46"/>
  <c r="BP176" i="46"/>
  <c r="BO176" i="46"/>
  <c r="BL176" i="46"/>
  <c r="BK176" i="46"/>
  <c r="BS176" i="46"/>
  <c r="BR176" i="46"/>
  <c r="BQ176" i="46"/>
  <c r="BN176" i="46"/>
  <c r="BJ176" i="46"/>
  <c r="BI176" i="46"/>
  <c r="BT176" i="46"/>
  <c r="V176" i="3"/>
  <c r="W176" i="3" s="1"/>
  <c r="BT191" i="46"/>
  <c r="BL191" i="46"/>
  <c r="BQ191" i="46"/>
  <c r="BS191" i="46"/>
  <c r="BI191" i="46"/>
  <c r="BO191" i="46"/>
  <c r="BM191" i="46"/>
  <c r="BK191" i="46"/>
  <c r="BU191" i="46"/>
  <c r="BR191" i="46"/>
  <c r="BP191" i="46"/>
  <c r="BN191" i="46"/>
  <c r="BJ191" i="46"/>
  <c r="V191" i="3"/>
  <c r="W191" i="3" s="1"/>
  <c r="O191" i="3"/>
  <c r="U191" i="3"/>
  <c r="X191" i="3" s="1"/>
  <c r="Y191" i="3" s="1"/>
  <c r="BQ211" i="46"/>
  <c r="BI211" i="46"/>
  <c r="BU211" i="46"/>
  <c r="BL211" i="46"/>
  <c r="BP211" i="46"/>
  <c r="BT211" i="46"/>
  <c r="BJ211" i="46"/>
  <c r="BK211" i="46"/>
  <c r="BS211" i="46"/>
  <c r="BR211" i="46"/>
  <c r="BO211" i="46"/>
  <c r="BN211" i="46"/>
  <c r="BM211" i="46"/>
  <c r="V211" i="3"/>
  <c r="W211" i="3" s="1"/>
  <c r="O211" i="3"/>
  <c r="Z211" i="3"/>
  <c r="U217" i="3"/>
  <c r="U221" i="3"/>
  <c r="BP226" i="46"/>
  <c r="BR226" i="46"/>
  <c r="BI226" i="46"/>
  <c r="BL226" i="46"/>
  <c r="BK226" i="46"/>
  <c r="BO226" i="46"/>
  <c r="BT226" i="46"/>
  <c r="BS226" i="46"/>
  <c r="BQ226" i="46"/>
  <c r="BN226" i="46"/>
  <c r="BM226" i="46"/>
  <c r="BJ226" i="46"/>
  <c r="BU226" i="46"/>
  <c r="T226" i="3"/>
  <c r="O226" i="3"/>
  <c r="T227" i="3"/>
  <c r="X238" i="3"/>
  <c r="Y238" i="3" s="1"/>
  <c r="BP242" i="46"/>
  <c r="BM242" i="46"/>
  <c r="BR242" i="46"/>
  <c r="BL242" i="46"/>
  <c r="BQ242" i="46"/>
  <c r="BO242" i="46"/>
  <c r="BS242" i="46"/>
  <c r="BN242" i="46"/>
  <c r="BK242" i="46"/>
  <c r="BJ242" i="46"/>
  <c r="BI242" i="46"/>
  <c r="BU242" i="46"/>
  <c r="BT242" i="46"/>
  <c r="T242" i="3"/>
  <c r="V242" i="3"/>
  <c r="W242" i="3" s="1"/>
  <c r="Z256" i="3"/>
  <c r="BR260" i="46"/>
  <c r="BJ260" i="46"/>
  <c r="BO260" i="46"/>
  <c r="BM260" i="46"/>
  <c r="BQ260" i="46"/>
  <c r="BN260" i="46"/>
  <c r="BL260" i="46"/>
  <c r="BK260" i="46"/>
  <c r="BU260" i="46"/>
  <c r="BT260" i="46"/>
  <c r="BS260" i="46"/>
  <c r="BP260" i="46"/>
  <c r="BI260" i="46"/>
  <c r="T260" i="3"/>
  <c r="U269" i="3"/>
  <c r="BS271" i="46"/>
  <c r="BK271" i="46"/>
  <c r="BM271" i="46"/>
  <c r="BL271" i="46"/>
  <c r="BT271" i="46"/>
  <c r="BI271" i="46"/>
  <c r="BN271" i="46"/>
  <c r="BJ271" i="46"/>
  <c r="BP271" i="46"/>
  <c r="BO271" i="46"/>
  <c r="BU271" i="46"/>
  <c r="BR271" i="46"/>
  <c r="BQ271" i="46"/>
  <c r="V271" i="3"/>
  <c r="W271" i="3" s="1"/>
  <c r="O271" i="3"/>
  <c r="T272" i="3"/>
  <c r="BN355" i="46"/>
  <c r="BU355" i="46"/>
  <c r="BL355" i="46"/>
  <c r="BP355" i="46"/>
  <c r="BT355" i="46"/>
  <c r="BI355" i="46"/>
  <c r="BQ355" i="46"/>
  <c r="BJ355" i="46"/>
  <c r="BM355" i="46"/>
  <c r="BS355" i="46"/>
  <c r="BR355" i="46"/>
  <c r="BO355" i="46"/>
  <c r="BK355" i="46"/>
  <c r="T355" i="3"/>
  <c r="V355" i="3"/>
  <c r="W355" i="3" s="1"/>
  <c r="O355" i="3"/>
  <c r="Z355" i="3"/>
  <c r="BP357" i="46"/>
  <c r="BR357" i="46"/>
  <c r="BI357" i="46"/>
  <c r="BU357" i="46"/>
  <c r="BL357" i="46"/>
  <c r="BQ357" i="46"/>
  <c r="BN357" i="46"/>
  <c r="BJ357" i="46"/>
  <c r="BM357" i="46"/>
  <c r="BK357" i="46"/>
  <c r="BS357" i="46"/>
  <c r="BO357" i="46"/>
  <c r="BT357" i="46"/>
  <c r="U357" i="3"/>
  <c r="X357" i="3" s="1"/>
  <c r="Y357" i="3" s="1"/>
  <c r="V357" i="3"/>
  <c r="W357" i="3" s="1"/>
  <c r="T357" i="3"/>
  <c r="U371" i="3"/>
  <c r="BT376" i="46"/>
  <c r="BL376" i="46"/>
  <c r="BP376" i="46"/>
  <c r="BR376" i="46"/>
  <c r="BK376" i="46"/>
  <c r="BM376" i="46"/>
  <c r="BI376" i="46"/>
  <c r="BS376" i="46"/>
  <c r="BQ376" i="46"/>
  <c r="BO376" i="46"/>
  <c r="BN376" i="46"/>
  <c r="BJ376" i="46"/>
  <c r="BU376" i="46"/>
  <c r="V376" i="3"/>
  <c r="W376" i="3" s="1"/>
  <c r="Z376" i="3"/>
  <c r="O376" i="3"/>
  <c r="BU377" i="46"/>
  <c r="BM377" i="46"/>
  <c r="BS377" i="46"/>
  <c r="BJ377" i="46"/>
  <c r="BN377" i="46"/>
  <c r="BQ377" i="46"/>
  <c r="BI377" i="46"/>
  <c r="BT377" i="46"/>
  <c r="BP377" i="46"/>
  <c r="BO377" i="46"/>
  <c r="BR377" i="46"/>
  <c r="BL377" i="46"/>
  <c r="BK377" i="46"/>
  <c r="V377" i="3"/>
  <c r="W377" i="3" s="1"/>
  <c r="T377" i="3"/>
  <c r="Z377" i="3"/>
  <c r="O377" i="3"/>
  <c r="BS389" i="46"/>
  <c r="BK389" i="46"/>
  <c r="BQ389" i="46"/>
  <c r="BI389" i="46"/>
  <c r="BU389" i="46"/>
  <c r="BJ389" i="46"/>
  <c r="BM389" i="46"/>
  <c r="BP389" i="46"/>
  <c r="BL389" i="46"/>
  <c r="BT389" i="46"/>
  <c r="BR389" i="46"/>
  <c r="BO389" i="46"/>
  <c r="BN389" i="46"/>
  <c r="U389" i="3"/>
  <c r="BT396" i="46"/>
  <c r="BL396" i="46"/>
  <c r="BR396" i="46"/>
  <c r="BJ396" i="46"/>
  <c r="BP396" i="46"/>
  <c r="BN396" i="46"/>
  <c r="BS396" i="46"/>
  <c r="BK396" i="46"/>
  <c r="BI396" i="46"/>
  <c r="BU396" i="46"/>
  <c r="BQ396" i="46"/>
  <c r="BM396" i="46"/>
  <c r="BO396" i="46"/>
  <c r="V396" i="3"/>
  <c r="W396" i="3" s="1"/>
  <c r="T396" i="3"/>
  <c r="U396" i="3"/>
  <c r="Z396" i="3"/>
  <c r="J439" i="3"/>
  <c r="L449" i="3"/>
  <c r="L471" i="3"/>
  <c r="L472" i="3"/>
  <c r="L479" i="3"/>
  <c r="K480" i="3"/>
  <c r="K493" i="3"/>
  <c r="L509" i="3"/>
  <c r="K525" i="3"/>
  <c r="K526" i="3"/>
  <c r="J544" i="3"/>
  <c r="L566" i="3"/>
  <c r="J567" i="3"/>
  <c r="L568" i="3"/>
  <c r="K569" i="3"/>
  <c r="K614" i="3"/>
  <c r="J616" i="3"/>
  <c r="J630" i="3"/>
  <c r="J648" i="3"/>
  <c r="K652" i="3"/>
  <c r="L668" i="3"/>
  <c r="J672" i="3"/>
  <c r="J690" i="3"/>
  <c r="K694" i="3"/>
  <c r="I39" i="7"/>
  <c r="I152" i="16"/>
  <c r="L440" i="3"/>
  <c r="K441" i="3"/>
  <c r="K442" i="3"/>
  <c r="L451" i="3"/>
  <c r="J452" i="3"/>
  <c r="J483" i="3"/>
  <c r="L494" i="3"/>
  <c r="J511" i="3"/>
  <c r="J512" i="3"/>
  <c r="L514" i="3"/>
  <c r="K531" i="3"/>
  <c r="K532" i="3"/>
  <c r="L534" i="3"/>
  <c r="J535" i="3"/>
  <c r="K547" i="3"/>
  <c r="L550" i="3"/>
  <c r="J551" i="3"/>
  <c r="K552" i="3"/>
  <c r="K574" i="3"/>
  <c r="K575" i="3"/>
  <c r="K588" i="3"/>
  <c r="J590" i="3"/>
  <c r="L619" i="3"/>
  <c r="L633" i="3"/>
  <c r="L654" i="3"/>
  <c r="J655" i="3"/>
  <c r="K656" i="3"/>
  <c r="K673" i="3"/>
  <c r="L697" i="3"/>
  <c r="K704" i="3"/>
  <c r="R64" i="5"/>
  <c r="Q25" i="9"/>
  <c r="H37" i="9" s="1"/>
  <c r="R65" i="17"/>
  <c r="O65" i="17"/>
  <c r="AD4" i="46"/>
  <c r="N66" i="9" s="1"/>
  <c r="AD12" i="46"/>
  <c r="N66" i="25" s="1"/>
  <c r="AD9" i="46"/>
  <c r="N66" i="19" s="1"/>
  <c r="AD13" i="46"/>
  <c r="N66" i="27" s="1"/>
  <c r="AD7" i="46"/>
  <c r="N66" i="15" s="1"/>
  <c r="AD6" i="46"/>
  <c r="N66" i="13" s="1"/>
  <c r="AD5" i="46"/>
  <c r="N66" i="11" s="1"/>
  <c r="AD3" i="46"/>
  <c r="N66" i="7" s="1"/>
  <c r="AD8" i="46"/>
  <c r="N66" i="17" s="1"/>
  <c r="S106" i="3"/>
  <c r="L436" i="3" s="1"/>
  <c r="U117" i="3"/>
  <c r="U149" i="3"/>
  <c r="U181" i="3"/>
  <c r="U213" i="3"/>
  <c r="U245" i="3"/>
  <c r="U277" i="3"/>
  <c r="BQ315" i="46"/>
  <c r="BI315" i="46"/>
  <c r="BU315" i="46"/>
  <c r="BL315" i="46"/>
  <c r="BK315" i="46"/>
  <c r="BS315" i="46"/>
  <c r="BO315" i="46"/>
  <c r="BT315" i="46"/>
  <c r="BP315" i="46"/>
  <c r="BM315" i="46"/>
  <c r="BN315" i="46"/>
  <c r="BJ315" i="46"/>
  <c r="BR315" i="46"/>
  <c r="T315" i="3"/>
  <c r="V315" i="3"/>
  <c r="W315" i="3" s="1"/>
  <c r="BT318" i="46"/>
  <c r="BL318" i="46"/>
  <c r="BM318" i="46"/>
  <c r="BR318" i="46"/>
  <c r="BP318" i="46"/>
  <c r="BK318" i="46"/>
  <c r="BJ318" i="46"/>
  <c r="BS318" i="46"/>
  <c r="BO318" i="46"/>
  <c r="BU318" i="46"/>
  <c r="BI318" i="46"/>
  <c r="BQ318" i="46"/>
  <c r="BN318" i="46"/>
  <c r="Z318" i="3"/>
  <c r="U318" i="3"/>
  <c r="O318" i="3"/>
  <c r="BP322" i="46"/>
  <c r="BO322" i="46"/>
  <c r="BQ322" i="46"/>
  <c r="BT322" i="46"/>
  <c r="BI322" i="46"/>
  <c r="BR322" i="46"/>
  <c r="BM322" i="46"/>
  <c r="BL322" i="46"/>
  <c r="BN322" i="46"/>
  <c r="BJ322" i="46"/>
  <c r="BU322" i="46"/>
  <c r="BS322" i="46"/>
  <c r="BK322" i="46"/>
  <c r="Z322" i="3"/>
  <c r="T322" i="3"/>
  <c r="O322" i="3"/>
  <c r="U324" i="3"/>
  <c r="BT326" i="46"/>
  <c r="BL326" i="46"/>
  <c r="BS326" i="46"/>
  <c r="BJ326" i="46"/>
  <c r="BQ326" i="46"/>
  <c r="BO326" i="46"/>
  <c r="BM326" i="46"/>
  <c r="BI326" i="46"/>
  <c r="BU326" i="46"/>
  <c r="BN326" i="46"/>
  <c r="BR326" i="46"/>
  <c r="BP326" i="46"/>
  <c r="BK326" i="46"/>
  <c r="Z326" i="3"/>
  <c r="T326" i="3"/>
  <c r="BT342" i="46"/>
  <c r="BL342" i="46"/>
  <c r="BO342" i="46"/>
  <c r="BU342" i="46"/>
  <c r="BK342" i="46"/>
  <c r="BQ342" i="46"/>
  <c r="BJ342" i="46"/>
  <c r="BS342" i="46"/>
  <c r="BP342" i="46"/>
  <c r="BM342" i="46"/>
  <c r="BI342" i="46"/>
  <c r="BR342" i="46"/>
  <c r="BN342" i="46"/>
  <c r="Z342" i="3"/>
  <c r="U342" i="3"/>
  <c r="BO379" i="46"/>
  <c r="BP379" i="46"/>
  <c r="BL379" i="46"/>
  <c r="BQ379" i="46"/>
  <c r="BR379" i="46"/>
  <c r="BM379" i="46"/>
  <c r="BJ379" i="46"/>
  <c r="BU379" i="46"/>
  <c r="BI379" i="46"/>
  <c r="BS379" i="46"/>
  <c r="BN379" i="46"/>
  <c r="BK379" i="46"/>
  <c r="BT379" i="46"/>
  <c r="T379" i="3"/>
  <c r="V379" i="3"/>
  <c r="W379" i="3" s="1"/>
  <c r="BR382" i="46"/>
  <c r="BJ382" i="46"/>
  <c r="BP382" i="46"/>
  <c r="BS382" i="46"/>
  <c r="BL382" i="46"/>
  <c r="BU382" i="46"/>
  <c r="BQ382" i="46"/>
  <c r="BN382" i="46"/>
  <c r="BM382" i="46"/>
  <c r="BK382" i="46"/>
  <c r="BI382" i="46"/>
  <c r="BT382" i="46"/>
  <c r="BO382" i="46"/>
  <c r="Z382" i="3"/>
  <c r="U382" i="3"/>
  <c r="O382" i="3"/>
  <c r="BP386" i="46"/>
  <c r="BN386" i="46"/>
  <c r="BM386" i="46"/>
  <c r="BK386" i="46"/>
  <c r="BQ386" i="46"/>
  <c r="BO386" i="46"/>
  <c r="BJ386" i="46"/>
  <c r="BU386" i="46"/>
  <c r="BT386" i="46"/>
  <c r="BS386" i="46"/>
  <c r="BR386" i="46"/>
  <c r="BI386" i="46"/>
  <c r="BL386" i="46"/>
  <c r="Z386" i="3"/>
  <c r="T386" i="3"/>
  <c r="O386" i="3"/>
  <c r="U388" i="3"/>
  <c r="X388" i="3" s="1"/>
  <c r="Y388" i="3" s="1"/>
  <c r="BT390" i="46"/>
  <c r="BL390" i="46"/>
  <c r="BR390" i="46"/>
  <c r="BJ390" i="46"/>
  <c r="BP390" i="46"/>
  <c r="BI390" i="46"/>
  <c r="BN390" i="46"/>
  <c r="BM390" i="46"/>
  <c r="BU390" i="46"/>
  <c r="BS390" i="46"/>
  <c r="BK390" i="46"/>
  <c r="BQ390" i="46"/>
  <c r="BO390" i="46"/>
  <c r="Z390" i="3"/>
  <c r="T390" i="3"/>
  <c r="K443" i="3"/>
  <c r="L448" i="3"/>
  <c r="L453" i="3"/>
  <c r="K454" i="3"/>
  <c r="J461" i="3"/>
  <c r="J467" i="3"/>
  <c r="L473" i="3"/>
  <c r="K474" i="3"/>
  <c r="L481" i="3"/>
  <c r="L487" i="3"/>
  <c r="L495" i="3"/>
  <c r="L502" i="3"/>
  <c r="K512" i="3"/>
  <c r="J520" i="3"/>
  <c r="K528" i="3"/>
  <c r="J537" i="3"/>
  <c r="L544" i="3"/>
  <c r="L552" i="3"/>
  <c r="J562" i="3"/>
  <c r="J571" i="3"/>
  <c r="K582" i="3"/>
  <c r="K584" i="3"/>
  <c r="K585" i="3"/>
  <c r="K596" i="3"/>
  <c r="L606" i="3"/>
  <c r="J607" i="3"/>
  <c r="L616" i="3"/>
  <c r="L624" i="3"/>
  <c r="K625" i="3"/>
  <c r="K632" i="3"/>
  <c r="J642" i="3"/>
  <c r="J643" i="3"/>
  <c r="L649" i="3"/>
  <c r="L658" i="3"/>
  <c r="K667" i="3"/>
  <c r="L674" i="3"/>
  <c r="J682" i="3"/>
  <c r="K683" i="3"/>
  <c r="K692" i="3"/>
  <c r="K693" i="3"/>
  <c r="K701" i="3"/>
  <c r="J702" i="3"/>
  <c r="K716" i="3"/>
  <c r="J718" i="3"/>
  <c r="K726" i="3"/>
  <c r="I152" i="6"/>
  <c r="R5" i="9"/>
  <c r="R25" i="9" s="1"/>
  <c r="I37" i="9" s="1"/>
  <c r="I26" i="9"/>
  <c r="M28" i="11"/>
  <c r="I6" i="11"/>
  <c r="L727" i="3"/>
  <c r="J725" i="3"/>
  <c r="K722" i="3"/>
  <c r="L719" i="3"/>
  <c r="J717" i="3"/>
  <c r="K714" i="3"/>
  <c r="L711" i="3"/>
  <c r="J709" i="3"/>
  <c r="K706" i="3"/>
  <c r="L703" i="3"/>
  <c r="J701" i="3"/>
  <c r="K698" i="3"/>
  <c r="L695" i="3"/>
  <c r="J693" i="3"/>
  <c r="K690" i="3"/>
  <c r="L687" i="3"/>
  <c r="J685" i="3"/>
  <c r="K682" i="3"/>
  <c r="L679" i="3"/>
  <c r="J677" i="3"/>
  <c r="K674" i="3"/>
  <c r="L671" i="3"/>
  <c r="J669" i="3"/>
  <c r="K666" i="3"/>
  <c r="L663" i="3"/>
  <c r="J661" i="3"/>
  <c r="K658" i="3"/>
  <c r="L655" i="3"/>
  <c r="J653" i="3"/>
  <c r="K650" i="3"/>
  <c r="L647" i="3"/>
  <c r="J645" i="3"/>
  <c r="K642" i="3"/>
  <c r="L639" i="3"/>
  <c r="J637" i="3"/>
  <c r="K634" i="3"/>
  <c r="L631" i="3"/>
  <c r="J629" i="3"/>
  <c r="K626" i="3"/>
  <c r="L623" i="3"/>
  <c r="J621" i="3"/>
  <c r="K618" i="3"/>
  <c r="L615" i="3"/>
  <c r="J613" i="3"/>
  <c r="K610" i="3"/>
  <c r="L607" i="3"/>
  <c r="J605" i="3"/>
  <c r="K602" i="3"/>
  <c r="L599" i="3"/>
  <c r="J597" i="3"/>
  <c r="K594" i="3"/>
  <c r="L591" i="3"/>
  <c r="J589" i="3"/>
  <c r="K586" i="3"/>
  <c r="L583" i="3"/>
  <c r="J581" i="3"/>
  <c r="K578" i="3"/>
  <c r="L575" i="3"/>
  <c r="J573" i="3"/>
  <c r="K570" i="3"/>
  <c r="L567" i="3"/>
  <c r="J565" i="3"/>
  <c r="K562" i="3"/>
  <c r="L559" i="3"/>
  <c r="J557" i="3"/>
  <c r="K554" i="3"/>
  <c r="L551" i="3"/>
  <c r="J549" i="3"/>
  <c r="K546" i="3"/>
  <c r="L543" i="3"/>
  <c r="J541" i="3"/>
  <c r="K538" i="3"/>
  <c r="L535" i="3"/>
  <c r="J533" i="3"/>
  <c r="K530" i="3"/>
  <c r="L527" i="3"/>
  <c r="J525" i="3"/>
  <c r="K522" i="3"/>
  <c r="L519" i="3"/>
  <c r="K727" i="3"/>
  <c r="J724" i="3"/>
  <c r="J721" i="3"/>
  <c r="L717" i="3"/>
  <c r="L714" i="3"/>
  <c r="K711" i="3"/>
  <c r="J708" i="3"/>
  <c r="J705" i="3"/>
  <c r="L701" i="3"/>
  <c r="L698" i="3"/>
  <c r="K695" i="3"/>
  <c r="J692" i="3"/>
  <c r="J689" i="3"/>
  <c r="L685" i="3"/>
  <c r="L682" i="3"/>
  <c r="K679" i="3"/>
  <c r="J676" i="3"/>
  <c r="J673" i="3"/>
  <c r="L669" i="3"/>
  <c r="L666" i="3"/>
  <c r="K663" i="3"/>
  <c r="J660" i="3"/>
  <c r="J657" i="3"/>
  <c r="L653" i="3"/>
  <c r="L650" i="3"/>
  <c r="K647" i="3"/>
  <c r="J644" i="3"/>
  <c r="J641" i="3"/>
  <c r="L637" i="3"/>
  <c r="L634" i="3"/>
  <c r="K631" i="3"/>
  <c r="J628" i="3"/>
  <c r="J625" i="3"/>
  <c r="L621" i="3"/>
  <c r="L618" i="3"/>
  <c r="K615" i="3"/>
  <c r="J612" i="3"/>
  <c r="J609" i="3"/>
  <c r="L605" i="3"/>
  <c r="L602" i="3"/>
  <c r="K599" i="3"/>
  <c r="J596" i="3"/>
  <c r="J593" i="3"/>
  <c r="L589" i="3"/>
  <c r="L586" i="3"/>
  <c r="K583" i="3"/>
  <c r="J580" i="3"/>
  <c r="J577" i="3"/>
  <c r="L573" i="3"/>
  <c r="L570" i="3"/>
  <c r="K567" i="3"/>
  <c r="J564" i="3"/>
  <c r="J561" i="3"/>
  <c r="L557" i="3"/>
  <c r="L554" i="3"/>
  <c r="K551" i="3"/>
  <c r="J548" i="3"/>
  <c r="J545" i="3"/>
  <c r="L541" i="3"/>
  <c r="L538" i="3"/>
  <c r="K535" i="3"/>
  <c r="J532" i="3"/>
  <c r="J529" i="3"/>
  <c r="L525" i="3"/>
  <c r="L522" i="3"/>
  <c r="K519" i="3"/>
  <c r="L516" i="3"/>
  <c r="J514" i="3"/>
  <c r="K511" i="3"/>
  <c r="L508" i="3"/>
  <c r="J506" i="3"/>
  <c r="K503" i="3"/>
  <c r="L500" i="3"/>
  <c r="J498" i="3"/>
  <c r="K495" i="3"/>
  <c r="L492" i="3"/>
  <c r="J490" i="3"/>
  <c r="K487" i="3"/>
  <c r="L484" i="3"/>
  <c r="J482" i="3"/>
  <c r="K479" i="3"/>
  <c r="L476" i="3"/>
  <c r="J474" i="3"/>
  <c r="K471" i="3"/>
  <c r="L468" i="3"/>
  <c r="J466" i="3"/>
  <c r="K463" i="3"/>
  <c r="L460" i="3"/>
  <c r="J458" i="3"/>
  <c r="K455" i="3"/>
  <c r="L452" i="3"/>
  <c r="J450" i="3"/>
  <c r="K447" i="3"/>
  <c r="L444" i="3"/>
  <c r="J442" i="3"/>
  <c r="K439" i="3"/>
  <c r="L728" i="3"/>
  <c r="L724" i="3"/>
  <c r="K721" i="3"/>
  <c r="K717" i="3"/>
  <c r="L713" i="3"/>
  <c r="J710" i="3"/>
  <c r="L706" i="3"/>
  <c r="J703" i="3"/>
  <c r="L702" i="3"/>
  <c r="K699" i="3"/>
  <c r="J696" i="3"/>
  <c r="L691" i="3"/>
  <c r="K688" i="3"/>
  <c r="K684" i="3"/>
  <c r="J681" i="3"/>
  <c r="K677" i="3"/>
  <c r="L673" i="3"/>
  <c r="J670" i="3"/>
  <c r="J666" i="3"/>
  <c r="K662" i="3"/>
  <c r="J659" i="3"/>
  <c r="K655" i="3"/>
  <c r="L651" i="3"/>
  <c r="K648" i="3"/>
  <c r="K644" i="3"/>
  <c r="L640" i="3"/>
  <c r="L636" i="3"/>
  <c r="K633" i="3"/>
  <c r="L629" i="3"/>
  <c r="J626" i="3"/>
  <c r="K622" i="3"/>
  <c r="J619" i="3"/>
  <c r="J615" i="3"/>
  <c r="L614" i="3"/>
  <c r="K611" i="3"/>
  <c r="J608" i="3"/>
  <c r="J604" i="3"/>
  <c r="L600" i="3"/>
  <c r="L596" i="3"/>
  <c r="K593" i="3"/>
  <c r="K589" i="3"/>
  <c r="L585" i="3"/>
  <c r="J582" i="3"/>
  <c r="L578" i="3"/>
  <c r="J575" i="3"/>
  <c r="L574" i="3"/>
  <c r="K571" i="3"/>
  <c r="J568" i="3"/>
  <c r="L563" i="3"/>
  <c r="K560" i="3"/>
  <c r="K556" i="3"/>
  <c r="J553" i="3"/>
  <c r="K549" i="3"/>
  <c r="L545" i="3"/>
  <c r="J542" i="3"/>
  <c r="J538" i="3"/>
  <c r="K534" i="3"/>
  <c r="J531" i="3"/>
  <c r="K527" i="3"/>
  <c r="L523" i="3"/>
  <c r="K520" i="3"/>
  <c r="J517" i="3"/>
  <c r="K513" i="3"/>
  <c r="K510" i="3"/>
  <c r="J507" i="3"/>
  <c r="J504" i="3"/>
  <c r="J501" i="3"/>
  <c r="K497" i="3"/>
  <c r="K494" i="3"/>
  <c r="J491" i="3"/>
  <c r="J488" i="3"/>
  <c r="J485" i="3"/>
  <c r="K481" i="3"/>
  <c r="K478" i="3"/>
  <c r="J475" i="3"/>
  <c r="J472" i="3"/>
  <c r="J469" i="3"/>
  <c r="K465" i="3"/>
  <c r="K462" i="3"/>
  <c r="J729" i="3"/>
  <c r="L723" i="3"/>
  <c r="J720" i="3"/>
  <c r="L715" i="3"/>
  <c r="J711" i="3"/>
  <c r="L710" i="3"/>
  <c r="J706" i="3"/>
  <c r="L700" i="3"/>
  <c r="J697" i="3"/>
  <c r="L692" i="3"/>
  <c r="J688" i="3"/>
  <c r="L683" i="3"/>
  <c r="J680" i="3"/>
  <c r="J675" i="3"/>
  <c r="J671" i="3"/>
  <c r="L670" i="3"/>
  <c r="J667" i="3"/>
  <c r="J662" i="3"/>
  <c r="J658" i="3"/>
  <c r="J654" i="3"/>
  <c r="K649" i="3"/>
  <c r="K645" i="3"/>
  <c r="K641" i="3"/>
  <c r="J636" i="3"/>
  <c r="L635" i="3"/>
  <c r="J632" i="3"/>
  <c r="K627" i="3"/>
  <c r="J623" i="3"/>
  <c r="L622" i="3"/>
  <c r="J618" i="3"/>
  <c r="K613" i="3"/>
  <c r="K609" i="3"/>
  <c r="L604" i="3"/>
  <c r="J601" i="3"/>
  <c r="L595" i="3"/>
  <c r="J592" i="3"/>
  <c r="L587" i="3"/>
  <c r="J583" i="3"/>
  <c r="L582" i="3"/>
  <c r="J578" i="3"/>
  <c r="L572" i="3"/>
  <c r="J569" i="3"/>
  <c r="L564" i="3"/>
  <c r="J560" i="3"/>
  <c r="L555" i="3"/>
  <c r="J552" i="3"/>
  <c r="J547" i="3"/>
  <c r="J543" i="3"/>
  <c r="L542" i="3"/>
  <c r="J539" i="3"/>
  <c r="J534" i="3"/>
  <c r="J530" i="3"/>
  <c r="J526" i="3"/>
  <c r="K521" i="3"/>
  <c r="L517" i="3"/>
  <c r="L513" i="3"/>
  <c r="J510" i="3"/>
  <c r="K506" i="3"/>
  <c r="L505" i="3"/>
  <c r="K502" i="3"/>
  <c r="L498" i="3"/>
  <c r="J495" i="3"/>
  <c r="K491" i="3"/>
  <c r="J487" i="3"/>
  <c r="K483" i="3"/>
  <c r="J480" i="3"/>
  <c r="K476" i="3"/>
  <c r="K472" i="3"/>
  <c r="K468" i="3"/>
  <c r="L464" i="3"/>
  <c r="K461" i="3"/>
  <c r="L457" i="3"/>
  <c r="L454" i="3"/>
  <c r="K451" i="3"/>
  <c r="K448" i="3"/>
  <c r="K445" i="3"/>
  <c r="L441" i="3"/>
  <c r="R100" i="3"/>
  <c r="J728" i="3"/>
  <c r="J727" i="3"/>
  <c r="L726" i="3"/>
  <c r="J723" i="3"/>
  <c r="J719" i="3"/>
  <c r="L718" i="3"/>
  <c r="J715" i="3"/>
  <c r="L709" i="3"/>
  <c r="K705" i="3"/>
  <c r="J700" i="3"/>
  <c r="K696" i="3"/>
  <c r="K691" i="3"/>
  <c r="J687" i="3"/>
  <c r="L686" i="3"/>
  <c r="J683" i="3"/>
  <c r="K678" i="3"/>
  <c r="J674" i="3"/>
  <c r="K669" i="3"/>
  <c r="K665" i="3"/>
  <c r="K661" i="3"/>
  <c r="K657" i="3"/>
  <c r="L652" i="3"/>
  <c r="L648" i="3"/>
  <c r="L643" i="3"/>
  <c r="J640" i="3"/>
  <c r="K639" i="3"/>
  <c r="J635" i="3"/>
  <c r="K630" i="3"/>
  <c r="L626" i="3"/>
  <c r="K621" i="3"/>
  <c r="K617" i="3"/>
  <c r="K612" i="3"/>
  <c r="K608" i="3"/>
  <c r="L603" i="3"/>
  <c r="J600" i="3"/>
  <c r="J599" i="3"/>
  <c r="L598" i="3"/>
  <c r="J595" i="3"/>
  <c r="J591" i="3"/>
  <c r="L590" i="3"/>
  <c r="J587" i="3"/>
  <c r="L581" i="3"/>
  <c r="K577" i="3"/>
  <c r="J572" i="3"/>
  <c r="K568" i="3"/>
  <c r="K563" i="3"/>
  <c r="J559" i="3"/>
  <c r="L558" i="3"/>
  <c r="J555" i="3"/>
  <c r="K550" i="3"/>
  <c r="J546" i="3"/>
  <c r="K541" i="3"/>
  <c r="K537" i="3"/>
  <c r="K533" i="3"/>
  <c r="K529" i="3"/>
  <c r="L524" i="3"/>
  <c r="L520" i="3"/>
  <c r="K516" i="3"/>
  <c r="L512" i="3"/>
  <c r="K509" i="3"/>
  <c r="J505" i="3"/>
  <c r="L501" i="3"/>
  <c r="L497" i="3"/>
  <c r="J494" i="3"/>
  <c r="K490" i="3"/>
  <c r="L489" i="3"/>
  <c r="K486" i="3"/>
  <c r="L482" i="3"/>
  <c r="J479" i="3"/>
  <c r="K475" i="3"/>
  <c r="J471" i="3"/>
  <c r="K467" i="3"/>
  <c r="J464" i="3"/>
  <c r="K460" i="3"/>
  <c r="J457" i="3"/>
  <c r="J454" i="3"/>
  <c r="L450" i="3"/>
  <c r="L447" i="3"/>
  <c r="K444" i="3"/>
  <c r="J441" i="3"/>
  <c r="L725" i="3"/>
  <c r="L721" i="3"/>
  <c r="L716" i="3"/>
  <c r="J713" i="3"/>
  <c r="L712" i="3"/>
  <c r="L707" i="3"/>
  <c r="J704" i="3"/>
  <c r="J698" i="3"/>
  <c r="J694" i="3"/>
  <c r="L689" i="3"/>
  <c r="K685" i="3"/>
  <c r="K681" i="3"/>
  <c r="L676" i="3"/>
  <c r="K672" i="3"/>
  <c r="J668" i="3"/>
  <c r="K664" i="3"/>
  <c r="L659" i="3"/>
  <c r="J656" i="3"/>
  <c r="K651" i="3"/>
  <c r="K646" i="3"/>
  <c r="L642" i="3"/>
  <c r="J638" i="3"/>
  <c r="J633" i="3"/>
  <c r="L628" i="3"/>
  <c r="K624" i="3"/>
  <c r="J620" i="3"/>
  <c r="K616" i="3"/>
  <c r="L610" i="3"/>
  <c r="K606" i="3"/>
  <c r="J602" i="3"/>
  <c r="L597" i="3"/>
  <c r="L593" i="3"/>
  <c r="L588" i="3"/>
  <c r="J585" i="3"/>
  <c r="L584" i="3"/>
  <c r="L579" i="3"/>
  <c r="J576" i="3"/>
  <c r="J570" i="3"/>
  <c r="J566" i="3"/>
  <c r="L561" i="3"/>
  <c r="K557" i="3"/>
  <c r="K553" i="3"/>
  <c r="L548" i="3"/>
  <c r="K544" i="3"/>
  <c r="J540" i="3"/>
  <c r="K536" i="3"/>
  <c r="L531" i="3"/>
  <c r="J528" i="3"/>
  <c r="K523" i="3"/>
  <c r="L518" i="3"/>
  <c r="J515" i="3"/>
  <c r="L511" i="3"/>
  <c r="J508" i="3"/>
  <c r="L507" i="3"/>
  <c r="L503" i="3"/>
  <c r="J500" i="3"/>
  <c r="L499" i="3"/>
  <c r="K496" i="3"/>
  <c r="J493" i="3"/>
  <c r="L488" i="3"/>
  <c r="K485" i="3"/>
  <c r="J481" i="3"/>
  <c r="L477" i="3"/>
  <c r="K473" i="3"/>
  <c r="J470" i="3"/>
  <c r="K466" i="3"/>
  <c r="L462" i="3"/>
  <c r="J459" i="3"/>
  <c r="J456" i="3"/>
  <c r="J453" i="3"/>
  <c r="K449" i="3"/>
  <c r="K446" i="3"/>
  <c r="J443" i="3"/>
  <c r="J440" i="3"/>
  <c r="R104" i="3"/>
  <c r="U113" i="3"/>
  <c r="U145" i="3"/>
  <c r="U177" i="3"/>
  <c r="U209" i="3"/>
  <c r="U241" i="3"/>
  <c r="U273" i="3"/>
  <c r="BS301" i="46"/>
  <c r="BK301" i="46"/>
  <c r="BT301" i="46"/>
  <c r="BJ301" i="46"/>
  <c r="BU301" i="46"/>
  <c r="BI301" i="46"/>
  <c r="BM301" i="46"/>
  <c r="BL301" i="46"/>
  <c r="BP301" i="46"/>
  <c r="BO301" i="46"/>
  <c r="BN301" i="46"/>
  <c r="BR301" i="46"/>
  <c r="BQ301" i="46"/>
  <c r="U301" i="3"/>
  <c r="BN320" i="46"/>
  <c r="BS320" i="46"/>
  <c r="BJ320" i="46"/>
  <c r="BR320" i="46"/>
  <c r="BP320" i="46"/>
  <c r="BL320" i="46"/>
  <c r="BK320" i="46"/>
  <c r="BT320" i="46"/>
  <c r="BO320" i="46"/>
  <c r="BU320" i="46"/>
  <c r="BQ320" i="46"/>
  <c r="BM320" i="46"/>
  <c r="BI320" i="46"/>
  <c r="V320" i="3"/>
  <c r="W320" i="3" s="1"/>
  <c r="U320" i="3"/>
  <c r="BQ323" i="46"/>
  <c r="BI323" i="46"/>
  <c r="BS323" i="46"/>
  <c r="BJ323" i="46"/>
  <c r="BL323" i="46"/>
  <c r="BP323" i="46"/>
  <c r="BN323" i="46"/>
  <c r="BK323" i="46"/>
  <c r="BU323" i="46"/>
  <c r="BR323" i="46"/>
  <c r="BM323" i="46"/>
  <c r="BT323" i="46"/>
  <c r="BO323" i="46"/>
  <c r="T323" i="3"/>
  <c r="V323" i="3"/>
  <c r="W323" i="3" s="1"/>
  <c r="BU327" i="46"/>
  <c r="BM327" i="46"/>
  <c r="BN327" i="46"/>
  <c r="BL327" i="46"/>
  <c r="BK327" i="46"/>
  <c r="BT327" i="46"/>
  <c r="BI327" i="46"/>
  <c r="BR327" i="46"/>
  <c r="BQ327" i="46"/>
  <c r="BS327" i="46"/>
  <c r="BO327" i="46"/>
  <c r="BP327" i="46"/>
  <c r="BJ327" i="46"/>
  <c r="T327" i="3"/>
  <c r="U327" i="3"/>
  <c r="BP365" i="46"/>
  <c r="BO365" i="46"/>
  <c r="BS365" i="46"/>
  <c r="BJ365" i="46"/>
  <c r="BM365" i="46"/>
  <c r="BK365" i="46"/>
  <c r="BT365" i="46"/>
  <c r="BR365" i="46"/>
  <c r="BU365" i="46"/>
  <c r="BQ365" i="46"/>
  <c r="BN365" i="46"/>
  <c r="BL365" i="46"/>
  <c r="BI365" i="46"/>
  <c r="U365" i="3"/>
  <c r="BT384" i="46"/>
  <c r="BL384" i="46"/>
  <c r="BN384" i="46"/>
  <c r="BS384" i="46"/>
  <c r="BI384" i="46"/>
  <c r="BM384" i="46"/>
  <c r="BQ384" i="46"/>
  <c r="BO384" i="46"/>
  <c r="BJ384" i="46"/>
  <c r="BU384" i="46"/>
  <c r="BP384" i="46"/>
  <c r="BR384" i="46"/>
  <c r="BK384" i="46"/>
  <c r="V384" i="3"/>
  <c r="W384" i="3" s="1"/>
  <c r="U384" i="3"/>
  <c r="BQ387" i="46"/>
  <c r="BI387" i="46"/>
  <c r="BO387" i="46"/>
  <c r="BS387" i="46"/>
  <c r="BR387" i="46"/>
  <c r="BK387" i="46"/>
  <c r="BL387" i="46"/>
  <c r="BT387" i="46"/>
  <c r="BP387" i="46"/>
  <c r="BN387" i="46"/>
  <c r="BJ387" i="46"/>
  <c r="BU387" i="46"/>
  <c r="BM387" i="46"/>
  <c r="T387" i="3"/>
  <c r="V387" i="3"/>
  <c r="W387" i="3" s="1"/>
  <c r="BO391" i="46"/>
  <c r="BU391" i="46"/>
  <c r="BM391" i="46"/>
  <c r="BS391" i="46"/>
  <c r="BK391" i="46"/>
  <c r="BL391" i="46"/>
  <c r="BT391" i="46"/>
  <c r="BJ391" i="46"/>
  <c r="BN391" i="46"/>
  <c r="BR391" i="46"/>
  <c r="BQ391" i="46"/>
  <c r="BP391" i="46"/>
  <c r="BI391" i="46"/>
  <c r="T391" i="3"/>
  <c r="U391" i="3"/>
  <c r="L443" i="3"/>
  <c r="J444" i="3"/>
  <c r="J449" i="3"/>
  <c r="J455" i="3"/>
  <c r="L461" i="3"/>
  <c r="L467" i="3"/>
  <c r="J468" i="3"/>
  <c r="K469" i="3"/>
  <c r="L474" i="3"/>
  <c r="L475" i="3"/>
  <c r="J476" i="3"/>
  <c r="J477" i="3"/>
  <c r="K482" i="3"/>
  <c r="K488" i="3"/>
  <c r="J489" i="3"/>
  <c r="J496" i="3"/>
  <c r="J503" i="3"/>
  <c r="K504" i="3"/>
  <c r="J513" i="3"/>
  <c r="K514" i="3"/>
  <c r="J521" i="3"/>
  <c r="L528" i="3"/>
  <c r="L529" i="3"/>
  <c r="L537" i="3"/>
  <c r="K545" i="3"/>
  <c r="L553" i="3"/>
  <c r="L562" i="3"/>
  <c r="J563" i="3"/>
  <c r="L571" i="3"/>
  <c r="K572" i="3"/>
  <c r="J586" i="3"/>
  <c r="K587" i="3"/>
  <c r="J588" i="3"/>
  <c r="K597" i="3"/>
  <c r="J598" i="3"/>
  <c r="K600" i="3"/>
  <c r="K607" i="3"/>
  <c r="L608" i="3"/>
  <c r="J617" i="3"/>
  <c r="L625" i="3"/>
  <c r="L632" i="3"/>
  <c r="K643" i="3"/>
  <c r="J650" i="3"/>
  <c r="J651" i="3"/>
  <c r="J652" i="3"/>
  <c r="K659" i="3"/>
  <c r="K660" i="3"/>
  <c r="L667" i="3"/>
  <c r="K675" i="3"/>
  <c r="J684" i="3"/>
  <c r="L693" i="3"/>
  <c r="K702" i="3"/>
  <c r="K703" i="3"/>
  <c r="K718" i="3"/>
  <c r="K719" i="3"/>
  <c r="L729" i="3"/>
  <c r="O65" i="9"/>
  <c r="R65" i="9"/>
  <c r="O65" i="13"/>
  <c r="R65" i="13"/>
  <c r="M69" i="11"/>
  <c r="I21" i="15"/>
  <c r="I11" i="17"/>
  <c r="I26" i="17"/>
  <c r="L439" i="3"/>
  <c r="J446" i="3"/>
  <c r="J451" i="3"/>
  <c r="L456" i="3"/>
  <c r="K457" i="3"/>
  <c r="K458" i="3"/>
  <c r="L463" i="3"/>
  <c r="K464" i="3"/>
  <c r="L470" i="3"/>
  <c r="L478" i="3"/>
  <c r="K484" i="3"/>
  <c r="K492" i="3"/>
  <c r="K498" i="3"/>
  <c r="J499" i="3"/>
  <c r="J509" i="3"/>
  <c r="L515" i="3"/>
  <c r="J516" i="3"/>
  <c r="K524" i="3"/>
  <c r="L532" i="3"/>
  <c r="L533" i="3"/>
  <c r="K540" i="3"/>
  <c r="L547" i="3"/>
  <c r="K548" i="3"/>
  <c r="L549" i="3"/>
  <c r="L556" i="3"/>
  <c r="J558" i="3"/>
  <c r="K566" i="3"/>
  <c r="K576" i="3"/>
  <c r="K592" i="3"/>
  <c r="K603" i="3"/>
  <c r="J611" i="3"/>
  <c r="K620" i="3"/>
  <c r="K628" i="3"/>
  <c r="K637" i="3"/>
  <c r="J646" i="3"/>
  <c r="K654" i="3"/>
  <c r="J664" i="3"/>
  <c r="K670" i="3"/>
  <c r="K671" i="3"/>
  <c r="L678" i="3"/>
  <c r="J679" i="3"/>
  <c r="L688" i="3"/>
  <c r="K697" i="3"/>
  <c r="K707" i="3"/>
  <c r="K708" i="3"/>
  <c r="J722" i="3"/>
  <c r="I21" i="5"/>
  <c r="I152" i="8"/>
  <c r="I31" i="9"/>
  <c r="M69" i="9"/>
  <c r="I11" i="11"/>
  <c r="R64" i="11"/>
  <c r="O64" i="11"/>
  <c r="I33" i="15"/>
  <c r="M28" i="17"/>
  <c r="I21" i="17"/>
  <c r="BT302" i="46"/>
  <c r="BL302" i="46"/>
  <c r="BN302" i="46"/>
  <c r="BP302" i="46"/>
  <c r="BR302" i="46"/>
  <c r="BJ302" i="46"/>
  <c r="BI302" i="46"/>
  <c r="BS302" i="46"/>
  <c r="BQ302" i="46"/>
  <c r="BO302" i="46"/>
  <c r="BM302" i="46"/>
  <c r="BK302" i="46"/>
  <c r="BU302" i="46"/>
  <c r="Z302" i="3"/>
  <c r="V302" i="3"/>
  <c r="W302" i="3" s="1"/>
  <c r="BT334" i="46"/>
  <c r="BL334" i="46"/>
  <c r="BQ334" i="46"/>
  <c r="BU334" i="46"/>
  <c r="BJ334" i="46"/>
  <c r="BO334" i="46"/>
  <c r="BM334" i="46"/>
  <c r="BI334" i="46"/>
  <c r="BR334" i="46"/>
  <c r="BP334" i="46"/>
  <c r="BS334" i="46"/>
  <c r="BK334" i="46"/>
  <c r="BN334" i="46"/>
  <c r="Z334" i="3"/>
  <c r="V334" i="3"/>
  <c r="W334" i="3" s="1"/>
  <c r="BQ366" i="46"/>
  <c r="BI366" i="46"/>
  <c r="BS366" i="46"/>
  <c r="BJ366" i="46"/>
  <c r="BM366" i="46"/>
  <c r="BK366" i="46"/>
  <c r="BT366" i="46"/>
  <c r="BP366" i="46"/>
  <c r="BO366" i="46"/>
  <c r="BU366" i="46"/>
  <c r="BR366" i="46"/>
  <c r="BN366" i="46"/>
  <c r="BL366" i="46"/>
  <c r="Z366" i="3"/>
  <c r="V366" i="3"/>
  <c r="W366" i="3" s="1"/>
  <c r="BN398" i="46"/>
  <c r="BT398" i="46"/>
  <c r="BL398" i="46"/>
  <c r="BR398" i="46"/>
  <c r="BJ398" i="46"/>
  <c r="BP398" i="46"/>
  <c r="BS398" i="46"/>
  <c r="BI398" i="46"/>
  <c r="BO398" i="46"/>
  <c r="BU398" i="46"/>
  <c r="BQ398" i="46"/>
  <c r="BK398" i="46"/>
  <c r="BM398" i="46"/>
  <c r="Z398" i="3"/>
  <c r="V398" i="3"/>
  <c r="W398" i="3" s="1"/>
  <c r="M69" i="7"/>
  <c r="Q25" i="11"/>
  <c r="H37" i="11" s="1"/>
  <c r="R7" i="11"/>
  <c r="R25" i="11" s="1"/>
  <c r="I37" i="11" s="1"/>
  <c r="R4" i="15"/>
  <c r="R25" i="15" s="1"/>
  <c r="I37" i="15" s="1"/>
  <c r="Q25" i="15"/>
  <c r="H37" i="15" s="1"/>
  <c r="BP306" i="46"/>
  <c r="BQ306" i="46"/>
  <c r="BT306" i="46"/>
  <c r="BK306" i="46"/>
  <c r="BS306" i="46"/>
  <c r="BJ306" i="46"/>
  <c r="BO306" i="46"/>
  <c r="BN306" i="46"/>
  <c r="BM306" i="46"/>
  <c r="BL306" i="46"/>
  <c r="BU306" i="46"/>
  <c r="BR306" i="46"/>
  <c r="BI306" i="46"/>
  <c r="Z306" i="3"/>
  <c r="V306" i="3"/>
  <c r="W306" i="3" s="1"/>
  <c r="BP338" i="46"/>
  <c r="BT338" i="46"/>
  <c r="BK338" i="46"/>
  <c r="BQ338" i="46"/>
  <c r="BJ338" i="46"/>
  <c r="BM338" i="46"/>
  <c r="BI338" i="46"/>
  <c r="BS338" i="46"/>
  <c r="BO338" i="46"/>
  <c r="BN338" i="46"/>
  <c r="BU338" i="46"/>
  <c r="BR338" i="46"/>
  <c r="BL338" i="46"/>
  <c r="Z338" i="3"/>
  <c r="V338" i="3"/>
  <c r="W338" i="3" s="1"/>
  <c r="BU370" i="46"/>
  <c r="BM370" i="46"/>
  <c r="BN370" i="46"/>
  <c r="BQ370" i="46"/>
  <c r="BT370" i="46"/>
  <c r="BI370" i="46"/>
  <c r="BR370" i="46"/>
  <c r="BO370" i="46"/>
  <c r="BL370" i="46"/>
  <c r="BJ370" i="46"/>
  <c r="BS370" i="46"/>
  <c r="BP370" i="46"/>
  <c r="BK370" i="46"/>
  <c r="Z370" i="3"/>
  <c r="X370" i="3" s="1"/>
  <c r="Y370" i="3" s="1"/>
  <c r="V370" i="3"/>
  <c r="W370" i="3" s="1"/>
  <c r="R5" i="7"/>
  <c r="R25" i="7" s="1"/>
  <c r="I37" i="7" s="1"/>
  <c r="Q25" i="7"/>
  <c r="H37" i="7" s="1"/>
  <c r="H53" i="9"/>
  <c r="I62" i="9" s="1"/>
  <c r="H39" i="9" s="1"/>
  <c r="I21" i="13"/>
  <c r="I16" i="15"/>
  <c r="R5" i="17"/>
  <c r="R25" i="17" s="1"/>
  <c r="I37" i="17" s="1"/>
  <c r="Q25" i="17"/>
  <c r="H37" i="17" s="1"/>
  <c r="R8" i="21"/>
  <c r="Q25" i="21"/>
  <c r="H37" i="21" s="1"/>
  <c r="BN109" i="46"/>
  <c r="BQ109" i="46"/>
  <c r="BP109" i="46"/>
  <c r="BO109" i="46"/>
  <c r="BM109" i="46"/>
  <c r="BU109" i="46"/>
  <c r="BL109" i="46"/>
  <c r="BT109" i="46"/>
  <c r="BK109" i="46"/>
  <c r="BS109" i="46"/>
  <c r="BJ109" i="46"/>
  <c r="BR109" i="46"/>
  <c r="BI109" i="46"/>
  <c r="Z109" i="3"/>
  <c r="BR113" i="46"/>
  <c r="BJ113" i="46"/>
  <c r="BT113" i="46"/>
  <c r="BK113" i="46"/>
  <c r="BS113" i="46"/>
  <c r="BI113" i="46"/>
  <c r="BQ113" i="46"/>
  <c r="BP113" i="46"/>
  <c r="BO113" i="46"/>
  <c r="BN113" i="46"/>
  <c r="BM113" i="46"/>
  <c r="BU113" i="46"/>
  <c r="BL113" i="46"/>
  <c r="Z113" i="3"/>
  <c r="BN117" i="46"/>
  <c r="BM117" i="46"/>
  <c r="BU117" i="46"/>
  <c r="BL117" i="46"/>
  <c r="BT117" i="46"/>
  <c r="BK117" i="46"/>
  <c r="BS117" i="46"/>
  <c r="BJ117" i="46"/>
  <c r="BR117" i="46"/>
  <c r="BI117" i="46"/>
  <c r="BQ117" i="46"/>
  <c r="BP117" i="46"/>
  <c r="BO117" i="46"/>
  <c r="Z117" i="3"/>
  <c r="BN121" i="46"/>
  <c r="BU121" i="46"/>
  <c r="BM121" i="46"/>
  <c r="BS121" i="46"/>
  <c r="BI121" i="46"/>
  <c r="BR121" i="46"/>
  <c r="BQ121" i="46"/>
  <c r="BP121" i="46"/>
  <c r="BO121" i="46"/>
  <c r="BL121" i="46"/>
  <c r="BK121" i="46"/>
  <c r="BT121" i="46"/>
  <c r="BJ121" i="46"/>
  <c r="Z121" i="3"/>
  <c r="BR125" i="46"/>
  <c r="BJ125" i="46"/>
  <c r="BQ125" i="46"/>
  <c r="BI125" i="46"/>
  <c r="BU125" i="46"/>
  <c r="BK125" i="46"/>
  <c r="BT125" i="46"/>
  <c r="BS125" i="46"/>
  <c r="BP125" i="46"/>
  <c r="BO125" i="46"/>
  <c r="BN125" i="46"/>
  <c r="BM125" i="46"/>
  <c r="BL125" i="46"/>
  <c r="Z125" i="3"/>
  <c r="BN129" i="46"/>
  <c r="BU129" i="46"/>
  <c r="BM129" i="46"/>
  <c r="BO129" i="46"/>
  <c r="BL129" i="46"/>
  <c r="BK129" i="46"/>
  <c r="BT129" i="46"/>
  <c r="BJ129" i="46"/>
  <c r="BS129" i="46"/>
  <c r="BI129" i="46"/>
  <c r="BR129" i="46"/>
  <c r="BQ129" i="46"/>
  <c r="BP129" i="46"/>
  <c r="Z129" i="3"/>
  <c r="BO133" i="46"/>
  <c r="BS133" i="46"/>
  <c r="BJ133" i="46"/>
  <c r="BR133" i="46"/>
  <c r="BI133" i="46"/>
  <c r="BP133" i="46"/>
  <c r="BN133" i="46"/>
  <c r="BM133" i="46"/>
  <c r="BL133" i="46"/>
  <c r="BK133" i="46"/>
  <c r="BU133" i="46"/>
  <c r="BT133" i="46"/>
  <c r="BQ133" i="46"/>
  <c r="Z133" i="3"/>
  <c r="BS137" i="46"/>
  <c r="BK137" i="46"/>
  <c r="BN137" i="46"/>
  <c r="BM137" i="46"/>
  <c r="BP137" i="46"/>
  <c r="BO137" i="46"/>
  <c r="BL137" i="46"/>
  <c r="BJ137" i="46"/>
  <c r="BU137" i="46"/>
  <c r="BI137" i="46"/>
  <c r="BT137" i="46"/>
  <c r="BR137" i="46"/>
  <c r="BQ137" i="46"/>
  <c r="Z137" i="3"/>
  <c r="BO141" i="46"/>
  <c r="BQ141" i="46"/>
  <c r="BP141" i="46"/>
  <c r="BK141" i="46"/>
  <c r="BU141" i="46"/>
  <c r="BJ141" i="46"/>
  <c r="BT141" i="46"/>
  <c r="BI141" i="46"/>
  <c r="BS141" i="46"/>
  <c r="BR141" i="46"/>
  <c r="BN141" i="46"/>
  <c r="BM141" i="46"/>
  <c r="BL141" i="46"/>
  <c r="Z141" i="3"/>
  <c r="BS145" i="46"/>
  <c r="BK145" i="46"/>
  <c r="BU145" i="46"/>
  <c r="BL145" i="46"/>
  <c r="BT145" i="46"/>
  <c r="BJ145" i="46"/>
  <c r="BI145" i="46"/>
  <c r="BR145" i="46"/>
  <c r="BQ145" i="46"/>
  <c r="BP145" i="46"/>
  <c r="BO145" i="46"/>
  <c r="BN145" i="46"/>
  <c r="BM145" i="46"/>
  <c r="Z145" i="3"/>
  <c r="BO149" i="46"/>
  <c r="BN149" i="46"/>
  <c r="BM149" i="46"/>
  <c r="BU149" i="46"/>
  <c r="BJ149" i="46"/>
  <c r="BT149" i="46"/>
  <c r="BI149" i="46"/>
  <c r="BS149" i="46"/>
  <c r="BR149" i="46"/>
  <c r="BQ149" i="46"/>
  <c r="BP149" i="46"/>
  <c r="BL149" i="46"/>
  <c r="BK149" i="46"/>
  <c r="Z149" i="3"/>
  <c r="BS153" i="46"/>
  <c r="BK153" i="46"/>
  <c r="BR153" i="46"/>
  <c r="BI153" i="46"/>
  <c r="BQ153" i="46"/>
  <c r="BJ153" i="46"/>
  <c r="BU153" i="46"/>
  <c r="BT153" i="46"/>
  <c r="BP153" i="46"/>
  <c r="BO153" i="46"/>
  <c r="BN153" i="46"/>
  <c r="BM153" i="46"/>
  <c r="BL153" i="46"/>
  <c r="Z153" i="3"/>
  <c r="BO157" i="46"/>
  <c r="BU157" i="46"/>
  <c r="BL157" i="46"/>
  <c r="BT157" i="46"/>
  <c r="BK157" i="46"/>
  <c r="BS157" i="46"/>
  <c r="BR157" i="46"/>
  <c r="BQ157" i="46"/>
  <c r="BP157" i="46"/>
  <c r="BN157" i="46"/>
  <c r="BM157" i="46"/>
  <c r="BJ157" i="46"/>
  <c r="BI157" i="46"/>
  <c r="Z157" i="3"/>
  <c r="BS161" i="46"/>
  <c r="BK161" i="46"/>
  <c r="BP161" i="46"/>
  <c r="BO161" i="46"/>
  <c r="BT161" i="46"/>
  <c r="BR161" i="46"/>
  <c r="BQ161" i="46"/>
  <c r="BN161" i="46"/>
  <c r="BM161" i="46"/>
  <c r="BL161" i="46"/>
  <c r="BJ161" i="46"/>
  <c r="BU161" i="46"/>
  <c r="BI161" i="46"/>
  <c r="Z161" i="3"/>
  <c r="BO165" i="46"/>
  <c r="BS165" i="46"/>
  <c r="BJ165" i="46"/>
  <c r="BR165" i="46"/>
  <c r="BI165" i="46"/>
  <c r="BQ165" i="46"/>
  <c r="BP165" i="46"/>
  <c r="BN165" i="46"/>
  <c r="BM165" i="46"/>
  <c r="BL165" i="46"/>
  <c r="BK165" i="46"/>
  <c r="BU165" i="46"/>
  <c r="BT165" i="46"/>
  <c r="Z165" i="3"/>
  <c r="BN169" i="46"/>
  <c r="BU169" i="46"/>
  <c r="BL169" i="46"/>
  <c r="BP169" i="46"/>
  <c r="BO169" i="46"/>
  <c r="BS169" i="46"/>
  <c r="BR169" i="46"/>
  <c r="BQ169" i="46"/>
  <c r="BM169" i="46"/>
  <c r="BK169" i="46"/>
  <c r="BJ169" i="46"/>
  <c r="BI169" i="46"/>
  <c r="BT169" i="46"/>
  <c r="Z169" i="3"/>
  <c r="BR173" i="46"/>
  <c r="BJ173" i="46"/>
  <c r="BO173" i="46"/>
  <c r="BT173" i="46"/>
  <c r="BI173" i="46"/>
  <c r="BQ173" i="46"/>
  <c r="BP173" i="46"/>
  <c r="BS173" i="46"/>
  <c r="BN173" i="46"/>
  <c r="BM173" i="46"/>
  <c r="BL173" i="46"/>
  <c r="BK173" i="46"/>
  <c r="BU173" i="46"/>
  <c r="Z173" i="3"/>
  <c r="BN177" i="46"/>
  <c r="BS177" i="46"/>
  <c r="BJ177" i="46"/>
  <c r="BU177" i="46"/>
  <c r="BK177" i="46"/>
  <c r="BR177" i="46"/>
  <c r="BQ177" i="46"/>
  <c r="BT177" i="46"/>
  <c r="BP177" i="46"/>
  <c r="BO177" i="46"/>
  <c r="BM177" i="46"/>
  <c r="BL177" i="46"/>
  <c r="BI177" i="46"/>
  <c r="Z177" i="3"/>
  <c r="BR181" i="46"/>
  <c r="BJ181" i="46"/>
  <c r="BM181" i="46"/>
  <c r="BL181" i="46"/>
  <c r="BT181" i="46"/>
  <c r="BI181" i="46"/>
  <c r="BS181" i="46"/>
  <c r="BU181" i="46"/>
  <c r="BQ181" i="46"/>
  <c r="BP181" i="46"/>
  <c r="BO181" i="46"/>
  <c r="BN181" i="46"/>
  <c r="BK181" i="46"/>
  <c r="Z181" i="3"/>
  <c r="BN185" i="46"/>
  <c r="BQ185" i="46"/>
  <c r="BM185" i="46"/>
  <c r="BU185" i="46"/>
  <c r="BK185" i="46"/>
  <c r="BT185" i="46"/>
  <c r="BJ185" i="46"/>
  <c r="BI185" i="46"/>
  <c r="BS185" i="46"/>
  <c r="BR185" i="46"/>
  <c r="BP185" i="46"/>
  <c r="BO185" i="46"/>
  <c r="BL185" i="46"/>
  <c r="Z185" i="3"/>
  <c r="BR189" i="46"/>
  <c r="BJ189" i="46"/>
  <c r="BT189" i="46"/>
  <c r="BK189" i="46"/>
  <c r="BQ189" i="46"/>
  <c r="BN189" i="46"/>
  <c r="BL189" i="46"/>
  <c r="BU189" i="46"/>
  <c r="BI189" i="46"/>
  <c r="BO189" i="46"/>
  <c r="BM189" i="46"/>
  <c r="BS189" i="46"/>
  <c r="BP189" i="46"/>
  <c r="Z189" i="3"/>
  <c r="BN193" i="46"/>
  <c r="BO193" i="46"/>
  <c r="BT193" i="46"/>
  <c r="BJ193" i="46"/>
  <c r="BQ193" i="46"/>
  <c r="BM193" i="46"/>
  <c r="BL193" i="46"/>
  <c r="BI193" i="46"/>
  <c r="BU193" i="46"/>
  <c r="BS193" i="46"/>
  <c r="BR193" i="46"/>
  <c r="BP193" i="46"/>
  <c r="BK193" i="46"/>
  <c r="Z193" i="3"/>
  <c r="BR197" i="46"/>
  <c r="BJ197" i="46"/>
  <c r="BQ197" i="46"/>
  <c r="BU197" i="46"/>
  <c r="BK197" i="46"/>
  <c r="BT197" i="46"/>
  <c r="BI197" i="46"/>
  <c r="BP197" i="46"/>
  <c r="BN197" i="46"/>
  <c r="BM197" i="46"/>
  <c r="BS197" i="46"/>
  <c r="BO197" i="46"/>
  <c r="BL197" i="46"/>
  <c r="Z197" i="3"/>
  <c r="BN201" i="46"/>
  <c r="BR201" i="46"/>
  <c r="BI201" i="46"/>
  <c r="BU201" i="46"/>
  <c r="BL201" i="46"/>
  <c r="BQ201" i="46"/>
  <c r="BP201" i="46"/>
  <c r="BM201" i="46"/>
  <c r="BJ201" i="46"/>
  <c r="BT201" i="46"/>
  <c r="BS201" i="46"/>
  <c r="BO201" i="46"/>
  <c r="BK201" i="46"/>
  <c r="Z201" i="3"/>
  <c r="BS205" i="46"/>
  <c r="BK205" i="46"/>
  <c r="BU205" i="46"/>
  <c r="BL205" i="46"/>
  <c r="BN205" i="46"/>
  <c r="BQ205" i="46"/>
  <c r="BR205" i="46"/>
  <c r="BP205" i="46"/>
  <c r="BO205" i="46"/>
  <c r="BM205" i="46"/>
  <c r="BJ205" i="46"/>
  <c r="BI205" i="46"/>
  <c r="BT205" i="46"/>
  <c r="Z205" i="3"/>
  <c r="BO209" i="46"/>
  <c r="BN209" i="46"/>
  <c r="BP209" i="46"/>
  <c r="BS209" i="46"/>
  <c r="BI209" i="46"/>
  <c r="BL209" i="46"/>
  <c r="BK209" i="46"/>
  <c r="BJ209" i="46"/>
  <c r="BU209" i="46"/>
  <c r="BT209" i="46"/>
  <c r="BR209" i="46"/>
  <c r="BQ209" i="46"/>
  <c r="BM209" i="46"/>
  <c r="Z209" i="3"/>
  <c r="BS213" i="46"/>
  <c r="BK213" i="46"/>
  <c r="BR213" i="46"/>
  <c r="BI213" i="46"/>
  <c r="BQ213" i="46"/>
  <c r="BL213" i="46"/>
  <c r="BU213" i="46"/>
  <c r="BT213" i="46"/>
  <c r="BP213" i="46"/>
  <c r="BO213" i="46"/>
  <c r="BN213" i="46"/>
  <c r="BM213" i="46"/>
  <c r="BJ213" i="46"/>
  <c r="Z213" i="3"/>
  <c r="BO217" i="46"/>
  <c r="BQ217" i="46"/>
  <c r="BL217" i="46"/>
  <c r="BS217" i="46"/>
  <c r="BK217" i="46"/>
  <c r="BU217" i="46"/>
  <c r="BT217" i="46"/>
  <c r="BR217" i="46"/>
  <c r="BP217" i="46"/>
  <c r="BN217" i="46"/>
  <c r="BM217" i="46"/>
  <c r="BJ217" i="46"/>
  <c r="BI217" i="46"/>
  <c r="Z217" i="3"/>
  <c r="BS221" i="46"/>
  <c r="BK221" i="46"/>
  <c r="BU221" i="46"/>
  <c r="BL221" i="46"/>
  <c r="BO221" i="46"/>
  <c r="BQ221" i="46"/>
  <c r="BI221" i="46"/>
  <c r="BT221" i="46"/>
  <c r="BR221" i="46"/>
  <c r="BP221" i="46"/>
  <c r="BN221" i="46"/>
  <c r="BM221" i="46"/>
  <c r="BJ221" i="46"/>
  <c r="Z221" i="3"/>
  <c r="BO225" i="46"/>
  <c r="BN225" i="46"/>
  <c r="BQ225" i="46"/>
  <c r="BM225" i="46"/>
  <c r="BS225" i="46"/>
  <c r="BT225" i="46"/>
  <c r="BR225" i="46"/>
  <c r="BP225" i="46"/>
  <c r="BL225" i="46"/>
  <c r="BK225" i="46"/>
  <c r="BJ225" i="46"/>
  <c r="BI225" i="46"/>
  <c r="BU225" i="46"/>
  <c r="Z225" i="3"/>
  <c r="BS229" i="46"/>
  <c r="BK229" i="46"/>
  <c r="BR229" i="46"/>
  <c r="BI229" i="46"/>
  <c r="BT229" i="46"/>
  <c r="BM229" i="46"/>
  <c r="BP229" i="46"/>
  <c r="BU229" i="46"/>
  <c r="BQ229" i="46"/>
  <c r="BO229" i="46"/>
  <c r="BN229" i="46"/>
  <c r="BL229" i="46"/>
  <c r="BJ229" i="46"/>
  <c r="Z229" i="3"/>
  <c r="BO233" i="46"/>
  <c r="BU233" i="46"/>
  <c r="BL233" i="46"/>
  <c r="BS233" i="46"/>
  <c r="BI233" i="46"/>
  <c r="BJ233" i="46"/>
  <c r="BN233" i="46"/>
  <c r="BR233" i="46"/>
  <c r="BQ233" i="46"/>
  <c r="BP233" i="46"/>
  <c r="BM233" i="46"/>
  <c r="BK233" i="46"/>
  <c r="BT233" i="46"/>
  <c r="Z233" i="3"/>
  <c r="BS237" i="46"/>
  <c r="BK237" i="46"/>
  <c r="BP237" i="46"/>
  <c r="BU237" i="46"/>
  <c r="BJ237" i="46"/>
  <c r="BT237" i="46"/>
  <c r="BM237" i="46"/>
  <c r="BO237" i="46"/>
  <c r="BN237" i="46"/>
  <c r="BL237" i="46"/>
  <c r="BI237" i="46"/>
  <c r="BR237" i="46"/>
  <c r="BQ237" i="46"/>
  <c r="Z237" i="3"/>
  <c r="BO241" i="46"/>
  <c r="BS241" i="46"/>
  <c r="BJ241" i="46"/>
  <c r="BL241" i="46"/>
  <c r="BQ241" i="46"/>
  <c r="BU241" i="46"/>
  <c r="BI241" i="46"/>
  <c r="BT241" i="46"/>
  <c r="BN241" i="46"/>
  <c r="BM241" i="46"/>
  <c r="BK241" i="46"/>
  <c r="BR241" i="46"/>
  <c r="BP241" i="46"/>
  <c r="Z241" i="3"/>
  <c r="BS245" i="46"/>
  <c r="BK245" i="46"/>
  <c r="BN245" i="46"/>
  <c r="BU245" i="46"/>
  <c r="BL245" i="46"/>
  <c r="BP245" i="46"/>
  <c r="BO245" i="46"/>
  <c r="BT245" i="46"/>
  <c r="BR245" i="46"/>
  <c r="BQ245" i="46"/>
  <c r="BM245" i="46"/>
  <c r="BJ245" i="46"/>
  <c r="BI245" i="46"/>
  <c r="Z245" i="3"/>
  <c r="BO249" i="46"/>
  <c r="BQ249" i="46"/>
  <c r="BN249" i="46"/>
  <c r="BM249" i="46"/>
  <c r="BU249" i="46"/>
  <c r="BI249" i="46"/>
  <c r="BL249" i="46"/>
  <c r="BK249" i="46"/>
  <c r="BT249" i="46"/>
  <c r="BS249" i="46"/>
  <c r="BR249" i="46"/>
  <c r="BP249" i="46"/>
  <c r="BJ249" i="46"/>
  <c r="Z249" i="3"/>
  <c r="BS253" i="46"/>
  <c r="BK253" i="46"/>
  <c r="BU253" i="46"/>
  <c r="BL253" i="46"/>
  <c r="BR253" i="46"/>
  <c r="BI253" i="46"/>
  <c r="BO253" i="46"/>
  <c r="BQ253" i="46"/>
  <c r="BJ253" i="46"/>
  <c r="BT253" i="46"/>
  <c r="BP253" i="46"/>
  <c r="BN253" i="46"/>
  <c r="BM253" i="46"/>
  <c r="Z253" i="3"/>
  <c r="BO257" i="46"/>
  <c r="BN257" i="46"/>
  <c r="BU257" i="46"/>
  <c r="BL257" i="46"/>
  <c r="BM257" i="46"/>
  <c r="BI257" i="46"/>
  <c r="BP257" i="46"/>
  <c r="BK257" i="46"/>
  <c r="BT257" i="46"/>
  <c r="BS257" i="46"/>
  <c r="BR257" i="46"/>
  <c r="BQ257" i="46"/>
  <c r="BJ257" i="46"/>
  <c r="Z257" i="3"/>
  <c r="BS261" i="46"/>
  <c r="BK261" i="46"/>
  <c r="BR261" i="46"/>
  <c r="BI261" i="46"/>
  <c r="BP261" i="46"/>
  <c r="BM261" i="46"/>
  <c r="BJ261" i="46"/>
  <c r="BN261" i="46"/>
  <c r="BL261" i="46"/>
  <c r="BU261" i="46"/>
  <c r="BT261" i="46"/>
  <c r="BQ261" i="46"/>
  <c r="BO261" i="46"/>
  <c r="Z261" i="3"/>
  <c r="BO265" i="46"/>
  <c r="BU265" i="46"/>
  <c r="BL265" i="46"/>
  <c r="BS265" i="46"/>
  <c r="BJ265" i="46"/>
  <c r="BK265" i="46"/>
  <c r="BT265" i="46"/>
  <c r="BR265" i="46"/>
  <c r="BI265" i="46"/>
  <c r="BM265" i="46"/>
  <c r="BQ265" i="46"/>
  <c r="BP265" i="46"/>
  <c r="BN265" i="46"/>
  <c r="Z265" i="3"/>
  <c r="BQ269" i="46"/>
  <c r="BI269" i="46"/>
  <c r="BO269" i="46"/>
  <c r="BU269" i="46"/>
  <c r="BK269" i="46"/>
  <c r="BS269" i="46"/>
  <c r="BN269" i="46"/>
  <c r="BM269" i="46"/>
  <c r="BL269" i="46"/>
  <c r="BT269" i="46"/>
  <c r="BJ269" i="46"/>
  <c r="BR269" i="46"/>
  <c r="BP269" i="46"/>
  <c r="Z269" i="3"/>
  <c r="BU273" i="46"/>
  <c r="BM273" i="46"/>
  <c r="BS273" i="46"/>
  <c r="BJ273" i="46"/>
  <c r="BL273" i="46"/>
  <c r="BT273" i="46"/>
  <c r="BI273" i="46"/>
  <c r="BR273" i="46"/>
  <c r="BQ273" i="46"/>
  <c r="BP273" i="46"/>
  <c r="BO273" i="46"/>
  <c r="BN273" i="46"/>
  <c r="BK273" i="46"/>
  <c r="Z273" i="3"/>
  <c r="BQ277" i="46"/>
  <c r="BI277" i="46"/>
  <c r="BM277" i="46"/>
  <c r="BL277" i="46"/>
  <c r="BT277" i="46"/>
  <c r="BJ277" i="46"/>
  <c r="BO277" i="46"/>
  <c r="BN277" i="46"/>
  <c r="BK277" i="46"/>
  <c r="BS277" i="46"/>
  <c r="BU277" i="46"/>
  <c r="BR277" i="46"/>
  <c r="BP277" i="46"/>
  <c r="Z277" i="3"/>
  <c r="BU281" i="46"/>
  <c r="BM281" i="46"/>
  <c r="BQ281" i="46"/>
  <c r="BN281" i="46"/>
  <c r="BK281" i="46"/>
  <c r="BT281" i="46"/>
  <c r="BS281" i="46"/>
  <c r="BR281" i="46"/>
  <c r="BL281" i="46"/>
  <c r="BI281" i="46"/>
  <c r="BP281" i="46"/>
  <c r="BO281" i="46"/>
  <c r="BJ281" i="46"/>
  <c r="Z281" i="3"/>
  <c r="BS285" i="46"/>
  <c r="BQ285" i="46"/>
  <c r="BI285" i="46"/>
  <c r="BU285" i="46"/>
  <c r="BK285" i="46"/>
  <c r="BN285" i="46"/>
  <c r="BL285" i="46"/>
  <c r="BM285" i="46"/>
  <c r="BJ285" i="46"/>
  <c r="BR285" i="46"/>
  <c r="BT285" i="46"/>
  <c r="BP285" i="46"/>
  <c r="BO285" i="46"/>
  <c r="Z285" i="3"/>
  <c r="BO289" i="46"/>
  <c r="BT289" i="46"/>
  <c r="BK289" i="46"/>
  <c r="BL289" i="46"/>
  <c r="BP289" i="46"/>
  <c r="BJ289" i="46"/>
  <c r="BS289" i="46"/>
  <c r="BN289" i="46"/>
  <c r="BM289" i="46"/>
  <c r="BI289" i="46"/>
  <c r="BU289" i="46"/>
  <c r="BR289" i="46"/>
  <c r="BQ289" i="46"/>
  <c r="Z289" i="3"/>
  <c r="BR292" i="46"/>
  <c r="BJ292" i="46"/>
  <c r="BS292" i="46"/>
  <c r="BI292" i="46"/>
  <c r="BN292" i="46"/>
  <c r="BP292" i="46"/>
  <c r="BO292" i="46"/>
  <c r="BK292" i="46"/>
  <c r="BU292" i="46"/>
  <c r="BQ292" i="46"/>
  <c r="BT292" i="46"/>
  <c r="BM292" i="46"/>
  <c r="BL292" i="46"/>
  <c r="V292" i="3"/>
  <c r="W292" i="3" s="1"/>
  <c r="BO297" i="46"/>
  <c r="BP297" i="46"/>
  <c r="BS297" i="46"/>
  <c r="BI297" i="46"/>
  <c r="BU297" i="46"/>
  <c r="BK297" i="46"/>
  <c r="BR297" i="46"/>
  <c r="BQ297" i="46"/>
  <c r="BL297" i="46"/>
  <c r="BT297" i="46"/>
  <c r="BN297" i="46"/>
  <c r="BM297" i="46"/>
  <c r="BJ297" i="46"/>
  <c r="BP298" i="46"/>
  <c r="BS298" i="46"/>
  <c r="BJ298" i="46"/>
  <c r="BN298" i="46"/>
  <c r="BQ298" i="46"/>
  <c r="BR298" i="46"/>
  <c r="BO298" i="46"/>
  <c r="BM298" i="46"/>
  <c r="BI298" i="46"/>
  <c r="BT298" i="46"/>
  <c r="BL298" i="46"/>
  <c r="BK298" i="46"/>
  <c r="BU298" i="46"/>
  <c r="Z298" i="3"/>
  <c r="V298" i="3"/>
  <c r="W298" i="3" s="1"/>
  <c r="BU319" i="46"/>
  <c r="BM319" i="46"/>
  <c r="BP319" i="46"/>
  <c r="BL319" i="46"/>
  <c r="BT319" i="46"/>
  <c r="BJ319" i="46"/>
  <c r="BQ319" i="46"/>
  <c r="BI319" i="46"/>
  <c r="BR319" i="46"/>
  <c r="BN319" i="46"/>
  <c r="BS319" i="46"/>
  <c r="BO319" i="46"/>
  <c r="BK319" i="46"/>
  <c r="T319" i="3"/>
  <c r="BR324" i="46"/>
  <c r="BJ324" i="46"/>
  <c r="BM324" i="46"/>
  <c r="BQ324" i="46"/>
  <c r="BL324" i="46"/>
  <c r="BU324" i="46"/>
  <c r="BI324" i="46"/>
  <c r="BS324" i="46"/>
  <c r="BP324" i="46"/>
  <c r="BO324" i="46"/>
  <c r="BN324" i="46"/>
  <c r="BK324" i="46"/>
  <c r="BT324" i="46"/>
  <c r="V324" i="3"/>
  <c r="W324" i="3" s="1"/>
  <c r="BO329" i="46"/>
  <c r="BS329" i="46"/>
  <c r="BJ329" i="46"/>
  <c r="BM329" i="46"/>
  <c r="BT329" i="46"/>
  <c r="BQ329" i="46"/>
  <c r="BN329" i="46"/>
  <c r="BK329" i="46"/>
  <c r="BU329" i="46"/>
  <c r="BI329" i="46"/>
  <c r="BL329" i="46"/>
  <c r="BR329" i="46"/>
  <c r="BP329" i="46"/>
  <c r="BP330" i="46"/>
  <c r="BM330" i="46"/>
  <c r="BS330" i="46"/>
  <c r="BI330" i="46"/>
  <c r="BQ330" i="46"/>
  <c r="BN330" i="46"/>
  <c r="BK330" i="46"/>
  <c r="BT330" i="46"/>
  <c r="BR330" i="46"/>
  <c r="BO330" i="46"/>
  <c r="BJ330" i="46"/>
  <c r="BU330" i="46"/>
  <c r="BL330" i="46"/>
  <c r="Z330" i="3"/>
  <c r="V330" i="3"/>
  <c r="W330" i="3" s="1"/>
  <c r="BR351" i="46"/>
  <c r="BJ351" i="46"/>
  <c r="BQ351" i="46"/>
  <c r="BU351" i="46"/>
  <c r="BL351" i="46"/>
  <c r="BI351" i="46"/>
  <c r="BP351" i="46"/>
  <c r="BT351" i="46"/>
  <c r="BM351" i="46"/>
  <c r="BN351" i="46"/>
  <c r="BK351" i="46"/>
  <c r="BS351" i="46"/>
  <c r="BO351" i="46"/>
  <c r="T351" i="3"/>
  <c r="BO356" i="46"/>
  <c r="BN356" i="46"/>
  <c r="BR356" i="46"/>
  <c r="BI356" i="46"/>
  <c r="BT356" i="46"/>
  <c r="BQ356" i="46"/>
  <c r="BL356" i="46"/>
  <c r="BJ356" i="46"/>
  <c r="BM356" i="46"/>
  <c r="BU356" i="46"/>
  <c r="BS356" i="46"/>
  <c r="BP356" i="46"/>
  <c r="BK356" i="46"/>
  <c r="V356" i="3"/>
  <c r="W356" i="3" s="1"/>
  <c r="BT361" i="46"/>
  <c r="BL361" i="46"/>
  <c r="BM361" i="46"/>
  <c r="BP361" i="46"/>
  <c r="BQ361" i="46"/>
  <c r="BN361" i="46"/>
  <c r="BU361" i="46"/>
  <c r="BI361" i="46"/>
  <c r="BK361" i="46"/>
  <c r="BR361" i="46"/>
  <c r="BO361" i="46"/>
  <c r="BJ361" i="46"/>
  <c r="BS361" i="46"/>
  <c r="BU362" i="46"/>
  <c r="BM362" i="46"/>
  <c r="BP362" i="46"/>
  <c r="BS362" i="46"/>
  <c r="BJ362" i="46"/>
  <c r="BL362" i="46"/>
  <c r="BI362" i="46"/>
  <c r="BQ362" i="46"/>
  <c r="BK362" i="46"/>
  <c r="BO362" i="46"/>
  <c r="BT362" i="46"/>
  <c r="BR362" i="46"/>
  <c r="BN362" i="46"/>
  <c r="Z362" i="3"/>
  <c r="V362" i="3"/>
  <c r="W362" i="3" s="1"/>
  <c r="BS383" i="46"/>
  <c r="BK383" i="46"/>
  <c r="BT383" i="46"/>
  <c r="BJ383" i="46"/>
  <c r="BN383" i="46"/>
  <c r="BQ383" i="46"/>
  <c r="BR383" i="46"/>
  <c r="BO383" i="46"/>
  <c r="BL383" i="46"/>
  <c r="BI383" i="46"/>
  <c r="BU383" i="46"/>
  <c r="BP383" i="46"/>
  <c r="BM383" i="46"/>
  <c r="T383" i="3"/>
  <c r="BR388" i="46"/>
  <c r="BJ388" i="46"/>
  <c r="BP388" i="46"/>
  <c r="BN388" i="46"/>
  <c r="BO388" i="46"/>
  <c r="BT388" i="46"/>
  <c r="BK388" i="46"/>
  <c r="BS388" i="46"/>
  <c r="BQ388" i="46"/>
  <c r="BL388" i="46"/>
  <c r="BI388" i="46"/>
  <c r="BU388" i="46"/>
  <c r="BM388" i="46"/>
  <c r="V388" i="3"/>
  <c r="W388" i="3" s="1"/>
  <c r="BQ393" i="46"/>
  <c r="BI393" i="46"/>
  <c r="BO393" i="46"/>
  <c r="BU393" i="46"/>
  <c r="BM393" i="46"/>
  <c r="BS393" i="46"/>
  <c r="BP393" i="46"/>
  <c r="BN393" i="46"/>
  <c r="BK393" i="46"/>
  <c r="BL393" i="46"/>
  <c r="BJ393" i="46"/>
  <c r="BT393" i="46"/>
  <c r="BR393" i="46"/>
  <c r="BR394" i="46"/>
  <c r="BJ394" i="46"/>
  <c r="BP394" i="46"/>
  <c r="BN394" i="46"/>
  <c r="BT394" i="46"/>
  <c r="BL394" i="46"/>
  <c r="BS394" i="46"/>
  <c r="BQ394" i="46"/>
  <c r="BU394" i="46"/>
  <c r="BM394" i="46"/>
  <c r="BI394" i="46"/>
  <c r="BK394" i="46"/>
  <c r="BO394" i="46"/>
  <c r="Z394" i="3"/>
  <c r="V394" i="3"/>
  <c r="W394" i="3" s="1"/>
  <c r="I26" i="7"/>
  <c r="R64" i="9"/>
  <c r="I11" i="15"/>
  <c r="E74" i="23"/>
  <c r="R8" i="23"/>
  <c r="I37" i="23" s="1"/>
  <c r="H37" i="23"/>
  <c r="M28" i="19"/>
  <c r="I11" i="19"/>
  <c r="E75" i="21"/>
  <c r="E74" i="21"/>
  <c r="B20" i="21"/>
  <c r="E19" i="21"/>
  <c r="C14" i="21"/>
  <c r="F10" i="21"/>
  <c r="E4" i="21"/>
  <c r="D24" i="21"/>
  <c r="H20" i="21"/>
  <c r="C19" i="21"/>
  <c r="G15" i="21"/>
  <c r="D10" i="21"/>
  <c r="G9" i="21"/>
  <c r="B10" i="21"/>
  <c r="G5" i="21"/>
  <c r="G6" i="21" s="1"/>
  <c r="B25" i="21"/>
  <c r="E20" i="21"/>
  <c r="D15" i="21"/>
  <c r="F14" i="21"/>
  <c r="D9" i="21"/>
  <c r="F5" i="21"/>
  <c r="H4" i="21"/>
  <c r="G19" i="21"/>
  <c r="F15" i="21"/>
  <c r="F4" i="21"/>
  <c r="F19" i="21"/>
  <c r="C15" i="21"/>
  <c r="H9" i="21"/>
  <c r="H11" i="21" s="1"/>
  <c r="D4" i="21"/>
  <c r="D19" i="21"/>
  <c r="B15" i="21"/>
  <c r="F9" i="21"/>
  <c r="F11" i="21" s="1"/>
  <c r="H5" i="21"/>
  <c r="G20" i="21"/>
  <c r="B19" i="21"/>
  <c r="C24" i="21"/>
  <c r="D20" i="21"/>
  <c r="H14" i="21"/>
  <c r="G10" i="21"/>
  <c r="R5" i="23"/>
  <c r="Q25" i="23"/>
  <c r="E75" i="23"/>
  <c r="J75" i="23" s="1"/>
  <c r="M28" i="9"/>
  <c r="Q25" i="13"/>
  <c r="H37" i="13" s="1"/>
  <c r="O67" i="15"/>
  <c r="H53" i="17"/>
  <c r="O67" i="17"/>
  <c r="R4" i="19"/>
  <c r="R25" i="19" s="1"/>
  <c r="I37" i="19" s="1"/>
  <c r="Q25" i="19"/>
  <c r="H37" i="19" s="1"/>
  <c r="I21" i="19"/>
  <c r="I26" i="19"/>
  <c r="R4" i="21"/>
  <c r="E14" i="21"/>
  <c r="I6" i="15"/>
  <c r="R65" i="15"/>
  <c r="I33" i="19"/>
  <c r="I16" i="19"/>
  <c r="F52" i="21"/>
  <c r="O65" i="7"/>
  <c r="O67" i="9"/>
  <c r="M69" i="15"/>
  <c r="I33" i="17"/>
  <c r="O64" i="17"/>
  <c r="R64" i="17"/>
  <c r="R64" i="23"/>
  <c r="I152" i="24"/>
  <c r="I10" i="25"/>
  <c r="I5" i="27"/>
  <c r="E21" i="27"/>
  <c r="I19" i="27"/>
  <c r="I19" i="25"/>
  <c r="H54" i="23"/>
  <c r="B20" i="23" s="1"/>
  <c r="G26" i="25"/>
  <c r="O64" i="27"/>
  <c r="R64" i="27"/>
  <c r="R65" i="21"/>
  <c r="O65" i="21"/>
  <c r="R67" i="21"/>
  <c r="O67" i="21"/>
  <c r="N44" i="23"/>
  <c r="H40" i="23" s="1"/>
  <c r="O37" i="23"/>
  <c r="U5" i="46"/>
  <c r="I38" i="46"/>
  <c r="I51" i="46"/>
  <c r="M50" i="7" s="1"/>
  <c r="M53" i="7" s="1"/>
  <c r="I36" i="46"/>
  <c r="Q38" i="46"/>
  <c r="Q51" i="46"/>
  <c r="Q36" i="46"/>
  <c r="U45" i="46"/>
  <c r="I40" i="23"/>
  <c r="I24" i="25"/>
  <c r="I30" i="25"/>
  <c r="B31" i="25"/>
  <c r="I31" i="25" s="1"/>
  <c r="R67" i="27"/>
  <c r="O67" i="27"/>
  <c r="N60" i="23"/>
  <c r="H42" i="23" s="1"/>
  <c r="R5" i="27"/>
  <c r="E75" i="27"/>
  <c r="J75" i="27" s="1"/>
  <c r="K51" i="46"/>
  <c r="M50" i="11" s="1"/>
  <c r="M53" i="11" s="1"/>
  <c r="K36" i="46"/>
  <c r="K38" i="46"/>
  <c r="S51" i="46"/>
  <c r="M50" i="27" s="1"/>
  <c r="M53" i="27" s="1"/>
  <c r="S36" i="46"/>
  <c r="S38" i="46"/>
  <c r="C25" i="21"/>
  <c r="I62" i="25"/>
  <c r="H39" i="25" s="1"/>
  <c r="I10" i="27"/>
  <c r="Q40" i="46"/>
  <c r="V40" i="46" s="1"/>
  <c r="Q53" i="46"/>
  <c r="V7" i="46"/>
  <c r="R65" i="25"/>
  <c r="O65" i="25"/>
  <c r="F54" i="17"/>
  <c r="H54" i="17" s="1"/>
  <c r="F53" i="21"/>
  <c r="H53" i="21" s="1"/>
  <c r="C5" i="21" s="1"/>
  <c r="R25" i="25"/>
  <c r="I37" i="25" s="1"/>
  <c r="I4" i="27"/>
  <c r="C16" i="27"/>
  <c r="I15" i="27"/>
  <c r="I20" i="27"/>
  <c r="AB52" i="23"/>
  <c r="F4" i="23" s="1"/>
  <c r="AB53" i="23"/>
  <c r="O57" i="23"/>
  <c r="I9" i="25"/>
  <c r="I25" i="25"/>
  <c r="I9" i="27"/>
  <c r="I14" i="27"/>
  <c r="M51" i="46"/>
  <c r="M50" i="15" s="1"/>
  <c r="M53" i="15" s="1"/>
  <c r="M36" i="46"/>
  <c r="M38" i="46"/>
  <c r="H6" i="25"/>
  <c r="I6" i="25" s="1"/>
  <c r="Q25" i="25"/>
  <c r="H37" i="25" s="1"/>
  <c r="N38" i="46"/>
  <c r="E4" i="23"/>
  <c r="H9" i="23"/>
  <c r="F10" i="23"/>
  <c r="B14" i="23"/>
  <c r="F19" i="23"/>
  <c r="D20" i="23"/>
  <c r="G25" i="23"/>
  <c r="I14" i="25"/>
  <c r="M69" i="25"/>
  <c r="O38" i="46"/>
  <c r="O51" i="46"/>
  <c r="M50" i="19" s="1"/>
  <c r="M53" i="19" s="1"/>
  <c r="W13" i="46"/>
  <c r="U57" i="46"/>
  <c r="U46" i="46"/>
  <c r="G14" i="21"/>
  <c r="E15" i="21"/>
  <c r="F20" i="21"/>
  <c r="B24" i="21"/>
  <c r="G5" i="23"/>
  <c r="G10" i="23"/>
  <c r="C14" i="23"/>
  <c r="H15" i="23"/>
  <c r="G19" i="23"/>
  <c r="E20" i="23"/>
  <c r="D26" i="27"/>
  <c r="U26" i="46"/>
  <c r="U98" i="46"/>
  <c r="U23" i="46"/>
  <c r="U37" i="46"/>
  <c r="U52" i="46"/>
  <c r="V53" i="46"/>
  <c r="H4" i="23"/>
  <c r="H6" i="23" s="1"/>
  <c r="C9" i="23"/>
  <c r="E14" i="23"/>
  <c r="B15" i="23"/>
  <c r="G20" i="23"/>
  <c r="C24" i="23"/>
  <c r="B25" i="23"/>
  <c r="I42" i="23"/>
  <c r="D6" i="27"/>
  <c r="F21" i="27"/>
  <c r="I24" i="27"/>
  <c r="I39" i="27"/>
  <c r="J51" i="46"/>
  <c r="M50" i="9" s="1"/>
  <c r="M53" i="9" s="1"/>
  <c r="J36" i="46"/>
  <c r="J38" i="46"/>
  <c r="R51" i="46"/>
  <c r="M50" i="25" s="1"/>
  <c r="M53" i="25" s="1"/>
  <c r="R36" i="46"/>
  <c r="R38" i="46"/>
  <c r="U20" i="46"/>
  <c r="U49" i="46"/>
  <c r="E9" i="23"/>
  <c r="C10" i="23"/>
  <c r="G14" i="23"/>
  <c r="D15" i="23"/>
  <c r="C19" i="23"/>
  <c r="E24" i="23"/>
  <c r="H16" i="27"/>
  <c r="L51" i="46"/>
  <c r="M50" i="13" s="1"/>
  <c r="M53" i="13" s="1"/>
  <c r="L36" i="46"/>
  <c r="L38" i="46"/>
  <c r="W7" i="46"/>
  <c r="U14" i="46"/>
  <c r="N36" i="46"/>
  <c r="H38" i="46"/>
  <c r="P38" i="46"/>
  <c r="N51" i="46"/>
  <c r="M50" i="17" s="1"/>
  <c r="M53" i="17" s="1"/>
  <c r="H54" i="46"/>
  <c r="H36" i="46"/>
  <c r="P36" i="46"/>
  <c r="W59" i="46"/>
  <c r="H48" i="46"/>
  <c r="U17" i="46"/>
  <c r="U29" i="46"/>
  <c r="X272" i="3" l="1"/>
  <c r="Y272" i="3" s="1"/>
  <c r="U94" i="46"/>
  <c r="X116" i="3"/>
  <c r="Y116" i="3" s="1"/>
  <c r="B11" i="23"/>
  <c r="O52" i="23"/>
  <c r="O51" i="23"/>
  <c r="X125" i="3"/>
  <c r="Y125" i="3" s="1"/>
  <c r="C11" i="21"/>
  <c r="X134" i="3"/>
  <c r="Y134" i="3" s="1"/>
  <c r="H21" i="23"/>
  <c r="I11" i="27"/>
  <c r="H11" i="23"/>
  <c r="D16" i="23"/>
  <c r="W16" i="12"/>
  <c r="W12" i="28"/>
  <c r="X258" i="3"/>
  <c r="Y258" i="3" s="1"/>
  <c r="X305" i="3"/>
  <c r="Y305" i="3" s="1"/>
  <c r="C16" i="23"/>
  <c r="X120" i="3"/>
  <c r="Y120" i="3" s="1"/>
  <c r="X306" i="3"/>
  <c r="Y306" i="3" s="1"/>
  <c r="B73" i="46"/>
  <c r="W12" i="18"/>
  <c r="W12" i="14"/>
  <c r="W12" i="16"/>
  <c r="X387" i="3"/>
  <c r="Y387" i="3" s="1"/>
  <c r="B72" i="46"/>
  <c r="X260" i="3"/>
  <c r="Y260" i="3" s="1"/>
  <c r="X297" i="3"/>
  <c r="Y297" i="3" s="1"/>
  <c r="X351" i="3"/>
  <c r="Y351" i="3" s="1"/>
  <c r="I21" i="25"/>
  <c r="W12" i="8"/>
  <c r="B76" i="46"/>
  <c r="D76" i="46"/>
  <c r="F26" i="23"/>
  <c r="J84" i="46"/>
  <c r="N69" i="23"/>
  <c r="AH7" i="46"/>
  <c r="X144" i="3"/>
  <c r="Y144" i="3" s="1"/>
  <c r="X156" i="3"/>
  <c r="Y156" i="3" s="1"/>
  <c r="X248" i="3"/>
  <c r="Y248" i="3" s="1"/>
  <c r="X139" i="3"/>
  <c r="Y139" i="3" s="1"/>
  <c r="X215" i="3"/>
  <c r="Y215" i="3" s="1"/>
  <c r="X234" i="3"/>
  <c r="Y234" i="3" s="1"/>
  <c r="X264" i="3"/>
  <c r="Y264" i="3" s="1"/>
  <c r="F21" i="23"/>
  <c r="E16" i="23"/>
  <c r="X140" i="3"/>
  <c r="Y140" i="3" s="1"/>
  <c r="X274" i="3"/>
  <c r="Y274" i="3" s="1"/>
  <c r="X307" i="3"/>
  <c r="Y307" i="3" s="1"/>
  <c r="X347" i="3"/>
  <c r="Y347" i="3" s="1"/>
  <c r="X143" i="3"/>
  <c r="Y143" i="3" s="1"/>
  <c r="N438" i="3"/>
  <c r="O438" i="3" s="1"/>
  <c r="O50" i="5"/>
  <c r="O50" i="21"/>
  <c r="D21" i="23"/>
  <c r="G26" i="23"/>
  <c r="I5" i="23"/>
  <c r="C26" i="23"/>
  <c r="I6" i="27"/>
  <c r="X381" i="3"/>
  <c r="Y381" i="3" s="1"/>
  <c r="X108" i="3"/>
  <c r="Y108" i="3" s="1"/>
  <c r="X110" i="3"/>
  <c r="Y110" i="3" s="1"/>
  <c r="X136" i="3"/>
  <c r="Y136" i="3" s="1"/>
  <c r="X162" i="3"/>
  <c r="Y162" i="3" s="1"/>
  <c r="X192" i="3"/>
  <c r="Y192" i="3" s="1"/>
  <c r="X293" i="3"/>
  <c r="Y293" i="3" s="1"/>
  <c r="X212" i="3"/>
  <c r="Y212" i="3" s="1"/>
  <c r="X244" i="3"/>
  <c r="Y244" i="3" s="1"/>
  <c r="X250" i="3"/>
  <c r="Y250" i="3" s="1"/>
  <c r="X333" i="3"/>
  <c r="Y333" i="3" s="1"/>
  <c r="X112" i="3"/>
  <c r="Y112" i="3" s="1"/>
  <c r="X122" i="3"/>
  <c r="Y122" i="3" s="1"/>
  <c r="X160" i="3"/>
  <c r="Y160" i="3" s="1"/>
  <c r="X166" i="3"/>
  <c r="Y166" i="3" s="1"/>
  <c r="X176" i="3"/>
  <c r="Y176" i="3" s="1"/>
  <c r="N69" i="25"/>
  <c r="H45" i="27"/>
  <c r="N69" i="11"/>
  <c r="X324" i="3"/>
  <c r="Y324" i="3" s="1"/>
  <c r="X384" i="3"/>
  <c r="Y384" i="3" s="1"/>
  <c r="X398" i="3"/>
  <c r="Y398" i="3" s="1"/>
  <c r="X121" i="3"/>
  <c r="Y121" i="3" s="1"/>
  <c r="H16" i="21"/>
  <c r="H16" i="23"/>
  <c r="C16" i="4"/>
  <c r="X218" i="3"/>
  <c r="Y218" i="3" s="1"/>
  <c r="X235" i="3"/>
  <c r="Y235" i="3" s="1"/>
  <c r="X240" i="3"/>
  <c r="Y240" i="3" s="1"/>
  <c r="X262" i="3"/>
  <c r="Y262" i="3" s="1"/>
  <c r="X271" i="3"/>
  <c r="Y271" i="3" s="1"/>
  <c r="X311" i="3"/>
  <c r="Y311" i="3" s="1"/>
  <c r="X312" i="3"/>
  <c r="Y312" i="3" s="1"/>
  <c r="X313" i="3"/>
  <c r="Y313" i="3" s="1"/>
  <c r="X317" i="3"/>
  <c r="Y317" i="3" s="1"/>
  <c r="X268" i="3"/>
  <c r="Y268" i="3" s="1"/>
  <c r="X345" i="3"/>
  <c r="Y345" i="3" s="1"/>
  <c r="X346" i="3"/>
  <c r="Y346" i="3" s="1"/>
  <c r="X142" i="3"/>
  <c r="Y142" i="3" s="1"/>
  <c r="X172" i="3"/>
  <c r="Y172" i="3" s="1"/>
  <c r="X196" i="3"/>
  <c r="Y196" i="3" s="1"/>
  <c r="X207" i="3"/>
  <c r="Y207" i="3" s="1"/>
  <c r="X287" i="3"/>
  <c r="Y287" i="3" s="1"/>
  <c r="X211" i="3"/>
  <c r="Y211" i="3" s="1"/>
  <c r="X256" i="3"/>
  <c r="Y256" i="3" s="1"/>
  <c r="X355" i="3"/>
  <c r="Y355" i="3" s="1"/>
  <c r="X376" i="3"/>
  <c r="Y376" i="3" s="1"/>
  <c r="X377" i="3"/>
  <c r="Y377" i="3" s="1"/>
  <c r="X389" i="3"/>
  <c r="Y389" i="3" s="1"/>
  <c r="X129" i="3"/>
  <c r="Y129" i="3" s="1"/>
  <c r="C21" i="21"/>
  <c r="B11" i="21"/>
  <c r="I26" i="25"/>
  <c r="R25" i="27"/>
  <c r="I37" i="27" s="1"/>
  <c r="E21" i="23"/>
  <c r="I26" i="27"/>
  <c r="H74" i="46"/>
  <c r="H77" i="46" s="1"/>
  <c r="E11" i="23"/>
  <c r="C21" i="23"/>
  <c r="E26" i="23"/>
  <c r="I16" i="27"/>
  <c r="X386" i="3"/>
  <c r="Y386" i="3" s="1"/>
  <c r="X390" i="3"/>
  <c r="Y390" i="3" s="1"/>
  <c r="N434" i="3"/>
  <c r="X301" i="3"/>
  <c r="Y301" i="3" s="1"/>
  <c r="X320" i="3"/>
  <c r="Y320" i="3" s="1"/>
  <c r="X327" i="3"/>
  <c r="Y327" i="3" s="1"/>
  <c r="X365" i="3"/>
  <c r="Y365" i="3" s="1"/>
  <c r="X391" i="3"/>
  <c r="Y391" i="3" s="1"/>
  <c r="M30" i="5"/>
  <c r="X334" i="3"/>
  <c r="Y334" i="3" s="1"/>
  <c r="X338" i="3"/>
  <c r="Y338" i="3" s="1"/>
  <c r="M30" i="13"/>
  <c r="D16" i="21"/>
  <c r="X133" i="3"/>
  <c r="Y133" i="3" s="1"/>
  <c r="X137" i="3"/>
  <c r="Y137" i="3" s="1"/>
  <c r="X141" i="3"/>
  <c r="Y141" i="3" s="1"/>
  <c r="X153" i="3"/>
  <c r="Y153" i="3" s="1"/>
  <c r="X157" i="3"/>
  <c r="Y157" i="3" s="1"/>
  <c r="X165" i="3"/>
  <c r="Y165" i="3" s="1"/>
  <c r="X169" i="3"/>
  <c r="Y169" i="3" s="1"/>
  <c r="X173" i="3"/>
  <c r="Y173" i="3" s="1"/>
  <c r="X185" i="3"/>
  <c r="Y185" i="3" s="1"/>
  <c r="X189" i="3"/>
  <c r="Y189" i="3" s="1"/>
  <c r="X193" i="3"/>
  <c r="Y193" i="3" s="1"/>
  <c r="X197" i="3"/>
  <c r="Y197" i="3" s="1"/>
  <c r="X201" i="3"/>
  <c r="Y201" i="3" s="1"/>
  <c r="X225" i="3"/>
  <c r="Y225" i="3" s="1"/>
  <c r="X229" i="3"/>
  <c r="Y229" i="3" s="1"/>
  <c r="X233" i="3"/>
  <c r="Y233" i="3" s="1"/>
  <c r="X237" i="3"/>
  <c r="Y237" i="3" s="1"/>
  <c r="X253" i="3"/>
  <c r="Y253" i="3" s="1"/>
  <c r="X261" i="3"/>
  <c r="Y261" i="3" s="1"/>
  <c r="X265" i="3"/>
  <c r="Y265" i="3" s="1"/>
  <c r="X281" i="3"/>
  <c r="Y281" i="3" s="1"/>
  <c r="X285" i="3"/>
  <c r="Y285" i="3" s="1"/>
  <c r="X289" i="3"/>
  <c r="Y289" i="3" s="1"/>
  <c r="X330" i="3"/>
  <c r="Y330" i="3" s="1"/>
  <c r="X362" i="3"/>
  <c r="Y362" i="3" s="1"/>
  <c r="E6" i="21"/>
  <c r="D26" i="21"/>
  <c r="D6" i="21"/>
  <c r="B16" i="21"/>
  <c r="F6" i="23"/>
  <c r="F11" i="23"/>
  <c r="G11" i="23"/>
  <c r="P206" i="4"/>
  <c r="T206" i="4"/>
  <c r="S206" i="4"/>
  <c r="U221" i="4"/>
  <c r="T221" i="4"/>
  <c r="P221" i="4"/>
  <c r="S221" i="4"/>
  <c r="T204" i="4"/>
  <c r="P204" i="4"/>
  <c r="P214" i="4"/>
  <c r="S214" i="4"/>
  <c r="T214" i="4"/>
  <c r="S147" i="4"/>
  <c r="P147" i="4"/>
  <c r="T147" i="4"/>
  <c r="U147" i="4"/>
  <c r="P190" i="4"/>
  <c r="T190" i="4"/>
  <c r="S190" i="4"/>
  <c r="W12" i="22"/>
  <c r="W16" i="22"/>
  <c r="W12" i="20"/>
  <c r="W16" i="20"/>
  <c r="W12" i="24"/>
  <c r="W16" i="24"/>
  <c r="W12" i="6"/>
  <c r="W16" i="6"/>
  <c r="S178" i="4"/>
  <c r="T178" i="4"/>
  <c r="U178" i="4"/>
  <c r="P178" i="4"/>
  <c r="P182" i="4"/>
  <c r="S182" i="4"/>
  <c r="T182" i="4"/>
  <c r="U134" i="4"/>
  <c r="P134" i="4"/>
  <c r="T134" i="4"/>
  <c r="U141" i="4"/>
  <c r="T141" i="4"/>
  <c r="P141" i="4"/>
  <c r="S141" i="4"/>
  <c r="S139" i="4"/>
  <c r="P139" i="4"/>
  <c r="T139" i="4"/>
  <c r="U139" i="4"/>
  <c r="U150" i="4"/>
  <c r="S150" i="4"/>
  <c r="P150" i="4"/>
  <c r="T150" i="4"/>
  <c r="T225" i="4"/>
  <c r="P225" i="4"/>
  <c r="W12" i="26"/>
  <c r="W16" i="26"/>
  <c r="T110" i="4"/>
  <c r="S110" i="4"/>
  <c r="P110" i="4"/>
  <c r="U70" i="4"/>
  <c r="P70" i="4"/>
  <c r="S70" i="4"/>
  <c r="U94" i="4"/>
  <c r="S94" i="4"/>
  <c r="T94" i="4"/>
  <c r="P94" i="4"/>
  <c r="S131" i="4"/>
  <c r="T131" i="4"/>
  <c r="P131" i="4"/>
  <c r="U131" i="4"/>
  <c r="T165" i="4"/>
  <c r="U165" i="4"/>
  <c r="S165" i="4"/>
  <c r="P165" i="4"/>
  <c r="T226" i="4"/>
  <c r="U226" i="4"/>
  <c r="P226" i="4"/>
  <c r="S226" i="4"/>
  <c r="P133" i="4"/>
  <c r="S133" i="4"/>
  <c r="U133" i="4"/>
  <c r="T133" i="4"/>
  <c r="S162" i="4"/>
  <c r="T162" i="4"/>
  <c r="P162" i="4"/>
  <c r="U162" i="4"/>
  <c r="P198" i="4"/>
  <c r="T198" i="4"/>
  <c r="S198" i="4"/>
  <c r="S156" i="4"/>
  <c r="P156" i="4"/>
  <c r="T156" i="4"/>
  <c r="U156" i="4"/>
  <c r="U170" i="4"/>
  <c r="T170" i="4"/>
  <c r="S170" i="4"/>
  <c r="P170" i="4"/>
  <c r="P174" i="4"/>
  <c r="T174" i="4"/>
  <c r="S174" i="4"/>
  <c r="S130" i="4"/>
  <c r="U130" i="4"/>
  <c r="T130" i="4"/>
  <c r="U148" i="4"/>
  <c r="P148" i="4"/>
  <c r="T148" i="4"/>
  <c r="U158" i="4"/>
  <c r="P158" i="4"/>
  <c r="T158" i="4"/>
  <c r="S158" i="4"/>
  <c r="P126" i="4"/>
  <c r="T126" i="4"/>
  <c r="S126" i="4"/>
  <c r="U126" i="4"/>
  <c r="U132" i="4"/>
  <c r="T132" i="4"/>
  <c r="P132" i="4"/>
  <c r="U142" i="4"/>
  <c r="P142" i="4"/>
  <c r="T142" i="4"/>
  <c r="S155" i="4"/>
  <c r="T155" i="4"/>
  <c r="P155" i="4"/>
  <c r="P231" i="4"/>
  <c r="T231" i="4"/>
  <c r="S231" i="4"/>
  <c r="U231" i="4"/>
  <c r="I39" i="11"/>
  <c r="I62" i="11"/>
  <c r="H39" i="11" s="1"/>
  <c r="O106" i="3"/>
  <c r="AD10" i="46"/>
  <c r="N66" i="21" s="1"/>
  <c r="V106" i="3"/>
  <c r="W106" i="3" s="1"/>
  <c r="AH10" i="46" s="1"/>
  <c r="W14" i="22" s="1"/>
  <c r="W13" i="22" s="1"/>
  <c r="Z106" i="3"/>
  <c r="BK106" i="46"/>
  <c r="BL106" i="46"/>
  <c r="BN106" i="46"/>
  <c r="BP106" i="46"/>
  <c r="BQ106" i="46"/>
  <c r="BI106" i="46"/>
  <c r="BJ106" i="46"/>
  <c r="BM106" i="46"/>
  <c r="X205" i="3"/>
  <c r="Y205" i="3" s="1"/>
  <c r="X147" i="3"/>
  <c r="Y147" i="3" s="1"/>
  <c r="X303" i="3"/>
  <c r="Y303" i="3" s="1"/>
  <c r="X186" i="3"/>
  <c r="Y186" i="3" s="1"/>
  <c r="T194" i="4"/>
  <c r="T70" i="4"/>
  <c r="X395" i="3"/>
  <c r="Y395" i="3" s="1"/>
  <c r="X299" i="3"/>
  <c r="Y299" i="3" s="1"/>
  <c r="X241" i="3"/>
  <c r="Y241" i="3" s="1"/>
  <c r="X161" i="3"/>
  <c r="Y161" i="3" s="1"/>
  <c r="X113" i="3"/>
  <c r="Y113" i="3" s="1"/>
  <c r="BO106" i="46"/>
  <c r="X385" i="3"/>
  <c r="Y385" i="3" s="1"/>
  <c r="X187" i="3"/>
  <c r="Y187" i="3" s="1"/>
  <c r="X119" i="3"/>
  <c r="Y119" i="3" s="1"/>
  <c r="N436" i="3"/>
  <c r="X339" i="3"/>
  <c r="Y339" i="3" s="1"/>
  <c r="X148" i="3"/>
  <c r="Y148" i="3" s="1"/>
  <c r="I9" i="23"/>
  <c r="X249" i="3"/>
  <c r="Y249" i="3" s="1"/>
  <c r="X375" i="3"/>
  <c r="Y375" i="3" s="1"/>
  <c r="X175" i="3"/>
  <c r="Y175" i="3" s="1"/>
  <c r="U174" i="4"/>
  <c r="U155" i="4"/>
  <c r="P130" i="4"/>
  <c r="F15" i="4"/>
  <c r="F6" i="21"/>
  <c r="H21" i="21"/>
  <c r="X383" i="3"/>
  <c r="Y383" i="3" s="1"/>
  <c r="X352" i="3"/>
  <c r="Y352" i="3" s="1"/>
  <c r="X304" i="3"/>
  <c r="Y304" i="3" s="1"/>
  <c r="X198" i="3"/>
  <c r="Y198" i="3" s="1"/>
  <c r="X367" i="3"/>
  <c r="Y367" i="3" s="1"/>
  <c r="X310" i="3"/>
  <c r="Y310" i="3" s="1"/>
  <c r="N433" i="3"/>
  <c r="X216" i="3"/>
  <c r="Y216" i="3" s="1"/>
  <c r="X358" i="3"/>
  <c r="Y358" i="3" s="1"/>
  <c r="F7" i="4"/>
  <c r="X219" i="3"/>
  <c r="Y219" i="3" s="1"/>
  <c r="X309" i="3"/>
  <c r="Y309" i="3" s="1"/>
  <c r="L86" i="46"/>
  <c r="F16" i="23"/>
  <c r="X217" i="3"/>
  <c r="Y217" i="3" s="1"/>
  <c r="X167" i="3"/>
  <c r="Y167" i="3" s="1"/>
  <c r="N437" i="3"/>
  <c r="O437" i="3" s="1"/>
  <c r="X270" i="3"/>
  <c r="Y270" i="3" s="1"/>
  <c r="N69" i="9"/>
  <c r="T163" i="4"/>
  <c r="S218" i="4"/>
  <c r="I62" i="19"/>
  <c r="H39" i="19" s="1"/>
  <c r="I39" i="19"/>
  <c r="X263" i="3"/>
  <c r="Y263" i="3" s="1"/>
  <c r="J75" i="46"/>
  <c r="R25" i="23"/>
  <c r="X296" i="3"/>
  <c r="Y296" i="3" s="1"/>
  <c r="N53" i="5"/>
  <c r="H41" i="5" s="1"/>
  <c r="X331" i="3"/>
  <c r="Y331" i="3" s="1"/>
  <c r="X286" i="3"/>
  <c r="Y286" i="3" s="1"/>
  <c r="X158" i="3"/>
  <c r="Y158" i="3" s="1"/>
  <c r="N86" i="46"/>
  <c r="X269" i="3"/>
  <c r="Y269" i="3" s="1"/>
  <c r="X221" i="3"/>
  <c r="Y221" i="3" s="1"/>
  <c r="X371" i="3"/>
  <c r="Y371" i="3" s="1"/>
  <c r="X214" i="3"/>
  <c r="Y214" i="3" s="1"/>
  <c r="X353" i="3"/>
  <c r="Y353" i="3" s="1"/>
  <c r="X294" i="3"/>
  <c r="Y294" i="3" s="1"/>
  <c r="X208" i="3"/>
  <c r="Y208" i="3" s="1"/>
  <c r="X163" i="3"/>
  <c r="Y163" i="3" s="1"/>
  <c r="X127" i="3"/>
  <c r="Y127" i="3" s="1"/>
  <c r="X126" i="3"/>
  <c r="Y126" i="3" s="1"/>
  <c r="N432" i="3"/>
  <c r="O432" i="3" s="1"/>
  <c r="O86" i="46"/>
  <c r="I16" i="25"/>
  <c r="U36" i="46"/>
  <c r="G16" i="23"/>
  <c r="X368" i="3"/>
  <c r="Y368" i="3" s="1"/>
  <c r="X182" i="3"/>
  <c r="Y182" i="3" s="1"/>
  <c r="X251" i="3"/>
  <c r="Y251" i="3" s="1"/>
  <c r="X373" i="3"/>
  <c r="Y373" i="3" s="1"/>
  <c r="P86" i="46"/>
  <c r="X273" i="3"/>
  <c r="Y273" i="3" s="1"/>
  <c r="X177" i="3"/>
  <c r="Y177" i="3" s="1"/>
  <c r="X145" i="3"/>
  <c r="Y145" i="3" s="1"/>
  <c r="X396" i="3"/>
  <c r="Y396" i="3" s="1"/>
  <c r="X288" i="3"/>
  <c r="Y288" i="3" s="1"/>
  <c r="X349" i="3"/>
  <c r="Y349" i="3" s="1"/>
  <c r="X159" i="3"/>
  <c r="Y159" i="3" s="1"/>
  <c r="X325" i="3"/>
  <c r="Y325" i="3" s="1"/>
  <c r="X190" i="3"/>
  <c r="Y190" i="3" s="1"/>
  <c r="X284" i="3"/>
  <c r="Y284" i="3" s="1"/>
  <c r="Q86" i="46"/>
  <c r="I21" i="27"/>
  <c r="X326" i="3"/>
  <c r="Y326" i="3" s="1"/>
  <c r="X236" i="3"/>
  <c r="Y236" i="3" s="1"/>
  <c r="X180" i="3"/>
  <c r="Y180" i="3" s="1"/>
  <c r="X374" i="3"/>
  <c r="Y374" i="3" s="1"/>
  <c r="X154" i="3"/>
  <c r="Y154" i="3" s="1"/>
  <c r="J86" i="46"/>
  <c r="H45" i="25"/>
  <c r="I62" i="17"/>
  <c r="H39" i="17" s="1"/>
  <c r="I33" i="25"/>
  <c r="X245" i="3"/>
  <c r="Y245" i="3" s="1"/>
  <c r="X213" i="3"/>
  <c r="Y213" i="3" s="1"/>
  <c r="X117" i="3"/>
  <c r="Y117" i="3" s="1"/>
  <c r="X342" i="3"/>
  <c r="Y342" i="3" s="1"/>
  <c r="X318" i="3"/>
  <c r="Y318" i="3" s="1"/>
  <c r="X300" i="3"/>
  <c r="Y300" i="3" s="1"/>
  <c r="X243" i="3"/>
  <c r="Y243" i="3" s="1"/>
  <c r="X354" i="3"/>
  <c r="Y354" i="3" s="1"/>
  <c r="X341" i="3"/>
  <c r="Y341" i="3" s="1"/>
  <c r="X335" i="3"/>
  <c r="Y335" i="3" s="1"/>
  <c r="X194" i="3"/>
  <c r="Y194" i="3" s="1"/>
  <c r="W19" i="46"/>
  <c r="W40" i="46"/>
  <c r="I10" i="23"/>
  <c r="I39" i="9"/>
  <c r="X151" i="3"/>
  <c r="Y151" i="3" s="1"/>
  <c r="X308" i="3"/>
  <c r="Y308" i="3" s="1"/>
  <c r="X267" i="3"/>
  <c r="Y267" i="3" s="1"/>
  <c r="X124" i="3"/>
  <c r="Y124" i="3" s="1"/>
  <c r="X118" i="3"/>
  <c r="Y118" i="3" s="1"/>
  <c r="X364" i="3"/>
  <c r="Y364" i="3" s="1"/>
  <c r="X363" i="3"/>
  <c r="Y363" i="3" s="1"/>
  <c r="X348" i="3"/>
  <c r="Y348" i="3" s="1"/>
  <c r="X135" i="3"/>
  <c r="Y135" i="3" s="1"/>
  <c r="M431" i="3"/>
  <c r="N431" i="3" s="1"/>
  <c r="O431" i="3" s="1"/>
  <c r="B75" i="46"/>
  <c r="I39" i="17"/>
  <c r="X290" i="3"/>
  <c r="Y290" i="3" s="1"/>
  <c r="X282" i="3"/>
  <c r="Y282" i="3" s="1"/>
  <c r="X220" i="3"/>
  <c r="Y220" i="3" s="1"/>
  <c r="W12" i="12"/>
  <c r="W16" i="18"/>
  <c r="E77" i="25"/>
  <c r="I15" i="23"/>
  <c r="X109" i="3"/>
  <c r="Y109" i="3" s="1"/>
  <c r="M30" i="9"/>
  <c r="X350" i="3"/>
  <c r="Y350" i="3" s="1"/>
  <c r="X344" i="3"/>
  <c r="Y344" i="3" s="1"/>
  <c r="X378" i="3"/>
  <c r="Y378" i="3" s="1"/>
  <c r="X295" i="3"/>
  <c r="Y295" i="3" s="1"/>
  <c r="X174" i="3"/>
  <c r="Y174" i="3" s="1"/>
  <c r="X343" i="3"/>
  <c r="Y343" i="3" s="1"/>
  <c r="X280" i="3"/>
  <c r="Y280" i="3" s="1"/>
  <c r="X259" i="3"/>
  <c r="Y259" i="3" s="1"/>
  <c r="X204" i="3"/>
  <c r="Y204" i="3" s="1"/>
  <c r="X247" i="3"/>
  <c r="Y247" i="3" s="1"/>
  <c r="X203" i="3"/>
  <c r="Y203" i="3" s="1"/>
  <c r="J29" i="4"/>
  <c r="W16" i="14"/>
  <c r="W16" i="8"/>
  <c r="AB53" i="21"/>
  <c r="C4" i="21" s="1"/>
  <c r="I4" i="21" s="1"/>
  <c r="I24" i="23"/>
  <c r="M30" i="19"/>
  <c r="M30" i="17"/>
  <c r="X328" i="3"/>
  <c r="Y328" i="3" s="1"/>
  <c r="X254" i="3"/>
  <c r="Y254" i="3" s="1"/>
  <c r="X188" i="3"/>
  <c r="Y188" i="3" s="1"/>
  <c r="X340" i="3"/>
  <c r="Y340" i="3" s="1"/>
  <c r="W16" i="16"/>
  <c r="M30" i="7"/>
  <c r="X336" i="3"/>
  <c r="Y336" i="3" s="1"/>
  <c r="F16" i="21"/>
  <c r="X399" i="3"/>
  <c r="Y399" i="3" s="1"/>
  <c r="X379" i="3"/>
  <c r="Y379" i="3" s="1"/>
  <c r="X321" i="3"/>
  <c r="Y321" i="3" s="1"/>
  <c r="X255" i="3"/>
  <c r="Y255" i="3" s="1"/>
  <c r="X210" i="3"/>
  <c r="Y210" i="3" s="1"/>
  <c r="X200" i="3"/>
  <c r="Y200" i="3" s="1"/>
  <c r="X223" i="3"/>
  <c r="Y223" i="3" s="1"/>
  <c r="AH8" i="46"/>
  <c r="W14" i="18" s="1"/>
  <c r="W13" i="18" s="1"/>
  <c r="O50" i="15"/>
  <c r="X114" i="3"/>
  <c r="Y114" i="3" s="1"/>
  <c r="X372" i="3"/>
  <c r="Y372" i="3" s="1"/>
  <c r="X168" i="3"/>
  <c r="Y168" i="3" s="1"/>
  <c r="X150" i="3"/>
  <c r="Y150" i="3" s="1"/>
  <c r="X266" i="3"/>
  <c r="Y266" i="3" s="1"/>
  <c r="D26" i="23"/>
  <c r="W16" i="28"/>
  <c r="I20" i="23"/>
  <c r="X277" i="3"/>
  <c r="Y277" i="3" s="1"/>
  <c r="X181" i="3"/>
  <c r="Y181" i="3" s="1"/>
  <c r="M30" i="11"/>
  <c r="X152" i="3"/>
  <c r="Y152" i="3" s="1"/>
  <c r="X252" i="3"/>
  <c r="Y252" i="3" s="1"/>
  <c r="X199" i="3"/>
  <c r="Y199" i="3" s="1"/>
  <c r="X314" i="3"/>
  <c r="Y314" i="3" s="1"/>
  <c r="X184" i="3"/>
  <c r="Y184" i="3" s="1"/>
  <c r="I29" i="4"/>
  <c r="I11" i="25"/>
  <c r="U249" i="4"/>
  <c r="T249" i="4"/>
  <c r="S249" i="4"/>
  <c r="P249" i="4"/>
  <c r="T164" i="4"/>
  <c r="U164" i="4"/>
  <c r="S164" i="4"/>
  <c r="U241" i="4"/>
  <c r="S241" i="4"/>
  <c r="W16" i="10"/>
  <c r="W12" i="10"/>
  <c r="D16" i="4"/>
  <c r="E7" i="4"/>
  <c r="W14" i="16"/>
  <c r="I38" i="15"/>
  <c r="I25" i="23"/>
  <c r="B26" i="23"/>
  <c r="E16" i="21"/>
  <c r="I149" i="8"/>
  <c r="Q28" i="7"/>
  <c r="AA1" i="7"/>
  <c r="R66" i="19"/>
  <c r="O66" i="19"/>
  <c r="X315" i="3"/>
  <c r="Y315" i="3" s="1"/>
  <c r="X298" i="3"/>
  <c r="Y298" i="3" s="1"/>
  <c r="I41" i="15"/>
  <c r="N53" i="15"/>
  <c r="H41" i="15" s="1"/>
  <c r="O48" i="15"/>
  <c r="P215" i="4"/>
  <c r="T215" i="4"/>
  <c r="U215" i="4"/>
  <c r="S215" i="4"/>
  <c r="P191" i="4"/>
  <c r="T191" i="4"/>
  <c r="U191" i="4"/>
  <c r="S191" i="4"/>
  <c r="P159" i="4"/>
  <c r="T159" i="4"/>
  <c r="U159" i="4"/>
  <c r="S159" i="4"/>
  <c r="R68" i="19"/>
  <c r="O68" i="19"/>
  <c r="AG8" i="46"/>
  <c r="T224" i="4"/>
  <c r="U224" i="4"/>
  <c r="S224" i="4"/>
  <c r="P224" i="4"/>
  <c r="R224" i="4" s="1"/>
  <c r="T104" i="4"/>
  <c r="U104" i="4"/>
  <c r="S104" i="4"/>
  <c r="P104" i="4"/>
  <c r="J30" i="4"/>
  <c r="H30" i="4"/>
  <c r="C30" i="4"/>
  <c r="I30" i="4"/>
  <c r="G30" i="4"/>
  <c r="E30" i="4"/>
  <c r="D30" i="4"/>
  <c r="B15" i="4"/>
  <c r="F30" i="4"/>
  <c r="O84" i="46"/>
  <c r="P146" i="4"/>
  <c r="U146" i="4"/>
  <c r="T146" i="4"/>
  <c r="S146" i="4"/>
  <c r="T140" i="4"/>
  <c r="P140" i="4"/>
  <c r="U140" i="4"/>
  <c r="S140" i="4"/>
  <c r="P111" i="4"/>
  <c r="S111" i="4"/>
  <c r="U111" i="4"/>
  <c r="T111" i="4"/>
  <c r="P79" i="4"/>
  <c r="R79" i="4" s="1"/>
  <c r="S79" i="4"/>
  <c r="U79" i="4"/>
  <c r="T79" i="4"/>
  <c r="O83" i="46"/>
  <c r="J72" i="46"/>
  <c r="N83" i="46"/>
  <c r="M83" i="46"/>
  <c r="F72" i="46"/>
  <c r="L83" i="46"/>
  <c r="D72" i="46"/>
  <c r="K83" i="46"/>
  <c r="J83" i="46"/>
  <c r="Q83" i="46"/>
  <c r="P83" i="46"/>
  <c r="Q30" i="17"/>
  <c r="H38" i="17"/>
  <c r="I62" i="21"/>
  <c r="H39" i="21" s="1"/>
  <c r="I39" i="21"/>
  <c r="I19" i="23"/>
  <c r="B16" i="23"/>
  <c r="I16" i="23" s="1"/>
  <c r="I14" i="23"/>
  <c r="M30" i="25"/>
  <c r="I5" i="21"/>
  <c r="I149" i="28"/>
  <c r="Q28" i="27"/>
  <c r="AA1" i="27"/>
  <c r="U51" i="46"/>
  <c r="G6" i="23"/>
  <c r="Q30" i="19"/>
  <c r="R25" i="21"/>
  <c r="I37" i="21" s="1"/>
  <c r="I15" i="21"/>
  <c r="G21" i="21"/>
  <c r="I25" i="21"/>
  <c r="X257" i="3"/>
  <c r="Y257" i="3" s="1"/>
  <c r="X209" i="3"/>
  <c r="Y209" i="3" s="1"/>
  <c r="BK100" i="46"/>
  <c r="BJ100" i="46"/>
  <c r="BI100" i="46"/>
  <c r="AD2" i="46"/>
  <c r="N66" i="5" s="1"/>
  <c r="Z100" i="3"/>
  <c r="V100" i="3"/>
  <c r="O100" i="3"/>
  <c r="R66" i="25"/>
  <c r="O66" i="25"/>
  <c r="BJ105" i="46"/>
  <c r="BJ82" i="46" s="1"/>
  <c r="BN105" i="46"/>
  <c r="BN82" i="46" s="1"/>
  <c r="E24" i="4" s="1"/>
  <c r="BM105" i="46"/>
  <c r="BM82" i="46" s="1"/>
  <c r="D24" i="4" s="1"/>
  <c r="BL105" i="46"/>
  <c r="BL82" i="46" s="1"/>
  <c r="C24" i="4" s="1"/>
  <c r="BK105" i="46"/>
  <c r="BK82" i="46" s="1"/>
  <c r="BI105" i="46"/>
  <c r="BI82" i="46" s="1"/>
  <c r="BP105" i="46"/>
  <c r="BP82" i="46" s="1"/>
  <c r="G24" i="4" s="1"/>
  <c r="BO105" i="46"/>
  <c r="BO82" i="46" s="1"/>
  <c r="F24" i="4" s="1"/>
  <c r="AC9" i="46"/>
  <c r="N65" i="19" s="1"/>
  <c r="Z105" i="3"/>
  <c r="O105" i="3"/>
  <c r="V105" i="3"/>
  <c r="BP115" i="46"/>
  <c r="BU115" i="46"/>
  <c r="BL115" i="46"/>
  <c r="BT115" i="46"/>
  <c r="BK115" i="46"/>
  <c r="BS115" i="46"/>
  <c r="BJ115" i="46"/>
  <c r="BR115" i="46"/>
  <c r="BI115" i="46"/>
  <c r="BQ115" i="46"/>
  <c r="BO115" i="46"/>
  <c r="BN115" i="46"/>
  <c r="BM115" i="46"/>
  <c r="V115" i="3"/>
  <c r="O115" i="3"/>
  <c r="Z115" i="3"/>
  <c r="U115" i="3"/>
  <c r="T115" i="3"/>
  <c r="N53" i="19"/>
  <c r="H41" i="19" s="1"/>
  <c r="O48" i="19"/>
  <c r="I41" i="19"/>
  <c r="S235" i="4"/>
  <c r="P235" i="4"/>
  <c r="T235" i="4"/>
  <c r="U235" i="4"/>
  <c r="T244" i="4"/>
  <c r="S244" i="4"/>
  <c r="P244" i="4"/>
  <c r="U244" i="4"/>
  <c r="T184" i="4"/>
  <c r="U184" i="4"/>
  <c r="S184" i="4"/>
  <c r="P184" i="4"/>
  <c r="R184" i="4" s="1"/>
  <c r="P151" i="4"/>
  <c r="T151" i="4"/>
  <c r="U151" i="4"/>
  <c r="S151" i="4"/>
  <c r="T236" i="4"/>
  <c r="U236" i="4"/>
  <c r="S236" i="4"/>
  <c r="P236" i="4"/>
  <c r="BQ102" i="46"/>
  <c r="BQ85" i="46" s="1"/>
  <c r="H27" i="4" s="1"/>
  <c r="BI102" i="46"/>
  <c r="BI85" i="46" s="1"/>
  <c r="BP102" i="46"/>
  <c r="BP85" i="46" s="1"/>
  <c r="G27" i="4" s="1"/>
  <c r="BO102" i="46"/>
  <c r="BO85" i="46" s="1"/>
  <c r="F27" i="4" s="1"/>
  <c r="BN102" i="46"/>
  <c r="BN85" i="46" s="1"/>
  <c r="E27" i="4" s="1"/>
  <c r="BM102" i="46"/>
  <c r="BM85" i="46" s="1"/>
  <c r="D27" i="4" s="1"/>
  <c r="BU102" i="46"/>
  <c r="BU85" i="46" s="1"/>
  <c r="BL102" i="46"/>
  <c r="BL85" i="46" s="1"/>
  <c r="C27" i="4" s="1"/>
  <c r="BT102" i="46"/>
  <c r="BT85" i="46" s="1"/>
  <c r="BK102" i="46"/>
  <c r="BK85" i="46" s="1"/>
  <c r="BS102" i="46"/>
  <c r="BS85" i="46" s="1"/>
  <c r="BJ102" i="46"/>
  <c r="BJ85" i="46" s="1"/>
  <c r="BR102" i="46"/>
  <c r="BR85" i="46" s="1"/>
  <c r="V102" i="3"/>
  <c r="W102" i="3" s="1"/>
  <c r="Z102" i="3"/>
  <c r="O102" i="3"/>
  <c r="T102" i="3"/>
  <c r="U102" i="3" s="1"/>
  <c r="AG10" i="46"/>
  <c r="T228" i="4"/>
  <c r="U228" i="4"/>
  <c r="S228" i="4"/>
  <c r="P228" i="4"/>
  <c r="T220" i="4"/>
  <c r="P220" i="4"/>
  <c r="U220" i="4"/>
  <c r="S220" i="4"/>
  <c r="T180" i="4"/>
  <c r="P180" i="4"/>
  <c r="U180" i="4"/>
  <c r="S180" i="4"/>
  <c r="P154" i="4"/>
  <c r="U154" i="4"/>
  <c r="T154" i="4"/>
  <c r="S154" i="4"/>
  <c r="T124" i="4"/>
  <c r="U124" i="4"/>
  <c r="S124" i="4"/>
  <c r="P124" i="4"/>
  <c r="T80" i="4"/>
  <c r="U80" i="4"/>
  <c r="S80" i="4"/>
  <c r="P80" i="4"/>
  <c r="R80" i="4" s="1"/>
  <c r="P84" i="46"/>
  <c r="T137" i="4"/>
  <c r="P137" i="4"/>
  <c r="U137" i="4"/>
  <c r="S137" i="4"/>
  <c r="P107" i="4"/>
  <c r="S107" i="4"/>
  <c r="U107" i="4"/>
  <c r="T107" i="4"/>
  <c r="P75" i="4"/>
  <c r="S75" i="4"/>
  <c r="U75" i="4"/>
  <c r="T75" i="4"/>
  <c r="D75" i="46"/>
  <c r="T144" i="4"/>
  <c r="P144" i="4"/>
  <c r="U144" i="4"/>
  <c r="S144" i="4"/>
  <c r="T92" i="4"/>
  <c r="U92" i="4"/>
  <c r="S92" i="4"/>
  <c r="P92" i="4"/>
  <c r="I24" i="21"/>
  <c r="B26" i="21"/>
  <c r="M50" i="23"/>
  <c r="M53" i="23" s="1"/>
  <c r="H10" i="4"/>
  <c r="U38" i="46"/>
  <c r="B74" i="46"/>
  <c r="G21" i="23"/>
  <c r="G16" i="21"/>
  <c r="M28" i="25"/>
  <c r="M28" i="27"/>
  <c r="E77" i="27"/>
  <c r="D21" i="21"/>
  <c r="H6" i="21"/>
  <c r="J75" i="21"/>
  <c r="O66" i="17"/>
  <c r="R66" i="17"/>
  <c r="O66" i="9"/>
  <c r="R66" i="9"/>
  <c r="BL103" i="46"/>
  <c r="BM103" i="46"/>
  <c r="BK103" i="46"/>
  <c r="BJ103" i="46"/>
  <c r="BI103" i="46"/>
  <c r="AB6" i="46"/>
  <c r="N64" i="13" s="1"/>
  <c r="O103" i="3"/>
  <c r="V103" i="3"/>
  <c r="Z103" i="3"/>
  <c r="X302" i="3"/>
  <c r="Y302" i="3" s="1"/>
  <c r="O50" i="13"/>
  <c r="O50" i="11"/>
  <c r="O48" i="13"/>
  <c r="N53" i="13"/>
  <c r="H41" i="13" s="1"/>
  <c r="I41" i="13"/>
  <c r="O50" i="27"/>
  <c r="T208" i="4"/>
  <c r="U208" i="4"/>
  <c r="S208" i="4"/>
  <c r="P208" i="4"/>
  <c r="P183" i="4"/>
  <c r="T183" i="4"/>
  <c r="U183" i="4"/>
  <c r="S183" i="4"/>
  <c r="P143" i="4"/>
  <c r="R143" i="4" s="1"/>
  <c r="T143" i="4"/>
  <c r="U143" i="4"/>
  <c r="S143" i="4"/>
  <c r="I38" i="27"/>
  <c r="W14" i="28"/>
  <c r="W13" i="28" s="1"/>
  <c r="R68" i="13"/>
  <c r="O68" i="13"/>
  <c r="O68" i="21"/>
  <c r="R68" i="21"/>
  <c r="P219" i="4"/>
  <c r="R219" i="4" s="1"/>
  <c r="T219" i="4"/>
  <c r="U219" i="4"/>
  <c r="S219" i="4"/>
  <c r="T196" i="4"/>
  <c r="P196" i="4"/>
  <c r="U196" i="4"/>
  <c r="S196" i="4"/>
  <c r="T112" i="4"/>
  <c r="U112" i="4"/>
  <c r="S112" i="4"/>
  <c r="P112" i="4"/>
  <c r="T64" i="4"/>
  <c r="U64" i="4"/>
  <c r="S64" i="4"/>
  <c r="P64" i="4"/>
  <c r="J73" i="46"/>
  <c r="P106" i="4"/>
  <c r="T106" i="4"/>
  <c r="S106" i="4"/>
  <c r="U106" i="4"/>
  <c r="E29" i="4"/>
  <c r="P103" i="4"/>
  <c r="S103" i="4"/>
  <c r="U103" i="4"/>
  <c r="T103" i="4"/>
  <c r="P71" i="4"/>
  <c r="S71" i="4"/>
  <c r="U71" i="4"/>
  <c r="T71" i="4"/>
  <c r="X149" i="3"/>
  <c r="Y149" i="3" s="1"/>
  <c r="I149" i="6"/>
  <c r="Q28" i="5"/>
  <c r="AA1" i="5"/>
  <c r="O66" i="7"/>
  <c r="R66" i="7"/>
  <c r="O48" i="7"/>
  <c r="N53" i="7"/>
  <c r="H41" i="7" s="1"/>
  <c r="I41" i="7"/>
  <c r="O50" i="17"/>
  <c r="O50" i="7"/>
  <c r="N53" i="23"/>
  <c r="H41" i="23" s="1"/>
  <c r="I41" i="23"/>
  <c r="O48" i="23"/>
  <c r="BP107" i="46"/>
  <c r="BO107" i="46"/>
  <c r="BN107" i="46"/>
  <c r="BM107" i="46"/>
  <c r="BL107" i="46"/>
  <c r="BK107" i="46"/>
  <c r="BS107" i="46"/>
  <c r="BJ107" i="46"/>
  <c r="BR107" i="46"/>
  <c r="BI107" i="46"/>
  <c r="BQ107" i="46"/>
  <c r="V107" i="3"/>
  <c r="O107" i="3"/>
  <c r="Z107" i="3"/>
  <c r="F10" i="3"/>
  <c r="F13" i="3" s="1"/>
  <c r="T107" i="3"/>
  <c r="U107" i="3" s="1"/>
  <c r="S239" i="4"/>
  <c r="P239" i="4"/>
  <c r="T239" i="4"/>
  <c r="U239" i="4"/>
  <c r="P207" i="4"/>
  <c r="T207" i="4"/>
  <c r="U207" i="4"/>
  <c r="S207" i="4"/>
  <c r="T176" i="4"/>
  <c r="U176" i="4"/>
  <c r="S176" i="4"/>
  <c r="P176" i="4"/>
  <c r="P135" i="4"/>
  <c r="T135" i="4"/>
  <c r="U135" i="4"/>
  <c r="S135" i="4"/>
  <c r="S223" i="4"/>
  <c r="P223" i="4"/>
  <c r="T223" i="4"/>
  <c r="U223" i="4"/>
  <c r="S247" i="4"/>
  <c r="P247" i="4"/>
  <c r="U247" i="4"/>
  <c r="T247" i="4"/>
  <c r="T232" i="4"/>
  <c r="U232" i="4"/>
  <c r="S232" i="4"/>
  <c r="P232" i="4"/>
  <c r="R68" i="5"/>
  <c r="O68" i="5"/>
  <c r="AF3" i="46"/>
  <c r="N68" i="7" s="1"/>
  <c r="R68" i="23"/>
  <c r="O68" i="23"/>
  <c r="T100" i="4"/>
  <c r="U100" i="4"/>
  <c r="S100" i="4"/>
  <c r="P100" i="4"/>
  <c r="R100" i="4" s="1"/>
  <c r="G22" i="4"/>
  <c r="B7" i="4"/>
  <c r="D22" i="4"/>
  <c r="C22" i="4"/>
  <c r="F22" i="4"/>
  <c r="J22" i="4"/>
  <c r="I22" i="4"/>
  <c r="H22" i="4"/>
  <c r="E22" i="4"/>
  <c r="L84" i="46"/>
  <c r="Q84" i="46"/>
  <c r="B14" i="4"/>
  <c r="G14" i="4" s="1"/>
  <c r="P99" i="4"/>
  <c r="R99" i="4" s="1"/>
  <c r="S99" i="4"/>
  <c r="U99" i="4"/>
  <c r="T99" i="4"/>
  <c r="P67" i="4"/>
  <c r="S67" i="4"/>
  <c r="U67" i="4"/>
  <c r="T67" i="4"/>
  <c r="F75" i="46"/>
  <c r="T88" i="4"/>
  <c r="U88" i="4"/>
  <c r="S88" i="4"/>
  <c r="P88" i="4"/>
  <c r="I4" i="23"/>
  <c r="E6" i="23"/>
  <c r="R66" i="23"/>
  <c r="BT111" i="46"/>
  <c r="BL111" i="46"/>
  <c r="BR111" i="46"/>
  <c r="BI111" i="46"/>
  <c r="BQ111" i="46"/>
  <c r="BP111" i="46"/>
  <c r="BO111" i="46"/>
  <c r="BN111" i="46"/>
  <c r="BM111" i="46"/>
  <c r="BU111" i="46"/>
  <c r="BK111" i="46"/>
  <c r="BS111" i="46"/>
  <c r="BJ111" i="46"/>
  <c r="V111" i="3"/>
  <c r="O111" i="3"/>
  <c r="Z111" i="3"/>
  <c r="T111" i="3"/>
  <c r="U111" i="3"/>
  <c r="M66" i="23"/>
  <c r="M69" i="23" s="1"/>
  <c r="I10" i="4"/>
  <c r="M30" i="15"/>
  <c r="C26" i="21"/>
  <c r="D11" i="21"/>
  <c r="G11" i="21"/>
  <c r="C16" i="21"/>
  <c r="I14" i="21"/>
  <c r="BI104" i="46"/>
  <c r="BI84" i="46" s="1"/>
  <c r="BM104" i="46"/>
  <c r="BM84" i="46" s="1"/>
  <c r="D26" i="4" s="1"/>
  <c r="BL104" i="46"/>
  <c r="BL84" i="46" s="1"/>
  <c r="C26" i="4" s="1"/>
  <c r="AE6" i="46"/>
  <c r="N67" i="13" s="1"/>
  <c r="BK104" i="46"/>
  <c r="BK84" i="46" s="1"/>
  <c r="BJ104" i="46"/>
  <c r="BJ84" i="46" s="1"/>
  <c r="Z104" i="3"/>
  <c r="O104" i="3"/>
  <c r="V104" i="3"/>
  <c r="W104" i="3" s="1"/>
  <c r="R66" i="11"/>
  <c r="O66" i="11"/>
  <c r="R66" i="21"/>
  <c r="R69" i="21" s="1"/>
  <c r="N69" i="21"/>
  <c r="O66" i="21"/>
  <c r="I149" i="16"/>
  <c r="AA1" i="15"/>
  <c r="W13" i="16"/>
  <c r="Q28" i="15"/>
  <c r="BH278" i="46"/>
  <c r="O436" i="3"/>
  <c r="O48" i="11"/>
  <c r="I41" i="11"/>
  <c r="N53" i="11"/>
  <c r="H41" i="11" s="1"/>
  <c r="I41" i="21"/>
  <c r="N53" i="21"/>
  <c r="H41" i="21" s="1"/>
  <c r="O48" i="21"/>
  <c r="I41" i="25"/>
  <c r="N53" i="25"/>
  <c r="H41" i="25" s="1"/>
  <c r="O48" i="25"/>
  <c r="X202" i="3"/>
  <c r="Y202" i="3" s="1"/>
  <c r="P175" i="4"/>
  <c r="T175" i="4"/>
  <c r="U175" i="4"/>
  <c r="S175" i="4"/>
  <c r="O68" i="17"/>
  <c r="R68" i="17"/>
  <c r="O68" i="25"/>
  <c r="R68" i="25"/>
  <c r="U234" i="4"/>
  <c r="P234" i="4"/>
  <c r="T234" i="4"/>
  <c r="S234" i="4"/>
  <c r="T212" i="4"/>
  <c r="P212" i="4"/>
  <c r="U212" i="4"/>
  <c r="S212" i="4"/>
  <c r="P138" i="4"/>
  <c r="U138" i="4"/>
  <c r="T138" i="4"/>
  <c r="S138" i="4"/>
  <c r="T120" i="4"/>
  <c r="U120" i="4"/>
  <c r="S120" i="4"/>
  <c r="P120" i="4"/>
  <c r="T72" i="4"/>
  <c r="U72" i="4"/>
  <c r="S72" i="4"/>
  <c r="P72" i="4"/>
  <c r="M430" i="3"/>
  <c r="N430" i="3" s="1"/>
  <c r="O430" i="3" s="1"/>
  <c r="BL100" i="46" s="1"/>
  <c r="BL83" i="46" s="1"/>
  <c r="C25" i="4" s="1"/>
  <c r="H29" i="4"/>
  <c r="M84" i="46"/>
  <c r="I41" i="5"/>
  <c r="T193" i="4"/>
  <c r="P193" i="4"/>
  <c r="U193" i="4"/>
  <c r="S193" i="4"/>
  <c r="P127" i="4"/>
  <c r="S127" i="4"/>
  <c r="U127" i="4"/>
  <c r="T127" i="4"/>
  <c r="P95" i="4"/>
  <c r="S95" i="4"/>
  <c r="U95" i="4"/>
  <c r="T95" i="4"/>
  <c r="M86" i="46"/>
  <c r="U54" i="46"/>
  <c r="M51" i="5"/>
  <c r="O51" i="5" s="1"/>
  <c r="C11" i="23"/>
  <c r="I11" i="23" s="1"/>
  <c r="H52" i="21"/>
  <c r="E10" i="21" s="1"/>
  <c r="Q30" i="25"/>
  <c r="E76" i="25"/>
  <c r="E78" i="25" s="1"/>
  <c r="H38" i="25"/>
  <c r="I19" i="21"/>
  <c r="B21" i="21"/>
  <c r="E21" i="21"/>
  <c r="I44" i="15"/>
  <c r="O66" i="13"/>
  <c r="R66" i="13"/>
  <c r="I41" i="9"/>
  <c r="O48" i="9"/>
  <c r="N53" i="9"/>
  <c r="H41" i="9" s="1"/>
  <c r="O50" i="23"/>
  <c r="O48" i="27"/>
  <c r="I41" i="27"/>
  <c r="N53" i="27"/>
  <c r="H41" i="27" s="1"/>
  <c r="BN101" i="46"/>
  <c r="BT101" i="46"/>
  <c r="BK101" i="46"/>
  <c r="BK81" i="46" s="1"/>
  <c r="BS101" i="46"/>
  <c r="BJ101" i="46"/>
  <c r="BJ81" i="46" s="1"/>
  <c r="BR101" i="46"/>
  <c r="BI101" i="46"/>
  <c r="BI81" i="46" s="1"/>
  <c r="BQ101" i="46"/>
  <c r="BP101" i="46"/>
  <c r="BO101" i="46"/>
  <c r="BM101" i="46"/>
  <c r="BM81" i="46" s="1"/>
  <c r="BU101" i="46"/>
  <c r="BL101" i="46"/>
  <c r="BL81" i="46" s="1"/>
  <c r="AB3" i="46"/>
  <c r="N64" i="7" s="1"/>
  <c r="T101" i="3"/>
  <c r="U101" i="3" s="1"/>
  <c r="V101" i="3"/>
  <c r="O101" i="3"/>
  <c r="Z101" i="3"/>
  <c r="U230" i="4"/>
  <c r="P230" i="4"/>
  <c r="T230" i="4"/>
  <c r="S230" i="4"/>
  <c r="T200" i="4"/>
  <c r="U200" i="4"/>
  <c r="S200" i="4"/>
  <c r="P200" i="4"/>
  <c r="T168" i="4"/>
  <c r="U168" i="4"/>
  <c r="P168" i="4"/>
  <c r="S168" i="4"/>
  <c r="U242" i="4"/>
  <c r="P242" i="4"/>
  <c r="T242" i="4"/>
  <c r="S242" i="4"/>
  <c r="T217" i="4"/>
  <c r="P217" i="4"/>
  <c r="U217" i="4"/>
  <c r="S217" i="4"/>
  <c r="R68" i="11"/>
  <c r="O68" i="11"/>
  <c r="P211" i="4"/>
  <c r="T211" i="4"/>
  <c r="U211" i="4"/>
  <c r="S211" i="4"/>
  <c r="T172" i="4"/>
  <c r="P172" i="4"/>
  <c r="U172" i="4"/>
  <c r="S172" i="4"/>
  <c r="T108" i="4"/>
  <c r="U108" i="4"/>
  <c r="S108" i="4"/>
  <c r="P108" i="4"/>
  <c r="J95" i="46"/>
  <c r="U95" i="46" s="1"/>
  <c r="D73" i="46"/>
  <c r="K84" i="46"/>
  <c r="T177" i="4"/>
  <c r="P177" i="4"/>
  <c r="U177" i="4"/>
  <c r="S177" i="4"/>
  <c r="T153" i="4"/>
  <c r="P153" i="4"/>
  <c r="U153" i="4"/>
  <c r="S153" i="4"/>
  <c r="P123" i="4"/>
  <c r="S123" i="4"/>
  <c r="U123" i="4"/>
  <c r="T123" i="4"/>
  <c r="P91" i="4"/>
  <c r="S91" i="4"/>
  <c r="U91" i="4"/>
  <c r="T91" i="4"/>
  <c r="T84" i="4"/>
  <c r="U84" i="4"/>
  <c r="S84" i="4"/>
  <c r="P84" i="4"/>
  <c r="AA1" i="13"/>
  <c r="I149" i="14"/>
  <c r="Q28" i="13"/>
  <c r="I33" i="27"/>
  <c r="AB52" i="21"/>
  <c r="E9" i="21" s="1"/>
  <c r="B21" i="23"/>
  <c r="AA1" i="17"/>
  <c r="I149" i="18"/>
  <c r="Q28" i="17"/>
  <c r="F21" i="21"/>
  <c r="I20" i="21"/>
  <c r="X382" i="3"/>
  <c r="Y382" i="3" s="1"/>
  <c r="O66" i="15"/>
  <c r="R66" i="15"/>
  <c r="X366" i="3"/>
  <c r="Y366" i="3" s="1"/>
  <c r="O48" i="17"/>
  <c r="I41" i="17"/>
  <c r="N53" i="17"/>
  <c r="H41" i="17" s="1"/>
  <c r="O50" i="25"/>
  <c r="X394" i="3"/>
  <c r="Y394" i="3" s="1"/>
  <c r="X171" i="3"/>
  <c r="Y171" i="3" s="1"/>
  <c r="P199" i="4"/>
  <c r="T199" i="4"/>
  <c r="U199" i="4"/>
  <c r="S199" i="4"/>
  <c r="P167" i="4"/>
  <c r="T167" i="4"/>
  <c r="U167" i="4"/>
  <c r="S167" i="4"/>
  <c r="O68" i="9"/>
  <c r="R68" i="9"/>
  <c r="AG7" i="46"/>
  <c r="H38" i="15" s="1"/>
  <c r="I38" i="25"/>
  <c r="W14" i="26"/>
  <c r="T128" i="4"/>
  <c r="U128" i="4"/>
  <c r="S128" i="4"/>
  <c r="P128" i="4"/>
  <c r="T96" i="4"/>
  <c r="U96" i="4"/>
  <c r="S96" i="4"/>
  <c r="P96" i="4"/>
  <c r="N84" i="46"/>
  <c r="T152" i="4"/>
  <c r="P152" i="4"/>
  <c r="U152" i="4"/>
  <c r="S152" i="4"/>
  <c r="T136" i="4"/>
  <c r="P136" i="4"/>
  <c r="U136" i="4"/>
  <c r="S136" i="4"/>
  <c r="AB501" i="4"/>
  <c r="AA501" i="4" s="1"/>
  <c r="C501" i="4" s="1"/>
  <c r="P119" i="4"/>
  <c r="S119" i="4"/>
  <c r="U119" i="4"/>
  <c r="T119" i="4"/>
  <c r="P87" i="4"/>
  <c r="S87" i="4"/>
  <c r="U87" i="4"/>
  <c r="T87" i="4"/>
  <c r="O85" i="46"/>
  <c r="N85" i="46"/>
  <c r="L96" i="46"/>
  <c r="U96" i="46" s="1"/>
  <c r="M85" i="46"/>
  <c r="L85" i="46"/>
  <c r="J74" i="46"/>
  <c r="Q85" i="46"/>
  <c r="F74" i="46"/>
  <c r="P85" i="46"/>
  <c r="D74" i="46"/>
  <c r="J97" i="46"/>
  <c r="U97" i="46" s="1"/>
  <c r="G29" i="4"/>
  <c r="F29" i="4"/>
  <c r="U48" i="46"/>
  <c r="M49" i="5"/>
  <c r="M53" i="5" s="1"/>
  <c r="Q30" i="15"/>
  <c r="R66" i="27"/>
  <c r="O66" i="27"/>
  <c r="N69" i="27"/>
  <c r="O50" i="9"/>
  <c r="O50" i="19"/>
  <c r="N435" i="3"/>
  <c r="X322" i="3"/>
  <c r="Y322" i="3" s="1"/>
  <c r="T240" i="4"/>
  <c r="U240" i="4"/>
  <c r="S240" i="4"/>
  <c r="P240" i="4"/>
  <c r="T216" i="4"/>
  <c r="U216" i="4"/>
  <c r="S216" i="4"/>
  <c r="P216" i="4"/>
  <c r="T192" i="4"/>
  <c r="U192" i="4"/>
  <c r="S192" i="4"/>
  <c r="P192" i="4"/>
  <c r="T160" i="4"/>
  <c r="U160" i="4"/>
  <c r="P160" i="4"/>
  <c r="S160" i="4"/>
  <c r="T209" i="4"/>
  <c r="P209" i="4"/>
  <c r="U209" i="4"/>
  <c r="S209" i="4"/>
  <c r="R68" i="15"/>
  <c r="O68" i="15"/>
  <c r="R68" i="27"/>
  <c r="O68" i="27"/>
  <c r="T116" i="4"/>
  <c r="U116" i="4"/>
  <c r="S116" i="4"/>
  <c r="P116" i="4"/>
  <c r="T68" i="4"/>
  <c r="U68" i="4"/>
  <c r="S68" i="4"/>
  <c r="P68" i="4"/>
  <c r="F73" i="46"/>
  <c r="T185" i="4"/>
  <c r="P185" i="4"/>
  <c r="R185" i="4" s="1"/>
  <c r="U185" i="4"/>
  <c r="S185" i="4"/>
  <c r="T201" i="4"/>
  <c r="P201" i="4"/>
  <c r="U201" i="4"/>
  <c r="S201" i="4"/>
  <c r="P115" i="4"/>
  <c r="S115" i="4"/>
  <c r="U115" i="4"/>
  <c r="T115" i="4"/>
  <c r="P83" i="4"/>
  <c r="S83" i="4"/>
  <c r="U83" i="4"/>
  <c r="T83" i="4"/>
  <c r="T76" i="4"/>
  <c r="U76" i="4"/>
  <c r="S76" i="4"/>
  <c r="P76" i="4"/>
  <c r="G15" i="4" l="1"/>
  <c r="R69" i="9"/>
  <c r="H44" i="15"/>
  <c r="H45" i="15" s="1"/>
  <c r="BU107" i="46"/>
  <c r="BT107" i="46"/>
  <c r="M30" i="27"/>
  <c r="O434" i="3"/>
  <c r="BH162" i="46"/>
  <c r="O433" i="3"/>
  <c r="BH158" i="46"/>
  <c r="U86" i="46"/>
  <c r="W56" i="46"/>
  <c r="B77" i="46"/>
  <c r="AA1" i="23"/>
  <c r="I6" i="23"/>
  <c r="H46" i="27"/>
  <c r="I45" i="27"/>
  <c r="I46" i="27" s="1"/>
  <c r="I149" i="22"/>
  <c r="Q28" i="21"/>
  <c r="H46" i="25"/>
  <c r="I45" i="25"/>
  <c r="I46" i="25" s="1"/>
  <c r="X115" i="3"/>
  <c r="Y115" i="3" s="1"/>
  <c r="I16" i="21"/>
  <c r="I21" i="23"/>
  <c r="H44" i="17"/>
  <c r="H45" i="17" s="1"/>
  <c r="R69" i="27"/>
  <c r="AA1" i="19"/>
  <c r="I149" i="20"/>
  <c r="Q28" i="19"/>
  <c r="Q28" i="23"/>
  <c r="I149" i="24"/>
  <c r="Q28" i="25"/>
  <c r="AA1" i="25"/>
  <c r="I149" i="26"/>
  <c r="BO104" i="46"/>
  <c r="BO84" i="46" s="1"/>
  <c r="F26" i="4" s="1"/>
  <c r="BR104" i="46"/>
  <c r="BR84" i="46" s="1"/>
  <c r="BQ104" i="46"/>
  <c r="BQ84" i="46" s="1"/>
  <c r="H26" i="4" s="1"/>
  <c r="BP104" i="46"/>
  <c r="BP84" i="46" s="1"/>
  <c r="G26" i="4" s="1"/>
  <c r="BN104" i="46"/>
  <c r="BN84" i="46" s="1"/>
  <c r="E26" i="4" s="1"/>
  <c r="BQ103" i="46"/>
  <c r="BQ81" i="46" s="1"/>
  <c r="H23" i="4" s="1"/>
  <c r="BP103" i="46"/>
  <c r="BP81" i="46" s="1"/>
  <c r="G23" i="4" s="1"/>
  <c r="BU103" i="46"/>
  <c r="BU81" i="46" s="1"/>
  <c r="BO103" i="46"/>
  <c r="BO81" i="46" s="1"/>
  <c r="F23" i="4" s="1"/>
  <c r="R68" i="4"/>
  <c r="X101" i="3"/>
  <c r="Y101" i="3" s="1"/>
  <c r="X107" i="3"/>
  <c r="C6" i="21"/>
  <c r="I6" i="21" s="1"/>
  <c r="R216" i="4"/>
  <c r="BJ83" i="46"/>
  <c r="BJ86" i="46" s="1"/>
  <c r="R102" i="4"/>
  <c r="I38" i="17"/>
  <c r="I33" i="23"/>
  <c r="I44" i="25"/>
  <c r="X102" i="3"/>
  <c r="Y102" i="3" s="1"/>
  <c r="R115" i="4"/>
  <c r="R69" i="15"/>
  <c r="X111" i="3"/>
  <c r="Y111" i="3" s="1"/>
  <c r="AA1" i="9"/>
  <c r="I149" i="10"/>
  <c r="Q28" i="9"/>
  <c r="R225" i="4"/>
  <c r="R76" i="4"/>
  <c r="BS100" i="46"/>
  <c r="R162" i="4"/>
  <c r="I44" i="27"/>
  <c r="I26" i="23"/>
  <c r="M30" i="23" s="1"/>
  <c r="R119" i="4"/>
  <c r="R128" i="4"/>
  <c r="R126" i="4"/>
  <c r="H44" i="25"/>
  <c r="R69" i="11"/>
  <c r="R116" i="4"/>
  <c r="R234" i="4"/>
  <c r="R69" i="23"/>
  <c r="R69" i="17"/>
  <c r="T100" i="3"/>
  <c r="U100" i="3" s="1"/>
  <c r="X100" i="3" s="1"/>
  <c r="Y100" i="3" s="1"/>
  <c r="R209" i="4"/>
  <c r="R73" i="4"/>
  <c r="R172" i="4"/>
  <c r="AA1" i="11"/>
  <c r="Q28" i="11"/>
  <c r="I149" i="12"/>
  <c r="Q29" i="27"/>
  <c r="I150" i="28"/>
  <c r="H46" i="17"/>
  <c r="I35" i="4"/>
  <c r="AB35" i="4" s="1"/>
  <c r="R132" i="4"/>
  <c r="O149" i="14"/>
  <c r="U28" i="13"/>
  <c r="U30" i="13"/>
  <c r="R197" i="4"/>
  <c r="R81" i="4"/>
  <c r="R108" i="4"/>
  <c r="R168" i="4"/>
  <c r="R222" i="4"/>
  <c r="R148" i="4"/>
  <c r="O149" i="18"/>
  <c r="U28" i="17"/>
  <c r="U30" i="17"/>
  <c r="R217" i="4"/>
  <c r="R221" i="4"/>
  <c r="R175" i="4"/>
  <c r="R202" i="4"/>
  <c r="R210" i="4"/>
  <c r="R182" i="4"/>
  <c r="R190" i="4"/>
  <c r="R174" i="4"/>
  <c r="R198" i="4"/>
  <c r="R206" i="4"/>
  <c r="I150" i="16"/>
  <c r="O150" i="16" s="1"/>
  <c r="Q29" i="15"/>
  <c r="R135" i="4"/>
  <c r="R64" i="4"/>
  <c r="R236" i="4"/>
  <c r="R65" i="19"/>
  <c r="R69" i="19" s="1"/>
  <c r="N69" i="19"/>
  <c r="O65" i="19"/>
  <c r="R69" i="25"/>
  <c r="O66" i="5"/>
  <c r="R66" i="5"/>
  <c r="R69" i="5" s="1"/>
  <c r="N69" i="5"/>
  <c r="BU100" i="46"/>
  <c r="D23" i="4"/>
  <c r="U83" i="46"/>
  <c r="J77" i="46"/>
  <c r="W47" i="46"/>
  <c r="G3" i="46"/>
  <c r="O3" i="46" s="1"/>
  <c r="R159" i="4"/>
  <c r="R215" i="4"/>
  <c r="R214" i="4"/>
  <c r="R218" i="4"/>
  <c r="I151" i="18"/>
  <c r="M31" i="17"/>
  <c r="H46" i="15"/>
  <c r="I45" i="15"/>
  <c r="I46" i="15" s="1"/>
  <c r="Q29" i="17"/>
  <c r="I150" i="18"/>
  <c r="BL86" i="46"/>
  <c r="C28" i="4" s="1"/>
  <c r="R138" i="4"/>
  <c r="BT106" i="46"/>
  <c r="BR106" i="46"/>
  <c r="BU106" i="46"/>
  <c r="T106" i="3"/>
  <c r="U106" i="3" s="1"/>
  <c r="X106" i="3" s="1"/>
  <c r="Y106" i="3" s="1"/>
  <c r="BS106" i="46"/>
  <c r="R171" i="4"/>
  <c r="R127" i="4"/>
  <c r="R85" i="4"/>
  <c r="R238" i="4"/>
  <c r="R187" i="4"/>
  <c r="R94" i="4"/>
  <c r="R165" i="4"/>
  <c r="R142" i="4"/>
  <c r="I21" i="21"/>
  <c r="R130" i="4"/>
  <c r="W111" i="3"/>
  <c r="AH4" i="46" s="1"/>
  <c r="AG4" i="46"/>
  <c r="H38" i="9" s="1"/>
  <c r="H44" i="9" s="1"/>
  <c r="H45" i="9" s="1"/>
  <c r="R67" i="4"/>
  <c r="R118" i="4"/>
  <c r="R207" i="4"/>
  <c r="R243" i="4"/>
  <c r="R208" i="4"/>
  <c r="R78" i="4"/>
  <c r="R75" i="4"/>
  <c r="R228" i="4"/>
  <c r="R161" i="4"/>
  <c r="R237" i="4"/>
  <c r="W53" i="46"/>
  <c r="U85" i="46"/>
  <c r="AA524" i="4"/>
  <c r="AA516" i="4"/>
  <c r="AA508" i="4"/>
  <c r="AA517" i="4"/>
  <c r="AA506" i="4"/>
  <c r="AA520" i="4"/>
  <c r="AA513" i="4"/>
  <c r="AA518" i="4"/>
  <c r="AA511" i="4"/>
  <c r="AA510" i="4"/>
  <c r="AA523" i="4"/>
  <c r="AA522" i="4"/>
  <c r="AA521" i="4"/>
  <c r="AA507" i="4"/>
  <c r="AA505" i="4"/>
  <c r="AA503" i="4"/>
  <c r="AA504" i="4"/>
  <c r="AA515" i="4"/>
  <c r="AA514" i="4"/>
  <c r="AA519" i="4"/>
  <c r="AA512" i="4"/>
  <c r="AA509" i="4"/>
  <c r="R96" i="4"/>
  <c r="R113" i="4"/>
  <c r="R117" i="4"/>
  <c r="R121" i="4"/>
  <c r="R101" i="4"/>
  <c r="R105" i="4"/>
  <c r="R109" i="4"/>
  <c r="R233" i="4"/>
  <c r="R84" i="4"/>
  <c r="R153" i="4"/>
  <c r="R204" i="4"/>
  <c r="AG3" i="46"/>
  <c r="H38" i="7" s="1"/>
  <c r="H44" i="7" s="1"/>
  <c r="W101" i="3"/>
  <c r="AH3" i="46" s="1"/>
  <c r="R212" i="4"/>
  <c r="R245" i="4"/>
  <c r="O49" i="5"/>
  <c r="U30" i="15"/>
  <c r="O149" i="16"/>
  <c r="U28" i="15"/>
  <c r="R189" i="4"/>
  <c r="R232" i="4"/>
  <c r="R176" i="4"/>
  <c r="A36" i="4"/>
  <c r="R82" i="4"/>
  <c r="R144" i="4"/>
  <c r="R166" i="4"/>
  <c r="BP100" i="46"/>
  <c r="BP83" i="46" s="1"/>
  <c r="G25" i="4" s="1"/>
  <c r="BM100" i="46"/>
  <c r="BM83" i="46" s="1"/>
  <c r="D25" i="4" s="1"/>
  <c r="R104" i="4"/>
  <c r="U28" i="7"/>
  <c r="U30" i="7"/>
  <c r="O149" i="8"/>
  <c r="M29" i="15"/>
  <c r="Q31" i="15"/>
  <c r="R188" i="4"/>
  <c r="R200" i="4"/>
  <c r="R67" i="13"/>
  <c r="O67" i="13"/>
  <c r="I26" i="4"/>
  <c r="B11" i="4"/>
  <c r="R231" i="4"/>
  <c r="R71" i="4"/>
  <c r="R196" i="4"/>
  <c r="R110" i="4"/>
  <c r="R180" i="4"/>
  <c r="R235" i="4"/>
  <c r="W105" i="3"/>
  <c r="AH9" i="46" s="1"/>
  <c r="AG9" i="46"/>
  <c r="H38" i="19" s="1"/>
  <c r="H44" i="19" s="1"/>
  <c r="H45" i="19" s="1"/>
  <c r="BQ100" i="46"/>
  <c r="BQ83" i="46" s="1"/>
  <c r="H25" i="4" s="1"/>
  <c r="BN100" i="46"/>
  <c r="BN83" i="46" s="1"/>
  <c r="E25" i="4" s="1"/>
  <c r="R131" i="4"/>
  <c r="I151" i="16"/>
  <c r="M31" i="15"/>
  <c r="R152" i="4"/>
  <c r="I151" i="26"/>
  <c r="M31" i="25"/>
  <c r="R167" i="4"/>
  <c r="E11" i="21"/>
  <c r="I11" i="21" s="1"/>
  <c r="I9" i="21"/>
  <c r="E77" i="21" s="1"/>
  <c r="R91" i="4"/>
  <c r="R211" i="4"/>
  <c r="R72" i="4"/>
  <c r="R70" i="4"/>
  <c r="R150" i="4"/>
  <c r="R160" i="4"/>
  <c r="R179" i="4"/>
  <c r="R223" i="4"/>
  <c r="R133" i="4"/>
  <c r="B12" i="4"/>
  <c r="I27" i="4"/>
  <c r="F12" i="4"/>
  <c r="BI83" i="46"/>
  <c r="BI86" i="46" s="1"/>
  <c r="BO100" i="46"/>
  <c r="BO83" i="46" s="1"/>
  <c r="F25" i="4" s="1"/>
  <c r="D77" i="46"/>
  <c r="R147" i="4"/>
  <c r="R87" i="4"/>
  <c r="R114" i="4"/>
  <c r="M29" i="25"/>
  <c r="Q31" i="25"/>
  <c r="Q30" i="27"/>
  <c r="E76" i="27"/>
  <c r="E78" i="27" s="1"/>
  <c r="H38" i="27"/>
  <c r="H44" i="27" s="1"/>
  <c r="R170" i="4"/>
  <c r="R177" i="4"/>
  <c r="R229" i="4"/>
  <c r="J78" i="25"/>
  <c r="E79" i="25"/>
  <c r="R74" i="4"/>
  <c r="R95" i="4"/>
  <c r="R193" i="4"/>
  <c r="R106" i="4"/>
  <c r="W103" i="3"/>
  <c r="AH6" i="46" s="1"/>
  <c r="AG6" i="46"/>
  <c r="H38" i="13" s="1"/>
  <c r="H44" i="13" s="1"/>
  <c r="H45" i="13" s="1"/>
  <c r="R92" i="4"/>
  <c r="R66" i="4"/>
  <c r="BH244" i="46"/>
  <c r="O435" i="3"/>
  <c r="R65" i="4"/>
  <c r="R242" i="4"/>
  <c r="R230" i="4"/>
  <c r="R64" i="7"/>
  <c r="O64" i="7"/>
  <c r="H45" i="7"/>
  <c r="N69" i="7"/>
  <c r="R90" i="4"/>
  <c r="R241" i="4"/>
  <c r="E77" i="23"/>
  <c r="M28" i="23"/>
  <c r="U28" i="23" s="1"/>
  <c r="R89" i="4"/>
  <c r="I10" i="21"/>
  <c r="I33" i="21" s="1"/>
  <c r="U84" i="46"/>
  <c r="W50" i="46"/>
  <c r="R112" i="4"/>
  <c r="R227" i="4"/>
  <c r="H16" i="4"/>
  <c r="J10" i="4"/>
  <c r="J16" i="4" s="1"/>
  <c r="R107" i="4"/>
  <c r="R149" i="4"/>
  <c r="W115" i="3"/>
  <c r="AH5" i="46" s="1"/>
  <c r="AG5" i="46"/>
  <c r="H38" i="11" s="1"/>
  <c r="H44" i="11" s="1"/>
  <c r="H45" i="11" s="1"/>
  <c r="AG2" i="46"/>
  <c r="H38" i="5" s="1"/>
  <c r="H44" i="5" s="1"/>
  <c r="H45" i="5" s="1"/>
  <c r="W100" i="3"/>
  <c r="AH2" i="46" s="1"/>
  <c r="BR100" i="46"/>
  <c r="BK83" i="46"/>
  <c r="BK86" i="46" s="1"/>
  <c r="O149" i="20"/>
  <c r="U30" i="19"/>
  <c r="U28" i="19"/>
  <c r="R98" i="4"/>
  <c r="R111" i="4"/>
  <c r="R146" i="4"/>
  <c r="R191" i="4"/>
  <c r="R141" i="4"/>
  <c r="R88" i="4"/>
  <c r="R134" i="4"/>
  <c r="G36" i="4"/>
  <c r="R86" i="4"/>
  <c r="M31" i="27"/>
  <c r="I151" i="28"/>
  <c r="R226" i="4"/>
  <c r="R205" i="4"/>
  <c r="R154" i="4"/>
  <c r="I12" i="3"/>
  <c r="J27" i="4"/>
  <c r="L76" i="46" s="1"/>
  <c r="E12" i="4"/>
  <c r="R244" i="4"/>
  <c r="C23" i="4"/>
  <c r="F77" i="46"/>
  <c r="R203" i="4"/>
  <c r="I151" i="22"/>
  <c r="M31" i="21"/>
  <c r="G7" i="4"/>
  <c r="R239" i="4"/>
  <c r="W107" i="3"/>
  <c r="AH11" i="46" s="1"/>
  <c r="AG11" i="46"/>
  <c r="R83" i="4"/>
  <c r="R201" i="4"/>
  <c r="R157" i="4"/>
  <c r="R192" i="4"/>
  <c r="R240" i="4"/>
  <c r="R136" i="4"/>
  <c r="R77" i="4"/>
  <c r="R199" i="4"/>
  <c r="R186" i="4"/>
  <c r="R123" i="4"/>
  <c r="R125" i="4"/>
  <c r="R155" i="4"/>
  <c r="R249" i="4"/>
  <c r="R178" i="4"/>
  <c r="R120" i="4"/>
  <c r="R195" i="4"/>
  <c r="O66" i="23"/>
  <c r="R156" i="4"/>
  <c r="R68" i="7"/>
  <c r="O68" i="7"/>
  <c r="R103" i="4"/>
  <c r="R129" i="4"/>
  <c r="Q31" i="27"/>
  <c r="M29" i="27"/>
  <c r="R164" i="4"/>
  <c r="O64" i="13"/>
  <c r="R64" i="13"/>
  <c r="N69" i="13"/>
  <c r="I150" i="22"/>
  <c r="Q29" i="21"/>
  <c r="I26" i="21"/>
  <c r="R158" i="4"/>
  <c r="R124" i="4"/>
  <c r="R194" i="4"/>
  <c r="R220" i="4"/>
  <c r="BT100" i="46"/>
  <c r="O149" i="26"/>
  <c r="U31" i="25"/>
  <c r="U29" i="25"/>
  <c r="O150" i="26"/>
  <c r="U30" i="25"/>
  <c r="U28" i="25"/>
  <c r="U28" i="27"/>
  <c r="U29" i="27"/>
  <c r="O150" i="28"/>
  <c r="U31" i="27"/>
  <c r="O149" i="28"/>
  <c r="U30" i="27"/>
  <c r="R69" i="4"/>
  <c r="F35" i="4"/>
  <c r="AA35" i="4" s="1"/>
  <c r="R139" i="4"/>
  <c r="K10" i="4"/>
  <c r="K16" i="4" s="1"/>
  <c r="I16" i="4"/>
  <c r="R247" i="4"/>
  <c r="O149" i="6"/>
  <c r="U30" i="5"/>
  <c r="U28" i="5"/>
  <c r="R145" i="4"/>
  <c r="R246" i="4"/>
  <c r="R183" i="4"/>
  <c r="R248" i="4"/>
  <c r="R137" i="4"/>
  <c r="R169" i="4"/>
  <c r="R163" i="4"/>
  <c r="R151" i="4"/>
  <c r="W13" i="26"/>
  <c r="R140" i="4"/>
  <c r="R181" i="4"/>
  <c r="BR103" i="46" l="1"/>
  <c r="BR81" i="46" s="1"/>
  <c r="T103" i="3"/>
  <c r="U103" i="3" s="1"/>
  <c r="X103" i="3" s="1"/>
  <c r="Y103" i="3" s="1"/>
  <c r="BT103" i="46"/>
  <c r="BT81" i="46" s="1"/>
  <c r="BS83" i="46"/>
  <c r="BN103" i="46"/>
  <c r="BN81" i="46" s="1"/>
  <c r="BS103" i="46"/>
  <c r="BS81" i="46" s="1"/>
  <c r="T104" i="3"/>
  <c r="U104" i="3" s="1"/>
  <c r="X104" i="3" s="1"/>
  <c r="Y104" i="3" s="1"/>
  <c r="BS104" i="46"/>
  <c r="BS84" i="46" s="1"/>
  <c r="BT104" i="46"/>
  <c r="BT84" i="46" s="1"/>
  <c r="BU104" i="46"/>
  <c r="BU84" i="46" s="1"/>
  <c r="U29" i="15"/>
  <c r="O150" i="18"/>
  <c r="BR83" i="46"/>
  <c r="C32" i="4"/>
  <c r="H38" i="23"/>
  <c r="H44" i="23" s="1"/>
  <c r="H45" i="23" s="1"/>
  <c r="H46" i="23" s="1"/>
  <c r="R69" i="13"/>
  <c r="BT83" i="46"/>
  <c r="I44" i="17"/>
  <c r="I45" i="17" s="1"/>
  <c r="I46" i="17" s="1"/>
  <c r="M29" i="17"/>
  <c r="U29" i="17" s="1"/>
  <c r="Q31" i="17"/>
  <c r="U31" i="17" s="1"/>
  <c r="Q30" i="23"/>
  <c r="E76" i="23"/>
  <c r="E78" i="23" s="1"/>
  <c r="I23" i="4"/>
  <c r="F8" i="4"/>
  <c r="B8" i="4"/>
  <c r="J23" i="4"/>
  <c r="L72" i="46" s="1"/>
  <c r="I8" i="3"/>
  <c r="E8" i="4"/>
  <c r="I38" i="21"/>
  <c r="R69" i="7"/>
  <c r="U31" i="15"/>
  <c r="U30" i="23"/>
  <c r="M28" i="21"/>
  <c r="U28" i="11"/>
  <c r="O149" i="12"/>
  <c r="U30" i="11"/>
  <c r="O149" i="10"/>
  <c r="U30" i="9"/>
  <c r="U28" i="9"/>
  <c r="H38" i="21"/>
  <c r="H44" i="21" s="1"/>
  <c r="H45" i="21" s="1"/>
  <c r="E76" i="21"/>
  <c r="E78" i="21" s="1"/>
  <c r="Q30" i="21"/>
  <c r="H46" i="13"/>
  <c r="H46" i="19"/>
  <c r="H46" i="5"/>
  <c r="Q29" i="25"/>
  <c r="I150" i="26"/>
  <c r="I10" i="3"/>
  <c r="J25" i="4"/>
  <c r="L74" i="46" s="1"/>
  <c r="I38" i="13"/>
  <c r="W14" i="14"/>
  <c r="G12" i="4"/>
  <c r="H509" i="4"/>
  <c r="K509" i="4"/>
  <c r="B509" i="4"/>
  <c r="J509" i="4"/>
  <c r="A509" i="4"/>
  <c r="C509" i="4"/>
  <c r="L509" i="4"/>
  <c r="I509" i="4"/>
  <c r="G509" i="4"/>
  <c r="F509" i="4"/>
  <c r="E509" i="4"/>
  <c r="D509" i="4"/>
  <c r="J507" i="4"/>
  <c r="B507" i="4"/>
  <c r="I507" i="4"/>
  <c r="H507" i="4"/>
  <c r="D507" i="4"/>
  <c r="A507" i="4"/>
  <c r="L507" i="4"/>
  <c r="K507" i="4"/>
  <c r="G507" i="4"/>
  <c r="F507" i="4"/>
  <c r="E507" i="4"/>
  <c r="C507" i="4"/>
  <c r="I520" i="4"/>
  <c r="A520" i="4"/>
  <c r="K520" i="4"/>
  <c r="B520" i="4"/>
  <c r="D520" i="4"/>
  <c r="C520" i="4"/>
  <c r="J520" i="4"/>
  <c r="H520" i="4"/>
  <c r="G520" i="4"/>
  <c r="F520" i="4"/>
  <c r="E520" i="4"/>
  <c r="L520" i="4"/>
  <c r="BO86" i="46"/>
  <c r="F28" i="4" s="1"/>
  <c r="F32" i="4" s="1"/>
  <c r="BU83" i="46"/>
  <c r="AA1" i="21"/>
  <c r="O149" i="24"/>
  <c r="W14" i="12"/>
  <c r="I38" i="11"/>
  <c r="J35" i="4"/>
  <c r="M58" i="4"/>
  <c r="M47" i="4"/>
  <c r="M54" i="4"/>
  <c r="M38" i="4"/>
  <c r="M59" i="4"/>
  <c r="M50" i="4"/>
  <c r="M55" i="4"/>
  <c r="M42" i="4"/>
  <c r="M57" i="4"/>
  <c r="M51" i="4"/>
  <c r="M48" i="4"/>
  <c r="M56" i="4"/>
  <c r="M44" i="4"/>
  <c r="M45" i="4"/>
  <c r="M49" i="4"/>
  <c r="M43" i="4"/>
  <c r="M46" i="4"/>
  <c r="M41" i="4"/>
  <c r="M39" i="4"/>
  <c r="M53" i="4"/>
  <c r="M52" i="4"/>
  <c r="M40" i="4"/>
  <c r="BN86" i="46"/>
  <c r="E28" i="4" s="1"/>
  <c r="E23" i="4"/>
  <c r="I512" i="4"/>
  <c r="A512" i="4"/>
  <c r="H512" i="4"/>
  <c r="G512" i="4"/>
  <c r="L512" i="4"/>
  <c r="J512" i="4"/>
  <c r="F512" i="4"/>
  <c r="E512" i="4"/>
  <c r="D512" i="4"/>
  <c r="C512" i="4"/>
  <c r="B512" i="4"/>
  <c r="K512" i="4"/>
  <c r="L521" i="4"/>
  <c r="D521" i="4"/>
  <c r="G521" i="4"/>
  <c r="K521" i="4"/>
  <c r="A521" i="4"/>
  <c r="J521" i="4"/>
  <c r="B521" i="4"/>
  <c r="I521" i="4"/>
  <c r="H521" i="4"/>
  <c r="F521" i="4"/>
  <c r="E521" i="4"/>
  <c r="C521" i="4"/>
  <c r="G506" i="4"/>
  <c r="D506" i="4"/>
  <c r="L506" i="4"/>
  <c r="C506" i="4"/>
  <c r="E506" i="4"/>
  <c r="A506" i="4"/>
  <c r="K506" i="4"/>
  <c r="J506" i="4"/>
  <c r="I506" i="4"/>
  <c r="H506" i="4"/>
  <c r="F506" i="4"/>
  <c r="B506" i="4"/>
  <c r="BT105" i="46"/>
  <c r="BT82" i="46" s="1"/>
  <c r="BR105" i="46"/>
  <c r="BR82" i="46" s="1"/>
  <c r="BS105" i="46"/>
  <c r="BS82" i="46" s="1"/>
  <c r="T105" i="3"/>
  <c r="U105" i="3" s="1"/>
  <c r="X105" i="3" s="1"/>
  <c r="BQ105" i="46"/>
  <c r="BQ82" i="46" s="1"/>
  <c r="BU105" i="46"/>
  <c r="BU82" i="46" s="1"/>
  <c r="E79" i="27"/>
  <c r="J78" i="27"/>
  <c r="BP86" i="46"/>
  <c r="G28" i="4" s="1"/>
  <c r="G32" i="4" s="1"/>
  <c r="F519" i="4"/>
  <c r="E519" i="4"/>
  <c r="G519" i="4"/>
  <c r="D519" i="4"/>
  <c r="L519" i="4"/>
  <c r="J519" i="4"/>
  <c r="I519" i="4"/>
  <c r="H519" i="4"/>
  <c r="C519" i="4"/>
  <c r="B519" i="4"/>
  <c r="A519" i="4"/>
  <c r="K519" i="4"/>
  <c r="G522" i="4"/>
  <c r="L522" i="4"/>
  <c r="C522" i="4"/>
  <c r="I522" i="4"/>
  <c r="H522" i="4"/>
  <c r="B522" i="4"/>
  <c r="K522" i="4"/>
  <c r="J522" i="4"/>
  <c r="F522" i="4"/>
  <c r="E522" i="4"/>
  <c r="D522" i="4"/>
  <c r="A522" i="4"/>
  <c r="H517" i="4"/>
  <c r="D517" i="4"/>
  <c r="K517" i="4"/>
  <c r="A517" i="4"/>
  <c r="J517" i="4"/>
  <c r="L517" i="4"/>
  <c r="G517" i="4"/>
  <c r="F517" i="4"/>
  <c r="E517" i="4"/>
  <c r="C517" i="4"/>
  <c r="B517" i="4"/>
  <c r="I517" i="4"/>
  <c r="BM86" i="46"/>
  <c r="D28" i="4" s="1"/>
  <c r="D32" i="4" s="1"/>
  <c r="I38" i="7"/>
  <c r="W14" i="8"/>
  <c r="G514" i="4"/>
  <c r="J514" i="4"/>
  <c r="A514" i="4"/>
  <c r="I514" i="4"/>
  <c r="K514" i="4"/>
  <c r="F514" i="4"/>
  <c r="E514" i="4"/>
  <c r="D514" i="4"/>
  <c r="C514" i="4"/>
  <c r="B514" i="4"/>
  <c r="L514" i="4"/>
  <c r="H514" i="4"/>
  <c r="J523" i="4"/>
  <c r="B523" i="4"/>
  <c r="H523" i="4"/>
  <c r="F523" i="4"/>
  <c r="E523" i="4"/>
  <c r="C523" i="4"/>
  <c r="L523" i="4"/>
  <c r="K523" i="4"/>
  <c r="I523" i="4"/>
  <c r="G523" i="4"/>
  <c r="D523" i="4"/>
  <c r="A523" i="4"/>
  <c r="E508" i="4"/>
  <c r="F508" i="4"/>
  <c r="D508" i="4"/>
  <c r="B508" i="4"/>
  <c r="K508" i="4"/>
  <c r="J508" i="4"/>
  <c r="I508" i="4"/>
  <c r="H508" i="4"/>
  <c r="G508" i="4"/>
  <c r="C508" i="4"/>
  <c r="L508" i="4"/>
  <c r="A508" i="4"/>
  <c r="H46" i="9"/>
  <c r="BH264" i="46"/>
  <c r="BH279" i="46" s="1"/>
  <c r="BH302" i="46" s="1"/>
  <c r="W14" i="24"/>
  <c r="I38" i="23"/>
  <c r="I38" i="5"/>
  <c r="W14" i="6"/>
  <c r="H46" i="7"/>
  <c r="J515" i="4"/>
  <c r="B515" i="4"/>
  <c r="L515" i="4"/>
  <c r="F515" i="4"/>
  <c r="E515" i="4"/>
  <c r="I515" i="4"/>
  <c r="G515" i="4"/>
  <c r="D515" i="4"/>
  <c r="C515" i="4"/>
  <c r="A515" i="4"/>
  <c r="K515" i="4"/>
  <c r="H515" i="4"/>
  <c r="K510" i="4"/>
  <c r="C510" i="4"/>
  <c r="G510" i="4"/>
  <c r="F510" i="4"/>
  <c r="A510" i="4"/>
  <c r="J510" i="4"/>
  <c r="I510" i="4"/>
  <c r="H510" i="4"/>
  <c r="E510" i="4"/>
  <c r="D510" i="4"/>
  <c r="B510" i="4"/>
  <c r="L510" i="4"/>
  <c r="E516" i="4"/>
  <c r="H516" i="4"/>
  <c r="C516" i="4"/>
  <c r="L516" i="4"/>
  <c r="B516" i="4"/>
  <c r="J516" i="4"/>
  <c r="G516" i="4"/>
  <c r="F516" i="4"/>
  <c r="D516" i="4"/>
  <c r="A516" i="4"/>
  <c r="K516" i="4"/>
  <c r="I516" i="4"/>
  <c r="W14" i="10"/>
  <c r="I38" i="9"/>
  <c r="I38" i="19"/>
  <c r="W14" i="20"/>
  <c r="I504" i="4"/>
  <c r="A504" i="4"/>
  <c r="L504" i="4"/>
  <c r="C504" i="4"/>
  <c r="K504" i="4"/>
  <c r="B504" i="4"/>
  <c r="F504" i="4"/>
  <c r="D504" i="4"/>
  <c r="J504" i="4"/>
  <c r="H504" i="4"/>
  <c r="G504" i="4"/>
  <c r="E504" i="4"/>
  <c r="F511" i="4"/>
  <c r="L511" i="4"/>
  <c r="C511" i="4"/>
  <c r="K511" i="4"/>
  <c r="B511" i="4"/>
  <c r="I511" i="4"/>
  <c r="H511" i="4"/>
  <c r="G511" i="4"/>
  <c r="E511" i="4"/>
  <c r="D511" i="4"/>
  <c r="A511" i="4"/>
  <c r="J511" i="4"/>
  <c r="E524" i="4"/>
  <c r="D524" i="4"/>
  <c r="C524" i="4"/>
  <c r="L524" i="4"/>
  <c r="B524" i="4"/>
  <c r="F524" i="4"/>
  <c r="K524" i="4"/>
  <c r="J524" i="4"/>
  <c r="I524" i="4"/>
  <c r="H524" i="4"/>
  <c r="G524" i="4"/>
  <c r="A524" i="4"/>
  <c r="H46" i="11"/>
  <c r="M30" i="21"/>
  <c r="F503" i="4"/>
  <c r="G503" i="4"/>
  <c r="E503" i="4"/>
  <c r="H503" i="4"/>
  <c r="C503" i="4"/>
  <c r="B503" i="4"/>
  <c r="L503" i="4"/>
  <c r="A503" i="4"/>
  <c r="K503" i="4"/>
  <c r="J503" i="4"/>
  <c r="I503" i="4"/>
  <c r="D503" i="4"/>
  <c r="K518" i="4"/>
  <c r="C518" i="4"/>
  <c r="I518" i="4"/>
  <c r="H518" i="4"/>
  <c r="G518" i="4"/>
  <c r="J518" i="4"/>
  <c r="F518" i="4"/>
  <c r="E518" i="4"/>
  <c r="D518" i="4"/>
  <c r="B518" i="4"/>
  <c r="A518" i="4"/>
  <c r="L518" i="4"/>
  <c r="L505" i="4"/>
  <c r="D505" i="4"/>
  <c r="H505" i="4"/>
  <c r="G505" i="4"/>
  <c r="E505" i="4"/>
  <c r="B505" i="4"/>
  <c r="A505" i="4"/>
  <c r="K505" i="4"/>
  <c r="J505" i="4"/>
  <c r="I505" i="4"/>
  <c r="F505" i="4"/>
  <c r="C505" i="4"/>
  <c r="L513" i="4"/>
  <c r="D513" i="4"/>
  <c r="E513" i="4"/>
  <c r="C513" i="4"/>
  <c r="J513" i="4"/>
  <c r="H513" i="4"/>
  <c r="G513" i="4"/>
  <c r="F513" i="4"/>
  <c r="B513" i="4"/>
  <c r="A513" i="4"/>
  <c r="K513" i="4"/>
  <c r="I513" i="4"/>
  <c r="N52" i="4"/>
  <c r="N44" i="4"/>
  <c r="N59" i="4"/>
  <c r="N39" i="4"/>
  <c r="N50" i="4"/>
  <c r="N56" i="4"/>
  <c r="N49" i="4"/>
  <c r="N55" i="4"/>
  <c r="N43" i="4"/>
  <c r="N54" i="4"/>
  <c r="N48" i="4"/>
  <c r="N47" i="4"/>
  <c r="N45" i="4"/>
  <c r="N53" i="4"/>
  <c r="N46" i="4"/>
  <c r="N40" i="4"/>
  <c r="N41" i="4"/>
  <c r="N57" i="4"/>
  <c r="N42" i="4"/>
  <c r="N38" i="4"/>
  <c r="N51" i="4"/>
  <c r="N58" i="4"/>
  <c r="B10" i="4" l="1"/>
  <c r="I25" i="4"/>
  <c r="J26" i="4"/>
  <c r="L75" i="46" s="1"/>
  <c r="E11" i="4"/>
  <c r="F11" i="4"/>
  <c r="I11" i="3"/>
  <c r="E10" i="4"/>
  <c r="F10" i="4"/>
  <c r="G10" i="4" s="1"/>
  <c r="BT86" i="46"/>
  <c r="G8" i="4"/>
  <c r="E79" i="23"/>
  <c r="J78" i="23"/>
  <c r="I44" i="21"/>
  <c r="I45" i="21" s="1"/>
  <c r="I46" i="21" s="1"/>
  <c r="Q31" i="21"/>
  <c r="U31" i="21" s="1"/>
  <c r="M29" i="21"/>
  <c r="U29" i="21" s="1"/>
  <c r="D60" i="3"/>
  <c r="AC60" i="3"/>
  <c r="AB70" i="3" s="1"/>
  <c r="BU86" i="46"/>
  <c r="K51" i="4"/>
  <c r="G51" i="4"/>
  <c r="J51" i="4"/>
  <c r="I51" i="4"/>
  <c r="H51" i="4"/>
  <c r="I50" i="4"/>
  <c r="G50" i="4"/>
  <c r="K50" i="4"/>
  <c r="J50" i="4"/>
  <c r="H50" i="4"/>
  <c r="C38" i="4"/>
  <c r="A38" i="4"/>
  <c r="F38" i="4"/>
  <c r="B38" i="4"/>
  <c r="U28" i="21"/>
  <c r="U30" i="21"/>
  <c r="O150" i="22"/>
  <c r="O149" i="22"/>
  <c r="J47" i="4"/>
  <c r="H47" i="4"/>
  <c r="I47" i="4"/>
  <c r="G47" i="4"/>
  <c r="K47" i="4"/>
  <c r="C54" i="4"/>
  <c r="A54" i="4"/>
  <c r="F54" i="4"/>
  <c r="B54" i="4"/>
  <c r="I151" i="14"/>
  <c r="M31" i="13"/>
  <c r="W13" i="14"/>
  <c r="I59" i="4"/>
  <c r="H59" i="4"/>
  <c r="K59" i="4"/>
  <c r="J59" i="4"/>
  <c r="G59" i="4"/>
  <c r="Q31" i="19"/>
  <c r="M29" i="19"/>
  <c r="I44" i="19"/>
  <c r="I45" i="19" s="1"/>
  <c r="I46" i="19" s="1"/>
  <c r="H24" i="4"/>
  <c r="BQ86" i="46"/>
  <c r="H28" i="4" s="1"/>
  <c r="F51" i="4"/>
  <c r="B51" i="4"/>
  <c r="C51" i="4"/>
  <c r="A51" i="4"/>
  <c r="Q31" i="13"/>
  <c r="M29" i="13"/>
  <c r="I44" i="13"/>
  <c r="I45" i="13" s="1"/>
  <c r="I46" i="13" s="1"/>
  <c r="J57" i="4"/>
  <c r="I57" i="4"/>
  <c r="H57" i="4"/>
  <c r="K57" i="4"/>
  <c r="G57" i="4"/>
  <c r="K54" i="4"/>
  <c r="J54" i="4"/>
  <c r="I54" i="4"/>
  <c r="H54" i="4"/>
  <c r="G54" i="4"/>
  <c r="K44" i="4"/>
  <c r="I44" i="4"/>
  <c r="J44" i="4"/>
  <c r="H44" i="4"/>
  <c r="G44" i="4"/>
  <c r="Y105" i="3"/>
  <c r="Y107" i="3"/>
  <c r="AC44" i="3"/>
  <c r="C46" i="4"/>
  <c r="A46" i="4"/>
  <c r="F46" i="4"/>
  <c r="B46" i="4"/>
  <c r="B57" i="4"/>
  <c r="C57" i="4"/>
  <c r="A57" i="4"/>
  <c r="F57" i="4"/>
  <c r="F58" i="4"/>
  <c r="C58" i="4"/>
  <c r="B58" i="4"/>
  <c r="A58" i="4"/>
  <c r="K38" i="4"/>
  <c r="J38" i="4"/>
  <c r="I38" i="4"/>
  <c r="H38" i="4"/>
  <c r="G38" i="4"/>
  <c r="C48" i="4"/>
  <c r="A48" i="4"/>
  <c r="F48" i="4"/>
  <c r="B48" i="4"/>
  <c r="I42" i="4"/>
  <c r="G42" i="4"/>
  <c r="H42" i="4"/>
  <c r="K42" i="4"/>
  <c r="J42" i="4"/>
  <c r="G48" i="4"/>
  <c r="J48" i="4"/>
  <c r="I48" i="4"/>
  <c r="H48" i="4"/>
  <c r="K48" i="4"/>
  <c r="B41" i="4"/>
  <c r="C41" i="4"/>
  <c r="F41" i="4"/>
  <c r="A41" i="4"/>
  <c r="A47" i="4"/>
  <c r="F47" i="4"/>
  <c r="C47" i="4"/>
  <c r="B47" i="4"/>
  <c r="J41" i="4"/>
  <c r="G41" i="4"/>
  <c r="K41" i="4"/>
  <c r="I41" i="4"/>
  <c r="H41" i="4"/>
  <c r="I43" i="4"/>
  <c r="H43" i="4"/>
  <c r="K43" i="4"/>
  <c r="G43" i="4"/>
  <c r="J43" i="4"/>
  <c r="K52" i="4"/>
  <c r="I52" i="4"/>
  <c r="J52" i="4"/>
  <c r="G52" i="4"/>
  <c r="H52" i="4"/>
  <c r="Q31" i="9"/>
  <c r="M29" i="9"/>
  <c r="I44" i="9"/>
  <c r="I45" i="9" s="1"/>
  <c r="I46" i="9" s="1"/>
  <c r="M31" i="5"/>
  <c r="I151" i="6"/>
  <c r="W13" i="6"/>
  <c r="E9" i="4"/>
  <c r="J24" i="4"/>
  <c r="I9" i="3"/>
  <c r="BS86" i="46"/>
  <c r="F13" i="4"/>
  <c r="E32" i="4"/>
  <c r="F43" i="4"/>
  <c r="B43" i="4"/>
  <c r="A43" i="4"/>
  <c r="C43" i="4"/>
  <c r="B42" i="4"/>
  <c r="F42" i="4"/>
  <c r="A42" i="4"/>
  <c r="C42" i="4"/>
  <c r="F9" i="4"/>
  <c r="B9" i="4"/>
  <c r="I24" i="4"/>
  <c r="BR86" i="46"/>
  <c r="E13" i="4"/>
  <c r="B49" i="4"/>
  <c r="C49" i="4"/>
  <c r="A49" i="4"/>
  <c r="F49" i="4"/>
  <c r="B55" i="4"/>
  <c r="A55" i="4"/>
  <c r="F55" i="4"/>
  <c r="C55" i="4"/>
  <c r="Q31" i="11"/>
  <c r="M29" i="11"/>
  <c r="I44" i="11"/>
  <c r="I45" i="11" s="1"/>
  <c r="I46" i="11" s="1"/>
  <c r="M31" i="7"/>
  <c r="I151" i="8"/>
  <c r="W13" i="8"/>
  <c r="F45" i="4"/>
  <c r="A45" i="4"/>
  <c r="C45" i="4"/>
  <c r="B45" i="4"/>
  <c r="I151" i="12"/>
  <c r="M31" i="11"/>
  <c r="W13" i="12"/>
  <c r="J78" i="21"/>
  <c r="E79" i="21"/>
  <c r="H45" i="4"/>
  <c r="K45" i="4"/>
  <c r="J45" i="4"/>
  <c r="G45" i="4"/>
  <c r="I45" i="4"/>
  <c r="F53" i="4"/>
  <c r="C53" i="4"/>
  <c r="B53" i="4"/>
  <c r="A53" i="4"/>
  <c r="C56" i="4"/>
  <c r="F56" i="4"/>
  <c r="B56" i="4"/>
  <c r="A56" i="4"/>
  <c r="J39" i="4"/>
  <c r="H39" i="4"/>
  <c r="K39" i="4"/>
  <c r="I39" i="4"/>
  <c r="G39" i="4"/>
  <c r="I151" i="20"/>
  <c r="M31" i="19"/>
  <c r="W13" i="20"/>
  <c r="C39" i="4"/>
  <c r="B39" i="4"/>
  <c r="A39" i="4"/>
  <c r="F39" i="4"/>
  <c r="G40" i="4"/>
  <c r="K40" i="4"/>
  <c r="J40" i="4"/>
  <c r="I40" i="4"/>
  <c r="H40" i="4"/>
  <c r="J55" i="4"/>
  <c r="H55" i="4"/>
  <c r="K55" i="4"/>
  <c r="I55" i="4"/>
  <c r="G55" i="4"/>
  <c r="M31" i="9"/>
  <c r="I151" i="10"/>
  <c r="W13" i="10"/>
  <c r="M29" i="5"/>
  <c r="Q31" i="5"/>
  <c r="I44" i="5"/>
  <c r="I45" i="5" s="1"/>
  <c r="I46" i="5" s="1"/>
  <c r="K46" i="4"/>
  <c r="J46" i="4"/>
  <c r="H46" i="4"/>
  <c r="G46" i="4"/>
  <c r="I46" i="4"/>
  <c r="J49" i="4"/>
  <c r="K49" i="4"/>
  <c r="I49" i="4"/>
  <c r="H49" i="4"/>
  <c r="G49" i="4"/>
  <c r="M29" i="23"/>
  <c r="Q31" i="23"/>
  <c r="I44" i="23"/>
  <c r="I45" i="23" s="1"/>
  <c r="I46" i="23" s="1"/>
  <c r="C40" i="4"/>
  <c r="B40" i="4"/>
  <c r="F40" i="4"/>
  <c r="A40" i="4"/>
  <c r="C50" i="4"/>
  <c r="B50" i="4"/>
  <c r="A50" i="4"/>
  <c r="F50" i="4"/>
  <c r="I58" i="4"/>
  <c r="G58" i="4"/>
  <c r="J58" i="4"/>
  <c r="H58" i="4"/>
  <c r="K58" i="4"/>
  <c r="H53" i="4"/>
  <c r="K53" i="4"/>
  <c r="J53" i="4"/>
  <c r="I53" i="4"/>
  <c r="G53" i="4"/>
  <c r="G56" i="4"/>
  <c r="J56" i="4"/>
  <c r="I56" i="4"/>
  <c r="K56" i="4"/>
  <c r="H56" i="4"/>
  <c r="M31" i="23"/>
  <c r="I151" i="24"/>
  <c r="W13" i="24"/>
  <c r="M29" i="7"/>
  <c r="Q31" i="7"/>
  <c r="I44" i="7"/>
  <c r="I45" i="7" s="1"/>
  <c r="I46" i="7" s="1"/>
  <c r="A52" i="4"/>
  <c r="F52" i="4"/>
  <c r="B52" i="4"/>
  <c r="C52" i="4"/>
  <c r="A44" i="4"/>
  <c r="B44" i="4"/>
  <c r="F44" i="4"/>
  <c r="C44" i="4"/>
  <c r="F59" i="4"/>
  <c r="B59" i="4"/>
  <c r="C59" i="4"/>
  <c r="A59" i="4"/>
  <c r="H46" i="21"/>
  <c r="G11" i="4" l="1"/>
  <c r="AB66" i="3"/>
  <c r="AB69" i="3"/>
  <c r="AB73" i="3"/>
  <c r="AB65" i="3"/>
  <c r="AB63" i="3"/>
  <c r="AB71" i="3"/>
  <c r="AB64" i="3"/>
  <c r="AB72" i="3"/>
  <c r="AB67" i="3"/>
  <c r="U31" i="19"/>
  <c r="AB68" i="3"/>
  <c r="K68" i="3" s="1"/>
  <c r="AB62" i="3"/>
  <c r="M62" i="3" s="1"/>
  <c r="H32" i="4"/>
  <c r="F16" i="4"/>
  <c r="U31" i="11"/>
  <c r="U31" i="7"/>
  <c r="U31" i="9"/>
  <c r="U31" i="5"/>
  <c r="Q29" i="19"/>
  <c r="U29" i="19" s="1"/>
  <c r="I150" i="20"/>
  <c r="O150" i="20" s="1"/>
  <c r="D43" i="3"/>
  <c r="J28" i="4"/>
  <c r="J32" i="4" s="1"/>
  <c r="AB54" i="3"/>
  <c r="AB46" i="3"/>
  <c r="AB55" i="3"/>
  <c r="AB47" i="3"/>
  <c r="AB53" i="3"/>
  <c r="AB52" i="3"/>
  <c r="AB51" i="3"/>
  <c r="AB50" i="3"/>
  <c r="D44" i="3"/>
  <c r="AB49" i="3"/>
  <c r="AB56" i="3"/>
  <c r="AB48" i="3"/>
  <c r="AB57" i="3"/>
  <c r="B68" i="3"/>
  <c r="M68" i="3"/>
  <c r="A15" i="3"/>
  <c r="I13" i="3"/>
  <c r="F69" i="3"/>
  <c r="Q29" i="23"/>
  <c r="U29" i="23" s="1"/>
  <c r="I150" i="24"/>
  <c r="O150" i="24" s="1"/>
  <c r="I70" i="3"/>
  <c r="M70" i="3"/>
  <c r="D70" i="3"/>
  <c r="B70" i="3"/>
  <c r="K70" i="3"/>
  <c r="F70" i="3"/>
  <c r="A70" i="3"/>
  <c r="Q29" i="13"/>
  <c r="U29" i="13" s="1"/>
  <c r="I150" i="14"/>
  <c r="O150" i="14" s="1"/>
  <c r="L73" i="46"/>
  <c r="L77" i="46" s="1"/>
  <c r="I150" i="8"/>
  <c r="O150" i="8" s="1"/>
  <c r="Q29" i="7"/>
  <c r="U29" i="7" s="1"/>
  <c r="E16" i="4"/>
  <c r="U31" i="23"/>
  <c r="I150" i="10"/>
  <c r="O150" i="10" s="1"/>
  <c r="Q29" i="9"/>
  <c r="U29" i="9" s="1"/>
  <c r="Q29" i="11"/>
  <c r="U29" i="11" s="1"/>
  <c r="I150" i="12"/>
  <c r="O150" i="12" s="1"/>
  <c r="G9" i="4"/>
  <c r="I150" i="6"/>
  <c r="O150" i="6" s="1"/>
  <c r="Q29" i="5"/>
  <c r="U29" i="5" s="1"/>
  <c r="U31" i="13"/>
  <c r="I28" i="4"/>
  <c r="I32" i="4" s="1"/>
  <c r="B13" i="4"/>
  <c r="G13" i="4" s="1"/>
  <c r="M69" i="3" l="1"/>
  <c r="D69" i="3"/>
  <c r="I65" i="3"/>
  <c r="F65" i="3"/>
  <c r="M65" i="3"/>
  <c r="D66" i="3"/>
  <c r="I66" i="3"/>
  <c r="M66" i="3"/>
  <c r="A66" i="3"/>
  <c r="B66" i="3"/>
  <c r="K66" i="3"/>
  <c r="F66" i="3"/>
  <c r="I69" i="3"/>
  <c r="B69" i="3"/>
  <c r="A69" i="3"/>
  <c r="K69" i="3"/>
  <c r="K73" i="3"/>
  <c r="B73" i="3"/>
  <c r="D73" i="3"/>
  <c r="F73" i="3"/>
  <c r="I73" i="3"/>
  <c r="A73" i="3"/>
  <c r="M73" i="3"/>
  <c r="K65" i="3"/>
  <c r="D65" i="3"/>
  <c r="A65" i="3"/>
  <c r="B65" i="3"/>
  <c r="F63" i="3"/>
  <c r="M63" i="3"/>
  <c r="A63" i="3"/>
  <c r="B63" i="3"/>
  <c r="D63" i="3"/>
  <c r="K63" i="3"/>
  <c r="I63" i="3"/>
  <c r="M71" i="3"/>
  <c r="I71" i="3"/>
  <c r="F71" i="3"/>
  <c r="A71" i="3"/>
  <c r="B71" i="3"/>
  <c r="D71" i="3"/>
  <c r="K71" i="3"/>
  <c r="A64" i="3"/>
  <c r="K64" i="3"/>
  <c r="I64" i="3"/>
  <c r="A72" i="3"/>
  <c r="D72" i="3"/>
  <c r="F72" i="3"/>
  <c r="K72" i="3"/>
  <c r="M72" i="3"/>
  <c r="B72" i="3"/>
  <c r="I72" i="3"/>
  <c r="I67" i="3"/>
  <c r="A67" i="3"/>
  <c r="D64" i="3"/>
  <c r="B64" i="3"/>
  <c r="F64" i="3"/>
  <c r="M64" i="3"/>
  <c r="I68" i="3"/>
  <c r="K67" i="3"/>
  <c r="I62" i="3"/>
  <c r="F67" i="3"/>
  <c r="M67" i="3"/>
  <c r="B67" i="3"/>
  <c r="D67" i="3"/>
  <c r="B62" i="3"/>
  <c r="F62" i="3"/>
  <c r="D68" i="3"/>
  <c r="A62" i="3"/>
  <c r="D62" i="3"/>
  <c r="A68" i="3"/>
  <c r="K62" i="3"/>
  <c r="F68" i="3"/>
  <c r="E51" i="3"/>
  <c r="H51" i="3"/>
  <c r="A51" i="3"/>
  <c r="M51" i="3"/>
  <c r="I51" i="3"/>
  <c r="G51" i="3"/>
  <c r="F51" i="3"/>
  <c r="D51" i="3"/>
  <c r="B51" i="3"/>
  <c r="K51" i="3"/>
  <c r="M57" i="3"/>
  <c r="B57" i="3"/>
  <c r="F57" i="3"/>
  <c r="K57" i="3"/>
  <c r="H57" i="3"/>
  <c r="G57" i="3"/>
  <c r="I57" i="3"/>
  <c r="E57" i="3"/>
  <c r="D57" i="3"/>
  <c r="A57" i="3"/>
  <c r="G53" i="3"/>
  <c r="K53" i="3"/>
  <c r="A53" i="3"/>
  <c r="D53" i="3"/>
  <c r="B53" i="3"/>
  <c r="H53" i="3"/>
  <c r="E53" i="3"/>
  <c r="M53" i="3"/>
  <c r="I53" i="3"/>
  <c r="F53" i="3"/>
  <c r="K52" i="3"/>
  <c r="A52" i="3"/>
  <c r="E52" i="3"/>
  <c r="B52" i="3"/>
  <c r="D52" i="3"/>
  <c r="M52" i="3"/>
  <c r="I52" i="3"/>
  <c r="H52" i="3"/>
  <c r="G52" i="3"/>
  <c r="F52" i="3"/>
  <c r="F48" i="3"/>
  <c r="I48" i="3"/>
  <c r="B48" i="3"/>
  <c r="K48" i="3"/>
  <c r="H48" i="3"/>
  <c r="M48" i="3"/>
  <c r="G48" i="3"/>
  <c r="E48" i="3"/>
  <c r="D48" i="3"/>
  <c r="A48" i="3"/>
  <c r="I47" i="3"/>
  <c r="D47" i="3"/>
  <c r="B47" i="3"/>
  <c r="H47" i="3"/>
  <c r="G47" i="3"/>
  <c r="K47" i="3"/>
  <c r="E47" i="3"/>
  <c r="A47" i="3"/>
  <c r="M47" i="3"/>
  <c r="F47" i="3"/>
  <c r="D54" i="3"/>
  <c r="G54" i="3"/>
  <c r="M54" i="3"/>
  <c r="E54" i="3"/>
  <c r="B54" i="3"/>
  <c r="I54" i="3"/>
  <c r="H54" i="3"/>
  <c r="F54" i="3"/>
  <c r="A54" i="3"/>
  <c r="K54" i="3"/>
  <c r="B16" i="4"/>
  <c r="F56" i="3"/>
  <c r="I56" i="3"/>
  <c r="M56" i="3"/>
  <c r="G56" i="3"/>
  <c r="E56" i="3"/>
  <c r="H56" i="3"/>
  <c r="B56" i="3"/>
  <c r="A56" i="3"/>
  <c r="K56" i="3"/>
  <c r="D56" i="3"/>
  <c r="I55" i="3"/>
  <c r="D55" i="3"/>
  <c r="M55" i="3"/>
  <c r="F55" i="3"/>
  <c r="E55" i="3"/>
  <c r="A55" i="3"/>
  <c r="K55" i="3"/>
  <c r="H55" i="3"/>
  <c r="G55" i="3"/>
  <c r="B55" i="3"/>
  <c r="H50" i="3"/>
  <c r="M50" i="3"/>
  <c r="B50" i="3"/>
  <c r="A50" i="3"/>
  <c r="K50" i="3"/>
  <c r="G50" i="3"/>
  <c r="E50" i="3"/>
  <c r="D50" i="3"/>
  <c r="I50" i="3"/>
  <c r="F50" i="3"/>
  <c r="G16" i="4"/>
  <c r="G17" i="4"/>
  <c r="M49" i="3"/>
  <c r="B49" i="3"/>
  <c r="F49" i="3"/>
  <c r="A49" i="3"/>
  <c r="K49" i="3"/>
  <c r="I49" i="3"/>
  <c r="D49" i="3"/>
  <c r="H49" i="3"/>
  <c r="G49" i="3"/>
  <c r="E49" i="3"/>
  <c r="D46" i="3"/>
  <c r="G46" i="3"/>
  <c r="B46" i="3"/>
  <c r="H46" i="3"/>
  <c r="F46" i="3"/>
  <c r="A46" i="3"/>
  <c r="M46" i="3"/>
  <c r="K46" i="3"/>
  <c r="I46" i="3"/>
  <c r="E46" i="3"/>
</calcChain>
</file>

<file path=xl/sharedStrings.xml><?xml version="1.0" encoding="utf-8"?>
<sst xmlns="http://schemas.openxmlformats.org/spreadsheetml/2006/main" count="27872" uniqueCount="2602">
  <si>
    <t>잔액 | WRAP 통장 안의 목적별 자금</t>
  </si>
  <si>
    <t>조회월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</si>
  <si>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</si>
  <si>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</si>
  <si>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</si>
  <si>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</si>
  <si>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</si>
  <si>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</si>
  <si>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</si>
  <si>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</si>
  <si>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</si>
  <si>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</si>
  <si>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</si>
  <si>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</si>
  <si>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</si>
  <si>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</si>
  <si>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</si>
  <si>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</si>
  <si>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</si>
  <si>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</si>
  <si>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</si>
  <si>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</si>
  <si>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</si>
  <si>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WRAP 통장의 계정별 월말 잔액</t>
  </si>
  <si>
    <t>계정 / 월말 잔액</t>
  </si>
  <si>
    <t>WRAP 내 계정 잔액만 합산합니다. 다른 통장의 잔액·보관금은 포함하지 않습니다.</t>
  </si>
  <si>
    <t>선택한 달의 WRAP 내역 · WRAP 입출금과 계좌이체</t>
  </si>
  <si>
    <t>내역 페이지</t>
  </si>
  <si>
    <t>이체 페이지</t>
  </si>
  <si>
    <t>날짜</t>
  </si>
  <si>
    <t>내용</t>
  </si>
  <si>
    <t>금액</t>
  </si>
  <si>
    <t>보낸 계좌</t>
  </si>
  <si>
    <t>받은 계좌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</si>
  <si>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</si>
  <si>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</si>
  <si>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</si>
  <si>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</si>
  <si>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</si>
  <si>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</si>
  <si>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</si>
  <si>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</si>
  <si>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</si>
  <si>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</si>
  <si>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</si>
  <si>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</si>
  <si>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</si>
  <si>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</si>
  <si>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</si>
  <si>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</si>
  <si>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</si>
  <si>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</si>
  <si>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</si>
  <si>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</si>
  <si>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</si>
  <si>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</si>
  <si>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</si>
  <si>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</si>
  <si>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</si>
  <si>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</si>
  <si>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</si>
  <si>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</si>
  <si>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</si>
  <si>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</si>
  <si>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</si>
  <si>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</si>
  <si>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</si>
  <si>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</si>
  <si>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</si>
  <si>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</si>
  <si>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</si>
  <si>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</si>
  <si>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</si>
  <si>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</si>
  <si>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</si>
  <si>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</si>
  <si>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</si>
  <si>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</si>
  <si>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</si>
  <si>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</si>
  <si>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</si>
  <si>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</si>
  <si>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</si>
  <si>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</si>
  <si>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</si>
  <si>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</si>
  <si>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</si>
  <si>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</si>
  <si>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</si>
  <si>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</si>
  <si>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</si>
  <si>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</si>
  <si>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</si>
  <si>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</si>
  <si>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</si>
  <si>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</si>
  <si>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</si>
  <si>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</si>
  <si>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</si>
  <si>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</si>
  <si>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</si>
  <si>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</si>
  <si>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</si>
  <si>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</si>
  <si>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</si>
  <si>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</si>
  <si>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</si>
  <si>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</si>
  <si>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</si>
  <si>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</si>
  <si>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</si>
  <si>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</si>
  <si>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</si>
  <si>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</si>
  <si>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</si>
  <si>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</si>
  <si>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</si>
  <si>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</si>
  <si>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</si>
  <si>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</si>
  <si>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</si>
  <si>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</si>
  <si>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</si>
  <si>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</si>
  <si>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</si>
  <si>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</si>
  <si>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</si>
  <si>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</si>
  <si>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</si>
  <si>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</si>
  <si>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</si>
  <si>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</si>
  <si>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</si>
  <si>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</si>
  <si>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</si>
  <si>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</si>
  <si>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</si>
  <si>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</si>
  <si>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</si>
  <si>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</si>
  <si>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</si>
  <si>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</si>
  <si>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</si>
  <si>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</si>
  <si>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</si>
  <si>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</si>
  <si>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</si>
  <si>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</si>
  <si>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</si>
  <si>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</si>
  <si>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</si>
  <si>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</si>
  <si>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</si>
  <si>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</si>
  <si>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</si>
  <si>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</si>
  <si>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</si>
  <si>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</si>
  <si>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</si>
  <si>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</si>
  <si>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</si>
  <si>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</si>
  <si>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</si>
  <si>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</si>
  <si>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</si>
  <si>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</si>
  <si>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</si>
  <si>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</si>
  <si>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</si>
  <si>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</si>
  <si>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</si>
  <si>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</si>
  <si>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</si>
  <si>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</si>
  <si>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</si>
  <si>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</si>
  <si>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</si>
  <si>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</si>
  <si>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</si>
  <si>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</si>
  <si>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</si>
  <si>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</si>
  <si>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</si>
  <si>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</si>
  <si>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</si>
  <si>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</si>
  <si>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</si>
  <si>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</si>
  <si>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</si>
  <si>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</si>
  <si>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</si>
  <si>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</si>
  <si>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</si>
  <si>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</si>
  <si>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</si>
  <si>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</si>
  <si>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</si>
  <si>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</si>
  <si>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</si>
  <si>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</si>
  <si>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</si>
  <si>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</si>
  <si>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</si>
  <si>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잔액 탭</t>
  </si>
  <si>
    <t>WRAP에서 다른 은행으로 보내면 WRAP 잔액이 줄고, WRAP으로 들어오면 늘어납니다. 상대 은행에서 나중에 결제한 거래는 WRAP에서 다시 차감하지 않습니다.</t>
  </si>
  <si>
    <t>RAW 탭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</si>
  <si>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</si>
  <si>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</si>
  <si>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실제 배분과 미결제 예정액을 구분합니다. 목적자금 사용은 합계에 중복 가산하지 않습니다.</t>
  </si>
  <si>
    <t>https://www.kasi.re.kr/kor/post/newsMaterial/32031</t>
  </si>
  <si>
    <t>달력 테트리스</t>
  </si>
  <si>
    <t>색상 합계</t>
  </si>
  <si>
    <t>계산기 표시</t>
  </si>
  <si>
    <t>계산기 월급부담</t>
  </si>
  <si>
    <t>기존 목적재원</t>
  </si>
  <si>
    <t>메모</t>
  </si>
  <si>
    <t>3월</t>
  </si>
  <si>
    <t>4월</t>
  </si>
  <si>
    <t>5월</t>
  </si>
  <si>
    <t>6월</t>
  </si>
  <si>
    <t>7월</t>
  </si>
  <si>
    <t>8월</t>
  </si>
  <si>
    <t>9월</t>
  </si>
  <si>
    <t>차이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</si>
  <si>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</si>
  <si>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</si>
  <si>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</si>
  <si>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</si>
  <si>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</si>
  <si>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</si>
  <si>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</si>
  <si>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</si>
  <si>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</si>
  <si>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</si>
  <si>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</si>
  <si>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</si>
  <si>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</si>
  <si>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</si>
  <si>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</si>
  <si>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</si>
  <si>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</si>
  <si>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</si>
  <si>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</si>
  <si>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</si>
  <si>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</si>
  <si>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</si>
  <si>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</si>
  <si>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</si>
  <si>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</si>
  <si>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</si>
  <si>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</si>
  <si>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</si>
  <si>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</si>
  <si>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</si>
  <si>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</si>
  <si>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</si>
  <si>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</si>
  <si>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</si>
  <si>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</si>
  <si>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</si>
  <si>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</si>
  <si>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</si>
  <si>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</si>
  <si>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</si>
  <si>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</si>
  <si>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</si>
  <si>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</si>
  <si>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</si>
  <si>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</si>
  <si>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</si>
  <si>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</si>
  <si>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</si>
  <si>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</si>
  <si>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</si>
  <si>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</si>
  <si>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</si>
  <si>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</si>
  <si>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</si>
  <si>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</si>
  <si>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</si>
  <si>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</si>
  <si>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</si>
  <si>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</si>
  <si>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</si>
  <si>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</si>
  <si>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</si>
  <si>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</si>
  <si>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</si>
  <si>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</si>
  <si>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</si>
  <si>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</si>
  <si>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</si>
  <si>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</si>
  <si>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</si>
  <si>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</si>
  <si>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</si>
  <si>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</si>
  <si>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</si>
  <si>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</si>
  <si>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</si>
  <si>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</si>
  <si>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</si>
  <si>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</si>
  <si>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</si>
  <si>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</si>
  <si>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</si>
  <si>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</si>
  <si>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</si>
  <si>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</si>
  <si>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</si>
  <si>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</si>
  <si>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</si>
  <si>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</si>
  <si>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</si>
  <si>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</si>
  <si>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</si>
  <si>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</si>
  <si>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</si>
  <si>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</si>
  <si>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</si>
  <si>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</si>
  <si>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</si>
  <si>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</si>
  <si>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</si>
  <si>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</si>
  <si>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</si>
  <si>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</si>
  <si>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</si>
  <si>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</si>
  <si>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</si>
  <si>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</si>
  <si>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</si>
  <si>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</si>
  <si>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</si>
  <si>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</si>
  <si>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</si>
  <si>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</si>
  <si>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</si>
  <si>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</si>
  <si>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</si>
  <si>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</si>
  <si>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</si>
  <si>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</si>
  <si>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</si>
  <si>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</si>
  <si>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</si>
  <si>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</si>
  <si>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</si>
  <si>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</si>
  <si>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</si>
  <si>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</si>
  <si>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</si>
  <si>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</si>
  <si>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</si>
  <si>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</si>
  <si>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</si>
  <si>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</si>
  <si>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</si>
  <si>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</si>
  <si>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</si>
  <si>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</si>
  <si>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</si>
  <si>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</si>
  <si>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</si>
  <si>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</si>
  <si>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</si>
  <si>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</si>
  <si>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</si>
  <si>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</si>
  <si>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</si>
  <si>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</si>
  <si>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</si>
  <si>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</si>
  <si>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</si>
  <si>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</si>
  <si>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</si>
  <si>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</si>
  <si>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</si>
  <si>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</si>
  <si>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</si>
  <si>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</si>
  <si>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</si>
  <si>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</si>
  <si>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</si>
  <si>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</si>
  <si>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</si>
  <si>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</si>
  <si>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</si>
  <si>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</si>
  <si>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</si>
  <si>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</si>
  <si>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</si>
  <si>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</si>
  <si>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</si>
  <si>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</si>
  <si>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</si>
  <si>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</si>
  <si>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</si>
  <si>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</si>
  <si>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</si>
  <si>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</si>
  <si>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</si>
  <si>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</si>
  <si>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</si>
  <si>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</si>
  <si>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</si>
  <si>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</si>
  <si>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</si>
  <si>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</si>
  <si>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</si>
  <si>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</si>
  <si>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</si>
  <si>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</si>
  <si>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</si>
  <si>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</si>
  <si>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</si>
  <si>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</si>
  <si>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</si>
  <si>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</si>
  <si>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</si>
  <si>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</si>
  <si>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</si>
  <si>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</si>
  <si>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</si>
  <si>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</si>
  <si>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</si>
  <si>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</si>
  <si>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</si>
  <si>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</si>
  <si>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</si>
  <si>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</si>
  <si>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</si>
  <si>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</si>
  <si>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</si>
  <si>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</si>
  <si>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</si>
  <si>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</si>
  <si>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</si>
  <si>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</si>
  <si>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</si>
  <si>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</si>
  <si>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</si>
  <si>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</si>
  <si>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</si>
  <si>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</si>
  <si>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</si>
  <si>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</si>
  <si>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</si>
  <si>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</si>
  <si>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</si>
  <si>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</si>
  <si>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</si>
  <si>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</si>
  <si>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</si>
  <si>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</si>
  <si>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</si>
  <si>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</si>
  <si>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</si>
  <si>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</si>
  <si>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</si>
  <si>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</si>
  <si>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</si>
  <si>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</si>
  <si>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</si>
  <si>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</si>
  <si>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</si>
  <si>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</si>
  <si>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</si>
  <si>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</si>
  <si>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</si>
  <si>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</si>
  <si>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</si>
  <si>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</si>
  <si>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</si>
  <si>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</si>
  <si>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</si>
  <si>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</si>
  <si>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</si>
  <si>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</si>
  <si>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</si>
  <si>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</si>
  <si>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</si>
  <si>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</si>
  <si>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</si>
  <si>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</si>
  <si>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</si>
  <si>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</si>
  <si>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</si>
  <si>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</si>
  <si>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</si>
  <si>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</si>
  <si>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</si>
  <si>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</si>
  <si>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</si>
  <si>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</si>
  <si>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</si>
  <si>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</si>
  <si>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</si>
  <si>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</si>
  <si>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</si>
  <si>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</si>
  <si>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</si>
  <si>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</si>
  <si>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</si>
  <si>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</si>
  <si>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</si>
  <si>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</si>
  <si>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</si>
  <si>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</si>
  <si>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</si>
  <si>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</si>
  <si>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</si>
  <si>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</si>
  <si>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</si>
  <si>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</si>
  <si>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</si>
  <si>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</si>
  <si>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</si>
  <si>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</si>
  <si>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</si>
  <si>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</si>
  <si>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</si>
  <si>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</si>
  <si>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</si>
  <si>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</si>
  <si>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</si>
  <si>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</si>
  <si>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</si>
  <si>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</si>
  <si>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</si>
  <si>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</si>
  <si>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</si>
  <si>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</si>
  <si>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</si>
  <si>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</si>
  <si>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</si>
  <si>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</si>
  <si>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</si>
  <si>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</si>
  <si>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</si>
  <si>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</si>
  <si>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</si>
  <si>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</si>
  <si>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</si>
  <si>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</si>
  <si>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</si>
  <si>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</si>
  <si>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</si>
  <si>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</si>
  <si>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</si>
  <si>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</si>
  <si>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지성두피용 샴푸</t>
  </si>
  <si>
    <t>숙소 정산 지출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</si>
  <si>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</si>
  <si>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</si>
  <si>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</si>
  <si>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</si>
  <si>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빨간 금액·R은 추정</t>
  </si>
  <si>
    <t>예상</t>
  </si>
  <si>
    <t>9월사용분(전달)</t>
  </si>
  <si>
    <t>확정</t>
  </si>
  <si>
    <t>T우주 CU구독</t>
  </si>
  <si>
    <t>10/13 RAW 2444행 실제 이자 90,410원 확인. 10/12 준비 이체와 분리. 9월 결제방식 유지.</t>
  </si>
  <si>
    <t>Uber One</t>
  </si>
  <si>
    <t>T우주+YouTube</t>
  </si>
  <si>
    <t>14회차</t>
  </si>
  <si>
    <t>6/36회차</t>
  </si>
  <si>
    <t>9월 3/3 완납</t>
  </si>
  <si>
    <t>9월 3/3 완납 · 추가 청구 없음</t>
  </si>
  <si>
    <t>고정비 실적+예정</t>
  </si>
  <si>
    <t>확정 고정생활비</t>
  </si>
  <si>
    <t>월급 배분 제외</t>
  </si>
  <si>
    <t>명절비는 WRAP 원래 계정입니다. 가족통장으로 보낸 돈은 9월 WRAP에서 이미 차감되었습니다.</t>
  </si>
  <si>
    <t>월급 예정</t>
  </si>
  <si>
    <t>2026년 10월 · 테트리스 계산기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</si>
  <si>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</si>
  <si>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</si>
  <si>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</si>
  <si>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</si>
  <si>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</si>
  <si>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</si>
  <si>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</si>
  <si>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</si>
  <si>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</si>
  <si>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</si>
  <si>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</si>
  <si>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</si>
  <si>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</si>
  <si>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</si>
  <si>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</si>
  <si>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</si>
  <si>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</si>
  <si>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</si>
  <si>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</si>
  <si>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</si>
  <si>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</si>
  <si>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</si>
  <si>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</si>
  <si>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</si>
  <si>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</si>
  <si>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</si>
  <si>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</si>
  <si>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</si>
  <si>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</si>
  <si>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</si>
  <si>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</si>
  <si>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</si>
  <si>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</si>
  <si>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</si>
  <si>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</si>
  <si>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</si>
  <si>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</si>
  <si>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</si>
  <si>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</si>
  <si>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</si>
  <si>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식재료</t>
  </si>
  <si>
    <t>장보기</t>
  </si>
  <si>
    <t>경조·선물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</si>
  <si>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</si>
  <si>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</si>
  <si>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</si>
  <si>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</si>
  <si>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</si>
  <si>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</si>
  <si>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</si>
  <si>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</si>
  <si>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</si>
  <si>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</si>
  <si>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</si>
  <si>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</si>
  <si>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</si>
  <si>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</si>
  <si>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</si>
  <si>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</si>
  <si>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</si>
  <si>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</si>
  <si>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</si>
  <si>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</si>
  <si>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</si>
  <si>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</si>
  <si>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</si>
  <si>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</si>
  <si>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</si>
  <si>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</si>
  <si>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</si>
  <si>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</si>
  <si>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</si>
  <si>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</si>
  <si>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</si>
  <si>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</si>
  <si>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</si>
  <si>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</si>
  <si>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</si>
  <si>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</si>
  <si>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</si>
  <si>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</si>
  <si>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</si>
  <si>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</si>
  <si>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</si>
  <si>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</si>
  <si>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</si>
  <si>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</si>
  <si>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</si>
  <si>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</si>
  <si>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</si>
  <si>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</si>
  <si>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</si>
  <si>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</si>
  <si>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</si>
  <si>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</si>
  <si>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</si>
  <si>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</si>
  <si>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</si>
  <si>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</si>
  <si>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</si>
  <si>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</si>
  <si>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</si>
  <si>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</si>
  <si>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</si>
  <si>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</si>
  <si>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</si>
  <si>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</si>
  <si>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</si>
  <si>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</si>
  <si>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</si>
  <si>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</si>
  <si>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</si>
  <si>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</si>
  <si>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</si>
  <si>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</si>
  <si>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</si>
  <si>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</si>
  <si>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</si>
  <si>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</si>
  <si>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</si>
  <si>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</si>
  <si>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</si>
  <si>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</si>
  <si>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</si>
  <si>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</si>
  <si>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</si>
  <si>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</si>
  <si>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</si>
  <si>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</si>
  <si>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</si>
  <si>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</si>
  <si>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</si>
  <si>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</si>
  <si>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</si>
  <si>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</si>
  <si>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</si>
  <si>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</si>
  <si>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</si>
  <si>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</si>
  <si>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</si>
  <si>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</si>
  <si>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</si>
  <si>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</si>
  <si>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</si>
  <si>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</si>
  <si>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</si>
  <si>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</si>
  <si>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</si>
  <si>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</si>
  <si>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</si>
  <si>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</si>
  <si>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</si>
  <si>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</si>
  <si>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</si>
  <si>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</si>
  <si>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</si>
  <si>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</si>
  <si>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</si>
  <si>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</si>
  <si>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</si>
  <si>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</si>
  <si>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</si>
  <si>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</si>
  <si>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</si>
  <si>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</si>
  <si>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</si>
  <si>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</si>
  <si>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</si>
  <si>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</si>
  <si>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</si>
  <si>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</si>
  <si>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</si>
  <si>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</si>
  <si>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</si>
  <si>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</si>
  <si>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</si>
  <si>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</si>
  <si>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</si>
  <si>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</si>
  <si>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</si>
  <si>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</si>
  <si>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</si>
  <si>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</si>
  <si>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</si>
  <si>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</si>
  <si>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</si>
  <si>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</si>
  <si>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</si>
  <si>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</si>
  <si>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</si>
  <si>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</si>
  <si>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</si>
  <si>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</si>
  <si>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</si>
  <si>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</si>
  <si>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</si>
  <si>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</si>
  <si>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</si>
  <si>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</si>
  <si>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</si>
  <si>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</si>
  <si>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</si>
  <si>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</si>
  <si>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</si>
  <si>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</si>
  <si>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</si>
  <si>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</si>
  <si>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</si>
  <si>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</si>
  <si>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</si>
  <si>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</si>
  <si>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</si>
  <si>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</si>
  <si>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</si>
  <si>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</si>
  <si>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</si>
  <si>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</si>
  <si>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</si>
  <si>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</si>
  <si>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</si>
  <si>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</si>
  <si>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</si>
  <si>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</si>
  <si>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</si>
  <si>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</si>
  <si>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</si>
  <si>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</si>
  <si>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</si>
  <si>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</si>
  <si>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</si>
  <si>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</si>
  <si>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</si>
  <si>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</si>
  <si>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</si>
  <si>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</si>
  <si>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</si>
  <si>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</si>
  <si>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</si>
  <si>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</si>
  <si>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</si>
  <si>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</si>
  <si>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</si>
  <si>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</si>
  <si>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</si>
  <si>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</si>
  <si>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</si>
  <si>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</si>
  <si>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</si>
  <si>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</si>
  <si>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</si>
  <si>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</si>
  <si>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</si>
  <si>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</si>
  <si>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</si>
  <si>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</si>
  <si>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</si>
  <si>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</si>
  <si>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</si>
  <si>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</si>
  <si>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</si>
  <si>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</si>
  <si>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</si>
  <si>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</si>
  <si>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</si>
  <si>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</si>
  <si>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</si>
  <si>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</si>
  <si>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</si>
  <si>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</si>
  <si>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</si>
  <si>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</si>
  <si>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</si>
  <si>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</si>
  <si>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</si>
  <si>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</si>
  <si>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</si>
  <si>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</si>
  <si>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</si>
  <si>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</si>
  <si>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</si>
  <si>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</si>
  <si>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</si>
  <si>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</si>
  <si>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</si>
  <si>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</si>
  <si>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</si>
  <si>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</si>
  <si>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</si>
  <si>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</si>
  <si>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</si>
  <si>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</si>
  <si>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</si>
  <si>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</si>
  <si>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</si>
  <si>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</si>
  <si>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</si>
  <si>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</si>
  <si>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</si>
  <si>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</si>
  <si>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</si>
  <si>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</si>
  <si>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</si>
  <si>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</si>
  <si>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</si>
  <si>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</si>
  <si>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</si>
  <si>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</si>
  <si>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</si>
  <si>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</si>
  <si>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</si>
  <si>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</si>
  <si>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</si>
  <si>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</si>
  <si>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</si>
  <si>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</si>
  <si>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</si>
  <si>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</si>
  <si>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</si>
  <si>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</si>
  <si>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</si>
  <si>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</si>
  <si>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</si>
  <si>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</si>
  <si>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</si>
  <si>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</si>
  <si>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</si>
  <si>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</si>
  <si>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</si>
  <si>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</si>
  <si>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</si>
  <si>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</si>
  <si>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</si>
  <si>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</si>
  <si>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</si>
  <si>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</si>
  <si>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</si>
  <si>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</si>
  <si>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</si>
  <si>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</si>
  <si>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</si>
  <si>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</si>
  <si>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</si>
  <si>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</si>
  <si>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</si>
  <si>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</si>
  <si>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</si>
  <si>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</si>
  <si>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</si>
  <si>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</si>
  <si>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</si>
  <si>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</si>
  <si>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</si>
  <si>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</si>
  <si>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</si>
  <si>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</si>
  <si>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</si>
  <si>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</si>
  <si>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</si>
  <si>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</si>
  <si>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</si>
  <si>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</si>
  <si>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</si>
  <si>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</si>
  <si>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</si>
  <si>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</si>
  <si>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</si>
  <si>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</si>
  <si>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</si>
  <si>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</si>
  <si>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</si>
  <si>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</si>
  <si>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</si>
  <si>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</si>
  <si>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</si>
  <si>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</si>
  <si>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</si>
  <si>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</si>
  <si>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</si>
  <si>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</si>
  <si>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</si>
  <si>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</si>
  <si>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</si>
  <si>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</si>
  <si>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</si>
  <si>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</si>
  <si>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</si>
  <si>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</si>
  <si>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</si>
  <si>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</si>
  <si>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</si>
  <si>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</si>
  <si>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</si>
  <si>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</si>
  <si>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</si>
  <si>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</si>
  <si>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</si>
  <si>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</si>
  <si>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</si>
  <si>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</si>
  <si>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</si>
  <si>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</si>
  <si>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</si>
  <si>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</si>
  <si>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</si>
  <si>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</si>
  <si>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</si>
  <si>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</si>
  <si>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</si>
  <si>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</si>
  <si>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</si>
  <si>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</si>
  <si>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</si>
  <si>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</si>
  <si>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</si>
  <si>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</si>
  <si>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</si>
  <si>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</si>
  <si>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</si>
  <si>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</si>
  <si>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</si>
  <si>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</si>
  <si>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</si>
  <si>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</si>
  <si>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</si>
  <si>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</si>
  <si>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</si>
  <si>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</si>
  <si>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</si>
  <si>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</si>
  <si>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</si>
  <si>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</si>
  <si>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</si>
  <si>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</si>
  <si>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</si>
  <si>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</si>
  <si>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</si>
  <si>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</si>
  <si>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</si>
  <si>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</si>
  <si>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</si>
  <si>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</si>
  <si>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</si>
  <si>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</si>
  <si>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</si>
  <si>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</si>
  <si>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</si>
  <si>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</si>
  <si>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</si>
  <si>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</si>
  <si>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</si>
  <si>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</si>
  <si>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</si>
  <si>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</si>
  <si>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</si>
  <si>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</si>
  <si>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</si>
  <si>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</si>
  <si>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</si>
  <si>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</si>
  <si>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</si>
  <si>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</si>
  <si>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</si>
  <si>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</si>
  <si>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</si>
  <si>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</si>
  <si>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</si>
  <si>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</si>
  <si>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</si>
  <si>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</si>
  <si>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</si>
  <si>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</si>
  <si>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</si>
  <si>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</si>
  <si>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</si>
  <si>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</si>
  <si>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</si>
  <si>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</si>
  <si>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</si>
  <si>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</si>
  <si>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</si>
  <si>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</si>
  <si>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</si>
  <si>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</si>
  <si>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</si>
  <si>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</si>
  <si>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</si>
  <si>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</si>
  <si>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</si>
  <si>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</si>
  <si>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</si>
  <si>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</si>
  <si>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</si>
  <si>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</si>
  <si>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</si>
  <si>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</si>
  <si>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</si>
  <si>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</si>
  <si>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</si>
  <si>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</si>
  <si>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</si>
  <si>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</si>
  <si>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</si>
  <si>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</si>
  <si>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</si>
  <si>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</si>
  <si>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</si>
  <si>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</si>
  <si>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</si>
  <si>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</si>
  <si>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</si>
  <si>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</si>
  <si>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</si>
  <si>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</si>
  <si>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</si>
  <si>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</si>
  <si>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</si>
  <si>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</si>
  <si>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</si>
  <si>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</si>
  <si>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</si>
  <si>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</si>
  <si>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</si>
  <si>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</si>
  <si>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</si>
  <si>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</si>
  <si>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</si>
  <si>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</si>
  <si>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</si>
  <si>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</si>
  <si>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</si>
  <si>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</si>
  <si>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</si>
  <si>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</si>
  <si>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</si>
  <si>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</si>
  <si>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</si>
  <si>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</si>
  <si>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</si>
  <si>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</si>
  <si>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</si>
  <si>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</si>
  <si>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</si>
  <si>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</si>
  <si>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</si>
  <si>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</si>
  <si>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</si>
  <si>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</si>
  <si>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</si>
  <si>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</si>
  <si>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</si>
  <si>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</si>
  <si>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</si>
  <si>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</si>
  <si>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</si>
  <si>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</si>
  <si>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</si>
  <si>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</si>
  <si>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</si>
  <si>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</si>
  <si>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</si>
  <si>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</si>
  <si>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</si>
  <si>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</si>
  <si>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</si>
  <si>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</si>
  <si>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</si>
  <si>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</si>
  <si>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</si>
  <si>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</si>
  <si>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</si>
  <si>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</si>
  <si>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</si>
  <si>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</si>
  <si>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</si>
  <si>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</si>
  <si>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</si>
  <si>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</si>
  <si>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</si>
  <si>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</si>
  <si>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</si>
  <si>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</si>
  <si>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</si>
  <si>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</si>
  <si>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</si>
  <si>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</si>
  <si>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</si>
  <si>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</si>
  <si>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</si>
  <si>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</si>
  <si>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</si>
  <si>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</si>
  <si>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</si>
  <si>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</si>
  <si>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</si>
  <si>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</si>
  <si>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</si>
  <si>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</si>
  <si>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</si>
  <si>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</si>
  <si>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</si>
  <si>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</si>
  <si>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</si>
  <si>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</si>
  <si>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</si>
  <si>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</si>
  <si>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</si>
  <si>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</si>
  <si>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</si>
  <si>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</si>
  <si>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</si>
  <si>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</si>
  <si>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</si>
  <si>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</si>
  <si>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</si>
  <si>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</si>
  <si>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</si>
  <si>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</si>
  <si>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</si>
  <si>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</si>
  <si>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</si>
  <si>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</si>
  <si>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</si>
  <si>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</si>
  <si>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</si>
  <si>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</si>
  <si>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</si>
  <si>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</si>
  <si>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</si>
  <si>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</si>
  <si>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</si>
  <si>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</si>
  <si>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</si>
  <si>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</si>
  <si>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</si>
  <si>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</si>
  <si>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</si>
  <si>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</si>
  <si>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</si>
  <si>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</si>
  <si>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</si>
  <si>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</si>
  <si>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</si>
  <si>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</si>
  <si>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</si>
  <si>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</si>
  <si>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</si>
  <si>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</si>
  <si>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</si>
  <si>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</si>
  <si>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</si>
  <si>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</si>
  <si>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</si>
  <si>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</si>
  <si>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</si>
  <si>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</si>
  <si>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</si>
  <si>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</si>
  <si>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</si>
  <si>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</si>
  <si>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</si>
  <si>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</si>
  <si>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</si>
  <si>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</si>
  <si>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</si>
  <si>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</si>
  <si>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</si>
  <si>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</si>
  <si>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</si>
  <si>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</si>
  <si>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</si>
  <si>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</si>
  <si>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</si>
  <si>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</si>
  <si>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</si>
  <si>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</si>
  <si>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</si>
  <si>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</si>
  <si>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</si>
  <si>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</si>
  <si>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</si>
  <si>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</si>
  <si>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</si>
  <si>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</si>
  <si>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</si>
  <si>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</si>
  <si>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</si>
  <si>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</si>
  <si>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</si>
  <si>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</si>
  <si>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</si>
  <si>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</si>
  <si>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</si>
  <si>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</si>
  <si>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</si>
  <si>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</si>
  <si>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</si>
  <si>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</si>
  <si>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</si>
  <si>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</si>
  <si>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</si>
  <si>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</si>
  <si>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</si>
  <si>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</si>
  <si>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</si>
  <si>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</si>
  <si>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</si>
  <si>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</si>
  <si>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</si>
  <si>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</si>
  <si>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</si>
  <si>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</si>
  <si>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</si>
  <si>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</si>
  <si>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</si>
  <si>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</si>
  <si>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</si>
  <si>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</si>
  <si>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</si>
  <si>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</si>
  <si>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</si>
  <si>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</si>
  <si>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</si>
  <si>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</si>
  <si>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</si>
  <si>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</si>
  <si>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</si>
  <si>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</si>
  <si>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</si>
  <si>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</si>
  <si>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</si>
  <si>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</si>
  <si>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</si>
  <si>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</si>
  <si>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</si>
  <si>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</si>
  <si>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</si>
  <si>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</si>
  <si>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</si>
  <si>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</si>
  <si>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</si>
  <si>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</si>
  <si>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</si>
  <si>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</si>
  <si>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</si>
  <si>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</si>
  <si>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</si>
  <si>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</si>
  <si>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</si>
  <si>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</si>
  <si>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</si>
  <si>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</si>
  <si>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</si>
  <si>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</si>
  <si>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</si>
  <si>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</si>
  <si>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</si>
  <si>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</si>
  <si>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</si>
  <si>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</si>
  <si>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</si>
  <si>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</si>
  <si>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</si>
  <si>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</si>
  <si>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</si>
  <si>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</si>
  <si>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</si>
  <si>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</si>
  <si>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</si>
  <si>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</si>
  <si>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</si>
  <si>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</si>
  <si>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</si>
  <si>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</si>
  <si>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</si>
  <si>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</si>
  <si>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</si>
  <si>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</si>
  <si>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</si>
  <si>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</si>
  <si>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</si>
  <si>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</si>
  <si>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</si>
  <si>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</si>
  <si>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</si>
  <si>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</si>
  <si>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</si>
  <si>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</si>
  <si>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</si>
  <si>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</si>
  <si>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</si>
  <si>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</si>
  <si>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</si>
  <si>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</si>
  <si>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</si>
  <si>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</si>
  <si>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</si>
  <si>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</si>
  <si>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</si>
  <si>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</si>
  <si>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</si>
  <si>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</si>
  <si>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</si>
  <si>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</si>
  <si>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</si>
  <si>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</si>
  <si>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</si>
  <si>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</si>
  <si>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</si>
  <si>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</si>
  <si>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</si>
  <si>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</si>
  <si>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</si>
  <si>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</si>
  <si>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</si>
  <si>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</si>
  <si>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</si>
  <si>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</si>
  <si>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</si>
  <si>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</si>
  <si>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</si>
  <si>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</si>
  <si>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</si>
  <si>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</si>
  <si>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</si>
  <si>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</si>
  <si>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</si>
  <si>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</si>
  <si>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</si>
  <si>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</si>
  <si>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</si>
  <si>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</si>
  <si>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</si>
  <si>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</si>
  <si>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</si>
  <si>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</si>
  <si>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</si>
  <si>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</si>
  <si>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</si>
  <si>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</si>
  <si>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</si>
  <si>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</si>
  <si>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</si>
  <si>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</si>
  <si>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</si>
  <si>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</si>
  <si>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</si>
  <si>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</si>
  <si>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</si>
  <si>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</si>
  <si>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</si>
  <si>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</si>
  <si>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</si>
  <si>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</si>
  <si>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</si>
  <si>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</si>
  <si>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</si>
  <si>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</si>
  <si>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</si>
  <si>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</si>
  <si>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</si>
  <si>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</si>
  <si>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</si>
  <si>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</si>
  <si>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</si>
  <si>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</si>
  <si>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</si>
  <si>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</si>
  <si>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</si>
  <si>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</si>
  <si>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</si>
  <si>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</si>
  <si>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</si>
  <si>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</si>
  <si>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</si>
  <si>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</si>
  <si>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</si>
  <si>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</si>
  <si>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</si>
  <si>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</si>
  <si>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</si>
  <si>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</si>
  <si>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</si>
  <si>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</si>
  <si>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</si>
  <si>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</si>
  <si>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</si>
  <si>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</si>
  <si>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</si>
  <si>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</si>
  <si>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</si>
  <si>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</si>
  <si>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</si>
  <si>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</si>
  <si>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</si>
  <si>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</si>
  <si>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</si>
  <si>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</si>
  <si>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</si>
  <si>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</si>
  <si>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</si>
  <si>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</si>
  <si>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</si>
  <si>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</si>
  <si>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</si>
  <si>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</si>
  <si>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</si>
  <si>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</si>
  <si>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</si>
  <si>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</si>
  <si>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</si>
  <si>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</si>
  <si>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</si>
  <si>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</si>
  <si>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</si>
  <si>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</si>
  <si>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</si>
  <si>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</si>
  <si>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</si>
  <si>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</si>
  <si>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</si>
  <si>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</si>
  <si>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</si>
  <si>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</si>
  <si>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</si>
  <si>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</si>
  <si>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</si>
  <si>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</si>
  <si>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</si>
  <si>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</si>
  <si>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</si>
  <si>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</si>
  <si>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</si>
  <si>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</si>
  <si>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</si>
  <si>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</si>
  <si>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</si>
  <si>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</si>
  <si>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</si>
  <si>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</si>
  <si>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</si>
  <si>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</si>
  <si>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</si>
  <si>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</si>
  <si>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</si>
  <si>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</si>
  <si>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</si>
  <si>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</si>
  <si>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</si>
  <si>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</si>
  <si>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</si>
  <si>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</si>
  <si>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</si>
  <si>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</si>
  <si>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</si>
  <si>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</si>
  <si>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</si>
  <si>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</si>
  <si>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</si>
  <si>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</si>
  <si>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</si>
  <si>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</si>
  <si>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</si>
  <si>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</si>
  <si>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</si>
  <si>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</si>
  <si>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</si>
  <si>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</si>
  <si>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</si>
  <si>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</si>
  <si>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</si>
  <si>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</si>
  <si>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</si>
  <si>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</si>
  <si>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</si>
  <si>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</si>
  <si>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</si>
  <si>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</si>
  <si>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</si>
  <si>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</si>
  <si>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</si>
  <si>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</si>
  <si>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</si>
  <si>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</si>
  <si>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</si>
  <si>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</si>
  <si>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</si>
  <si>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</si>
  <si>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</si>
  <si>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</si>
  <si>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</si>
  <si>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</si>
  <si>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</si>
  <si>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</si>
  <si>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</si>
  <si>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</si>
  <si>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</si>
  <si>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</si>
  <si>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</si>
  <si>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</si>
  <si>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</si>
  <si>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</si>
  <si>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</si>
  <si>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</si>
  <si>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</si>
  <si>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</si>
  <si>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</si>
  <si>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</si>
  <si>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</si>
  <si>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</si>
  <si>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</si>
  <si>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</si>
  <si>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</si>
  <si>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</si>
  <si>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</si>
  <si>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</si>
  <si>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</si>
  <si>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</si>
  <si>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</si>
  <si>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</si>
  <si>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</si>
  <si>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</si>
  <si>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</si>
  <si>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</si>
  <si>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</si>
  <si>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</si>
  <si>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</si>
  <si>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</si>
  <si>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</si>
  <si>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</si>
  <si>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</si>
  <si>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</si>
  <si>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</si>
  <si>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</si>
  <si>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</si>
  <si>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</si>
  <si>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</si>
  <si>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</si>
  <si>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</si>
  <si>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</si>
  <si>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</si>
  <si>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</si>
  <si>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</si>
  <si>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</si>
  <si>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</si>
  <si>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</si>
  <si>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</si>
  <si>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</si>
  <si>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</si>
  <si>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</si>
  <si>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</si>
  <si>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</si>
  <si>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</si>
  <si>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</si>
  <si>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</si>
  <si>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</si>
  <si>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</si>
  <si>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</si>
  <si>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</si>
  <si>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</si>
  <si>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</si>
  <si>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</si>
  <si>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</si>
  <si>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</si>
  <si>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</si>
  <si>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</si>
  <si>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</si>
  <si>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</si>
  <si>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</si>
  <si>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</si>
  <si>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</si>
  <si>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</si>
  <si>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</si>
  <si>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</si>
  <si>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</si>
  <si>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</si>
  <si>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</si>
  <si>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</si>
  <si>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</si>
  <si>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</si>
  <si>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</si>
  <si>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</si>
  <si>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</si>
  <si>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</si>
  <si>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</si>
  <si>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</si>
  <si>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</si>
  <si>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</si>
  <si>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</si>
  <si>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</si>
  <si>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</si>
  <si>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</si>
  <si>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</si>
  <si>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</si>
  <si>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</si>
  <si>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</si>
  <si>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</si>
  <si>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</si>
  <si>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</si>
  <si>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</si>
  <si>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</si>
  <si>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</si>
  <si>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</si>
  <si>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</si>
  <si>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</si>
  <si>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</si>
  <si>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</si>
  <si>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</si>
  <si>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</si>
  <si>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</si>
  <si>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</si>
  <si>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</si>
  <si>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</si>
  <si>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</si>
  <si>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</si>
  <si>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</si>
  <si>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</si>
  <si>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</si>
  <si>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</si>
  <si>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</si>
  <si>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</si>
  <si>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</si>
  <si>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</si>
  <si>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</si>
  <si>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</si>
  <si>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</si>
  <si>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</si>
  <si>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</si>
  <si>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</si>
  <si>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</si>
  <si>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</si>
  <si>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</si>
  <si>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</si>
  <si>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</si>
  <si>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</si>
  <si>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</si>
  <si>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</si>
  <si>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</si>
  <si>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</si>
  <si>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</si>
  <si>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</si>
  <si>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</si>
  <si>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</si>
  <si>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</si>
  <si>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</si>
  <si>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</si>
  <si>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</si>
  <si>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</si>
  <si>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</si>
  <si>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</si>
  <si>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</si>
  <si>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</si>
  <si>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</si>
  <si>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</si>
  <si>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</si>
  <si>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</si>
  <si>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</si>
  <si>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</si>
  <si>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</si>
  <si>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</si>
  <si>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</si>
  <si>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</si>
  <si>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</si>
  <si>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</si>
  <si>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</si>
  <si>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</si>
  <si>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</si>
  <si>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</si>
  <si>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</si>
  <si>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</si>
  <si>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</si>
  <si>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</si>
  <si>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</si>
  <si>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</si>
  <si>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</si>
  <si>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</si>
  <si>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</si>
  <si>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</si>
  <si>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</si>
  <si>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</si>
  <si>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</si>
  <si>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</si>
  <si>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</si>
  <si>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</si>
  <si>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</si>
  <si>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</si>
  <si>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</si>
  <si>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</si>
  <si>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</si>
  <si>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</si>
  <si>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</si>
  <si>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</si>
  <si>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</si>
  <si>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</si>
  <si>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</si>
  <si>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</si>
  <si>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</si>
  <si>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</si>
  <si>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</si>
  <si>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</si>
  <si>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</si>
  <si>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</si>
  <si>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</si>
  <si>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</si>
  <si>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</si>
  <si>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</si>
  <si>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</si>
  <si>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</si>
  <si>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</si>
  <si>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</si>
  <si>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</si>
  <si>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</si>
  <si>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</si>
  <si>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</si>
  <si>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</si>
  <si>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</si>
  <si>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</si>
  <si>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</si>
  <si>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</si>
  <si>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</si>
  <si>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</si>
  <si>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</si>
  <si>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</si>
  <si>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</si>
  <si>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</si>
  <si>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</si>
  <si>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</si>
  <si>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</si>
  <si>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</si>
  <si>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</si>
  <si>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</si>
  <si>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</si>
  <si>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</si>
  <si>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</si>
  <si>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</si>
  <si>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</si>
  <si>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</si>
  <si>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</si>
  <si>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</si>
  <si>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</si>
  <si>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</si>
  <si>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</si>
  <si>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</si>
  <si>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</si>
  <si>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</si>
  <si>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</si>
  <si>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</si>
  <si>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</si>
  <si>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</si>
  <si>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</si>
  <si>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</si>
  <si>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</si>
  <si>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</si>
  <si>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</si>
  <si>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</si>
  <si>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</si>
  <si>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</si>
  <si>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</si>
  <si>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</si>
  <si>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</si>
  <si>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</si>
  <si>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</si>
  <si>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</si>
  <si>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</si>
  <si>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</si>
  <si>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</si>
  <si>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</si>
  <si>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</si>
  <si>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</si>
  <si>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</si>
  <si>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</si>
  <si>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</si>
  <si>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</si>
  <si>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</si>
  <si>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</si>
  <si>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</si>
  <si>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</si>
  <si>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</si>
  <si>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</si>
  <si>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</si>
  <si>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</si>
  <si>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</si>
  <si>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</si>
  <si>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</si>
  <si>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</si>
  <si>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</si>
  <si>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</si>
  <si>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</si>
  <si>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</si>
  <si>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</si>
  <si>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</si>
  <si>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</si>
  <si>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</si>
  <si>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</si>
  <si>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</si>
  <si>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</si>
  <si>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</si>
  <si>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</si>
  <si>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</si>
  <si>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</si>
  <si>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</si>
  <si>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</si>
  <si>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</si>
  <si>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</si>
  <si>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</si>
  <si>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</si>
  <si>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</si>
  <si>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</si>
  <si>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</si>
  <si>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</si>
  <si>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</si>
  <si>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</si>
  <si>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</si>
  <si>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</si>
  <si>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</si>
  <si>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</si>
  <si>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</si>
  <si>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</si>
  <si>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</si>
  <si>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</si>
  <si>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</si>
  <si>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</si>
  <si>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</si>
  <si>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</si>
  <si>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</si>
  <si>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</si>
  <si>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</si>
  <si>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</si>
  <si>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</si>
  <si>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</si>
  <si>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</si>
  <si>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</si>
  <si>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</si>
  <si>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</si>
  <si>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</si>
  <si>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</si>
  <si>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</si>
  <si>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</si>
  <si>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</si>
  <si>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</si>
  <si>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</si>
  <si>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</si>
  <si>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</si>
  <si>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</si>
  <si>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</si>
  <si>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</si>
  <si>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</si>
  <si>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</si>
  <si>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</si>
  <si>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</si>
  <si>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</si>
  <si>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</si>
  <si>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</si>
  <si>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</si>
  <si>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</si>
  <si>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</si>
  <si>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</si>
  <si>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</si>
  <si>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</si>
  <si>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</si>
  <si>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</si>
  <si>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</si>
  <si>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</si>
  <si>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</si>
  <si>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</si>
  <si>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</si>
  <si>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</si>
  <si>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</si>
  <si>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</si>
  <si>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</si>
  <si>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</si>
  <si>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</si>
  <si>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</si>
  <si>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</si>
  <si>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</si>
  <si>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</si>
  <si>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</si>
  <si>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</si>
  <si>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</si>
  <si>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</si>
  <si>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</si>
  <si>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</si>
  <si>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</si>
  <si>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</si>
  <si>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</si>
  <si>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</si>
  <si>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</si>
  <si>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</si>
  <si>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</si>
  <si>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</si>
  <si>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</si>
  <si>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</si>
  <si>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</si>
  <si>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</si>
  <si>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</si>
  <si>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</si>
  <si>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</si>
  <si>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</si>
  <si>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</si>
  <si>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</si>
  <si>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</si>
  <si>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</si>
  <si>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</si>
  <si>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</si>
  <si>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</si>
  <si>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</si>
  <si>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</si>
  <si>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</si>
  <si>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</si>
  <si>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</si>
  <si>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</si>
  <si>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</si>
  <si>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</si>
  <si>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</si>
  <si>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</si>
  <si>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</si>
  <si>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</si>
  <si>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</si>
  <si>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</si>
  <si>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</si>
  <si>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</si>
  <si>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</si>
  <si>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</si>
  <si>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</si>
  <si>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</si>
  <si>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</si>
  <si>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</si>
  <si>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</si>
  <si>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</si>
  <si>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</si>
  <si>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</si>
  <si>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</si>
  <si>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</si>
  <si>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</si>
  <si>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</si>
  <si>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</si>
  <si>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</si>
  <si>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</si>
  <si>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</si>
  <si>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</si>
  <si>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</si>
  <si>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</si>
  <si>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</si>
  <si>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</si>
  <si>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</si>
  <si>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</si>
  <si>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</si>
  <si>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</si>
  <si>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</si>
  <si>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</si>
  <si>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</si>
  <si>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</si>
  <si>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</si>
  <si>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</si>
  <si>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</si>
  <si>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</si>
  <si>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</si>
  <si>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</si>
  <si>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</si>
  <si>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</si>
  <si>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</si>
  <si>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</si>
  <si>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</si>
  <si>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</si>
  <si>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</si>
  <si>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</si>
  <si>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</si>
  <si>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</si>
  <si>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</si>
  <si>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</si>
  <si>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</si>
  <si>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</si>
  <si>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</si>
  <si>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</si>
  <si>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</si>
  <si>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</si>
  <si>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</si>
  <si>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</si>
  <si>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</si>
  <si>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</si>
  <si>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</si>
  <si>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</si>
  <si>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</si>
  <si>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</si>
  <si>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</si>
  <si>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</si>
  <si>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</si>
  <si>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</si>
  <si>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</si>
  <si>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</si>
  <si>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</si>
  <si>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</si>
  <si>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</si>
  <si>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</si>
  <si>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</si>
  <si>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</si>
  <si>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</si>
  <si>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</si>
  <si>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</si>
  <si>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</si>
  <si>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</si>
  <si>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</si>
  <si>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</si>
  <si>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</si>
  <si>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</si>
  <si>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</si>
  <si>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</si>
  <si>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</si>
  <si>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</si>
  <si>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</si>
  <si>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</si>
  <si>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</si>
  <si>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</si>
  <si>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</si>
  <si>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</si>
  <si>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</si>
  <si>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</si>
  <si>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</si>
  <si>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</si>
  <si>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</si>
  <si>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</si>
  <si>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</si>
  <si>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</si>
  <si>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</si>
  <si>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</si>
  <si>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</si>
  <si>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</si>
  <si>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</si>
  <si>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</si>
  <si>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</si>
  <si>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</si>
  <si>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</si>
  <si>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</si>
  <si>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</si>
  <si>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</si>
  <si>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</si>
  <si>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</si>
  <si>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</si>
  <si>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</si>
  <si>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</si>
  <si>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</si>
  <si>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</si>
  <si>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</si>
  <si>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</si>
  <si>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</si>
  <si>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</si>
  <si>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</si>
  <si>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</si>
  <si>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</si>
  <si>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</si>
  <si>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</si>
  <si>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</si>
  <si>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</si>
  <si>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</si>
  <si>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</si>
  <si>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</si>
  <si>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</si>
  <si>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</si>
  <si>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</si>
  <si>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</si>
  <si>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</si>
  <si>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</si>
  <si>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</si>
  <si>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</si>
  <si>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</si>
  <si>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</si>
  <si>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</si>
  <si>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</si>
  <si>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</si>
  <si>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</si>
  <si>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</si>
  <si>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</si>
  <si>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</si>
  <si>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</si>
  <si>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</si>
  <si>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</si>
  <si>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</si>
  <si>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</si>
  <si>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</si>
  <si>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</si>
  <si>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</si>
  <si>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</si>
  <si>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</si>
  <si>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</si>
  <si>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</si>
  <si>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</si>
  <si>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</si>
  <si>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</si>
  <si>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</si>
  <si>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</si>
  <si>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</si>
  <si>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</si>
  <si>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</si>
  <si>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</si>
  <si>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</si>
  <si>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</si>
  <si>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</si>
  <si>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</si>
  <si>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</si>
  <si>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</si>
  <si>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</si>
  <si>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</si>
  <si>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</si>
  <si>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</si>
  <si>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</si>
  <si>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</si>
  <si>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</si>
  <si>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</si>
  <si>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</si>
  <si>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</si>
  <si>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</si>
  <si>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</si>
  <si>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</si>
  <si>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</si>
  <si>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</si>
  <si>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</si>
  <si>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</si>
  <si>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</si>
  <si>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</si>
  <si>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</si>
  <si>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</si>
  <si>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</si>
  <si>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</si>
  <si>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</si>
  <si>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</si>
  <si>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</si>
  <si>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</si>
  <si>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</si>
  <si>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</si>
  <si>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</si>
  <si>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</si>
  <si>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</si>
  <si>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</si>
  <si>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</si>
  <si>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</si>
  <si>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</si>
  <si>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</si>
  <si>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</si>
  <si>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</si>
  <si>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</si>
  <si>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</si>
  <si>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</si>
  <si>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</si>
  <si>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</si>
  <si>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</si>
  <si>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</si>
  <si>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</si>
  <si>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</si>
  <si>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</si>
  <si>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</si>
  <si>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</si>
  <si>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</si>
  <si>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</si>
  <si>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</si>
  <si>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</si>
  <si>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</si>
  <si>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</si>
  <si>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</si>
  <si>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</si>
  <si>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</si>
  <si>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</si>
  <si>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</si>
  <si>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</si>
  <si>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</si>
  <si>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</si>
  <si>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</si>
  <si>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</si>
  <si>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</si>
  <si>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</si>
  <si>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</si>
  <si>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</si>
  <si>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</si>
  <si>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</si>
  <si>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</si>
  <si>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</si>
  <si>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</si>
  <si>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</si>
  <si>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</si>
  <si>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</si>
  <si>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</si>
  <si>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</si>
  <si>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</si>
  <si>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</si>
  <si>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</si>
  <si>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</si>
  <si>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</si>
  <si>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</si>
  <si>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</si>
  <si>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</si>
  <si>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</si>
  <si>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</si>
  <si>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</si>
  <si>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</si>
  <si>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</si>
  <si>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</si>
  <si>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</si>
  <si>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</si>
  <si>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</si>
  <si>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</si>
  <si>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</si>
  <si>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</si>
  <si>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</si>
  <si>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</si>
  <si>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</si>
  <si>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</si>
  <si>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</si>
  <si>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</si>
  <si>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</si>
  <si>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</si>
  <si>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</si>
  <si>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</si>
  <si>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</si>
  <si>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</si>
  <si>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</si>
  <si>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</si>
  <si>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</si>
  <si>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</si>
  <si>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</si>
  <si>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</si>
  <si>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</si>
  <si>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</si>
  <si>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</si>
  <si>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</si>
  <si>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</si>
  <si>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</si>
  <si>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</si>
  <si>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</si>
  <si>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</si>
  <si>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</si>
  <si>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</si>
  <si>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</si>
  <si>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</si>
  <si>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</si>
  <si>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</si>
  <si>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</si>
  <si>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</si>
  <si>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</si>
  <si>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</si>
  <si>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</si>
  <si>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</si>
  <si>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</si>
  <si>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</si>
  <si>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</si>
  <si>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</si>
  <si>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</si>
  <si>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</si>
  <si>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</si>
  <si>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</si>
  <si>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</si>
  <si>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</si>
  <si>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</si>
  <si>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</si>
  <si>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</si>
  <si>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</si>
  <si>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</si>
  <si>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</si>
  <si>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</si>
  <si>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</si>
  <si>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</si>
  <si>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</si>
  <si>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</si>
  <si>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</si>
  <si>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</si>
  <si>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</si>
  <si>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</si>
  <si>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</si>
  <si>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</si>
  <si>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</si>
  <si>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</si>
  <si>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</si>
  <si>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</si>
  <si>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</si>
  <si>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</si>
  <si>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</si>
  <si>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</si>
  <si>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</si>
  <si>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</si>
  <si>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</si>
  <si>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</si>
  <si>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</si>
  <si>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</si>
  <si>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</si>
  <si>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</si>
  <si>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</si>
  <si>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</si>
  <si>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</si>
  <si>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</si>
  <si>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</si>
  <si>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</si>
  <si>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</si>
  <si>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</si>
  <si>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</si>
  <si>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</si>
  <si>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</si>
  <si>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</si>
  <si>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</si>
  <si>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</si>
  <si>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</si>
  <si>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</si>
  <si>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</si>
  <si>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</si>
  <si>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</si>
  <si>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</si>
  <si>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</si>
  <si>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</si>
  <si>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</si>
  <si>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</si>
  <si>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</si>
  <si>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</si>
  <si>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</si>
  <si>
    <t>2026-10-19 기준 · WRAP RAW 16건 연결. 카카오페이 충전·보증보험료는 출금에 1회 반영. 카드 사용은 WRAP 중복 제외.</t>
  </si>
  <si>
    <t>이체·분류 보냄</t>
  </si>
  <si>
    <t>이체·분류 받음</t>
  </si>
  <si>
    <t>계정 잔액에는 예비비 사용분의 결제대금비 자동 확보가 포함됩니다. 은행 거래가 아니며, 아래 원장 조회는 실제 입력 기록입니다.</t>
  </si>
  <si>
    <t>목적계정 사용가능액 + 결제대금비 등 모든 계정 = WRAP 현금. 결제대금 자동 확보는 총현금을 바꾸지 않습니다.</t>
  </si>
  <si>
    <t>내역 월(연동)</t>
  </si>
  <si>
    <t>내역·원장 조회는 위쪽 조회월(B3)에 자동 연동됩니다. 조회표는 직접 수정하지 말고, 전체 원장 입력자료는 아래 왼쪽 +를 펼쳐 편집하세요.</t>
  </si>
  <si>
    <t>선택월 WRAP 원장 | 조회월(B3) 자동 연동 · 전체 입력자료는 왼쪽 +로 펼침</t>
  </si>
  <si>
    <t>원본 8월 임시보관의 가족통장 납입 100,000원. 10월 생신 사용 39,000원에 배분하고 잔금 61,000원은 원장 246행에서 회수. 날짜 미기록: 월 기준일.</t>
  </si>
  <si>
    <t>RAW 2454행 · 10/13 추가 이자 535원. 10/15 RAW 재대조, WRAP에 1회 가산.</t>
  </si>
  <si>
    <t>부모 생신 미사용 원금 회수</t>
  </si>
  <si>
    <t>RAW 2466행. 8월 가족통장 납입 100,000 중 행사 39,000 사용, 원금 61,000 회수. 신규 수입·예비비 적립 아님. 회수 후 원장 247행에서 임시보관 → 생활비로 분류 이동.</t>
  </si>
  <si>
    <t>생신 잔금 임시보관 → 생활비</t>
  </si>
  <si>
    <t>사용자 요청으로 회수 원금 61,000원을 생활비로 분류 이동. 날짜는 분류 기록 시각이며 실제 은행 송금 아님. 원금 회수는 원장 246행에 별도 보존. 신규 수입·지출·적립 아님.</t>
  </si>
  <si>
    <t>WRAP내계정이동</t>
  </si>
  <si>
    <t>외부출금 · 카카오페이 충전</t>
  </si>
  <si>
    <t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</si>
  <si>
    <t>RAW 2493행. 계약기간 2026.09.10~2027.09.09의 주거부대 비용. WRAP 출금 110,075원 1회, 10월 추가 실지출 표에 1회 반영. 달력·월 정기보험비·예비비와 중복 제외.</t>
  </si>
  <si>
    <t>원장 페이지</t>
  </si>
  <si>
    <t>날짜/월</t>
  </si>
  <si>
    <t>메모 요약</t>
  </si>
  <si>
    <t>원본 행</t>
  </si>
  <si>
    <t>선택월 실제 입력 원장입니다. 자동 결제대금 분류는 상단 계정 잔액에 별도로 반영되며 새 은행 거래가 아닙니다. 원장 편집은 왼쪽 +를 펼칩니다.</t>
  </si>
  <si>
    <t>예비비는 선택월 사용계획·실제 사용·사용가능액을 봅니다. 사용계획은 잔액을 차감하지 않고, 실제 사용분은 결제대금비로 자동 확보합니다.</t>
  </si>
  <si>
    <t>잔액 탭 조회월(B3)은 상단 잔액·내역과 하단 WRAP 원장에 함께 적용됩니다. 전체 입력 원장은 같은 탭의 +를 펼쳐 편집합니다.</t>
  </si>
  <si>
    <t>가족통장·모임통장의 실제 사용은 월간에서 확인합니다. WRAP 밖 보관금은 합계에 포함하지 않습니다. 가족행사 예비비 20만원과 철도 미회수 대납 2건 103,600원은 별도 표시합니다.</t>
  </si>
  <si>
    <t>통합 파일은 테트리스_가계부_2026_고도화.xlsm으로 관리합니다. 각 월간 시트 다음에 계산기가 있으며, 검증은 별도 기록으로 관리하며, 예비비·잔액 탭에서 현황을 확인하세요.</t>
  </si>
  <si>
    <t>10월은 10/19까지 실제 자료입니다. 미수령 급여·미결제 고정비·공동자금·대납은 실제 소비와 구분합니다.</t>
  </si>
  <si>
    <t>10월 RAW 171건 중 WRAP 16건을 잔액 원장과 대조합니다. 타계좌 48건·카드사용 107건 보존. 보증보험료는 추가 실지출에 1회 반영합니다.</t>
  </si>
  <si>
    <t>예비비 사용은 등록할 때 한 번 반영합니다. 실제 이체를 사용ID·원장행에 연결하면 자동 확보와 중복되지 않습니다. 적립계획과 사용계획은 별도 입력입니다.</t>
  </si>
  <si>
    <t>예비비 | 현황 · 계획 · 이체 내역</t>
  </si>
  <si>
    <t>노란색만 입력합니다. 계획은 참고용이며 실제 사용만 반영합니다. 사용가능액은 잔액 탭의 같은 목적 계정과 일치합니다.</t>
  </si>
  <si>
    <t>1  현황 | 계획은 참고 · 실제 사용은 한 번 · 사용가능액은 잔액 탭과 일치</t>
  </si>
  <si>
    <t>목적</t>
  </si>
  <si>
    <t>선택월 사용계획</t>
  </si>
  <si>
    <t>선택월 실제 사용액</t>
  </si>
  <si>
    <t>사용가능액</t>
  </si>
  <si>
    <t>10월 생신 사용 239,000원은 명절비 200,000원 + 임시보관 39,000원으로 이미 충당했습니다. 경조사비에서 중복 차감하지 않습니다.</t>
  </si>
  <si>
    <t>2-1  적립계획 | 목적별 월 적립액 · 노란 칸 입력</t>
  </si>
  <si>
    <t>본가 방문·명절</t>
  </si>
  <si>
    <t>필요시</t>
  </si>
  <si>
    <t>계획 합계</t>
  </si>
  <si>
    <t>계획은 잔액을 늘리지 않습니다. 실제 적립은 잔액 원장에서 자동 반영합니다. 2025.12·2027.1 기존 계획은 계산 자료에 보존했습니다.</t>
  </si>
  <si>
    <t>2-2  사용계획 | 이번 달 쓸 예정인 금액 · 비워두면 미입력</t>
  </si>
  <si>
    <t>예비비 항목</t>
  </si>
  <si>
    <t>사용계획 합계</t>
  </si>
  <si>
    <t>사용계획은 참고용입니다. 비워두면 미입력, 0을 입력하면 사용계획 없음입니다. 실제 사용·잔액에는 영향을 주지 않습니다.</t>
  </si>
  <si>
    <t>3  이체 내역 | 사용과 실제 자금 이동을 함께 확인</t>
  </si>
  <si>
    <t>표시</t>
  </si>
  <si>
    <t>사용 페이지</t>
  </si>
  <si>
    <t>사용일/월</t>
  </si>
  <si>
    <t>사용 내용</t>
  </si>
  <si>
    <t>사용액</t>
  </si>
  <si>
    <t>당월 정산</t>
  </si>
  <si>
    <t>누적 정산</t>
  </si>
  <si>
    <t>아직 옮길 돈</t>
  </si>
  <si>
    <t>연결</t>
  </si>
  <si>
    <t>원본·등록</t>
  </si>
  <si>
    <t>당월·누적 정산은 실제 재원 이동을 연결한 금액입니다. 이미 반영한 사용액은 나중에 이체할 때 다시 지출로 차감하지 않습니다.</t>
  </si>
  <si>
    <t>원장일/월</t>
  </si>
  <si>
    <t>보낸 계정</t>
  </si>
  <si>
    <t>받는 계정/계좌</t>
  </si>
  <si>
    <t>연결 상태</t>
  </si>
  <si>
    <t>원장 근거</t>
  </si>
  <si>
    <t>새 사용은 아래 사용등록에 RAW행·예비비 항목만 지정합니다. 정산은 사용ID·원장행·금액을 연결합니다. 조회표에 직접 입력하지 않습니다.</t>
  </si>
  <si>
    <t>생신 사용 239,000원 = 명절비 200,000 + 임시보관 39,000. 잔금 61,000원 회수는 신규 수입·사용이 아닙니다.</t>
  </si>
  <si>
    <t>사용ID</t>
  </si>
  <si>
    <t>본인 부담액</t>
  </si>
  <si>
    <t>RAW행</t>
  </si>
  <si>
    <t>반영 구분</t>
  </si>
  <si>
    <t>U001</t>
  </si>
  <si>
    <t>월기록</t>
  </si>
  <si>
    <t>1월 사용 기록 · 일자 미기록</t>
  </si>
  <si>
    <t>U002</t>
  </si>
  <si>
    <t>설 명절</t>
  </si>
  <si>
    <t>기존 예비비 2월 사용 · 원장 시작 전</t>
  </si>
  <si>
    <t>U003</t>
  </si>
  <si>
    <t>기존반영</t>
  </si>
  <si>
    <t>사용월은 RAW 실제 2/19. 기존 계획의 1월과 구분</t>
  </si>
  <si>
    <t>U004</t>
  </si>
  <si>
    <t>생활비 이전 51,100원은 사용에서 제외</t>
  </si>
  <si>
    <t>U005</t>
  </si>
  <si>
    <t>한국장학재단 상환</t>
  </si>
  <si>
    <t>생활비 이전 36,020원은 사용에서 제외</t>
  </si>
  <si>
    <t>U006</t>
  </si>
  <si>
    <t>하계휴양 숙소</t>
  </si>
  <si>
    <t>원본 8월 지급 기록 · 실제 사용일 미기록</t>
  </si>
  <si>
    <t>U007</t>
  </si>
  <si>
    <t>9월 월급 부담에서 이미 제외한 50,000원</t>
  </si>
  <si>
    <t>U008</t>
  </si>
  <si>
    <t>부모 생신 본인 부담</t>
  </si>
  <si>
    <t>본인 납입 300,000 − 잔금 회수 61,000 = 239,000. 명절비 200,000 + 임시보관 39,000. 가족통장 이자 25원 별도.</t>
  </si>
  <si>
    <t>신규</t>
  </si>
  <si>
    <t>기존 비고정 지출 유지. 예비비 부담으로 확인한 경우에만 항목 변경</t>
  </si>
  <si>
    <t>연결ID</t>
  </si>
  <si>
    <t>원장행</t>
  </si>
  <si>
    <t>연결금액</t>
  </si>
  <si>
    <t>출금계정</t>
  </si>
  <si>
    <t>근거 유형</t>
  </si>
  <si>
    <t>사용분류</t>
  </si>
  <si>
    <t>사용일</t>
  </si>
  <si>
    <t>사용월</t>
  </si>
  <si>
    <t>허용 확인</t>
  </si>
  <si>
    <t>연결 확인</t>
  </si>
  <si>
    <t>유효금액</t>
  </si>
  <si>
    <t>기초 이전</t>
  </si>
  <si>
    <t>송금일 미기록</t>
  </si>
  <si>
    <t>기초반영</t>
  </si>
  <si>
    <t>3월 기초 이전 사용·정산. 실제 송금일 미기록</t>
  </si>
  <si>
    <t>3월 기초에 반영된 명절 사용. 실제 송금일 미기록</t>
  </si>
  <si>
    <t>3월 기초 이전 사용. 송금일을 2/19로 추정하지 않음</t>
  </si>
  <si>
    <t>명절비 실제 사용</t>
  </si>
  <si>
    <t>상환 실제 사용</t>
  </si>
  <si>
    <t>숙소 지급</t>
  </si>
  <si>
    <t>9월 생일 사용</t>
  </si>
  <si>
    <t>확정된 교차계정 선이체: 명절비 → 가족통장 → 10월 경조 사용</t>
  </si>
  <si>
    <t>임시보관 납입 100,000 중 행사 부담 39,000. 나머지 61,000은 10/15 원장 246행 회수</t>
  </si>
  <si>
    <t>달력 지출 합계</t>
  </si>
  <si>
    <t>달력지출</t>
  </si>
  <si>
    <t>추가실지출(참고)</t>
  </si>
  <si>
    <t>추가 실지출은 사용일 달력에 전액 포함합니다.
39행은 포함분 참고이며 다시 더하지 않습니다.
목적자금 사용·적립과 대리결제는 기존 기준을 유지합니다.</t>
  </si>
  <si>
    <t>추가 실지출 · 전액 달력 포함</t>
  </si>
  <si>
    <t>기본 달력액</t>
  </si>
  <si>
    <t>달력 연결액</t>
  </si>
  <si>
    <t>추가 실지출 테트리스 연결액</t>
  </si>
  <si>
    <t>사용일 달력·테트리스에 전액 포함. 월 합계에 재가산하지 않음.</t>
  </si>
  <si>
    <t>추가 실지출 합계 · 달력 포함</t>
  </si>
  <si>
    <t>참고 예정액 · 실제 급여는 위 수입표에서 확인합니다.</t>
  </si>
  <si>
    <t>고정비 · 실제 확정</t>
  </si>
  <si>
    <t>확정·결제·RAW 확인·기존 입력 합계. 아래 사용금액 합계에 반영합니다.</t>
  </si>
  <si>
    <t>고정비 · 실적+미결제 예정</t>
  </si>
  <si>
    <t>가계부 달력합계</t>
  </si>
  <si>
    <t>추가 실지출 전액 포함 · 대리·미리결제는 아래에서 따로 더합니다.</t>
  </si>
  <si>
    <t>테트리스 달력합계</t>
  </si>
  <si>
    <t>거래별 천원 올림 합계 · 아래 사용금액 합계에는 다시 더하지 않습니다.</t>
  </si>
  <si>
    <t>실 사용금액 합계</t>
  </si>
  <si>
    <t>최종 사용금액</t>
  </si>
  <si>
    <t>추가 실지출은 달력에 이미 전액 포함 · 위 실 사용금액을 그대로 표시하며 다시 더하지 않습니다.</t>
  </si>
  <si>
    <t>9월 28~30일216,000원 추가 · 구독 고정비1,390원(테트리스2,000원) 중복 제외 · 생일 예비비50,000원은 달력 별도 표시, 월급 부담 제외. 추가 실지출 통합: 사용일 달력 포함 누락분 161칸 보완. 기존 색상·목적재원 조정 유지.</t>
  </si>
  <si>
    <t>10/19 RAW 집계에 없음 · 예정액 유지</t>
  </si>
  <si>
    <t>10/19 기준 RAW 확인 · 10/12 거래</t>
  </si>
  <si>
    <t>10/19 RAW 집계에 없음 · 예정액 유지 · 원본 예정액 10원 확인 필요</t>
  </si>
  <si>
    <t>10/19 기준 RAW 확인 · 10/04 거래</t>
  </si>
  <si>
    <t>10/19 기준 RAW 확인 · 10/04 거래 · 9월 동일 항목 없음(결제방식 미기재)</t>
  </si>
  <si>
    <t>10/19 기준 RAW 확인 · 10/01 거래</t>
  </si>
  <si>
    <t>10/19 기준 RAW 확인 · 10/02 거래</t>
  </si>
  <si>
    <t>10/19 기준 RAW 확인 · 10/05 거래</t>
  </si>
  <si>
    <t>달력에는 사용 사실을 표시하고 기존 목적자금 사용은 월급 부담에서 제외합니다. 계산기 색상을 바꾼 뒤 Calculate를 누르면 TRUE/FALSE가 갱신됩니다. 10월은 10/19까지 중간 집계입니다.</t>
  </si>
  <si>
    <t>선불금</t>
  </si>
  <si>
    <t>플라잉 더치</t>
  </si>
  <si>
    <t>생신 본인 사용 239,000 = 명절비 200,000 + 임시보관 39,000. 기존 현금 납입과 연결; WRAP·월급 재차감 없음.</t>
  </si>
  <si>
    <t>10/1~19 RAW 171건. 기존 164건 보존 + 카드 6건 105,450원·보증보험료 현금 110,075원 추가.</t>
  </si>
  <si>
    <t>10/19까지 추가 실지출 보증보험료 110,075원(111칸)을 달력·계산기에 포함. 충전·대납·이미 반영된 두끼/더치 중복 제외.</t>
  </si>
  <si>
    <t>10월 RAW 갱신 · 2026-10-19 기준</t>
  </si>
  <si>
    <t>10/1~19 RAW 171건: 기존 164건 유지 + 신규 7건. WRAP 16건·타계좌 48건·카드사용 107건.</t>
  </si>
  <si>
    <t>생신 본인 사용 239,000원 = 명절비 200,000 + 임시보관 39,000. 기존 현금 납입으로 충당; 월급 부담에 다시 더하지 않음.</t>
  </si>
  <si>
    <t>생신 실비 639,000 / 형제자매 반환 100,000 / 본인 원금 회수 61,000. 철도 대납 미회수 103,600원. 이체 중복 소비 제외.</t>
  </si>
  <si>
    <t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</si>
  <si>
    <t>부모 생신 용돈 500,000원. 본인 행사 부담 239,000원과 형제자매 부담 400,000원으로 식사까지 충당.</t>
  </si>
  <si>
    <t>10/15 재첨부 RAW 43행으로 시각·분류 수정. 기존 형제자매 잔금 반환 100,000원. 신규 소비·본인 반환 아님.</t>
  </si>
  <si>
    <t>10/15 RAW 13행 · WRAP 실제 이자 입금. 원장에 1회 가산.</t>
  </si>
  <si>
    <t>10/15 RAW 12행 · 카드대금 납부. WRAP 준비송금 RAW 2446행과 연결. 소비·WRAP에서 다시 차감하지 않음.</t>
  </si>
  <si>
    <t>10/15 RAW 11행 · 카드대금 납부. WRAP 준비송금 RAW 2451행과 연결. 소비·WRAP에서 다시 차감하지 않음.</t>
  </si>
  <si>
    <t>10/15 RAW 10행 · 신규 카드 사용. 월간·계산기 반영, WRAP 원장 제외.</t>
  </si>
  <si>
    <t>10/15 RAW 9행 · 사용자 확인: 10/14의 별도 신규 철도 대리결제. 기존 10/12 대납과 각각 유지. 회수 입금 없음, 본인 소비 제외.</t>
  </si>
  <si>
    <t>10/15 RAW 8행 · 신규 카드 사용. 월간·계산기 반영, WRAP 원장 제외.</t>
  </si>
  <si>
    <t>10/15 RAW 7행 · 카드대금 납부. WRAP 준비송금 RAW 2450행과 연결. 소비·WRAP에서 다시 차감하지 않음.</t>
  </si>
  <si>
    <t>10/15 RAW 6행 · 카드대금 납부. WRAP 준비송금 RAW 2449행과 연결. 소비·WRAP에서 다시 차감하지 않음.</t>
  </si>
  <si>
    <t>10/15 RAW 5행 · 카드대금 납부. WRAP 준비송금 RAW 2452행과 연결. 소비·WRAP에서 다시 차감하지 않음.</t>
  </si>
  <si>
    <t>10/15 RAW 4행 · 신규 카드 사용. 월간·계산기 반영, WRAP 원장 제외.</t>
  </si>
  <si>
    <t>10/15 RAW 3행 · 신규 카드 사용. 월간·계산기 반영, WRAP 원장 제외.</t>
  </si>
  <si>
    <t>10/15 RAW 2행 · 신규 카드 사용. 월간·계산기 반영, WRAP 원장 제외.</t>
  </si>
  <si>
    <t>10/15 재첨부 RAW 2행. 생신 본인 납입 300,000 중 미사용 원금 61,000 회수. 수입·환불 소비 아님. WRAP 임시보관에 1회 복귀; 가족통장 이자 25원은 제외.</t>
  </si>
  <si>
    <t>10/18 첨부 RAW 20행 · 신규 거래. 기존 RAW 행번호와 이전 분류는 보존. 본인 생활비·달력·계산기 반영. WRAP 원장에는 결제를 재기록하지 않음.</t>
  </si>
  <si>
    <t>10/18 첨부 RAW 21행 · 신규 거래. 기존 RAW 행번호와 이전 분류는 보존. 본인 생활비·달력·계산기 반영. WRAP 원장에는 결제를 재기록하지 않음.</t>
  </si>
  <si>
    <t>10/18 첨부 RAW 19행 · 신규 거래. 기존 RAW 행번호와 이전 분류는 보존. 본인 생활비·달력·계산기 반영. WRAP 원장에는 결제를 재기록하지 않음.</t>
  </si>
  <si>
    <t>10/18 첨부 RAW 18행 · 신규 거래. 기존 RAW 행번호와 이전 분류는 보존. 본인 생활비·달력·계산기 반영. WRAP 원장에는 결제를 재기록하지 않음.</t>
  </si>
  <si>
    <t>인공눈물</t>
  </si>
  <si>
    <t>10/18 첨부 RAW 16행 · 신규 거래. 기존 RAW 행번호와 이전 분류는 보존. 본인 생활비·달력·계산기 반영. WRAP 원장에는 결제를 재기록하지 않음.</t>
  </si>
  <si>
    <t>10/18 첨부 RAW 17행 · 신규 거래. 기존 RAW 행번호와 이전 분류는 보존. 본인 생활비·달력·계산기 반영. WRAP 원장에는 결제를 재기록하지 않음.</t>
  </si>
  <si>
    <t>롤빗 1호</t>
  </si>
  <si>
    <t>10/18 첨부 RAW 15행 · 신규 거래. 기존 RAW 행번호와 이전 분류는 보존. 본인 생활비·달력·계산기 반영. WRAP 원장에는 결제를 재기록하지 않음.</t>
  </si>
  <si>
    <t>서울커피앤티페어</t>
  </si>
  <si>
    <t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</si>
  <si>
    <t>카카오페이 충전</t>
  </si>
  <si>
    <t>KP20261017-01 | 플라잉 더치 구매 RAW 2474행 17,000원의 재원: 이번 충전 15,700원 + 이미 회수한 양배추 대납금 1,300원(RAW 2376행). WRAP 원장 248행에서 충전만 차감하며 소비 재합산 제외. 원본 입력 시각 보존.</t>
  </si>
  <si>
    <t>에크하우스</t>
  </si>
  <si>
    <t>양재시민의숲 카페</t>
  </si>
  <si>
    <t>10/18 첨부 RAW 12행 · 신규 거래. 기존 RAW 행번호와 이전 분류는 보존. 기존 모임통장 분류·본인분 1/2 기준 유지. 월급 납입과 중복 소비 제외.</t>
  </si>
  <si>
    <t>식물원김밥</t>
  </si>
  <si>
    <t>용산점</t>
  </si>
  <si>
    <t>10/18 첨부 RAW 11행 · 신규 거래. 기존 RAW 행번호와 이전 분류는 보존. 기존 모임통장 분류·본인분 1/2 기준 유지. 월급 납입과 중복 소비 제외.</t>
  </si>
  <si>
    <t>10/18 첨부 RAW 10행 · 신규 거래. 기존 RAW 행번호와 이전 분류는 보존. 본인 생활비·달력·계산기 반영. WRAP 원장에는 결제를 재기록하지 않음.</t>
  </si>
  <si>
    <t>10/18 첨부 RAW 9행 · 신규 거래. 기존 RAW 행번호와 이전 분류는 보존. 본인 생활비·달력·계산기 반영. WRAP 원장에는 결제를 재기록하지 않음.</t>
  </si>
  <si>
    <t>지르텍 알러지약</t>
  </si>
  <si>
    <t>10/18 첨부 RAW 8행 · 신규 거래. 기존 RAW 행번호와 이전 분류는 보존. 본인 생활비·달력·계산기 반영. WRAP 원장에는 결제를 재기록하지 않음.</t>
  </si>
  <si>
    <t>10/18 첨부 RAW 7행 · 신규 거래. 기존 RAW 행번호와 이전 분류는 보존. 본인 생활비·달력·계산기 반영. WRAP 원장에는 결제를 재기록하지 않음.</t>
  </si>
  <si>
    <t>10/18 첨부 RAW 6행 · 신규 거래. 기존 RAW 행번호와 이전 분류는 보존. 본인 생활비·달력·계산기 반영. WRAP 원장에는 결제를 재기록하지 않음.</t>
  </si>
  <si>
    <t>10/18 첨부 RAW 5행 · 신규 거래. 기존 RAW 행번호와 이전 분류는 보존. 본인 생활비·달력·계산기 반영. WRAP 원장에는 결제를 재기록하지 않음.</t>
  </si>
  <si>
    <t>초코모찌빵</t>
  </si>
  <si>
    <t>10/18 첨부 RAW 4행 · 신규 거래. 기존 RAW 행번호와 이전 분류는 보존. 본인 생활비·달력·계산기 반영. WRAP 원장에는 결제를 재기록하지 않음.</t>
  </si>
  <si>
    <t>바디로션, 가글</t>
  </si>
  <si>
    <t>10/18 첨부 RAW 3행 · 신규 거래. 기존 RAW 행번호와 이전 분류는 보존. 본인 생활비·달력·계산기 반영. WRAP 원장에는 결제를 재기록하지 않음.</t>
  </si>
  <si>
    <t>10/18 첨부 RAW 2행 · 신규 거래. 기존 RAW 행번호와 이전 분류는 보존. 본인 생활비·달력·계산기 반영. WRAP 원장에는 결제를 재기록하지 않음.</t>
  </si>
  <si>
    <t>29cm</t>
  </si>
  <si>
    <t>지켜텀</t>
  </si>
  <si>
    <t>10/19 첨부 RAW 8행. 본인 카드 변동지출·달력·계산기 반영. WRAP에서 재차 차감하지 않음.</t>
  </si>
  <si>
    <t>헤라 블랙쿠션 25호</t>
  </si>
  <si>
    <t>10/19 첨부 RAW 7행. 본인 카드 변동지출·달력·계산기 반영. WRAP에서 재차 차감하지 않음.</t>
  </si>
  <si>
    <t>10/19 첨부 RAW 6행. 본인 카드 변동지출·달력·계산기 반영. WRAP에서 재차 차감하지 않음.</t>
  </si>
  <si>
    <t>10/19 첨부 RAW 5행. 본인 카드 변동지출·달력·계산기 반영. WRAP에서 재차 차감하지 않음.</t>
  </si>
  <si>
    <t>10/19 첨부 RAW 4행. 본인 카드 변동지출·달력·계산기 반영. WRAP에서 재차 차감하지 않음.</t>
  </si>
  <si>
    <t>10/19 첨부 RAW 3행. 본인 카드 변동지출·달력·계산기 반영. WRAP에서 재차 차감하지 않음.</t>
  </si>
  <si>
    <t>2026.09.10 ~ 2027.09.09</t>
  </si>
  <si>
    <t>10/19 첨부 RAW 2행. 9월 동일 보증보험료의 이사부대 분류 유지. 연간 주거부대 현금 지출로 추가 실지출 표에 1회 반영; 월 정기보험비·예비비와 분리.</t>
  </si>
  <si>
    <t>10월 실제 사용 239,000원. 명절비 선이체 200,000 + 임시보관 39,000. WRAP 추가 차감 없음.</t>
  </si>
  <si>
    <t>10월 생신 실제 사용 239,000원은 명절비 선이체 200,000원과 임시보관 39,000원으로 충당. 잔금 61,000원은 WRAP 임시보관으로 회수; 소비·적립 아님.</t>
  </si>
  <si>
    <t>원본 적립 차이 −100,000 보존. 생신 사용 239,000은 명절비 200,000 + 임시보관 39,000으로 충당하여 경조사비 잔액에서 다시 빼지 않음.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</si>
</sst>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3" formatCode="\+#,##0;\-#,##0;&quot;-&quot;"/>
    <numFmt numFmtId="194" formatCode="&quot;집계 &quot;mm/dd"/>
    <numFmt numFmtId="195" formatCode="yyyy\-mm\-dd\ hh:mm"/>
    <numFmt numFmtId="196" formatCode="#,##0;[Red]\(#,##0\);&quot;–&quot;"/>
    <numFmt numFmtId="197" formatCode="[=1]&quot;TRUE&quot;;[=0]&quot;FALSE&quot;;General"/>
    <numFmt numFmtId="198" formatCode="#,##0;[Red]\-#,##0;&quot;0&quot;"/>
    <numFmt numFmtId="199" formatCode="\+#,##0;[Red]\-#,##0;&quot;0&quot;"/>
    <numFmt numFmtId="200" formatCode="yy\.mm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sz val="11"/>
      <color theme="1"/>
      <name val="Calibri"/>
      <family val="2"/>
      <scheme val="minor"/>
    </font>
    <font>
      <sz val="10"/>
      <color rgb="FF26384A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b/>
      <sz val="11"/>
      <color rgb="FF25476A"/>
      <name val="맑은 고딕"/>
      <family val="2"/>
      <charset val="129"/>
    </font>
    <font>
      <sz val="9"/>
      <color rgb="FF66788A"/>
      <name val="맑은 고딕"/>
      <family val="2"/>
      <charset val="129"/>
    </font>
    <font>
      <b/>
      <sz val="9"/>
      <color rgb="FF25476A"/>
      <name val="맑은 고딕"/>
      <family val="2"/>
      <charset val="129"/>
    </font>
    <font>
      <b/>
      <sz val="10"/>
      <color rgb="FF17324D"/>
      <name val="Apple SD Gothic Neo"/>
      <family val="2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 patternType="none"/>
    </fill>
    <fill>
      <patternFill patternType="solid">
        <fgColor rgb="FF25476A"/>
      </patternFill>
    </fill>
    <fill>
      <patternFill patternType="solid">
        <fgColor rgb="FFEDF3F8"/>
      </patternFill>
    </fill>
    <fill>
      <patternFill patternType="solid">
        <fgColor rgb="FFFFF4D6"/>
      </patternFill>
    </fill>
    <fill>
      <patternFill patternType="solid">
        <fgColor rgb="FFE8F3ED"/>
      </patternFill>
    </fill>
  </fills>
  <borders count="79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9E3EB"/>
      </bottom>
      <diagonal/>
    </border>
  </borders>
  <cellStyleXfs count="3">
    <xf numFmtId="0" fontId="0" fillId="26" borderId="10"/>
    <xf numFmtId="0" fontId="26" fillId="26" borderId="10"/>
    <xf numFmtId="0" fontId="32" fillId="26" borderId="10"/>
  </cellStyleXfs>
  <cellXfs count="481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8" borderId="9" xfId="0" applyNumberFormat="1" applyFont="1" applyFill="1" applyBorder="1" applyAlignment="1">
      <alignment horizontal="center" vertical="center"/>
    </xf>
    <xf numFmtId="190" fontId="36" fillId="29" borderId="9" xfId="0" applyNumberFormat="1" applyFont="1" applyFill="1" applyBorder="1" applyAlignment="1">
      <alignment vertical="center"/>
    </xf>
    <xf numFmtId="190" fontId="36" fillId="30" borderId="9" xfId="0" applyNumberFormat="1" applyFont="1" applyFill="1" applyBorder="1" applyAlignment="1">
      <alignment vertical="center"/>
    </xf>
    <xf numFmtId="0" fontId="36" fillId="31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4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5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26" borderId="10" xfId="0" applyFont="1" applyAlignment="1">
      <alignment vertical="center" shrinkToFit="1"/>
    </xf>
    <xf numFmtId="0" fontId="57" fillId="42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6" fontId="61" fillId="26" borderId="10" xfId="0" applyNumberFormat="1" applyFont="1" applyAlignment="1">
      <alignment horizontal="right" vertical="center" shrinkToFit="1"/>
    </xf>
    <xf numFmtId="0" fontId="57" fillId="43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4" borderId="10" xfId="0" applyFont="1" applyFill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9" fillId="34" borderId="11" xfId="0" applyFont="1" applyFill="1" applyBorder="1" applyAlignment="1">
      <alignment vertical="center"/>
    </xf>
    <xf numFmtId="0" fontId="59" fillId="34" borderId="12" xfId="0" applyFont="1" applyFill="1" applyBorder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4" borderId="13" xfId="0" applyFont="1" applyFill="1" applyBorder="1" applyAlignment="1">
      <alignment vertical="center"/>
    </xf>
    <xf numFmtId="0" fontId="59" fillId="34" borderId="14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4" borderId="15" xfId="0" applyFont="1" applyFill="1" applyBorder="1" applyAlignment="1">
      <alignment vertical="center"/>
    </xf>
    <xf numFmtId="0" fontId="59" fillId="34" borderId="16" xfId="0" applyFont="1" applyFill="1" applyBorder="1" applyAlignment="1">
      <alignment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38" borderId="11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7" borderId="11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7" fillId="35" borderId="10" xfId="0" applyFont="1" applyFill="1" applyAlignment="1">
      <alignment vertical="center"/>
    </xf>
    <xf numFmtId="0" fontId="57" fillId="34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6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60" fillId="38" borderId="13" xfId="0" applyFont="1" applyFill="1" applyBorder="1" applyAlignment="1">
      <alignment vertical="center"/>
    </xf>
    <xf numFmtId="0" fontId="60" fillId="38" borderId="15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40" borderId="10" xfId="0" applyFont="1" applyFill="1" applyAlignment="1">
      <alignment vertical="center"/>
    </xf>
    <xf numFmtId="0" fontId="60" fillId="35" borderId="13" xfId="0" applyFont="1" applyFill="1" applyBorder="1" applyAlignment="1">
      <alignment vertical="center"/>
    </xf>
    <xf numFmtId="0" fontId="60" fillId="34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39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57" fillId="34" borderId="11" xfId="0" applyFont="1" applyFill="1" applyBorder="1" applyAlignment="1">
      <alignment vertical="center"/>
    </xf>
    <xf numFmtId="0" fontId="57" fillId="34" borderId="12" xfId="0" applyFont="1" applyFill="1" applyBorder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40" borderId="11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37" borderId="11" xfId="0" applyFont="1" applyFill="1" applyBorder="1" applyAlignment="1">
      <alignment vertical="center"/>
    </xf>
    <xf numFmtId="0" fontId="57" fillId="34" borderId="13" xfId="0" applyFont="1" applyFill="1" applyBorder="1" applyAlignment="1">
      <alignment vertical="center"/>
    </xf>
    <xf numFmtId="0" fontId="57" fillId="34" borderId="14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40" borderId="13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37" borderId="13" xfId="0" applyFont="1" applyFill="1" applyBorder="1" applyAlignment="1">
      <alignment vertical="center"/>
    </xf>
    <xf numFmtId="0" fontId="57" fillId="34" borderId="15" xfId="0" applyFont="1" applyFill="1" applyBorder="1" applyAlignment="1">
      <alignment vertical="center"/>
    </xf>
    <xf numFmtId="0" fontId="57" fillId="34" borderId="16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40" borderId="15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7" fillId="37" borderId="15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8" borderId="12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8" borderId="14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38" borderId="16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60" fillId="44" borderId="13" xfId="0" applyFont="1" applyFill="1" applyBorder="1" applyAlignment="1">
      <alignment vertical="center"/>
    </xf>
    <xf numFmtId="0" fontId="60" fillId="44" borderId="15" xfId="0" applyFont="1" applyFill="1" applyBorder="1" applyAlignment="1">
      <alignment vertical="center"/>
    </xf>
    <xf numFmtId="0" fontId="62" fillId="26" borderId="54" xfId="0" applyFont="1" applyBorder="1" applyAlignment="1">
      <alignment vertical="center" shrinkToFit="1"/>
    </xf>
    <xf numFmtId="196" fontId="61" fillId="26" borderId="55" xfId="0" applyNumberFormat="1" applyFont="1" applyBorder="1" applyAlignment="1">
      <alignment horizontal="right" vertical="center" shrinkToFit="1"/>
    </xf>
    <xf numFmtId="0" fontId="62" fillId="26" borderId="56" xfId="0" applyFont="1" applyBorder="1" applyAlignment="1">
      <alignment vertical="center" shrinkToFit="1"/>
    </xf>
    <xf numFmtId="196" fontId="61" fillId="26" borderId="57" xfId="0" applyNumberFormat="1" applyFont="1" applyBorder="1" applyAlignment="1">
      <alignment horizontal="right" vertical="center" shrinkToFit="1"/>
    </xf>
    <xf numFmtId="0" fontId="62" fillId="26" borderId="58" xfId="0" applyFont="1" applyBorder="1" applyAlignment="1">
      <alignment vertical="center" shrinkToFit="1"/>
    </xf>
    <xf numFmtId="196" fontId="61" fillId="26" borderId="59" xfId="0" applyNumberFormat="1" applyFont="1" applyBorder="1" applyAlignment="1">
      <alignment horizontal="right" vertical="center" shrinkToFit="1"/>
    </xf>
    <xf numFmtId="0" fontId="69" fillId="26" borderId="8" xfId="0" applyFont="1" applyBorder="1" applyAlignment="1">
      <alignment horizontal="center" vertical="center" wrapText="1"/>
    </xf>
    <xf numFmtId="1" fontId="69" fillId="53" borderId="8" xfId="0" applyNumberFormat="1" applyFont="1" applyFill="1" applyBorder="1" applyAlignment="1">
      <alignment horizontal="center" vertical="center" wrapText="1"/>
    </xf>
    <xf numFmtId="188" fontId="36" fillId="29" borderId="9" xfId="0" applyNumberFormat="1" applyFont="1" applyFill="1" applyBorder="1" applyAlignment="1">
      <alignment horizontal="left" vertical="center" wrapText="1"/>
    </xf>
    <xf numFmtId="0" fontId="36" fillId="29" borderId="9" xfId="0" applyFont="1" applyFill="1" applyBorder="1" applyAlignment="1">
      <alignment horizontal="left" vertical="center" wrapText="1"/>
    </xf>
    <xf numFmtId="193" fontId="36" fillId="29" borderId="9" xfId="0" applyNumberFormat="1" applyFont="1" applyFill="1" applyBorder="1" applyAlignment="1">
      <alignment horizontal="right" vertical="center" wrapText="1"/>
    </xf>
    <xf numFmtId="190" fontId="36" fillId="29" borderId="9" xfId="0" applyNumberFormat="1" applyFont="1" applyFill="1" applyBorder="1" applyAlignment="1">
      <alignment horizontal="right" vertical="center" wrapText="1"/>
    </xf>
    <xf numFmtId="195" fontId="67" fillId="26" borderId="65" xfId="0" applyNumberFormat="1" applyFont="1" applyBorder="1" applyAlignment="1">
      <alignment vertical="center" wrapText="1"/>
    </xf>
    <xf numFmtId="0" fontId="68" fillId="26" borderId="65" xfId="0" applyFont="1" applyBorder="1" applyAlignment="1">
      <alignment vertical="center" wrapText="1"/>
    </xf>
    <xf numFmtId="196" fontId="67" fillId="26" borderId="65" xfId="0" applyNumberFormat="1" applyFont="1" applyBorder="1" applyAlignment="1">
      <alignment vertical="center" wrapText="1"/>
    </xf>
    <xf numFmtId="189" fontId="67" fillId="26" borderId="65" xfId="0" applyNumberFormat="1" applyFont="1" applyBorder="1" applyAlignment="1">
      <alignment vertical="center" wrapText="1"/>
    </xf>
    <xf numFmtId="0" fontId="67" fillId="26" borderId="65" xfId="0" applyFont="1" applyBorder="1" applyAlignment="1">
      <alignment vertical="center" wrapText="1"/>
    </xf>
    <xf numFmtId="0" fontId="68" fillId="51" borderId="65" xfId="0" applyFont="1" applyFill="1" applyBorder="1" applyAlignment="1">
      <alignment vertical="center" wrapText="1"/>
    </xf>
    <xf numFmtId="0" fontId="67" fillId="52" borderId="65" xfId="0" applyFont="1" applyFill="1" applyBorder="1" applyAlignment="1">
      <alignment vertical="center" wrapText="1"/>
    </xf>
    <xf numFmtId="195" fontId="68" fillId="26" borderId="65" xfId="0" applyNumberFormat="1" applyFont="1" applyBorder="1" applyAlignment="1">
      <alignment vertical="center" wrapText="1"/>
    </xf>
    <xf numFmtId="196" fontId="68" fillId="26" borderId="65" xfId="0" applyNumberFormat="1" applyFont="1" applyBorder="1" applyAlignment="1">
      <alignment vertical="center" wrapText="1"/>
    </xf>
    <xf numFmtId="189" fontId="68" fillId="26" borderId="65" xfId="0" applyNumberFormat="1" applyFont="1" applyBorder="1" applyAlignment="1">
      <alignment vertical="center" wrapText="1"/>
    </xf>
    <xf numFmtId="0" fontId="13" fillId="0" borderId="0" xfId="2" applyFont="1" applyFill="1" applyBorder="1" applyAlignment="1">
      <alignment vertical="center" wrapText="1"/>
    </xf>
    <xf numFmtId="198" fontId="71" fillId="55" borderId="65" xfId="0" applyNumberFormat="1" applyFont="1" applyFill="1" applyBorder="1" applyAlignment="1">
      <alignment horizontal="right" vertical="center" wrapText="1" indent="1"/>
    </xf>
    <xf numFmtId="0" fontId="70" fillId="54" borderId="65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2" fillId="21" borderId="6" xfId="0" applyFont="1" applyFill="1" applyBorder="1" applyAlignment="1">
      <alignment vertical="center" wrapText="1"/>
    </xf>
    <xf numFmtId="0" fontId="72" fillId="23" borderId="6" xfId="0" applyFont="1" applyFill="1" applyBorder="1" applyAlignment="1">
      <alignment vertical="center" wrapText="1"/>
    </xf>
    <xf numFmtId="198" fontId="28" fillId="23" borderId="6" xfId="0" applyNumberFormat="1" applyFont="1" applyFill="1" applyBorder="1" applyAlignment="1">
      <alignment vertical="center"/>
    </xf>
    <xf numFmtId="198" fontId="71" fillId="53" borderId="65" xfId="0" applyNumberFormat="1" applyFont="1" applyFill="1" applyBorder="1" applyAlignment="1">
      <alignment horizontal="right" vertical="center" wrapText="1" indent="1"/>
    </xf>
    <xf numFmtId="198" fontId="70" fillId="53" borderId="65" xfId="0" applyNumberFormat="1" applyFont="1" applyFill="1" applyBorder="1" applyAlignment="1">
      <alignment horizontal="right" vertical="center" wrapText="1" indent="1"/>
    </xf>
    <xf numFmtId="198" fontId="70" fillId="55" borderId="6" xfId="0" applyNumberFormat="1" applyFont="1" applyFill="1" applyBorder="1" applyAlignment="1">
      <alignment vertical="center"/>
    </xf>
    <xf numFmtId="0" fontId="74" fillId="50" borderId="65" xfId="0" applyFont="1" applyFill="1" applyBorder="1" applyAlignment="1">
      <alignment horizontal="center" vertical="center" wrapText="1"/>
    </xf>
    <xf numFmtId="0" fontId="70" fillId="56" borderId="65" xfId="0" applyFont="1" applyFill="1" applyBorder="1" applyAlignment="1">
      <alignment horizontal="left" vertical="center" wrapText="1" indent="1"/>
    </xf>
    <xf numFmtId="200" fontId="74" fillId="50" borderId="65" xfId="0" applyNumberFormat="1" applyFont="1" applyFill="1" applyBorder="1" applyAlignment="1">
      <alignment horizontal="center" vertical="center" wrapText="1"/>
    </xf>
    <xf numFmtId="199" fontId="71" fillId="53" borderId="65" xfId="0" applyNumberFormat="1" applyFont="1" applyFill="1" applyBorder="1" applyAlignment="1">
      <alignment horizontal="right" vertical="center" wrapText="1" indent="1"/>
    </xf>
    <xf numFmtId="0" fontId="75" fillId="57" borderId="77" xfId="0" applyFont="1" applyFill="1" applyBorder="1"/>
    <xf numFmtId="189" fontId="76" fillId="57" borderId="77" xfId="0" applyNumberFormat="1" applyFont="1" applyFill="1" applyBorder="1" applyAlignment="1">
      <alignment vertical="center" wrapText="1"/>
    </xf>
    <xf numFmtId="0" fontId="76" fillId="57" borderId="77" xfId="0" applyFont="1" applyFill="1" applyBorder="1" applyAlignment="1">
      <alignment vertical="center" wrapText="1"/>
    </xf>
    <xf numFmtId="189" fontId="76" fillId="60" borderId="77" xfId="0" applyNumberFormat="1" applyFont="1" applyFill="1" applyBorder="1" applyAlignment="1">
      <alignment vertical="center" wrapText="1"/>
    </xf>
    <xf numFmtId="0" fontId="76" fillId="57" borderId="77" xfId="0" applyFont="1" applyFill="1" applyBorder="1" applyAlignment="1">
      <alignment vertical="center"/>
    </xf>
    <xf numFmtId="0" fontId="80" fillId="59" borderId="77" xfId="0" applyFont="1" applyFill="1" applyBorder="1" applyAlignment="1">
      <alignment vertical="center" wrapText="1"/>
    </xf>
    <xf numFmtId="192" fontId="80" fillId="59" borderId="77" xfId="0" applyNumberFormat="1" applyFont="1" applyFill="1" applyBorder="1" applyAlignment="1">
      <alignment vertical="center" wrapText="1"/>
    </xf>
    <xf numFmtId="0" fontId="76" fillId="57" borderId="78" xfId="0" applyFont="1" applyFill="1" applyBorder="1" applyAlignment="1">
      <alignment vertical="center" wrapText="1"/>
    </xf>
    <xf numFmtId="185" fontId="76" fillId="60" borderId="78" xfId="0" applyNumberFormat="1" applyFont="1" applyFill="1" applyBorder="1" applyAlignment="1">
      <alignment vertical="center" wrapText="1"/>
    </xf>
    <xf numFmtId="0" fontId="76" fillId="57" borderId="78" xfId="0" applyFont="1" applyFill="1" applyBorder="1" applyAlignment="1">
      <alignment vertical="center"/>
    </xf>
    <xf numFmtId="185" fontId="76" fillId="57" borderId="78" xfId="0" applyNumberFormat="1" applyFont="1" applyFill="1" applyBorder="1" applyAlignment="1">
      <alignment vertical="center" wrapText="1"/>
    </xf>
    <xf numFmtId="0" fontId="76" fillId="60" borderId="77" xfId="0" applyFont="1" applyFill="1" applyBorder="1" applyAlignment="1">
      <alignment vertical="center" wrapText="1"/>
    </xf>
    <xf numFmtId="1" fontId="76" fillId="60" borderId="77" xfId="0" applyNumberFormat="1" applyFont="1" applyFill="1" applyBorder="1" applyAlignment="1">
      <alignment vertical="center" wrapText="1"/>
    </xf>
    <xf numFmtId="188" fontId="76" fillId="57" borderId="77" xfId="0" applyNumberFormat="1" applyFont="1" applyFill="1" applyBorder="1" applyAlignment="1">
      <alignment vertical="center" wrapText="1"/>
    </xf>
    <xf numFmtId="185" fontId="76" fillId="60" borderId="77" xfId="0" applyNumberFormat="1" applyFont="1" applyFill="1" applyBorder="1" applyAlignment="1">
      <alignment vertical="center" wrapText="1"/>
    </xf>
    <xf numFmtId="185" fontId="76" fillId="57" borderId="77" xfId="0" applyNumberFormat="1" applyFont="1" applyFill="1" applyBorder="1" applyAlignment="1">
      <alignment vertical="center" wrapText="1"/>
    </xf>
    <xf numFmtId="0" fontId="81" fillId="0" borderId="60" xfId="0" applyFont="1" applyFill="1" applyBorder="1" applyAlignment="1">
      <alignment vertical="center" wrapText="1"/>
    </xf>
    <xf numFmtId="0" fontId="0" fillId="0" borderId="0" xfId="0" applyFill="1" applyBorder="1"/>
    <xf numFmtId="196" fontId="81" fillId="0" borderId="60" xfId="0" applyNumberFormat="1" applyFont="1" applyFill="1" applyBorder="1" applyAlignment="1">
      <alignment horizontal="right" vertical="center" wrapText="1"/>
    </xf>
    <xf numFmtId="0" fontId="55" fillId="0" borderId="60" xfId="0" applyFont="1" applyFill="1" applyBorder="1" applyAlignment="1">
      <alignment vertical="center" wrapText="1"/>
    </xf>
    <xf numFmtId="196" fontId="55" fillId="0" borderId="60" xfId="0" applyNumberFormat="1" applyFont="1" applyFill="1" applyBorder="1" applyAlignment="1">
      <alignment horizontal="right" vertical="center" wrapText="1"/>
    </xf>
    <xf numFmtId="0" fontId="54" fillId="33" borderId="10" xfId="0" applyFont="1" applyFill="1"/>
    <xf numFmtId="0" fontId="65" fillId="50" borderId="36" xfId="2" applyFont="1" applyFill="1" applyBorder="1" applyAlignment="1">
      <alignment vertical="center" wrapText="1"/>
    </xf>
    <xf numFmtId="0" fontId="0" fillId="0" borderId="37" xfId="0" applyFill="1" applyBorder="1"/>
    <xf numFmtId="0" fontId="0" fillId="0" borderId="38" xfId="0" applyFill="1" applyBorder="1"/>
    <xf numFmtId="185" fontId="1" fillId="0" borderId="75" xfId="2" applyNumberFormat="1" applyFont="1" applyFill="1" applyBorder="1" applyAlignment="1">
      <alignment horizontal="left" vertical="center" wrapText="1"/>
    </xf>
    <xf numFmtId="0" fontId="0" fillId="0" borderId="73" xfId="0" applyFill="1" applyBorder="1"/>
    <xf numFmtId="0" fontId="0" fillId="0" borderId="74" xfId="0" applyFill="1" applyBorder="1"/>
    <xf numFmtId="185" fontId="4" fillId="8" borderId="72" xfId="2" applyNumberFormat="1" applyFont="1" applyFill="1" applyBorder="1" applyAlignment="1">
      <alignment vertical="center" wrapText="1"/>
    </xf>
    <xf numFmtId="197" fontId="66" fillId="0" borderId="23" xfId="0" applyNumberFormat="1" applyFont="1" applyFill="1" applyBorder="1" applyAlignment="1">
      <alignment horizontal="center" vertical="center"/>
    </xf>
    <xf numFmtId="0" fontId="0" fillId="0" borderId="24" xfId="0" applyFill="1" applyBorder="1"/>
    <xf numFmtId="196" fontId="61" fillId="0" borderId="23" xfId="2" applyNumberFormat="1" applyFont="1" applyFill="1" applyBorder="1" applyAlignment="1">
      <alignment horizontal="right" vertical="center" shrinkToFit="1"/>
    </xf>
    <xf numFmtId="0" fontId="0" fillId="0" borderId="26" xfId="0" applyFill="1" applyBorder="1"/>
    <xf numFmtId="185" fontId="61" fillId="0" borderId="23" xfId="2" applyNumberFormat="1" applyFont="1" applyFill="1" applyBorder="1" applyAlignment="1">
      <alignment vertical="center" wrapText="1"/>
    </xf>
    <xf numFmtId="0" fontId="61" fillId="0" borderId="25" xfId="2" applyFont="1" applyFill="1" applyBorder="1" applyAlignment="1">
      <alignment vertical="center" wrapText="1"/>
    </xf>
    <xf numFmtId="0" fontId="45" fillId="32" borderId="10" xfId="2" applyFont="1" applyFill="1" applyAlignment="1">
      <alignment wrapText="1"/>
    </xf>
    <xf numFmtId="0" fontId="61" fillId="0" borderId="67" xfId="2" applyFont="1" applyFill="1" applyBorder="1" applyAlignment="1">
      <alignment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23" fillId="15" borderId="20" xfId="1" applyFont="1" applyFill="1" applyBorder="1"/>
    <xf numFmtId="0" fontId="0" fillId="0" borderId="21" xfId="0" applyFill="1" applyBorder="1"/>
    <xf numFmtId="0" fontId="0" fillId="0" borderId="22" xfId="0" applyFill="1" applyBorder="1"/>
    <xf numFmtId="185" fontId="1" fillId="0" borderId="72" xfId="2" applyNumberFormat="1" applyFont="1" applyFill="1" applyBorder="1"/>
    <xf numFmtId="0" fontId="20" fillId="14" borderId="27" xfId="1" applyFont="1" applyFill="1" applyBorder="1" applyAlignment="1">
      <alignment vertical="center" wrapText="1"/>
    </xf>
    <xf numFmtId="0" fontId="0" fillId="0" borderId="28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22" fillId="15" borderId="20" xfId="1" applyFont="1" applyFill="1" applyBorder="1"/>
    <xf numFmtId="0" fontId="21" fillId="14" borderId="20" xfId="1" applyFont="1" applyFill="1" applyBorder="1" applyAlignment="1">
      <alignment wrapText="1"/>
    </xf>
    <xf numFmtId="177" fontId="0" fillId="0" borderId="10" xfId="2" applyNumberFormat="1" applyFont="1" applyFill="1"/>
    <xf numFmtId="0" fontId="71" fillId="54" borderId="65" xfId="0" applyFont="1" applyFill="1" applyBorder="1" applyAlignment="1">
      <alignment horizontal="left" vertical="center" wrapText="1" indent="1"/>
    </xf>
    <xf numFmtId="0" fontId="0" fillId="0" borderId="62" xfId="0" applyFill="1" applyBorder="1"/>
    <xf numFmtId="0" fontId="0" fillId="0" borderId="63" xfId="0" applyFill="1" applyBorder="1"/>
    <xf numFmtId="0" fontId="0" fillId="0" borderId="69" xfId="0" applyFill="1" applyBorder="1"/>
    <xf numFmtId="0" fontId="0" fillId="0" borderId="70" xfId="0" applyFill="1" applyBorder="1"/>
    <xf numFmtId="0" fontId="0" fillId="0" borderId="71" xfId="0" applyFill="1" applyBorder="1"/>
    <xf numFmtId="185" fontId="76" fillId="59" borderId="78" xfId="0" applyNumberFormat="1" applyFont="1" applyFill="1" applyBorder="1" applyAlignment="1">
      <alignment horizontal="right" vertical="center" indent="1"/>
    </xf>
    <xf numFmtId="0" fontId="77" fillId="58" borderId="77" xfId="0" applyFont="1" applyFill="1" applyBorder="1" applyAlignment="1">
      <alignment vertical="center" wrapText="1"/>
    </xf>
    <xf numFmtId="0" fontId="80" fillId="59" borderId="77" xfId="0" applyFont="1" applyFill="1" applyBorder="1" applyAlignment="1">
      <alignment vertical="center" wrapText="1"/>
    </xf>
    <xf numFmtId="0" fontId="76" fillId="57" borderId="78" xfId="0" applyFont="1" applyFill="1" applyBorder="1" applyAlignment="1">
      <alignment vertical="center" wrapText="1"/>
    </xf>
    <xf numFmtId="0" fontId="78" fillId="59" borderId="77" xfId="0" applyFont="1" applyFill="1" applyBorder="1" applyAlignment="1">
      <alignment vertical="center" wrapText="1"/>
    </xf>
    <xf numFmtId="0" fontId="75" fillId="59" borderId="77" xfId="0" applyFont="1" applyFill="1" applyBorder="1"/>
    <xf numFmtId="0" fontId="75" fillId="57" borderId="78" xfId="0" applyFont="1" applyFill="1" applyBorder="1"/>
    <xf numFmtId="0" fontId="75" fillId="58" borderId="77" xfId="0" applyFont="1" applyFill="1" applyBorder="1"/>
    <xf numFmtId="185" fontId="76" fillId="57" borderId="78" xfId="0" applyNumberFormat="1" applyFont="1" applyFill="1" applyBorder="1" applyAlignment="1">
      <alignment vertical="center" wrapText="1"/>
    </xf>
    <xf numFmtId="0" fontId="78" fillId="59" borderId="78" xfId="0" applyFont="1" applyFill="1" applyBorder="1" applyAlignment="1">
      <alignment vertical="center" wrapText="1"/>
    </xf>
    <xf numFmtId="185" fontId="76" fillId="57" borderId="78" xfId="0" applyNumberFormat="1" applyFont="1" applyFill="1" applyBorder="1" applyAlignment="1">
      <alignment horizontal="right" vertical="center" indent="1"/>
    </xf>
    <xf numFmtId="185" fontId="76" fillId="61" borderId="78" xfId="0" applyNumberFormat="1" applyFont="1" applyFill="1" applyBorder="1" applyAlignment="1">
      <alignment horizontal="right" vertical="center" indent="1"/>
    </xf>
    <xf numFmtId="0" fontId="79" fillId="59" borderId="77" xfId="0" applyFont="1" applyFill="1" applyBorder="1" applyAlignment="1">
      <alignment vertical="center" wrapText="1"/>
    </xf>
    <xf numFmtId="0" fontId="69" fillId="26" borderId="8" xfId="0" applyFont="1" applyBorder="1" applyAlignment="1">
      <alignment horizontal="center" vertical="center" wrapText="1"/>
    </xf>
    <xf numFmtId="0" fontId="36" fillId="29" borderId="9" xfId="0" applyFont="1" applyFill="1" applyBorder="1" applyAlignment="1">
      <alignment horizontal="left" vertical="center" wrapText="1"/>
    </xf>
    <xf numFmtId="0" fontId="40" fillId="26" borderId="10" xfId="0" applyFont="1"/>
    <xf numFmtId="0" fontId="36" fillId="29" borderId="20" xfId="0" applyFont="1" applyFill="1" applyBorder="1" applyAlignment="1">
      <alignment vertical="center"/>
    </xf>
    <xf numFmtId="0" fontId="36" fillId="29" borderId="20" xfId="0" applyFont="1" applyFill="1" applyBorder="1" applyAlignment="1">
      <alignment horizontal="left" vertical="center" wrapText="1"/>
    </xf>
    <xf numFmtId="0" fontId="2" fillId="7" borderId="10" xfId="2" applyFont="1" applyFill="1" applyAlignment="1">
      <alignment vertical="center"/>
    </xf>
    <xf numFmtId="0" fontId="35" fillId="27" borderId="20" xfId="0" applyFont="1" applyFill="1" applyBorder="1"/>
    <xf numFmtId="0" fontId="39" fillId="27" borderId="20" xfId="0" applyFont="1" applyFill="1" applyBorder="1" applyAlignment="1">
      <alignment vertical="center"/>
    </xf>
    <xf numFmtId="0" fontId="36" fillId="28" borderId="20" xfId="0" applyFont="1" applyFill="1" applyBorder="1" applyAlignment="1">
      <alignment horizontal="center" vertical="center"/>
    </xf>
    <xf numFmtId="0" fontId="36" fillId="31" borderId="20" xfId="0" applyFont="1" applyFill="1" applyBorder="1" applyAlignment="1">
      <alignment horizontal="center" vertical="center"/>
    </xf>
    <xf numFmtId="0" fontId="36" fillId="30" borderId="20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40" fillId="26" borderId="76" xfId="0" applyFont="1" applyBorder="1"/>
    <xf numFmtId="0" fontId="0" fillId="0" borderId="76" xfId="0" applyFill="1" applyBorder="1"/>
    <xf numFmtId="0" fontId="36" fillId="28" borderId="20" xfId="0" applyFont="1" applyFill="1" applyBorder="1" applyAlignment="1">
      <alignment vertical="center"/>
    </xf>
    <xf numFmtId="185" fontId="1" fillId="0" borderId="72" xfId="2" applyNumberFormat="1" applyFont="1" applyFill="1" applyBorder="1" applyAlignment="1">
      <alignment horizontal="left" vertical="center" wrapText="1"/>
    </xf>
    <xf numFmtId="185" fontId="16" fillId="10" borderId="72" xfId="2" applyNumberFormat="1" applyFont="1" applyFill="1" applyBorder="1"/>
    <xf numFmtId="0" fontId="61" fillId="0" borderId="39" xfId="2" applyFont="1" applyFill="1" applyBorder="1" applyAlignment="1">
      <alignment vertical="center" wrapText="1"/>
    </xf>
    <xf numFmtId="185" fontId="4" fillId="8" borderId="72" xfId="2" applyNumberFormat="1" applyFont="1" applyFill="1" applyBorder="1" applyAlignment="1">
      <alignment vertical="center"/>
    </xf>
    <xf numFmtId="0" fontId="63" fillId="26" borderId="10" xfId="0" applyFont="1"/>
    <xf numFmtId="185" fontId="50" fillId="12" borderId="4" xfId="2" applyNumberFormat="1" applyFont="1" applyFill="1" applyBorder="1"/>
    <xf numFmtId="196" fontId="61" fillId="0" borderId="23" xfId="0" applyNumberFormat="1" applyFont="1" applyFill="1" applyBorder="1" applyAlignment="1">
      <alignment horizontal="right" vertical="center" shrinkToFit="1"/>
    </xf>
    <xf numFmtId="0" fontId="0" fillId="0" borderId="45" xfId="0" applyFill="1" applyBorder="1"/>
    <xf numFmtId="0" fontId="65" fillId="50" borderId="17" xfId="0" applyFont="1" applyFill="1" applyBorder="1" applyAlignment="1">
      <alignment vertical="center" wrapText="1"/>
    </xf>
    <xf numFmtId="0" fontId="0" fillId="0" borderId="18" xfId="0" applyFill="1" applyBorder="1"/>
    <xf numFmtId="0" fontId="0" fillId="0" borderId="19" xfId="0" applyFill="1" applyBorder="1"/>
    <xf numFmtId="0" fontId="61" fillId="0" borderId="25" xfId="0" applyFont="1" applyFill="1" applyBorder="1" applyAlignment="1">
      <alignment vertical="center" wrapText="1"/>
    </xf>
    <xf numFmtId="0" fontId="0" fillId="0" borderId="23" xfId="0" applyFill="1" applyBorder="1"/>
    <xf numFmtId="0" fontId="61" fillId="26" borderId="10" xfId="0" applyFont="1"/>
    <xf numFmtId="0" fontId="61" fillId="0" borderId="49" xfId="0" applyFont="1" applyFill="1" applyBorder="1" applyAlignment="1">
      <alignment vertical="center" wrapText="1"/>
    </xf>
    <xf numFmtId="0" fontId="0" fillId="0" borderId="50" xfId="0" applyFill="1" applyBorder="1"/>
    <xf numFmtId="0" fontId="0" fillId="0" borderId="51" xfId="0" applyFill="1" applyBorder="1"/>
    <xf numFmtId="0" fontId="65" fillId="50" borderId="36" xfId="0" applyFont="1" applyFill="1" applyBorder="1" applyAlignment="1">
      <alignment vertical="center" wrapText="1"/>
    </xf>
    <xf numFmtId="196" fontId="61" fillId="0" borderId="52" xfId="0" applyNumberFormat="1" applyFont="1" applyFill="1" applyBorder="1" applyAlignment="1">
      <alignment horizontal="right" vertical="center" shrinkToFit="1"/>
    </xf>
    <xf numFmtId="0" fontId="0" fillId="0" borderId="47" xfId="0" applyFill="1" applyBorder="1"/>
    <xf numFmtId="0" fontId="0" fillId="0" borderId="48" xfId="0" applyFill="1" applyBorder="1"/>
    <xf numFmtId="0" fontId="0" fillId="0" borderId="52" xfId="0" applyFill="1" applyBorder="1"/>
    <xf numFmtId="0" fontId="0" fillId="0" borderId="53" xfId="0" applyFill="1" applyBorder="1"/>
    <xf numFmtId="0" fontId="61" fillId="0" borderId="46" xfId="0" applyFont="1" applyFill="1" applyBorder="1" applyAlignment="1">
      <alignment vertical="center" wrapText="1"/>
    </xf>
    <xf numFmtId="185" fontId="16" fillId="10" borderId="72" xfId="2" applyNumberFormat="1" applyFont="1" applyFill="1" applyBorder="1" applyAlignment="1">
      <alignment horizontal="left" vertical="center" wrapText="1"/>
    </xf>
    <xf numFmtId="0" fontId="31" fillId="25" borderId="20" xfId="0" applyFont="1" applyFill="1" applyBorder="1" applyAlignment="1">
      <alignment wrapText="1"/>
    </xf>
    <xf numFmtId="0" fontId="61" fillId="0" borderId="66" xfId="0" applyFont="1" applyFill="1" applyBorder="1" applyAlignment="1">
      <alignment vertical="center" wrapText="1"/>
    </xf>
    <xf numFmtId="0" fontId="70" fillId="53" borderId="65" xfId="0" applyFont="1" applyFill="1" applyBorder="1" applyAlignment="1">
      <alignment horizontal="left" vertical="center" wrapText="1" indent="1"/>
    </xf>
    <xf numFmtId="0" fontId="0" fillId="0" borderId="68" xfId="0" applyFill="1" applyBorder="1"/>
    <xf numFmtId="0" fontId="0" fillId="0" borderId="64" xfId="0" applyFill="1" applyBorder="1"/>
    <xf numFmtId="0" fontId="70" fillId="54" borderId="65" xfId="0" applyFont="1" applyFill="1" applyBorder="1" applyAlignment="1">
      <alignment horizontal="left" vertical="center" wrapText="1" indent="1"/>
    </xf>
    <xf numFmtId="0" fontId="29" fillId="20" borderId="20" xfId="0" applyFont="1" applyFill="1" applyBorder="1" applyAlignment="1">
      <alignment horizontal="center" vertical="center" wrapText="1"/>
    </xf>
    <xf numFmtId="0" fontId="74" fillId="50" borderId="65" xfId="0" applyFont="1" applyFill="1" applyBorder="1" applyAlignment="1">
      <alignment horizontal="center" vertical="center" wrapText="1"/>
    </xf>
    <xf numFmtId="199" fontId="71" fillId="54" borderId="65" xfId="0" applyNumberFormat="1" applyFont="1" applyFill="1" applyBorder="1" applyAlignment="1">
      <alignment horizontal="right" vertical="center" wrapText="1" indent="1"/>
    </xf>
    <xf numFmtId="0" fontId="29" fillId="24" borderId="20" xfId="0" applyFont="1" applyFill="1" applyBorder="1" applyAlignment="1">
      <alignment horizontal="center" vertical="center" wrapText="1"/>
    </xf>
    <xf numFmtId="0" fontId="71" fillId="55" borderId="65" xfId="0" applyFont="1" applyFill="1" applyBorder="1" applyAlignment="1">
      <alignment horizontal="left" vertical="center" wrapText="1" indent="1"/>
    </xf>
    <xf numFmtId="197" fontId="71" fillId="55" borderId="65" xfId="0" applyNumberFormat="1" applyFont="1" applyFill="1" applyBorder="1" applyAlignment="1">
      <alignment horizontal="center" vertical="center" wrapText="1"/>
    </xf>
    <xf numFmtId="0" fontId="74" fillId="50" borderId="65" xfId="0" applyFont="1" applyFill="1" applyBorder="1" applyAlignment="1">
      <alignment horizontal="left" vertical="center" wrapText="1" indent="1"/>
    </xf>
    <xf numFmtId="199" fontId="71" fillId="56" borderId="65" xfId="0" applyNumberFormat="1" applyFont="1" applyFill="1" applyBorder="1" applyAlignment="1">
      <alignment horizontal="right" vertical="center" wrapText="1" indent="1"/>
    </xf>
    <xf numFmtId="0" fontId="29" fillId="22" borderId="20" xfId="0" applyFont="1" applyFill="1" applyBorder="1" applyAlignment="1">
      <alignment horizontal="center" vertical="center" wrapText="1"/>
    </xf>
    <xf numFmtId="198" fontId="70" fillId="55" borderId="65" xfId="0" applyNumberFormat="1" applyFont="1" applyFill="1" applyBorder="1" applyAlignment="1">
      <alignment horizontal="left" vertical="center" wrapText="1" indent="1"/>
    </xf>
    <xf numFmtId="198" fontId="70" fillId="55" borderId="65" xfId="0" applyNumberFormat="1" applyFont="1" applyFill="1" applyBorder="1" applyAlignment="1">
      <alignment horizontal="right" vertical="center" wrapText="1" indent="1"/>
    </xf>
    <xf numFmtId="0" fontId="71" fillId="56" borderId="65" xfId="0" applyFont="1" applyFill="1" applyBorder="1" applyAlignment="1">
      <alignment horizontal="left" vertical="center" wrapText="1" indent="1"/>
    </xf>
    <xf numFmtId="199" fontId="70" fillId="53" borderId="65" xfId="0" applyNumberFormat="1" applyFont="1" applyFill="1" applyBorder="1" applyAlignment="1">
      <alignment horizontal="right" vertical="center" wrapText="1" indent="1"/>
    </xf>
    <xf numFmtId="0" fontId="71" fillId="53" borderId="65" xfId="0" applyFont="1" applyFill="1" applyBorder="1" applyAlignment="1">
      <alignment horizontal="left" vertical="center" wrapText="1" indent="1"/>
    </xf>
    <xf numFmtId="0" fontId="70" fillId="53" borderId="65" xfId="0" applyFont="1" applyFill="1" applyBorder="1" applyAlignment="1">
      <alignment horizontal="center" vertical="center" wrapText="1"/>
    </xf>
    <xf numFmtId="0" fontId="29" fillId="18" borderId="61" xfId="0" applyFont="1" applyFill="1" applyBorder="1"/>
    <xf numFmtId="198" fontId="71" fillId="54" borderId="65" xfId="0" applyNumberFormat="1" applyFont="1" applyFill="1" applyBorder="1" applyAlignment="1">
      <alignment horizontal="right" vertical="center" wrapText="1" indent="1"/>
    </xf>
    <xf numFmtId="0" fontId="73" fillId="50" borderId="65" xfId="0" applyFont="1" applyFill="1" applyBorder="1" applyAlignment="1">
      <alignment horizontal="left" vertical="center" wrapText="1" indent="1"/>
    </xf>
    <xf numFmtId="197" fontId="70" fillId="55" borderId="65" xfId="0" applyNumberFormat="1" applyFont="1" applyFill="1" applyBorder="1" applyAlignment="1">
      <alignment horizontal="center" vertical="center" wrapText="1"/>
    </xf>
    <xf numFmtId="198" fontId="71" fillId="56" borderId="65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0" xfId="0" applyFont="1" applyFill="1" applyBorder="1"/>
    <xf numFmtId="0" fontId="70" fillId="54" borderId="65" xfId="0" applyFont="1" applyFill="1" applyBorder="1" applyAlignment="1">
      <alignment horizontal="center"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197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198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199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200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201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202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19" t="s">
        <v>2407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203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s">
        <v>2408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204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s">
        <v>2409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205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2410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206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90" t="s">
        <v>207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</row>
    <row r="22" spans="1:17" ht="30" customHeight="1">
      <c r="A22" s="390" t="s">
        <v>2411</v>
      </c>
      <c r="B22" s="350"/>
      <c r="C22" s="350"/>
      <c r="D22" s="350"/>
      <c r="E22" s="350"/>
      <c r="F22" s="350"/>
      <c r="G22" s="350"/>
      <c r="H22" s="350"/>
      <c r="I22" s="350"/>
      <c r="J22" s="350"/>
      <c r="K22" s="350"/>
      <c r="L22" s="350"/>
    </row>
    <row r="23" spans="1:17" ht="30" customHeight="1">
      <c r="A23" s="390" t="s">
        <v>2412</v>
      </c>
      <c r="B23" s="350"/>
      <c r="C23" s="350"/>
      <c r="D23" s="350"/>
      <c r="E23" s="350"/>
      <c r="F23" s="350"/>
      <c r="G23" s="350"/>
      <c r="H23" s="350"/>
      <c r="I23" s="350"/>
      <c r="J23" s="350"/>
      <c r="K23" s="350"/>
      <c r="L23" s="350"/>
    </row>
    <row r="24" spans="1:17" ht="30" customHeight="1">
      <c r="A24" s="390" t="s">
        <v>208</v>
      </c>
      <c r="B24" s="350"/>
      <c r="C24" s="350"/>
      <c r="D24" s="350"/>
      <c r="E24" s="350"/>
      <c r="F24" s="350"/>
      <c r="G24" s="350"/>
      <c r="H24" s="350"/>
      <c r="I24" s="350"/>
      <c r="J24" s="350"/>
      <c r="K24" s="350"/>
      <c r="L24" s="350"/>
    </row>
    <row r="25" spans="1:17" ht="34" customHeight="1">
      <c r="A25" s="17"/>
      <c r="B25" s="17"/>
      <c r="C25" s="17" t="s">
        <v>209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91" t="s">
        <v>2413</v>
      </c>
      <c r="B27" s="392"/>
      <c r="C27" s="392"/>
      <c r="D27" s="392"/>
      <c r="E27" s="392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  <c r="Q27" s="393"/>
    </row>
    <row r="28" spans="1:17" ht="23" customHeight="1">
      <c r="A28" s="394"/>
      <c r="B28" s="395"/>
      <c r="C28" s="395"/>
      <c r="D28" s="395"/>
      <c r="E28" s="395"/>
      <c r="F28" s="395"/>
      <c r="G28" s="395"/>
      <c r="H28" s="395"/>
      <c r="I28" s="395"/>
      <c r="J28" s="395"/>
      <c r="K28" s="395"/>
      <c r="L28" s="395"/>
      <c r="M28" s="395"/>
      <c r="N28" s="395"/>
      <c r="O28" s="395"/>
      <c r="P28" s="395"/>
      <c r="Q28" s="396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  <pageSetUpPr fitToPage="1"/>
  </sheetPr>
  <dimension ref="A1:AH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sqref="A1:O1"/>
    </sheetView>
  </sheetViews>
  <sheetFormatPr baseColWidth="10" defaultColWidth="8.83203125" defaultRowHeight="15" outlineLevelRow="1"/>
  <cols>
    <col min="1" max="1" width="15" customWidth="1"/>
    <col min="2" max="2" width="25" customWidth="1"/>
    <col min="3" max="3" width="14" customWidth="1"/>
    <col min="4" max="15" width="10.5" customWidth="1"/>
    <col min="16" max="34" width="13" hidden="1" customWidth="1"/>
  </cols>
  <sheetData>
    <row r="1" spans="1:30" ht="34" customHeight="1">
      <c r="A1" s="398" t="s">
        <v>2414</v>
      </c>
      <c r="B1" s="404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  <c r="AD1" s="334">
        <v>46023</v>
      </c>
    </row>
    <row r="2" spans="1:30" ht="24" customHeight="1">
      <c r="A2" s="401" t="s">
        <v>2415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AD2" s="334">
        <v>46054</v>
      </c>
    </row>
    <row r="3" spans="1:30" ht="24" customHeight="1">
      <c r="A3" s="335" t="s">
        <v>1</v>
      </c>
      <c r="B3" s="336">
        <v>46296</v>
      </c>
      <c r="C3" s="337"/>
      <c r="D3" s="401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AD3" s="334">
        <v>46082</v>
      </c>
    </row>
    <row r="4" spans="1:30" ht="24" customHeight="1">
      <c r="A4" s="401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AD4" s="334">
        <v>46113</v>
      </c>
    </row>
    <row r="5" spans="1:30" ht="24" customHeight="1">
      <c r="A5" s="337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AD5" s="334">
        <v>46143</v>
      </c>
    </row>
    <row r="6" spans="1:30" ht="24" customHeight="1">
      <c r="A6" s="398" t="s">
        <v>2416</v>
      </c>
      <c r="B6" s="404"/>
      <c r="C6" s="404"/>
      <c r="D6" s="404"/>
      <c r="E6" s="404"/>
      <c r="F6" s="404"/>
      <c r="G6" s="404"/>
      <c r="H6" s="404"/>
      <c r="I6" s="404"/>
      <c r="J6" s="404"/>
      <c r="K6" s="404"/>
      <c r="L6" s="404"/>
      <c r="M6" s="404"/>
      <c r="N6" s="404"/>
      <c r="O6" s="404"/>
      <c r="AD6" s="334">
        <v>46174</v>
      </c>
    </row>
    <row r="7" spans="1:30" ht="42" customHeight="1">
      <c r="A7" s="399" t="s">
        <v>2417</v>
      </c>
      <c r="B7" s="399"/>
      <c r="C7" s="399" t="s">
        <v>2418</v>
      </c>
      <c r="D7" s="399"/>
      <c r="E7" s="399"/>
      <c r="F7" s="399" t="s">
        <v>2419</v>
      </c>
      <c r="G7" s="399"/>
      <c r="H7" s="399"/>
      <c r="I7" s="399" t="s">
        <v>2420</v>
      </c>
      <c r="J7" s="399"/>
      <c r="K7" s="399"/>
      <c r="L7" s="399"/>
      <c r="M7" s="399"/>
      <c r="N7" s="399"/>
      <c r="O7" s="399"/>
      <c r="AD7" s="334">
        <v>46204</v>
      </c>
    </row>
    <row r="8" spans="1:30" ht="24" customHeight="1">
      <c r="A8" s="406" t="s">
        <v>13</v>
      </c>
      <c r="B8" s="406"/>
      <c r="C8" s="407" t="str">
        <f>IF(COUNT(INDEX($D$34:$O$38,MATCH($A8,$A$34:$A$38,0),MONTH($B$3)))=0,"미입력",INDEX($D$34:$O$38,MATCH($A8,$A$34:$A$38,0),MONTH($B$3)))</f>
        <v>미입력</v>
      </c>
      <c r="D8" s="407"/>
      <c r="E8" s="407"/>
      <c r="F8" s="407">
        <f>SUMIFS($E$100:$E$399,$C$100:$C$399,$A8,$D$100:$D$399,"&gt;="&amp;$B$3,$D$100:$D$399,"&lt;"&amp;EDATE($B$3,1),$R$100:$R$399,"OK")</f>
        <v>0</v>
      </c>
      <c r="G8" s="407"/>
      <c r="H8" s="407"/>
      <c r="I8" s="408">
        <f>IF($B$3&lt;DATE(2026,3,1),"원장 없음",SUMIFS(잔액!$Y$64:$Y$500,잔액!$D$64:$D$500,$A8,잔액!$A$64:$A$500,"&lt;"&amp;EDATE($B$3,1))-SUMIFS(잔액!$Y$64:$Y$500,잔액!$C$64:$C$500,$A8,잔액!$A$64:$A$500,"&lt;"&amp;EDATE($B$3,1))-IFERROR(INDEX(_예비비계산!$BI$81:$BU$86,MATCH($A8,_예비비계산!$BH$81:$BH$86,0),MONTH($B$3)+1),0))</f>
        <v>0</v>
      </c>
      <c r="J8" s="408"/>
      <c r="K8" s="408"/>
      <c r="L8" s="408"/>
      <c r="M8" s="408"/>
      <c r="N8" s="408"/>
      <c r="O8" s="408"/>
      <c r="AD8" s="334">
        <v>46235</v>
      </c>
    </row>
    <row r="9" spans="1:30" ht="24" customHeight="1">
      <c r="A9" s="406" t="s">
        <v>14</v>
      </c>
      <c r="B9" s="406"/>
      <c r="C9" s="407" t="str">
        <f>IF(COUNT(INDEX($D$34:$O$38,MATCH($A9,$A$34:$A$38,0),MONTH($B$3)))=0,"미입력",INDEX($D$34:$O$38,MATCH($A9,$A$34:$A$38,0),MONTH($B$3)))</f>
        <v>미입력</v>
      </c>
      <c r="D9" s="407"/>
      <c r="E9" s="407"/>
      <c r="F9" s="407">
        <f>SUMIFS($E$100:$E$399,$C$100:$C$399,$A9,$D$100:$D$399,"&gt;="&amp;$B$3,$D$100:$D$399,"&lt;"&amp;EDATE($B$3,1),$R$100:$R$399,"OK")</f>
        <v>0</v>
      </c>
      <c r="G9" s="407"/>
      <c r="H9" s="407"/>
      <c r="I9" s="408">
        <f>IF($B$3&lt;DATE(2026,3,1),"원장 없음",SUMIFS(잔액!$Y$64:$Y$500,잔액!$D$64:$D$500,$A9,잔액!$A$64:$A$500,"&lt;"&amp;EDATE($B$3,1))-SUMIFS(잔액!$Y$64:$Y$500,잔액!$C$64:$C$500,$A9,잔액!$A$64:$A$500,"&lt;"&amp;EDATE($B$3,1))-IFERROR(INDEX(_예비비계산!$BI$81:$BU$86,MATCH($A9,_예비비계산!$BH$81:$BH$86,0),MONTH($B$3)+1),0))</f>
        <v>1400000</v>
      </c>
      <c r="J9" s="408"/>
      <c r="K9" s="408"/>
      <c r="L9" s="408"/>
      <c r="M9" s="408"/>
      <c r="N9" s="408"/>
      <c r="O9" s="408"/>
      <c r="AD9" s="334">
        <v>46266</v>
      </c>
    </row>
    <row r="10" spans="1:30" ht="24" customHeight="1">
      <c r="A10" s="406" t="s">
        <v>15</v>
      </c>
      <c r="B10" s="406"/>
      <c r="C10" s="407" t="str">
        <f>IF(COUNT(INDEX($D$34:$O$38,MATCH($A10,$A$34:$A$38,0),MONTH($B$3)))=0,"미입력",INDEX($D$34:$O$38,MATCH($A10,$A$34:$A$38,0),MONTH($B$3)))</f>
        <v>미입력</v>
      </c>
      <c r="D10" s="407"/>
      <c r="E10" s="407"/>
      <c r="F10" s="407">
        <f>SUMIFS($E$100:$E$399,$C$100:$C$399,$A10,$D$100:$D$399,"&gt;="&amp;$B$3,$D$100:$D$399,"&lt;"&amp;EDATE($B$3,1),$R$100:$R$399,"OK")</f>
        <v>239000</v>
      </c>
      <c r="G10" s="407"/>
      <c r="H10" s="407"/>
      <c r="I10" s="408">
        <f>IF($B$3&lt;DATE(2026,3,1),"원장 없음",SUMIFS(잔액!$Y$64:$Y$500,잔액!$D$64:$D$500,$A10,잔액!$A$64:$A$500,"&lt;"&amp;EDATE($B$3,1))-SUMIFS(잔액!$Y$64:$Y$500,잔액!$C$64:$C$500,$A10,잔액!$A$64:$A$500,"&lt;"&amp;EDATE($B$3,1))-IFERROR(INDEX(_예비비계산!$BI$81:$BU$86,MATCH($A10,_예비비계산!$BH$81:$BH$86,0),MONTH($B$3)+1),0))</f>
        <v>450000</v>
      </c>
      <c r="J10" s="408"/>
      <c r="K10" s="408"/>
      <c r="L10" s="408"/>
      <c r="M10" s="408"/>
      <c r="N10" s="408"/>
      <c r="O10" s="408"/>
      <c r="AD10" s="334">
        <v>46296</v>
      </c>
    </row>
    <row r="11" spans="1:30" ht="24" customHeight="1">
      <c r="A11" s="406" t="s">
        <v>16</v>
      </c>
      <c r="B11" s="406"/>
      <c r="C11" s="407" t="str">
        <f>IF(COUNT(INDEX($D$34:$O$38,MATCH($A11,$A$34:$A$38,0),MONTH($B$3)))=0,"미입력",INDEX($D$34:$O$38,MATCH($A11,$A$34:$A$38,0),MONTH($B$3)))</f>
        <v>미입력</v>
      </c>
      <c r="D11" s="407"/>
      <c r="E11" s="407"/>
      <c r="F11" s="407">
        <f>SUMIFS($E$100:$E$399,$C$100:$C$399,$A11,$D$100:$D$399,"&gt;="&amp;$B$3,$D$100:$D$399,"&lt;"&amp;EDATE($B$3,1),$R$100:$R$399,"OK")</f>
        <v>0</v>
      </c>
      <c r="G11" s="407"/>
      <c r="H11" s="407"/>
      <c r="I11" s="408">
        <f>IF($B$3&lt;DATE(2026,3,1),"원장 없음",SUMIFS(잔액!$Y$64:$Y$500,잔액!$D$64:$D$500,$A11,잔액!$A$64:$A$500,"&lt;"&amp;EDATE($B$3,1))-SUMIFS(잔액!$Y$64:$Y$500,잔액!$C$64:$C$500,$A11,잔액!$A$64:$A$500,"&lt;"&amp;EDATE($B$3,1))-IFERROR(INDEX(_예비비계산!$BI$81:$BU$86,MATCH($A11,_예비비계산!$BH$81:$BH$86,0),MONTH($B$3)+1),0))</f>
        <v>300000</v>
      </c>
      <c r="J11" s="408"/>
      <c r="K11" s="408"/>
      <c r="L11" s="408"/>
      <c r="M11" s="408"/>
      <c r="N11" s="408"/>
      <c r="O11" s="408"/>
      <c r="AD11" s="334">
        <v>46327</v>
      </c>
    </row>
    <row r="12" spans="1:30" ht="24" customHeight="1">
      <c r="A12" s="406" t="s">
        <v>17</v>
      </c>
      <c r="B12" s="406"/>
      <c r="C12" s="407" t="str">
        <f>IF(COUNT(INDEX($D$34:$O$38,MATCH($A12,$A$34:$A$38,0),MONTH($B$3)))=0,"미입력",INDEX($D$34:$O$38,MATCH($A12,$A$34:$A$38,0),MONTH($B$3)))</f>
        <v>미입력</v>
      </c>
      <c r="D12" s="407"/>
      <c r="E12" s="407"/>
      <c r="F12" s="407">
        <f>SUMIFS($E$100:$E$399,$C$100:$C$399,$A12,$D$100:$D$399,"&gt;="&amp;$B$3,$D$100:$D$399,"&lt;"&amp;EDATE($B$3,1),$R$100:$R$399,"OK")</f>
        <v>0</v>
      </c>
      <c r="G12" s="407"/>
      <c r="H12" s="407"/>
      <c r="I12" s="408">
        <f>IF($B$3&lt;DATE(2026,3,1),"원장 없음",SUMIFS(잔액!$Y$64:$Y$500,잔액!$D$64:$D$500,$A12,잔액!$A$64:$A$500,"&lt;"&amp;EDATE($B$3,1))-SUMIFS(잔액!$Y$64:$Y$500,잔액!$C$64:$C$500,$A12,잔액!$A$64:$A$500,"&lt;"&amp;EDATE($B$3,1))-IFERROR(INDEX(_예비비계산!$BI$81:$BU$86,MATCH($A12,_예비비계산!$BH$81:$BH$86,0),MONTH($B$3)+1),0))</f>
        <v>0</v>
      </c>
      <c r="J12" s="408"/>
      <c r="K12" s="408"/>
      <c r="L12" s="408"/>
      <c r="M12" s="408"/>
      <c r="N12" s="408"/>
      <c r="O12" s="408"/>
      <c r="AD12" s="334">
        <v>46357</v>
      </c>
    </row>
    <row r="13" spans="1:30" ht="24" customHeight="1">
      <c r="A13" s="406" t="s">
        <v>295</v>
      </c>
      <c r="B13" s="406"/>
      <c r="C13" s="397" t="str">
        <f>IF(COUNT(INDEX($D$34:$O$38,0,MONTH($B$3)))=0,"미입력",SUM(INDEX($D$34:$O$38,0,MONTH($B$3))))</f>
        <v>미입력</v>
      </c>
      <c r="D13" s="397"/>
      <c r="E13" s="397"/>
      <c r="F13" s="397">
        <f>SUM(F8:F12)</f>
        <v>239000</v>
      </c>
      <c r="G13" s="397"/>
      <c r="H13" s="397"/>
      <c r="I13" s="397">
        <f>IF(COUNT(I8:I12)=0,"원장 없음",SUM(I8:I12))</f>
        <v>2150000</v>
      </c>
      <c r="J13" s="397"/>
      <c r="K13" s="397"/>
      <c r="L13" s="397"/>
      <c r="M13" s="397"/>
      <c r="N13" s="397"/>
      <c r="O13" s="397"/>
    </row>
    <row r="14" spans="1:30" ht="24" customHeight="1">
      <c r="A14" s="401" t="s">
        <v>2421</v>
      </c>
      <c r="B14" s="402"/>
      <c r="C14" s="402"/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</row>
    <row r="15" spans="1:30" ht="24" customHeight="1">
      <c r="A15" s="409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402"/>
      <c r="C15" s="402"/>
      <c r="D15" s="402"/>
      <c r="E15" s="402"/>
      <c r="F15" s="402"/>
      <c r="G15" s="402"/>
      <c r="H15" s="402"/>
      <c r="I15" s="402"/>
      <c r="J15" s="402"/>
      <c r="K15" s="402"/>
      <c r="L15" s="402"/>
      <c r="M15" s="402"/>
      <c r="N15" s="402"/>
      <c r="O15" s="402"/>
    </row>
    <row r="16" spans="1:30" ht="24" customHeight="1">
      <c r="A16" s="401" t="str">
        <f>HYPERLINK("#'"&amp;MONTH($B$3)&amp;"월'!K46","선택월 월간 내역 열기 ↗")</f>
        <v>선택월 월간 내역 열기 ↗</v>
      </c>
      <c r="B16" s="402"/>
      <c r="C16" s="402"/>
      <c r="D16" s="402"/>
      <c r="E16" s="402"/>
      <c r="F16" s="402"/>
      <c r="G16" s="402"/>
      <c r="H16" s="402"/>
      <c r="I16" s="401" t="str">
        <f>HYPERLINK("#'예비비'!A98","사용·정산 등록 자료 펼치기 ↓")</f>
        <v>사용·정산 등록 자료 펼치기 ↓</v>
      </c>
      <c r="J16" s="402"/>
      <c r="K16" s="402"/>
      <c r="L16" s="402"/>
      <c r="M16" s="402"/>
      <c r="N16" s="402"/>
      <c r="O16" s="402"/>
    </row>
    <row r="17" spans="1:15" ht="24" customHeight="1">
      <c r="A17" s="337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</row>
    <row r="18" spans="1:15" ht="24" customHeight="1">
      <c r="A18" s="398" t="s">
        <v>2422</v>
      </c>
      <c r="B18" s="404"/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04"/>
      <c r="N18" s="404"/>
      <c r="O18" s="404"/>
    </row>
    <row r="19" spans="1:15" ht="30" customHeight="1">
      <c r="A19" s="338" t="s">
        <v>586</v>
      </c>
      <c r="B19" s="338" t="s">
        <v>2417</v>
      </c>
      <c r="C19" s="338" t="s">
        <v>233</v>
      </c>
      <c r="D19" s="339">
        <v>46023</v>
      </c>
      <c r="E19" s="339">
        <v>46054</v>
      </c>
      <c r="F19" s="339">
        <v>46082</v>
      </c>
      <c r="G19" s="339">
        <v>46113</v>
      </c>
      <c r="H19" s="339">
        <v>46143</v>
      </c>
      <c r="I19" s="339">
        <v>46174</v>
      </c>
      <c r="J19" s="339">
        <v>46204</v>
      </c>
      <c r="K19" s="339">
        <v>46235</v>
      </c>
      <c r="L19" s="339">
        <v>46266</v>
      </c>
      <c r="M19" s="339">
        <v>46296</v>
      </c>
      <c r="N19" s="339">
        <v>46327</v>
      </c>
      <c r="O19" s="339">
        <v>46357</v>
      </c>
    </row>
    <row r="20" spans="1:15" ht="24" customHeight="1">
      <c r="A20" s="340" t="s">
        <v>15</v>
      </c>
      <c r="B20" s="340" t="s">
        <v>239</v>
      </c>
      <c r="C20" s="340" t="s">
        <v>241</v>
      </c>
      <c r="D20" s="341">
        <v>0</v>
      </c>
      <c r="E20" s="341">
        <v>0</v>
      </c>
      <c r="F20" s="341">
        <v>0</v>
      </c>
      <c r="G20" s="341">
        <v>0</v>
      </c>
      <c r="H20" s="341">
        <v>0</v>
      </c>
      <c r="I20" s="341">
        <v>50000</v>
      </c>
      <c r="J20" s="341">
        <v>50000</v>
      </c>
      <c r="K20" s="341">
        <v>50000</v>
      </c>
      <c r="L20" s="341">
        <v>50000</v>
      </c>
      <c r="M20" s="341">
        <v>0</v>
      </c>
      <c r="N20" s="341">
        <v>0</v>
      </c>
      <c r="O20" s="341">
        <v>0</v>
      </c>
    </row>
    <row r="21" spans="1:15" ht="24" customHeight="1">
      <c r="A21" s="340" t="s">
        <v>15</v>
      </c>
      <c r="B21" s="340" t="s">
        <v>244</v>
      </c>
      <c r="C21" s="340" t="s">
        <v>245</v>
      </c>
      <c r="D21" s="341">
        <v>0</v>
      </c>
      <c r="E21" s="341">
        <v>0</v>
      </c>
      <c r="F21" s="341">
        <v>0</v>
      </c>
      <c r="G21" s="341">
        <v>0</v>
      </c>
      <c r="H21" s="341">
        <v>50000</v>
      </c>
      <c r="I21" s="341">
        <v>0</v>
      </c>
      <c r="J21" s="341">
        <v>0</v>
      </c>
      <c r="K21" s="341">
        <v>0</v>
      </c>
      <c r="L21" s="341">
        <v>0</v>
      </c>
      <c r="M21" s="341">
        <v>50000</v>
      </c>
      <c r="N21" s="341">
        <v>0</v>
      </c>
      <c r="O21" s="341">
        <v>0</v>
      </c>
    </row>
    <row r="22" spans="1:15" ht="24" customHeight="1">
      <c r="A22" s="340" t="s">
        <v>15</v>
      </c>
      <c r="B22" s="340" t="s">
        <v>248</v>
      </c>
      <c r="C22" s="340" t="s">
        <v>249</v>
      </c>
      <c r="D22" s="341">
        <v>0</v>
      </c>
      <c r="E22" s="341">
        <v>0</v>
      </c>
      <c r="F22" s="341">
        <v>0</v>
      </c>
      <c r="G22" s="341">
        <v>0</v>
      </c>
      <c r="H22" s="341">
        <v>0</v>
      </c>
      <c r="I22" s="341">
        <v>0</v>
      </c>
      <c r="J22" s="341">
        <v>0</v>
      </c>
      <c r="K22" s="341">
        <v>0</v>
      </c>
      <c r="L22" s="341">
        <v>0</v>
      </c>
      <c r="M22" s="341">
        <v>0</v>
      </c>
      <c r="N22" s="341">
        <v>0</v>
      </c>
      <c r="O22" s="341">
        <v>0</v>
      </c>
    </row>
    <row r="23" spans="1:15" ht="24" customHeight="1">
      <c r="A23" s="340" t="s">
        <v>15</v>
      </c>
      <c r="B23" s="340" t="s">
        <v>251</v>
      </c>
      <c r="C23" s="340" t="s">
        <v>252</v>
      </c>
      <c r="D23" s="341">
        <v>0</v>
      </c>
      <c r="E23" s="341">
        <v>0</v>
      </c>
      <c r="F23" s="341">
        <v>0</v>
      </c>
      <c r="G23" s="341">
        <v>0</v>
      </c>
      <c r="H23" s="341">
        <v>0</v>
      </c>
      <c r="I23" s="341">
        <v>0</v>
      </c>
      <c r="J23" s="341">
        <v>0</v>
      </c>
      <c r="K23" s="341">
        <v>50000</v>
      </c>
      <c r="L23" s="341">
        <v>0</v>
      </c>
      <c r="M23" s="341">
        <v>0</v>
      </c>
      <c r="N23" s="341">
        <v>0</v>
      </c>
      <c r="O23" s="341">
        <v>0</v>
      </c>
    </row>
    <row r="24" spans="1:15" ht="24" customHeight="1">
      <c r="A24" s="340" t="s">
        <v>13</v>
      </c>
      <c r="B24" s="340" t="s">
        <v>2423</v>
      </c>
      <c r="C24" s="340" t="s">
        <v>255</v>
      </c>
      <c r="D24" s="341">
        <v>50000</v>
      </c>
      <c r="E24" s="341">
        <v>50000</v>
      </c>
      <c r="F24" s="341">
        <v>50000</v>
      </c>
      <c r="G24" s="341">
        <v>100000</v>
      </c>
      <c r="H24" s="341">
        <v>50000</v>
      </c>
      <c r="I24" s="341">
        <v>50000</v>
      </c>
      <c r="J24" s="341">
        <v>100000</v>
      </c>
      <c r="K24" s="341">
        <v>100000</v>
      </c>
      <c r="L24" s="341">
        <v>0</v>
      </c>
      <c r="M24" s="341">
        <v>0</v>
      </c>
      <c r="N24" s="341">
        <v>0</v>
      </c>
      <c r="O24" s="341">
        <v>0</v>
      </c>
    </row>
    <row r="25" spans="1:15" ht="24" customHeight="1">
      <c r="A25" s="340" t="s">
        <v>14</v>
      </c>
      <c r="B25" s="340" t="s">
        <v>59</v>
      </c>
      <c r="C25" s="340" t="s">
        <v>2424</v>
      </c>
      <c r="D25" s="341">
        <v>50000</v>
      </c>
      <c r="E25" s="341">
        <v>150000</v>
      </c>
      <c r="F25" s="341">
        <v>100000</v>
      </c>
      <c r="G25" s="341">
        <v>100000</v>
      </c>
      <c r="H25" s="341">
        <v>100000</v>
      </c>
      <c r="I25" s="341">
        <v>100000</v>
      </c>
      <c r="J25" s="341">
        <v>0</v>
      </c>
      <c r="K25" s="341">
        <v>0</v>
      </c>
      <c r="L25" s="341">
        <v>100000</v>
      </c>
      <c r="M25" s="341">
        <v>100000</v>
      </c>
      <c r="N25" s="341">
        <v>100000</v>
      </c>
      <c r="O25" s="341">
        <v>0</v>
      </c>
    </row>
    <row r="26" spans="1:15" ht="24" customHeight="1">
      <c r="A26" s="340" t="s">
        <v>15</v>
      </c>
      <c r="B26" s="340" t="s">
        <v>88</v>
      </c>
      <c r="C26" s="340" t="s">
        <v>2424</v>
      </c>
      <c r="D26" s="341">
        <v>0</v>
      </c>
      <c r="E26" s="341">
        <v>0</v>
      </c>
      <c r="F26" s="341">
        <v>0</v>
      </c>
      <c r="G26" s="341">
        <v>0</v>
      </c>
      <c r="H26" s="341">
        <v>50000</v>
      </c>
      <c r="I26" s="341">
        <v>0</v>
      </c>
      <c r="J26" s="341">
        <v>0</v>
      </c>
      <c r="K26" s="341">
        <v>0</v>
      </c>
      <c r="L26" s="341">
        <v>50000</v>
      </c>
      <c r="M26" s="341">
        <v>0</v>
      </c>
      <c r="N26" s="341">
        <v>100000</v>
      </c>
      <c r="O26" s="341">
        <v>200000</v>
      </c>
    </row>
    <row r="27" spans="1:15" ht="24" customHeight="1">
      <c r="A27" s="340" t="s">
        <v>16</v>
      </c>
      <c r="B27" s="340" t="s">
        <v>262</v>
      </c>
      <c r="C27" s="340" t="s">
        <v>263</v>
      </c>
      <c r="D27" s="341">
        <v>100000</v>
      </c>
      <c r="E27" s="341">
        <v>100000</v>
      </c>
      <c r="F27" s="341">
        <v>50000</v>
      </c>
      <c r="G27" s="341">
        <v>0</v>
      </c>
      <c r="H27" s="341">
        <v>0</v>
      </c>
      <c r="I27" s="341">
        <v>0</v>
      </c>
      <c r="J27" s="341">
        <v>100000</v>
      </c>
      <c r="K27" s="341">
        <v>100000</v>
      </c>
      <c r="L27" s="341">
        <v>100000</v>
      </c>
      <c r="M27" s="341">
        <v>50000</v>
      </c>
      <c r="N27" s="341">
        <v>0</v>
      </c>
      <c r="O27" s="341">
        <v>0</v>
      </c>
    </row>
    <row r="28" spans="1:15" ht="24" customHeight="1">
      <c r="A28" s="340" t="s">
        <v>17</v>
      </c>
      <c r="B28" s="340" t="s">
        <v>266</v>
      </c>
      <c r="C28" s="340" t="s">
        <v>2424</v>
      </c>
      <c r="D28" s="341">
        <v>100000</v>
      </c>
      <c r="E28" s="341">
        <v>0</v>
      </c>
      <c r="F28" s="341">
        <v>0</v>
      </c>
      <c r="G28" s="341">
        <v>0</v>
      </c>
      <c r="H28" s="341">
        <v>0</v>
      </c>
      <c r="I28" s="341">
        <v>0</v>
      </c>
      <c r="J28" s="341">
        <v>0</v>
      </c>
      <c r="K28" s="341">
        <v>0</v>
      </c>
      <c r="L28" s="341">
        <v>0</v>
      </c>
      <c r="M28" s="341">
        <v>0</v>
      </c>
      <c r="N28" s="341">
        <v>0</v>
      </c>
      <c r="O28" s="341">
        <v>0</v>
      </c>
    </row>
    <row r="29" spans="1:15" ht="24" customHeight="1">
      <c r="A29" s="340" t="s">
        <v>2425</v>
      </c>
      <c r="B29" s="342"/>
      <c r="C29" s="342"/>
      <c r="D29" s="343">
        <f t="shared" ref="D29:O29" si="0">SUM(D20:D28)</f>
        <v>300000</v>
      </c>
      <c r="E29" s="343">
        <f t="shared" si="0"/>
        <v>300000</v>
      </c>
      <c r="F29" s="343">
        <f t="shared" si="0"/>
        <v>200000</v>
      </c>
      <c r="G29" s="343">
        <f t="shared" si="0"/>
        <v>200000</v>
      </c>
      <c r="H29" s="343">
        <f t="shared" si="0"/>
        <v>250000</v>
      </c>
      <c r="I29" s="343">
        <f t="shared" si="0"/>
        <v>200000</v>
      </c>
      <c r="J29" s="343">
        <f t="shared" si="0"/>
        <v>250000</v>
      </c>
      <c r="K29" s="343">
        <f t="shared" si="0"/>
        <v>300000</v>
      </c>
      <c r="L29" s="343">
        <f t="shared" si="0"/>
        <v>300000</v>
      </c>
      <c r="M29" s="343">
        <f t="shared" si="0"/>
        <v>200000</v>
      </c>
      <c r="N29" s="343">
        <f t="shared" si="0"/>
        <v>200000</v>
      </c>
      <c r="O29" s="343">
        <f t="shared" si="0"/>
        <v>200000</v>
      </c>
    </row>
    <row r="30" spans="1:15" ht="24" customHeight="1">
      <c r="A30" s="401" t="s">
        <v>2426</v>
      </c>
      <c r="B30" s="402"/>
      <c r="C30" s="402"/>
      <c r="D30" s="402"/>
      <c r="E30" s="402"/>
      <c r="F30" s="402"/>
      <c r="G30" s="402"/>
      <c r="H30" s="402"/>
      <c r="I30" s="402"/>
      <c r="J30" s="402"/>
      <c r="K30" s="402"/>
      <c r="L30" s="402"/>
      <c r="M30" s="402"/>
      <c r="N30" s="402"/>
      <c r="O30" s="402"/>
    </row>
    <row r="31" spans="1:15" ht="24" customHeight="1">
      <c r="A31" s="337"/>
      <c r="B31" s="337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</row>
    <row r="32" spans="1:15" ht="30" customHeight="1">
      <c r="A32" s="398" t="s">
        <v>2427</v>
      </c>
      <c r="B32" s="398"/>
      <c r="C32" s="398"/>
      <c r="D32" s="39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</row>
    <row r="33" spans="1:29" ht="30" customHeight="1">
      <c r="A33" s="399" t="s">
        <v>2428</v>
      </c>
      <c r="B33" s="399"/>
      <c r="C33" s="399"/>
      <c r="D33" s="339">
        <v>46023</v>
      </c>
      <c r="E33" s="339">
        <v>46054</v>
      </c>
      <c r="F33" s="339">
        <v>46082</v>
      </c>
      <c r="G33" s="339">
        <v>46113</v>
      </c>
      <c r="H33" s="339">
        <v>46143</v>
      </c>
      <c r="I33" s="339">
        <v>46174</v>
      </c>
      <c r="J33" s="339">
        <v>46204</v>
      </c>
      <c r="K33" s="339">
        <v>46235</v>
      </c>
      <c r="L33" s="339">
        <v>46266</v>
      </c>
      <c r="M33" s="339">
        <v>46296</v>
      </c>
      <c r="N33" s="339">
        <v>46327</v>
      </c>
      <c r="O33" s="339">
        <v>46357</v>
      </c>
    </row>
    <row r="34" spans="1:29" ht="25" customHeight="1">
      <c r="A34" s="400" t="s">
        <v>13</v>
      </c>
      <c r="B34" s="400"/>
      <c r="C34" s="400"/>
      <c r="D34" s="341"/>
      <c r="E34" s="341"/>
      <c r="F34" s="341"/>
      <c r="G34" s="341"/>
      <c r="H34" s="341"/>
      <c r="I34" s="341"/>
      <c r="J34" s="341"/>
      <c r="K34" s="341"/>
      <c r="L34" s="341"/>
      <c r="M34" s="341"/>
      <c r="N34" s="341"/>
      <c r="O34" s="341"/>
    </row>
    <row r="35" spans="1:29" ht="25" customHeight="1">
      <c r="A35" s="400" t="s">
        <v>14</v>
      </c>
      <c r="B35" s="400"/>
      <c r="C35" s="400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</row>
    <row r="36" spans="1:29" ht="25" customHeight="1">
      <c r="A36" s="400" t="s">
        <v>15</v>
      </c>
      <c r="B36" s="400"/>
      <c r="C36" s="400"/>
      <c r="D36" s="341"/>
      <c r="E36" s="341"/>
      <c r="F36" s="341"/>
      <c r="G36" s="341"/>
      <c r="H36" s="341"/>
      <c r="I36" s="341"/>
      <c r="J36" s="341"/>
      <c r="K36" s="341"/>
      <c r="L36" s="341"/>
      <c r="M36" s="341"/>
      <c r="N36" s="341"/>
      <c r="O36" s="341"/>
    </row>
    <row r="37" spans="1:29" ht="25" customHeight="1">
      <c r="A37" s="400" t="s">
        <v>16</v>
      </c>
      <c r="B37" s="400"/>
      <c r="C37" s="400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</row>
    <row r="38" spans="1:29" ht="25" customHeight="1">
      <c r="A38" s="400" t="s">
        <v>17</v>
      </c>
      <c r="B38" s="400"/>
      <c r="C38" s="400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</row>
    <row r="39" spans="1:29" ht="25" customHeight="1">
      <c r="A39" s="400" t="s">
        <v>2429</v>
      </c>
      <c r="B39" s="400"/>
      <c r="C39" s="400"/>
      <c r="D39" s="343" t="str">
        <f t="shared" ref="D39:O39" si="1">IF(COUNT(D34:D38)=0,"",SUM(D34:D38))</f>
        <v/>
      </c>
      <c r="E39" s="343" t="str">
        <f t="shared" si="1"/>
        <v/>
      </c>
      <c r="F39" s="343" t="str">
        <f t="shared" si="1"/>
        <v/>
      </c>
      <c r="G39" s="343" t="str">
        <f t="shared" si="1"/>
        <v/>
      </c>
      <c r="H39" s="343" t="str">
        <f t="shared" si="1"/>
        <v/>
      </c>
      <c r="I39" s="343" t="str">
        <f t="shared" si="1"/>
        <v/>
      </c>
      <c r="J39" s="343" t="str">
        <f t="shared" si="1"/>
        <v/>
      </c>
      <c r="K39" s="343" t="str">
        <f t="shared" si="1"/>
        <v/>
      </c>
      <c r="L39" s="343" t="str">
        <f t="shared" si="1"/>
        <v/>
      </c>
      <c r="M39" s="343" t="str">
        <f t="shared" si="1"/>
        <v/>
      </c>
      <c r="N39" s="343" t="str">
        <f t="shared" si="1"/>
        <v/>
      </c>
      <c r="O39" s="343" t="str">
        <f t="shared" si="1"/>
        <v/>
      </c>
    </row>
    <row r="40" spans="1:29" ht="36" customHeight="1">
      <c r="A40" s="401" t="s">
        <v>2430</v>
      </c>
      <c r="B40" s="401"/>
      <c r="C40" s="401"/>
      <c r="D40" s="401"/>
      <c r="E40" s="401"/>
      <c r="F40" s="401"/>
      <c r="G40" s="401"/>
      <c r="H40" s="401"/>
      <c r="I40" s="401"/>
      <c r="J40" s="401"/>
      <c r="K40" s="401"/>
      <c r="L40" s="401"/>
      <c r="M40" s="401"/>
      <c r="N40" s="401"/>
      <c r="O40" s="401"/>
    </row>
    <row r="42" spans="1:29" ht="24" customHeight="1">
      <c r="A42" s="398" t="s">
        <v>2431</v>
      </c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</row>
    <row r="43" spans="1:29" ht="36" customHeight="1">
      <c r="A43" s="335" t="s">
        <v>2432</v>
      </c>
      <c r="B43" s="344" t="s">
        <v>1</v>
      </c>
      <c r="C43" s="337"/>
      <c r="D43" s="401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_예비비계산!$BI$81:$BU$86,MATCH("결제대금비",_예비비계산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_예비비계산!$BI$81:$BU$86,MATCH("결제대금비",_예비비계산!$BH$81:$BH$86,0),MONTH($B$3)+1),0)),"#,##0")&amp;"원","원장 없음")&amp;" · 카드대금 출금은 새 사용이 아닙니다."</f>
        <v>확보된 결제대금비: 0원 · 카드대금 출금은 새 사용이 아닙니다.</v>
      </c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</row>
    <row r="44" spans="1:29" ht="24" customHeight="1">
      <c r="A44" s="335" t="s">
        <v>2433</v>
      </c>
      <c r="B44" s="345">
        <v>1</v>
      </c>
      <c r="C44" s="337"/>
      <c r="D44" s="401" t="str">
        <f>COUNTIF($X$100:$X$399,1)&amp;"건 · 표시 페이지 "&amp;AC44&amp;" / "&amp;MAX(1,ROUNDUP(COUNTIF($X$100:$X$399,1)/12,0))</f>
        <v>1건 · 표시 페이지 1 / 1</v>
      </c>
      <c r="E44" s="402"/>
      <c r="F44" s="402"/>
      <c r="G44" s="402"/>
      <c r="H44" s="402"/>
      <c r="I44" s="402"/>
      <c r="J44" s="402"/>
      <c r="K44" s="402"/>
      <c r="L44" s="402"/>
      <c r="M44" s="402"/>
      <c r="N44" s="402"/>
      <c r="O44" s="402"/>
      <c r="AC44" s="335">
        <f>MIN(MAX(1,B44),MAX(1,ROUNDUP(COUNTIF($X$100:$X$399,1)/12,0)))</f>
        <v>1</v>
      </c>
    </row>
    <row r="45" spans="1:29" ht="36" customHeight="1">
      <c r="A45" s="399" t="s">
        <v>2434</v>
      </c>
      <c r="B45" s="399" t="s">
        <v>2435</v>
      </c>
      <c r="C45" s="399"/>
      <c r="D45" s="399" t="s">
        <v>316</v>
      </c>
      <c r="E45" s="399" t="s">
        <v>2436</v>
      </c>
      <c r="F45" s="399" t="s">
        <v>2437</v>
      </c>
      <c r="G45" s="399" t="s">
        <v>2438</v>
      </c>
      <c r="H45" s="399" t="s">
        <v>2439</v>
      </c>
      <c r="I45" s="399" t="s">
        <v>235</v>
      </c>
      <c r="J45" s="399"/>
      <c r="K45" s="399" t="s">
        <v>2440</v>
      </c>
      <c r="L45" s="399"/>
      <c r="M45" s="399" t="s">
        <v>2441</v>
      </c>
      <c r="N45" s="399"/>
      <c r="O45" s="399"/>
    </row>
    <row r="46" spans="1:29" ht="24" customHeight="1">
      <c r="A46" s="340" t="str">
        <f t="shared" ref="A46:A57" si="2">IF($AB46=0,"",IF(INDEX($G$100:$G$399,$AB46)="월기록",TEXT(INDEX($D$100:$D$399,$AB46),"yyyy-mm"),TEXT(INDEX($D$100:$D$399,$AB46),"m/d")))</f>
        <v>2026-10</v>
      </c>
      <c r="B46" s="400" t="str">
        <f t="shared" ref="B46:B57" si="3">IF($AB46=0,"",INDEX($B$100:$B$399,$AB46))</f>
        <v>부모 생신 본인 부담</v>
      </c>
      <c r="C46" s="403"/>
      <c r="D46" s="340" t="str">
        <f t="shared" ref="D46:D57" si="4">IF($AB46=0,"",INDEX($C$100:$C$399,$AB46))</f>
        <v>경조사비</v>
      </c>
      <c r="E46" s="343">
        <f t="shared" ref="E46:E57" si="5">IF($AB46=0,"",INDEX($E$100:$E$399,$AB46))</f>
        <v>239000</v>
      </c>
      <c r="F46" s="343">
        <f t="shared" ref="F46:F57" si="6">IF($AB46=0,"",INDEX($Z$100:$Z$399,$AB46))</f>
        <v>0</v>
      </c>
      <c r="G46" s="343">
        <f t="shared" ref="G46:G57" si="7">IF($AB46=0,"",INDEX($T$100:$T$399,$AB46))</f>
        <v>239000</v>
      </c>
      <c r="H46" s="343">
        <f t="shared" ref="H46:H57" si="8">IF($AB46=0,"",INDEX($U$100:$U$399,$AB46))</f>
        <v>0</v>
      </c>
      <c r="I46" s="400" t="str">
        <f t="shared" ref="I46:I57" si="9"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403"/>
      <c r="K46" s="400" t="str">
        <f t="shared" ref="K46:K57" si="10">IF($AB46=0,"",COUNTIFS($B$430:$B$729,INDEX($A$100:$A$399,$AB46),$N$430:$N$729,"OK",$E$430:$E$729,"&lt;"&amp;EDATE($B$3,1))&amp;"건")</f>
        <v>2건</v>
      </c>
      <c r="L46" s="403"/>
      <c r="M46" s="400" t="str">
        <f t="shared" ref="M46:M57" si="11">IF($AB46=0,"",HYPERLINK("#'예비비'!A98","등록 "&amp;($AB46+99)&amp;"행 확인"))</f>
        <v>등록 107행 확인</v>
      </c>
      <c r="N46" s="403"/>
      <c r="O46" s="403"/>
      <c r="AB46" s="335">
        <f>IFERROR(MATCH(($AC$44-1)*12+1,$Y$100:$Y$399,0),0)</f>
        <v>8</v>
      </c>
    </row>
    <row r="47" spans="1:29" ht="24" customHeight="1">
      <c r="A47" s="340" t="str">
        <f t="shared" si="2"/>
        <v/>
      </c>
      <c r="B47" s="400" t="str">
        <f t="shared" si="3"/>
        <v/>
      </c>
      <c r="C47" s="403"/>
      <c r="D47" s="340" t="str">
        <f t="shared" si="4"/>
        <v/>
      </c>
      <c r="E47" s="343" t="str">
        <f t="shared" si="5"/>
        <v/>
      </c>
      <c r="F47" s="343" t="str">
        <f t="shared" si="6"/>
        <v/>
      </c>
      <c r="G47" s="343" t="str">
        <f t="shared" si="7"/>
        <v/>
      </c>
      <c r="H47" s="343" t="str">
        <f t="shared" si="8"/>
        <v/>
      </c>
      <c r="I47" s="400" t="str">
        <f t="shared" si="9"/>
        <v/>
      </c>
      <c r="J47" s="403"/>
      <c r="K47" s="400" t="str">
        <f t="shared" si="10"/>
        <v/>
      </c>
      <c r="L47" s="403"/>
      <c r="M47" s="400" t="str">
        <f t="shared" si="11"/>
        <v/>
      </c>
      <c r="N47" s="403"/>
      <c r="O47" s="403"/>
      <c r="AB47" s="335">
        <f>IFERROR(MATCH(($AC$44-1)*12+2,$Y$100:$Y$399,0),0)</f>
        <v>0</v>
      </c>
    </row>
    <row r="48" spans="1:29" ht="24" customHeight="1">
      <c r="A48" s="340" t="str">
        <f t="shared" si="2"/>
        <v/>
      </c>
      <c r="B48" s="400" t="str">
        <f t="shared" si="3"/>
        <v/>
      </c>
      <c r="C48" s="403"/>
      <c r="D48" s="340" t="str">
        <f t="shared" si="4"/>
        <v/>
      </c>
      <c r="E48" s="343" t="str">
        <f t="shared" si="5"/>
        <v/>
      </c>
      <c r="F48" s="343" t="str">
        <f t="shared" si="6"/>
        <v/>
      </c>
      <c r="G48" s="343" t="str">
        <f t="shared" si="7"/>
        <v/>
      </c>
      <c r="H48" s="343" t="str">
        <f t="shared" si="8"/>
        <v/>
      </c>
      <c r="I48" s="400" t="str">
        <f t="shared" si="9"/>
        <v/>
      </c>
      <c r="J48" s="403"/>
      <c r="K48" s="400" t="str">
        <f t="shared" si="10"/>
        <v/>
      </c>
      <c r="L48" s="403"/>
      <c r="M48" s="400" t="str">
        <f t="shared" si="11"/>
        <v/>
      </c>
      <c r="N48" s="403"/>
      <c r="O48" s="403"/>
      <c r="AB48" s="335">
        <f>IFERROR(MATCH(($AC$44-1)*12+3,$Y$100:$Y$399,0),0)</f>
        <v>0</v>
      </c>
    </row>
    <row r="49" spans="1:29" ht="24" customHeight="1">
      <c r="A49" s="340" t="str">
        <f t="shared" si="2"/>
        <v/>
      </c>
      <c r="B49" s="400" t="str">
        <f t="shared" si="3"/>
        <v/>
      </c>
      <c r="C49" s="403"/>
      <c r="D49" s="340" t="str">
        <f t="shared" si="4"/>
        <v/>
      </c>
      <c r="E49" s="343" t="str">
        <f t="shared" si="5"/>
        <v/>
      </c>
      <c r="F49" s="343" t="str">
        <f t="shared" si="6"/>
        <v/>
      </c>
      <c r="G49" s="343" t="str">
        <f t="shared" si="7"/>
        <v/>
      </c>
      <c r="H49" s="343" t="str">
        <f t="shared" si="8"/>
        <v/>
      </c>
      <c r="I49" s="400" t="str">
        <f t="shared" si="9"/>
        <v/>
      </c>
      <c r="J49" s="403"/>
      <c r="K49" s="400" t="str">
        <f t="shared" si="10"/>
        <v/>
      </c>
      <c r="L49" s="403"/>
      <c r="M49" s="400" t="str">
        <f t="shared" si="11"/>
        <v/>
      </c>
      <c r="N49" s="403"/>
      <c r="O49" s="403"/>
      <c r="AB49" s="335">
        <f>IFERROR(MATCH(($AC$44-1)*12+4,$Y$100:$Y$399,0),0)</f>
        <v>0</v>
      </c>
    </row>
    <row r="50" spans="1:29" ht="24" customHeight="1">
      <c r="A50" s="340" t="str">
        <f t="shared" si="2"/>
        <v/>
      </c>
      <c r="B50" s="400" t="str">
        <f t="shared" si="3"/>
        <v/>
      </c>
      <c r="C50" s="403"/>
      <c r="D50" s="340" t="str">
        <f t="shared" si="4"/>
        <v/>
      </c>
      <c r="E50" s="343" t="str">
        <f t="shared" si="5"/>
        <v/>
      </c>
      <c r="F50" s="343" t="str">
        <f t="shared" si="6"/>
        <v/>
      </c>
      <c r="G50" s="343" t="str">
        <f t="shared" si="7"/>
        <v/>
      </c>
      <c r="H50" s="343" t="str">
        <f t="shared" si="8"/>
        <v/>
      </c>
      <c r="I50" s="400" t="str">
        <f t="shared" si="9"/>
        <v/>
      </c>
      <c r="J50" s="403"/>
      <c r="K50" s="400" t="str">
        <f t="shared" si="10"/>
        <v/>
      </c>
      <c r="L50" s="403"/>
      <c r="M50" s="400" t="str">
        <f t="shared" si="11"/>
        <v/>
      </c>
      <c r="N50" s="403"/>
      <c r="O50" s="403"/>
      <c r="AB50" s="335">
        <f>IFERROR(MATCH(($AC$44-1)*12+5,$Y$100:$Y$399,0),0)</f>
        <v>0</v>
      </c>
    </row>
    <row r="51" spans="1:29" ht="24" customHeight="1">
      <c r="A51" s="340" t="str">
        <f t="shared" si="2"/>
        <v/>
      </c>
      <c r="B51" s="400" t="str">
        <f t="shared" si="3"/>
        <v/>
      </c>
      <c r="C51" s="403"/>
      <c r="D51" s="340" t="str">
        <f t="shared" si="4"/>
        <v/>
      </c>
      <c r="E51" s="343" t="str">
        <f t="shared" si="5"/>
        <v/>
      </c>
      <c r="F51" s="343" t="str">
        <f t="shared" si="6"/>
        <v/>
      </c>
      <c r="G51" s="343" t="str">
        <f t="shared" si="7"/>
        <v/>
      </c>
      <c r="H51" s="343" t="str">
        <f t="shared" si="8"/>
        <v/>
      </c>
      <c r="I51" s="400" t="str">
        <f t="shared" si="9"/>
        <v/>
      </c>
      <c r="J51" s="403"/>
      <c r="K51" s="400" t="str">
        <f t="shared" si="10"/>
        <v/>
      </c>
      <c r="L51" s="403"/>
      <c r="M51" s="400" t="str">
        <f t="shared" si="11"/>
        <v/>
      </c>
      <c r="N51" s="403"/>
      <c r="O51" s="403"/>
      <c r="AB51" s="335">
        <f>IFERROR(MATCH(($AC$44-1)*12+6,$Y$100:$Y$399,0),0)</f>
        <v>0</v>
      </c>
    </row>
    <row r="52" spans="1:29" ht="24" customHeight="1">
      <c r="A52" s="340" t="str">
        <f t="shared" si="2"/>
        <v/>
      </c>
      <c r="B52" s="400" t="str">
        <f t="shared" si="3"/>
        <v/>
      </c>
      <c r="C52" s="403"/>
      <c r="D52" s="340" t="str">
        <f t="shared" si="4"/>
        <v/>
      </c>
      <c r="E52" s="343" t="str">
        <f t="shared" si="5"/>
        <v/>
      </c>
      <c r="F52" s="343" t="str">
        <f t="shared" si="6"/>
        <v/>
      </c>
      <c r="G52" s="343" t="str">
        <f t="shared" si="7"/>
        <v/>
      </c>
      <c r="H52" s="343" t="str">
        <f t="shared" si="8"/>
        <v/>
      </c>
      <c r="I52" s="400" t="str">
        <f t="shared" si="9"/>
        <v/>
      </c>
      <c r="J52" s="403"/>
      <c r="K52" s="400" t="str">
        <f t="shared" si="10"/>
        <v/>
      </c>
      <c r="L52" s="403"/>
      <c r="M52" s="400" t="str">
        <f t="shared" si="11"/>
        <v/>
      </c>
      <c r="N52" s="403"/>
      <c r="O52" s="403"/>
      <c r="AB52" s="335">
        <f>IFERROR(MATCH(($AC$44-1)*12+7,$Y$100:$Y$399,0),0)</f>
        <v>0</v>
      </c>
    </row>
    <row r="53" spans="1:29" ht="24" customHeight="1">
      <c r="A53" s="340" t="str">
        <f t="shared" si="2"/>
        <v/>
      </c>
      <c r="B53" s="400" t="str">
        <f t="shared" si="3"/>
        <v/>
      </c>
      <c r="C53" s="403"/>
      <c r="D53" s="340" t="str">
        <f t="shared" si="4"/>
        <v/>
      </c>
      <c r="E53" s="343" t="str">
        <f t="shared" si="5"/>
        <v/>
      </c>
      <c r="F53" s="343" t="str">
        <f t="shared" si="6"/>
        <v/>
      </c>
      <c r="G53" s="343" t="str">
        <f t="shared" si="7"/>
        <v/>
      </c>
      <c r="H53" s="343" t="str">
        <f t="shared" si="8"/>
        <v/>
      </c>
      <c r="I53" s="400" t="str">
        <f t="shared" si="9"/>
        <v/>
      </c>
      <c r="J53" s="403"/>
      <c r="K53" s="400" t="str">
        <f t="shared" si="10"/>
        <v/>
      </c>
      <c r="L53" s="403"/>
      <c r="M53" s="400" t="str">
        <f t="shared" si="11"/>
        <v/>
      </c>
      <c r="N53" s="403"/>
      <c r="O53" s="403"/>
      <c r="AB53" s="335">
        <f>IFERROR(MATCH(($AC$44-1)*12+8,$Y$100:$Y$399,0),0)</f>
        <v>0</v>
      </c>
    </row>
    <row r="54" spans="1:29" ht="24" customHeight="1">
      <c r="A54" s="340" t="str">
        <f t="shared" si="2"/>
        <v/>
      </c>
      <c r="B54" s="400" t="str">
        <f t="shared" si="3"/>
        <v/>
      </c>
      <c r="C54" s="403"/>
      <c r="D54" s="340" t="str">
        <f t="shared" si="4"/>
        <v/>
      </c>
      <c r="E54" s="343" t="str">
        <f t="shared" si="5"/>
        <v/>
      </c>
      <c r="F54" s="343" t="str">
        <f t="shared" si="6"/>
        <v/>
      </c>
      <c r="G54" s="343" t="str">
        <f t="shared" si="7"/>
        <v/>
      </c>
      <c r="H54" s="343" t="str">
        <f t="shared" si="8"/>
        <v/>
      </c>
      <c r="I54" s="400" t="str">
        <f t="shared" si="9"/>
        <v/>
      </c>
      <c r="J54" s="403"/>
      <c r="K54" s="400" t="str">
        <f t="shared" si="10"/>
        <v/>
      </c>
      <c r="L54" s="403"/>
      <c r="M54" s="400" t="str">
        <f t="shared" si="11"/>
        <v/>
      </c>
      <c r="N54" s="403"/>
      <c r="O54" s="403"/>
      <c r="AB54" s="335">
        <f>IFERROR(MATCH(($AC$44-1)*12+9,$Y$100:$Y$399,0),0)</f>
        <v>0</v>
      </c>
    </row>
    <row r="55" spans="1:29" ht="24" customHeight="1">
      <c r="A55" s="340" t="str">
        <f t="shared" si="2"/>
        <v/>
      </c>
      <c r="B55" s="400" t="str">
        <f t="shared" si="3"/>
        <v/>
      </c>
      <c r="C55" s="403"/>
      <c r="D55" s="340" t="str">
        <f t="shared" si="4"/>
        <v/>
      </c>
      <c r="E55" s="343" t="str">
        <f t="shared" si="5"/>
        <v/>
      </c>
      <c r="F55" s="343" t="str">
        <f t="shared" si="6"/>
        <v/>
      </c>
      <c r="G55" s="343" t="str">
        <f t="shared" si="7"/>
        <v/>
      </c>
      <c r="H55" s="343" t="str">
        <f t="shared" si="8"/>
        <v/>
      </c>
      <c r="I55" s="400" t="str">
        <f t="shared" si="9"/>
        <v/>
      </c>
      <c r="J55" s="403"/>
      <c r="K55" s="400" t="str">
        <f t="shared" si="10"/>
        <v/>
      </c>
      <c r="L55" s="403"/>
      <c r="M55" s="400" t="str">
        <f t="shared" si="11"/>
        <v/>
      </c>
      <c r="N55" s="403"/>
      <c r="O55" s="403"/>
      <c r="AB55" s="335">
        <f>IFERROR(MATCH(($AC$44-1)*12+10,$Y$100:$Y$399,0),0)</f>
        <v>0</v>
      </c>
    </row>
    <row r="56" spans="1:29" ht="24" customHeight="1">
      <c r="A56" s="340" t="str">
        <f t="shared" si="2"/>
        <v/>
      </c>
      <c r="B56" s="400" t="str">
        <f t="shared" si="3"/>
        <v/>
      </c>
      <c r="C56" s="403"/>
      <c r="D56" s="340" t="str">
        <f t="shared" si="4"/>
        <v/>
      </c>
      <c r="E56" s="343" t="str">
        <f t="shared" si="5"/>
        <v/>
      </c>
      <c r="F56" s="343" t="str">
        <f t="shared" si="6"/>
        <v/>
      </c>
      <c r="G56" s="343" t="str">
        <f t="shared" si="7"/>
        <v/>
      </c>
      <c r="H56" s="343" t="str">
        <f t="shared" si="8"/>
        <v/>
      </c>
      <c r="I56" s="400" t="str">
        <f t="shared" si="9"/>
        <v/>
      </c>
      <c r="J56" s="403"/>
      <c r="K56" s="400" t="str">
        <f t="shared" si="10"/>
        <v/>
      </c>
      <c r="L56" s="403"/>
      <c r="M56" s="400" t="str">
        <f t="shared" si="11"/>
        <v/>
      </c>
      <c r="N56" s="403"/>
      <c r="O56" s="403"/>
      <c r="AB56" s="335">
        <f>IFERROR(MATCH(($AC$44-1)*12+11,$Y$100:$Y$399,0),0)</f>
        <v>0</v>
      </c>
    </row>
    <row r="57" spans="1:29" ht="24" customHeight="1">
      <c r="A57" s="340" t="str">
        <f t="shared" si="2"/>
        <v/>
      </c>
      <c r="B57" s="400" t="str">
        <f t="shared" si="3"/>
        <v/>
      </c>
      <c r="C57" s="403"/>
      <c r="D57" s="340" t="str">
        <f t="shared" si="4"/>
        <v/>
      </c>
      <c r="E57" s="343" t="str">
        <f t="shared" si="5"/>
        <v/>
      </c>
      <c r="F57" s="343" t="str">
        <f t="shared" si="6"/>
        <v/>
      </c>
      <c r="G57" s="343" t="str">
        <f t="shared" si="7"/>
        <v/>
      </c>
      <c r="H57" s="343" t="str">
        <f t="shared" si="8"/>
        <v/>
      </c>
      <c r="I57" s="400" t="str">
        <f t="shared" si="9"/>
        <v/>
      </c>
      <c r="J57" s="403"/>
      <c r="K57" s="400" t="str">
        <f t="shared" si="10"/>
        <v/>
      </c>
      <c r="L57" s="403"/>
      <c r="M57" s="400" t="str">
        <f t="shared" si="11"/>
        <v/>
      </c>
      <c r="N57" s="403"/>
      <c r="O57" s="403"/>
      <c r="AB57" s="335">
        <f>IFERROR(MATCH(($AC$44-1)*12+12,$Y$100:$Y$399,0),0)</f>
        <v>0</v>
      </c>
    </row>
    <row r="58" spans="1:29" ht="36" customHeight="1">
      <c r="A58" s="401" t="s">
        <v>2442</v>
      </c>
      <c r="B58" s="402"/>
      <c r="C58" s="402"/>
      <c r="D58" s="402"/>
      <c r="E58" s="402"/>
      <c r="F58" s="402"/>
      <c r="G58" s="402"/>
      <c r="H58" s="402"/>
      <c r="I58" s="402"/>
      <c r="J58" s="402"/>
      <c r="K58" s="402"/>
      <c r="L58" s="402"/>
      <c r="M58" s="402"/>
      <c r="N58" s="402"/>
      <c r="O58" s="402"/>
    </row>
    <row r="59" spans="1:29" ht="24" customHeight="1">
      <c r="A59" s="337"/>
      <c r="B59" s="337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  <c r="O59" s="337"/>
    </row>
    <row r="60" spans="1:29" ht="24" customHeight="1">
      <c r="A60" s="335" t="s">
        <v>28</v>
      </c>
      <c r="B60" s="345">
        <v>1</v>
      </c>
      <c r="C60" s="337"/>
      <c r="D60" s="401" t="str">
        <f>COUNTIF(_예비비계산!$BH$120:$BH$556,"&gt;0")&amp;"건 · 해당 월 원장 변동 + 선택월 사용에 연결된 선이체"</f>
        <v>3건 · 해당 월 원장 변동 + 선택월 사용에 연결된 선이체</v>
      </c>
      <c r="E60" s="402"/>
      <c r="F60" s="402"/>
      <c r="G60" s="402"/>
      <c r="H60" s="402"/>
      <c r="I60" s="402"/>
      <c r="J60" s="402"/>
      <c r="K60" s="402"/>
      <c r="L60" s="402"/>
      <c r="M60" s="402"/>
      <c r="N60" s="402"/>
      <c r="O60" s="402"/>
      <c r="AC60" s="335">
        <f>MIN(MAX(1,B60),MAX(1,ROUNDUP(COUNTIF(_예비비계산!$BH$120:$BH$556,"&gt;0")/12,0)))</f>
        <v>1</v>
      </c>
    </row>
    <row r="61" spans="1:29" ht="30" customHeight="1">
      <c r="A61" s="399" t="s">
        <v>2443</v>
      </c>
      <c r="B61" s="399" t="s">
        <v>30</v>
      </c>
      <c r="C61" s="399"/>
      <c r="D61" s="399" t="s">
        <v>2444</v>
      </c>
      <c r="E61" s="399"/>
      <c r="F61" s="399" t="s">
        <v>2445</v>
      </c>
      <c r="G61" s="399"/>
      <c r="H61" s="399"/>
      <c r="I61" s="399" t="s">
        <v>1907</v>
      </c>
      <c r="J61" s="399"/>
      <c r="K61" s="399" t="s">
        <v>2446</v>
      </c>
      <c r="L61" s="399"/>
      <c r="M61" s="399" t="s">
        <v>2447</v>
      </c>
      <c r="N61" s="399"/>
      <c r="O61" s="399"/>
    </row>
    <row r="62" spans="1:29" ht="24" customHeight="1">
      <c r="A62" s="340" t="str">
        <f>IF($AB62=0,"",TEXT(INDEX(잔액!$A:$A,INDEX(_예비비계산!$BA$120:$BA$556,$AB62)),IF(INDEX(잔액!$L:$L,INDEX(_예비비계산!$BA$120:$BA$556,$AB62))="원본WRAP","yyyy-mm","yyyy-mm-dd")))</f>
        <v>2026-08</v>
      </c>
      <c r="B62" s="400" t="str">
        <f>IF($AB62=0,"",INDEX(잔액!$F:$F,INDEX(_예비비계산!$BA$120:$BA$556,$AB62)))</f>
        <v>가족통장</v>
      </c>
      <c r="C62" s="403"/>
      <c r="D62" s="400" t="str">
        <f>IF($AB62=0,"",INDEX(잔액!$C:$C,INDEX(_예비비계산!$BA$120:$BA$556,$AB62)))</f>
        <v>임시보관</v>
      </c>
      <c r="E62" s="403"/>
      <c r="F62" s="400" t="str">
        <f>IF($AB62=0,"",IF(INDEX(잔액!$K:$K,INDEX(_예비비계산!$BA$120:$BA$556,$AB62))&lt;&gt;"",INDEX(잔액!$K:$K,INDEX(_예비비계산!$BA$120:$BA$556,$AB62)),INDEX(잔액!$D:$D,INDEX(_예비비계산!$BA$120:$BA$556,$AB62))))</f>
        <v>지출</v>
      </c>
      <c r="G62" s="403"/>
      <c r="H62" s="403"/>
      <c r="I62" s="405">
        <f>IF($AB62=0,"",INDEX(잔액!$Y:$Y,INDEX(_예비비계산!$BA$120:$BA$556,$AB62)))</f>
        <v>100000</v>
      </c>
      <c r="J62" s="403"/>
      <c r="K62" s="400" t="str">
        <f>IF($AB62=0,"",IF(COUNTIFS($C$430:$C$729,INDEX(_예비비계산!$BA$120:$BA$556,$AB62),$N$430:$N$729,"OK")&gt;0,"정산 연결",INDEX(잔액!$B:$B,INDEX(_예비비계산!$BA$120:$BA$556,$AB62))))</f>
        <v>정산 연결</v>
      </c>
      <c r="L62" s="403"/>
      <c r="M62" s="400" t="str">
        <f>IF($AB62=0,"",HYPERLINK("#'잔액'!A"&amp;INDEX(_예비비계산!$BA$120:$BA$556,$AB62),"원장 "&amp;INDEX(_예비비계산!$BA$120:$BA$556,$AB62)&amp;"행 ↗"))</f>
        <v>원장 208행 ↗</v>
      </c>
      <c r="N62" s="403"/>
      <c r="O62" s="403"/>
      <c r="AB62" s="335">
        <f>IFERROR(MATCH(($AC$60-1)*12+1,_예비비계산!$BH$120:$BH$556,0),0)</f>
        <v>145</v>
      </c>
    </row>
    <row r="63" spans="1:29" ht="24" customHeight="1">
      <c r="A63" s="340" t="str">
        <f>IF($AB63=0,"",TEXT(INDEX(잔액!$A:$A,INDEX(_예비비계산!$BA$120:$BA$556,$AB63)),IF(INDEX(잔액!$L:$L,INDEX(_예비비계산!$BA$120:$BA$556,$AB63))="원본WRAP","yyyy-mm","yyyy-mm-dd")))</f>
        <v>2026-09</v>
      </c>
      <c r="B63" s="400" t="str">
        <f>IF($AB63=0,"",INDEX(잔액!$F:$F,INDEX(_예비비계산!$BA$120:$BA$556,$AB63)))</f>
        <v>10월 부모 생신 자금 선이체</v>
      </c>
      <c r="C63" s="403"/>
      <c r="D63" s="400" t="str">
        <f>IF($AB63=0,"",INDEX(잔액!$C:$C,INDEX(_예비비계산!$BA$120:$BA$556,$AB63)))</f>
        <v>명절비</v>
      </c>
      <c r="E63" s="403"/>
      <c r="F63" s="400" t="str">
        <f>IF($AB63=0,"",IF(INDEX(잔액!$K:$K,INDEX(_예비비계산!$BA$120:$BA$556,$AB63))&lt;&gt;"",INDEX(잔액!$K:$K,INDEX(_예비비계산!$BA$120:$BA$556,$AB63)),INDEX(잔액!$D:$D,INDEX(_예비비계산!$BA$120:$BA$556,$AB63))))</f>
        <v>가족통장</v>
      </c>
      <c r="G63" s="403"/>
      <c r="H63" s="403"/>
      <c r="I63" s="405">
        <f>IF($AB63=0,"",INDEX(잔액!$Y:$Y,INDEX(_예비비계산!$BA$120:$BA$556,$AB63)))</f>
        <v>200000</v>
      </c>
      <c r="J63" s="403"/>
      <c r="K63" s="400" t="str">
        <f>IF($AB63=0,"",IF(COUNTIFS($C$430:$C$729,INDEX(_예비비계산!$BA$120:$BA$556,$AB63),$N$430:$N$729,"OK")&gt;0,"정산 연결",INDEX(잔액!$B:$B,INDEX(_예비비계산!$BA$120:$BA$556,$AB63))))</f>
        <v>정산 연결</v>
      </c>
      <c r="L63" s="403"/>
      <c r="M63" s="400" t="str">
        <f>IF($AB63=0,"",HYPERLINK("#'잔액'!A"&amp;INDEX(_예비비계산!$BA$120:$BA$556,$AB63),"원장 "&amp;INDEX(_예비비계산!$BA$120:$BA$556,$AB63)&amp;"행 ↗"))</f>
        <v>원장 223행 ↗</v>
      </c>
      <c r="N63" s="403"/>
      <c r="O63" s="403"/>
      <c r="AB63" s="335">
        <f>IFERROR(MATCH(($AC$60-1)*12+2,_예비비계산!$BH$120:$BH$556,0),0)</f>
        <v>160</v>
      </c>
    </row>
    <row r="64" spans="1:29" ht="24" customHeight="1">
      <c r="A64" s="340" t="str">
        <f>IF($AB64=0,"",TEXT(INDEX(잔액!$A:$A,INDEX(_예비비계산!$BA$120:$BA$556,$AB64)),IF(INDEX(잔액!$L:$L,INDEX(_예비비계산!$BA$120:$BA$556,$AB64))="원본WRAP","yyyy-mm","yyyy-mm-dd")))</f>
        <v>2026-10-15</v>
      </c>
      <c r="B64" s="400" t="str">
        <f>IF($AB64=0,"",INDEX(잔액!$F:$F,INDEX(_예비비계산!$BA$120:$BA$556,$AB64)))</f>
        <v>부모 생신 미사용 원금 회수</v>
      </c>
      <c r="C64" s="403"/>
      <c r="D64" s="400" t="str">
        <f>IF($AB64=0,"",INDEX(잔액!$C:$C,INDEX(_예비비계산!$BA$120:$BA$556,$AB64)))</f>
        <v>외부</v>
      </c>
      <c r="E64" s="403"/>
      <c r="F64" s="400" t="str">
        <f>IF($AB64=0,"",IF(INDEX(잔액!$K:$K,INDEX(_예비비계산!$BA$120:$BA$556,$AB64))&lt;&gt;"",INDEX(잔액!$K:$K,INDEX(_예비비계산!$BA$120:$BA$556,$AB64)),INDEX(잔액!$D:$D,INDEX(_예비비계산!$BA$120:$BA$556,$AB64))))</f>
        <v>미래에셋_WRAP형CMA</v>
      </c>
      <c r="G64" s="403"/>
      <c r="H64" s="403"/>
      <c r="I64" s="405">
        <f>IF($AB64=0,"",INDEX(잔액!$Y:$Y,INDEX(_예비비계산!$BA$120:$BA$556,$AB64)))</f>
        <v>61000</v>
      </c>
      <c r="J64" s="403"/>
      <c r="K64" s="400" t="str">
        <f>IF($AB64=0,"",IF(COUNTIFS($C$430:$C$729,INDEX(_예비비계산!$BA$120:$BA$556,$AB64),$N$430:$N$729,"OK")&gt;0,"정산 연결",INDEX(잔액!$B:$B,INDEX(_예비비계산!$BA$120:$BA$556,$AB64))))</f>
        <v>이체</v>
      </c>
      <c r="L64" s="403"/>
      <c r="M64" s="400" t="str">
        <f>IF($AB64=0,"",HYPERLINK("#'잔액'!A"&amp;INDEX(_예비비계산!$BA$120:$BA$556,$AB64),"원장 "&amp;INDEX(_예비비계산!$BA$120:$BA$556,$AB64)&amp;"행 ↗"))</f>
        <v>원장 246행 ↗</v>
      </c>
      <c r="N64" s="403"/>
      <c r="O64" s="403"/>
      <c r="AB64" s="335">
        <f>IFERROR(MATCH(($AC$60-1)*12+3,_예비비계산!$BH$120:$BH$556,0),0)</f>
        <v>183</v>
      </c>
    </row>
    <row r="65" spans="1:28" ht="24" customHeight="1">
      <c r="A65" s="340" t="str">
        <f>IF($AB65=0,"",TEXT(INDEX(잔액!$A:$A,INDEX(_예비비계산!$BA$120:$BA$556,$AB65)),IF(INDEX(잔액!$L:$L,INDEX(_예비비계산!$BA$120:$BA$556,$AB65))="원본WRAP","yyyy-mm","yyyy-mm-dd")))</f>
        <v/>
      </c>
      <c r="B65" s="400" t="str">
        <f>IF($AB65=0,"",INDEX(잔액!$F:$F,INDEX(_예비비계산!$BA$120:$BA$556,$AB65)))</f>
        <v/>
      </c>
      <c r="C65" s="403"/>
      <c r="D65" s="400" t="str">
        <f>IF($AB65=0,"",INDEX(잔액!$C:$C,INDEX(_예비비계산!$BA$120:$BA$556,$AB65)))</f>
        <v/>
      </c>
      <c r="E65" s="403"/>
      <c r="F65" s="400" t="str">
        <f>IF($AB65=0,"",IF(INDEX(잔액!$K:$K,INDEX(_예비비계산!$BA$120:$BA$556,$AB65))&lt;&gt;"",INDEX(잔액!$K:$K,INDEX(_예비비계산!$BA$120:$BA$556,$AB65)),INDEX(잔액!$D:$D,INDEX(_예비비계산!$BA$120:$BA$556,$AB65))))</f>
        <v/>
      </c>
      <c r="G65" s="403"/>
      <c r="H65" s="403"/>
      <c r="I65" s="405" t="str">
        <f>IF($AB65=0,"",INDEX(잔액!$Y:$Y,INDEX(_예비비계산!$BA$120:$BA$556,$AB65)))</f>
        <v/>
      </c>
      <c r="J65" s="403"/>
      <c r="K65" s="400" t="str">
        <f>IF($AB65=0,"",IF(COUNTIFS($C$430:$C$729,INDEX(_예비비계산!$BA$120:$BA$556,$AB65),$N$430:$N$729,"OK")&gt;0,"정산 연결",INDEX(잔액!$B:$B,INDEX(_예비비계산!$BA$120:$BA$556,$AB65))))</f>
        <v/>
      </c>
      <c r="L65" s="403"/>
      <c r="M65" s="400" t="str">
        <f>IF($AB65=0,"",HYPERLINK("#'잔액'!A"&amp;INDEX(_예비비계산!$BA$120:$BA$556,$AB65),"원장 "&amp;INDEX(_예비비계산!$BA$120:$BA$556,$AB65)&amp;"행 ↗"))</f>
        <v/>
      </c>
      <c r="N65" s="403"/>
      <c r="O65" s="403"/>
      <c r="AB65" s="335">
        <f>IFERROR(MATCH(($AC$60-1)*12+4,_예비비계산!$BH$120:$BH$556,0),0)</f>
        <v>0</v>
      </c>
    </row>
    <row r="66" spans="1:28" ht="24" customHeight="1">
      <c r="A66" s="340" t="str">
        <f>IF($AB66=0,"",TEXT(INDEX(잔액!$A:$A,INDEX(_예비비계산!$BA$120:$BA$556,$AB66)),IF(INDEX(잔액!$L:$L,INDEX(_예비비계산!$BA$120:$BA$556,$AB66))="원본WRAP","yyyy-mm","yyyy-mm-dd")))</f>
        <v/>
      </c>
      <c r="B66" s="400" t="str">
        <f>IF($AB66=0,"",INDEX(잔액!$F:$F,INDEX(_예비비계산!$BA$120:$BA$556,$AB66)))</f>
        <v/>
      </c>
      <c r="C66" s="403"/>
      <c r="D66" s="400" t="str">
        <f>IF($AB66=0,"",INDEX(잔액!$C:$C,INDEX(_예비비계산!$BA$120:$BA$556,$AB66)))</f>
        <v/>
      </c>
      <c r="E66" s="403"/>
      <c r="F66" s="400" t="str">
        <f>IF($AB66=0,"",IF(INDEX(잔액!$K:$K,INDEX(_예비비계산!$BA$120:$BA$556,$AB66))&lt;&gt;"",INDEX(잔액!$K:$K,INDEX(_예비비계산!$BA$120:$BA$556,$AB66)),INDEX(잔액!$D:$D,INDEX(_예비비계산!$BA$120:$BA$556,$AB66))))</f>
        <v/>
      </c>
      <c r="G66" s="403"/>
      <c r="H66" s="403"/>
      <c r="I66" s="405" t="str">
        <f>IF($AB66=0,"",INDEX(잔액!$Y:$Y,INDEX(_예비비계산!$BA$120:$BA$556,$AB66)))</f>
        <v/>
      </c>
      <c r="J66" s="403"/>
      <c r="K66" s="400" t="str">
        <f>IF($AB66=0,"",IF(COUNTIFS($C$430:$C$729,INDEX(_예비비계산!$BA$120:$BA$556,$AB66),$N$430:$N$729,"OK")&gt;0,"정산 연결",INDEX(잔액!$B:$B,INDEX(_예비비계산!$BA$120:$BA$556,$AB66))))</f>
        <v/>
      </c>
      <c r="L66" s="403"/>
      <c r="M66" s="400" t="str">
        <f>IF($AB66=0,"",HYPERLINK("#'잔액'!A"&amp;INDEX(_예비비계산!$BA$120:$BA$556,$AB66),"원장 "&amp;INDEX(_예비비계산!$BA$120:$BA$556,$AB66)&amp;"행 ↗"))</f>
        <v/>
      </c>
      <c r="N66" s="403"/>
      <c r="O66" s="403"/>
      <c r="AB66" s="335">
        <f>IFERROR(MATCH(($AC$60-1)*12+5,_예비비계산!$BH$120:$BH$556,0),0)</f>
        <v>0</v>
      </c>
    </row>
    <row r="67" spans="1:28" ht="24" customHeight="1">
      <c r="A67" s="340" t="str">
        <f>IF($AB67=0,"",TEXT(INDEX(잔액!$A:$A,INDEX(_예비비계산!$BA$120:$BA$556,$AB67)),IF(INDEX(잔액!$L:$L,INDEX(_예비비계산!$BA$120:$BA$556,$AB67))="원본WRAP","yyyy-mm","yyyy-mm-dd")))</f>
        <v/>
      </c>
      <c r="B67" s="400" t="str">
        <f>IF($AB67=0,"",INDEX(잔액!$F:$F,INDEX(_예비비계산!$BA$120:$BA$556,$AB67)))</f>
        <v/>
      </c>
      <c r="C67" s="403"/>
      <c r="D67" s="400" t="str">
        <f>IF($AB67=0,"",INDEX(잔액!$C:$C,INDEX(_예비비계산!$BA$120:$BA$556,$AB67)))</f>
        <v/>
      </c>
      <c r="E67" s="403"/>
      <c r="F67" s="400" t="str">
        <f>IF($AB67=0,"",IF(INDEX(잔액!$K:$K,INDEX(_예비비계산!$BA$120:$BA$556,$AB67))&lt;&gt;"",INDEX(잔액!$K:$K,INDEX(_예비비계산!$BA$120:$BA$556,$AB67)),INDEX(잔액!$D:$D,INDEX(_예비비계산!$BA$120:$BA$556,$AB67))))</f>
        <v/>
      </c>
      <c r="G67" s="403"/>
      <c r="H67" s="403"/>
      <c r="I67" s="405" t="str">
        <f>IF($AB67=0,"",INDEX(잔액!$Y:$Y,INDEX(_예비비계산!$BA$120:$BA$556,$AB67)))</f>
        <v/>
      </c>
      <c r="J67" s="403"/>
      <c r="K67" s="400" t="str">
        <f>IF($AB67=0,"",IF(COUNTIFS($C$430:$C$729,INDEX(_예비비계산!$BA$120:$BA$556,$AB67),$N$430:$N$729,"OK")&gt;0,"정산 연결",INDEX(잔액!$B:$B,INDEX(_예비비계산!$BA$120:$BA$556,$AB67))))</f>
        <v/>
      </c>
      <c r="L67" s="403"/>
      <c r="M67" s="400" t="str">
        <f>IF($AB67=0,"",HYPERLINK("#'잔액'!A"&amp;INDEX(_예비비계산!$BA$120:$BA$556,$AB67),"원장 "&amp;INDEX(_예비비계산!$BA$120:$BA$556,$AB67)&amp;"행 ↗"))</f>
        <v/>
      </c>
      <c r="N67" s="403"/>
      <c r="O67" s="403"/>
      <c r="AB67" s="335">
        <f>IFERROR(MATCH(($AC$60-1)*12+6,_예비비계산!$BH$120:$BH$556,0),0)</f>
        <v>0</v>
      </c>
    </row>
    <row r="68" spans="1:28" ht="24" customHeight="1">
      <c r="A68" s="340" t="str">
        <f>IF($AB68=0,"",TEXT(INDEX(잔액!$A:$A,INDEX(_예비비계산!$BA$120:$BA$556,$AB68)),IF(INDEX(잔액!$L:$L,INDEX(_예비비계산!$BA$120:$BA$556,$AB68))="원본WRAP","yyyy-mm","yyyy-mm-dd")))</f>
        <v/>
      </c>
      <c r="B68" s="400" t="str">
        <f>IF($AB68=0,"",INDEX(잔액!$F:$F,INDEX(_예비비계산!$BA$120:$BA$556,$AB68)))</f>
        <v/>
      </c>
      <c r="C68" s="403"/>
      <c r="D68" s="400" t="str">
        <f>IF($AB68=0,"",INDEX(잔액!$C:$C,INDEX(_예비비계산!$BA$120:$BA$556,$AB68)))</f>
        <v/>
      </c>
      <c r="E68" s="403"/>
      <c r="F68" s="400" t="str">
        <f>IF($AB68=0,"",IF(INDEX(잔액!$K:$K,INDEX(_예비비계산!$BA$120:$BA$556,$AB68))&lt;&gt;"",INDEX(잔액!$K:$K,INDEX(_예비비계산!$BA$120:$BA$556,$AB68)),INDEX(잔액!$D:$D,INDEX(_예비비계산!$BA$120:$BA$556,$AB68))))</f>
        <v/>
      </c>
      <c r="G68" s="403"/>
      <c r="H68" s="403"/>
      <c r="I68" s="405" t="str">
        <f>IF($AB68=0,"",INDEX(잔액!$Y:$Y,INDEX(_예비비계산!$BA$120:$BA$556,$AB68)))</f>
        <v/>
      </c>
      <c r="J68" s="403"/>
      <c r="K68" s="400" t="str">
        <f>IF($AB68=0,"",IF(COUNTIFS($C$430:$C$729,INDEX(_예비비계산!$BA$120:$BA$556,$AB68),$N$430:$N$729,"OK")&gt;0,"정산 연결",INDEX(잔액!$B:$B,INDEX(_예비비계산!$BA$120:$BA$556,$AB68))))</f>
        <v/>
      </c>
      <c r="L68" s="403"/>
      <c r="M68" s="400" t="str">
        <f>IF($AB68=0,"",HYPERLINK("#'잔액'!A"&amp;INDEX(_예비비계산!$BA$120:$BA$556,$AB68),"원장 "&amp;INDEX(_예비비계산!$BA$120:$BA$556,$AB68)&amp;"행 ↗"))</f>
        <v/>
      </c>
      <c r="N68" s="403"/>
      <c r="O68" s="403"/>
      <c r="AB68" s="335">
        <f>IFERROR(MATCH(($AC$60-1)*12+7,_예비비계산!$BH$120:$BH$556,0),0)</f>
        <v>0</v>
      </c>
    </row>
    <row r="69" spans="1:28" ht="24" customHeight="1">
      <c r="A69" s="340" t="str">
        <f>IF($AB69=0,"",TEXT(INDEX(잔액!$A:$A,INDEX(_예비비계산!$BA$120:$BA$556,$AB69)),IF(INDEX(잔액!$L:$L,INDEX(_예비비계산!$BA$120:$BA$556,$AB69))="원본WRAP","yyyy-mm","yyyy-mm-dd")))</f>
        <v/>
      </c>
      <c r="B69" s="400" t="str">
        <f>IF($AB69=0,"",INDEX(잔액!$F:$F,INDEX(_예비비계산!$BA$120:$BA$556,$AB69)))</f>
        <v/>
      </c>
      <c r="C69" s="403"/>
      <c r="D69" s="400" t="str">
        <f>IF($AB69=0,"",INDEX(잔액!$C:$C,INDEX(_예비비계산!$BA$120:$BA$556,$AB69)))</f>
        <v/>
      </c>
      <c r="E69" s="403"/>
      <c r="F69" s="400" t="str">
        <f>IF($AB69=0,"",IF(INDEX(잔액!$K:$K,INDEX(_예비비계산!$BA$120:$BA$556,$AB69))&lt;&gt;"",INDEX(잔액!$K:$K,INDEX(_예비비계산!$BA$120:$BA$556,$AB69)),INDEX(잔액!$D:$D,INDEX(_예비비계산!$BA$120:$BA$556,$AB69))))</f>
        <v/>
      </c>
      <c r="G69" s="403"/>
      <c r="H69" s="403"/>
      <c r="I69" s="405" t="str">
        <f>IF($AB69=0,"",INDEX(잔액!$Y:$Y,INDEX(_예비비계산!$BA$120:$BA$556,$AB69)))</f>
        <v/>
      </c>
      <c r="J69" s="403"/>
      <c r="K69" s="400" t="str">
        <f>IF($AB69=0,"",IF(COUNTIFS($C$430:$C$729,INDEX(_예비비계산!$BA$120:$BA$556,$AB69),$N$430:$N$729,"OK")&gt;0,"정산 연결",INDEX(잔액!$B:$B,INDEX(_예비비계산!$BA$120:$BA$556,$AB69))))</f>
        <v/>
      </c>
      <c r="L69" s="403"/>
      <c r="M69" s="400" t="str">
        <f>IF($AB69=0,"",HYPERLINK("#'잔액'!A"&amp;INDEX(_예비비계산!$BA$120:$BA$556,$AB69),"원장 "&amp;INDEX(_예비비계산!$BA$120:$BA$556,$AB69)&amp;"행 ↗"))</f>
        <v/>
      </c>
      <c r="N69" s="403"/>
      <c r="O69" s="403"/>
      <c r="AB69" s="335">
        <f>IFERROR(MATCH(($AC$60-1)*12+8,_예비비계산!$BH$120:$BH$556,0),0)</f>
        <v>0</v>
      </c>
    </row>
    <row r="70" spans="1:28" ht="24" customHeight="1">
      <c r="A70" s="340" t="str">
        <f>IF($AB70=0,"",TEXT(INDEX(잔액!$A:$A,INDEX(_예비비계산!$BA$120:$BA$556,$AB70)),IF(INDEX(잔액!$L:$L,INDEX(_예비비계산!$BA$120:$BA$556,$AB70))="원본WRAP","yyyy-mm","yyyy-mm-dd")))</f>
        <v/>
      </c>
      <c r="B70" s="400" t="str">
        <f>IF($AB70=0,"",INDEX(잔액!$F:$F,INDEX(_예비비계산!$BA$120:$BA$556,$AB70)))</f>
        <v/>
      </c>
      <c r="C70" s="403"/>
      <c r="D70" s="400" t="str">
        <f>IF($AB70=0,"",INDEX(잔액!$C:$C,INDEX(_예비비계산!$BA$120:$BA$556,$AB70)))</f>
        <v/>
      </c>
      <c r="E70" s="403"/>
      <c r="F70" s="400" t="str">
        <f>IF($AB70=0,"",IF(INDEX(잔액!$K:$K,INDEX(_예비비계산!$BA$120:$BA$556,$AB70))&lt;&gt;"",INDEX(잔액!$K:$K,INDEX(_예비비계산!$BA$120:$BA$556,$AB70)),INDEX(잔액!$D:$D,INDEX(_예비비계산!$BA$120:$BA$556,$AB70))))</f>
        <v/>
      </c>
      <c r="G70" s="403"/>
      <c r="H70" s="403"/>
      <c r="I70" s="405" t="str">
        <f>IF($AB70=0,"",INDEX(잔액!$Y:$Y,INDEX(_예비비계산!$BA$120:$BA$556,$AB70)))</f>
        <v/>
      </c>
      <c r="J70" s="403"/>
      <c r="K70" s="400" t="str">
        <f>IF($AB70=0,"",IF(COUNTIFS($C$430:$C$729,INDEX(_예비비계산!$BA$120:$BA$556,$AB70),$N$430:$N$729,"OK")&gt;0,"정산 연결",INDEX(잔액!$B:$B,INDEX(_예비비계산!$BA$120:$BA$556,$AB70))))</f>
        <v/>
      </c>
      <c r="L70" s="403"/>
      <c r="M70" s="400" t="str">
        <f>IF($AB70=0,"",HYPERLINK("#'잔액'!A"&amp;INDEX(_예비비계산!$BA$120:$BA$556,$AB70),"원장 "&amp;INDEX(_예비비계산!$BA$120:$BA$556,$AB70)&amp;"행 ↗"))</f>
        <v/>
      </c>
      <c r="N70" s="403"/>
      <c r="O70" s="403"/>
      <c r="AB70" s="335">
        <f>IFERROR(MATCH(($AC$60-1)*12+9,_예비비계산!$BH$120:$BH$556,0),0)</f>
        <v>0</v>
      </c>
    </row>
    <row r="71" spans="1:28" ht="24" customHeight="1">
      <c r="A71" s="340" t="str">
        <f>IF($AB71=0,"",TEXT(INDEX(잔액!$A:$A,INDEX(_예비비계산!$BA$120:$BA$556,$AB71)),IF(INDEX(잔액!$L:$L,INDEX(_예비비계산!$BA$120:$BA$556,$AB71))="원본WRAP","yyyy-mm","yyyy-mm-dd")))</f>
        <v/>
      </c>
      <c r="B71" s="400" t="str">
        <f>IF($AB71=0,"",INDEX(잔액!$F:$F,INDEX(_예비비계산!$BA$120:$BA$556,$AB71)))</f>
        <v/>
      </c>
      <c r="C71" s="403"/>
      <c r="D71" s="400" t="str">
        <f>IF($AB71=0,"",INDEX(잔액!$C:$C,INDEX(_예비비계산!$BA$120:$BA$556,$AB71)))</f>
        <v/>
      </c>
      <c r="E71" s="403"/>
      <c r="F71" s="400" t="str">
        <f>IF($AB71=0,"",IF(INDEX(잔액!$K:$K,INDEX(_예비비계산!$BA$120:$BA$556,$AB71))&lt;&gt;"",INDEX(잔액!$K:$K,INDEX(_예비비계산!$BA$120:$BA$556,$AB71)),INDEX(잔액!$D:$D,INDEX(_예비비계산!$BA$120:$BA$556,$AB71))))</f>
        <v/>
      </c>
      <c r="G71" s="403"/>
      <c r="H71" s="403"/>
      <c r="I71" s="405" t="str">
        <f>IF($AB71=0,"",INDEX(잔액!$Y:$Y,INDEX(_예비비계산!$BA$120:$BA$556,$AB71)))</f>
        <v/>
      </c>
      <c r="J71" s="403"/>
      <c r="K71" s="400" t="str">
        <f>IF($AB71=0,"",IF(COUNTIFS($C$430:$C$729,INDEX(_예비비계산!$BA$120:$BA$556,$AB71),$N$430:$N$729,"OK")&gt;0,"정산 연결",INDEX(잔액!$B:$B,INDEX(_예비비계산!$BA$120:$BA$556,$AB71))))</f>
        <v/>
      </c>
      <c r="L71" s="403"/>
      <c r="M71" s="400" t="str">
        <f>IF($AB71=0,"",HYPERLINK("#'잔액'!A"&amp;INDEX(_예비비계산!$BA$120:$BA$556,$AB71),"원장 "&amp;INDEX(_예비비계산!$BA$120:$BA$556,$AB71)&amp;"행 ↗"))</f>
        <v/>
      </c>
      <c r="N71" s="403"/>
      <c r="O71" s="403"/>
      <c r="AB71" s="335">
        <f>IFERROR(MATCH(($AC$60-1)*12+10,_예비비계산!$BH$120:$BH$556,0),0)</f>
        <v>0</v>
      </c>
    </row>
    <row r="72" spans="1:28" ht="24" customHeight="1">
      <c r="A72" s="340" t="str">
        <f>IF($AB72=0,"",TEXT(INDEX(잔액!$A:$A,INDEX(_예비비계산!$BA$120:$BA$556,$AB72)),IF(INDEX(잔액!$L:$L,INDEX(_예비비계산!$BA$120:$BA$556,$AB72))="원본WRAP","yyyy-mm","yyyy-mm-dd")))</f>
        <v/>
      </c>
      <c r="B72" s="400" t="str">
        <f>IF($AB72=0,"",INDEX(잔액!$F:$F,INDEX(_예비비계산!$BA$120:$BA$556,$AB72)))</f>
        <v/>
      </c>
      <c r="C72" s="403"/>
      <c r="D72" s="400" t="str">
        <f>IF($AB72=0,"",INDEX(잔액!$C:$C,INDEX(_예비비계산!$BA$120:$BA$556,$AB72)))</f>
        <v/>
      </c>
      <c r="E72" s="403"/>
      <c r="F72" s="400" t="str">
        <f>IF($AB72=0,"",IF(INDEX(잔액!$K:$K,INDEX(_예비비계산!$BA$120:$BA$556,$AB72))&lt;&gt;"",INDEX(잔액!$K:$K,INDEX(_예비비계산!$BA$120:$BA$556,$AB72)),INDEX(잔액!$D:$D,INDEX(_예비비계산!$BA$120:$BA$556,$AB72))))</f>
        <v/>
      </c>
      <c r="G72" s="403"/>
      <c r="H72" s="403"/>
      <c r="I72" s="405" t="str">
        <f>IF($AB72=0,"",INDEX(잔액!$Y:$Y,INDEX(_예비비계산!$BA$120:$BA$556,$AB72)))</f>
        <v/>
      </c>
      <c r="J72" s="403"/>
      <c r="K72" s="400" t="str">
        <f>IF($AB72=0,"",IF(COUNTIFS($C$430:$C$729,INDEX(_예비비계산!$BA$120:$BA$556,$AB72),$N$430:$N$729,"OK")&gt;0,"정산 연결",INDEX(잔액!$B:$B,INDEX(_예비비계산!$BA$120:$BA$556,$AB72))))</f>
        <v/>
      </c>
      <c r="L72" s="403"/>
      <c r="M72" s="400" t="str">
        <f>IF($AB72=0,"",HYPERLINK("#'잔액'!A"&amp;INDEX(_예비비계산!$BA$120:$BA$556,$AB72),"원장 "&amp;INDEX(_예비비계산!$BA$120:$BA$556,$AB72)&amp;"행 ↗"))</f>
        <v/>
      </c>
      <c r="N72" s="403"/>
      <c r="O72" s="403"/>
      <c r="AB72" s="335">
        <f>IFERROR(MATCH(($AC$60-1)*12+11,_예비비계산!$BH$120:$BH$556,0),0)</f>
        <v>0</v>
      </c>
    </row>
    <row r="73" spans="1:28" ht="24" customHeight="1">
      <c r="A73" s="340" t="str">
        <f>IF($AB73=0,"",TEXT(INDEX(잔액!$A:$A,INDEX(_예비비계산!$BA$120:$BA$556,$AB73)),IF(INDEX(잔액!$L:$L,INDEX(_예비비계산!$BA$120:$BA$556,$AB73))="원본WRAP","yyyy-mm","yyyy-mm-dd")))</f>
        <v/>
      </c>
      <c r="B73" s="400" t="str">
        <f>IF($AB73=0,"",INDEX(잔액!$F:$F,INDEX(_예비비계산!$BA$120:$BA$556,$AB73)))</f>
        <v/>
      </c>
      <c r="C73" s="403"/>
      <c r="D73" s="400" t="str">
        <f>IF($AB73=0,"",INDEX(잔액!$C:$C,INDEX(_예비비계산!$BA$120:$BA$556,$AB73)))</f>
        <v/>
      </c>
      <c r="E73" s="403"/>
      <c r="F73" s="400" t="str">
        <f>IF($AB73=0,"",IF(INDEX(잔액!$K:$K,INDEX(_예비비계산!$BA$120:$BA$556,$AB73))&lt;&gt;"",INDEX(잔액!$K:$K,INDEX(_예비비계산!$BA$120:$BA$556,$AB73)),INDEX(잔액!$D:$D,INDEX(_예비비계산!$BA$120:$BA$556,$AB73))))</f>
        <v/>
      </c>
      <c r="G73" s="403"/>
      <c r="H73" s="403"/>
      <c r="I73" s="405" t="str">
        <f>IF($AB73=0,"",INDEX(잔액!$Y:$Y,INDEX(_예비비계산!$BA$120:$BA$556,$AB73)))</f>
        <v/>
      </c>
      <c r="J73" s="403"/>
      <c r="K73" s="400" t="str">
        <f>IF($AB73=0,"",IF(COUNTIFS($C$430:$C$729,INDEX(_예비비계산!$BA$120:$BA$556,$AB73),$N$430:$N$729,"OK")&gt;0,"정산 연결",INDEX(잔액!$B:$B,INDEX(_예비비계산!$BA$120:$BA$556,$AB73))))</f>
        <v/>
      </c>
      <c r="L73" s="403"/>
      <c r="M73" s="400" t="str">
        <f>IF($AB73=0,"",HYPERLINK("#'잔액'!A"&amp;INDEX(_예비비계산!$BA$120:$BA$556,$AB73),"원장 "&amp;INDEX(_예비비계산!$BA$120:$BA$556,$AB73)&amp;"행 ↗"))</f>
        <v/>
      </c>
      <c r="N73" s="403"/>
      <c r="O73" s="403"/>
      <c r="AB73" s="335">
        <f>IFERROR(MATCH(($AC$60-1)*12+12,_예비비계산!$BH$120:$BH$556,0),0)</f>
        <v>0</v>
      </c>
    </row>
    <row r="74" spans="1:28" ht="24" customHeight="1">
      <c r="A74" s="337"/>
      <c r="B74" s="337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  <c r="N74" s="337"/>
      <c r="O74" s="337"/>
    </row>
    <row r="75" spans="1:28" ht="24" customHeight="1">
      <c r="A75" s="401" t="s">
        <v>2448</v>
      </c>
      <c r="B75" s="402"/>
      <c r="C75" s="402"/>
      <c r="D75" s="402"/>
      <c r="E75" s="402"/>
      <c r="F75" s="402"/>
      <c r="G75" s="402"/>
      <c r="H75" s="402"/>
      <c r="I75" s="402"/>
      <c r="J75" s="402"/>
      <c r="K75" s="402"/>
      <c r="L75" s="402"/>
      <c r="M75" s="402"/>
      <c r="N75" s="402"/>
      <c r="O75" s="402"/>
    </row>
    <row r="76" spans="1:28" ht="24" customHeight="1">
      <c r="A76" s="401" t="s">
        <v>2449</v>
      </c>
      <c r="B76" s="402"/>
      <c r="C76" s="402"/>
      <c r="D76" s="402"/>
      <c r="E76" s="402"/>
      <c r="F76" s="402"/>
      <c r="G76" s="402"/>
      <c r="H76" s="402"/>
      <c r="I76" s="402"/>
      <c r="J76" s="402"/>
      <c r="K76" s="402"/>
      <c r="L76" s="402"/>
      <c r="M76" s="402"/>
      <c r="N76" s="402"/>
      <c r="O76" s="402"/>
    </row>
    <row r="77" spans="1:28" ht="24" customHeight="1">
      <c r="A77" s="337"/>
      <c r="B77" s="337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  <c r="N77" s="337"/>
      <c r="O77" s="337"/>
    </row>
    <row r="78" spans="1:28" ht="24" customHeight="1">
      <c r="A78" s="401" t="str">
        <f>HYPERLINK("#'예비비'!A98","사용 등록 자료 펼치기 ↓")</f>
        <v>사용 등록 자료 펼치기 ↓</v>
      </c>
      <c r="B78" s="402"/>
      <c r="C78" s="402"/>
      <c r="D78" s="402"/>
      <c r="E78" s="402"/>
      <c r="F78" s="402"/>
      <c r="G78" s="402"/>
      <c r="H78" s="402"/>
      <c r="I78" s="402"/>
      <c r="J78" s="402"/>
      <c r="K78" s="402"/>
      <c r="L78" s="402"/>
      <c r="M78" s="402"/>
      <c r="N78" s="402"/>
      <c r="O78" s="402"/>
    </row>
    <row r="79" spans="1:28" ht="24" customHeight="1">
      <c r="A79" s="401" t="str">
        <f>HYPERLINK("#'예비비'!A428","이체 연결 자료 펼치기 ↓")</f>
        <v>이체 연결 자료 펼치기 ↓</v>
      </c>
      <c r="B79" s="402"/>
      <c r="C79" s="402"/>
      <c r="D79" s="402"/>
      <c r="E79" s="402"/>
      <c r="F79" s="402"/>
      <c r="G79" s="402"/>
      <c r="H79" s="402"/>
      <c r="I79" s="402"/>
      <c r="J79" s="402"/>
      <c r="K79" s="402"/>
      <c r="L79" s="402"/>
      <c r="M79" s="402"/>
      <c r="N79" s="402"/>
      <c r="O79" s="402"/>
    </row>
    <row r="98" spans="1:26">
      <c r="A98" s="398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404"/>
      <c r="C98" s="404"/>
      <c r="D98" s="404"/>
      <c r="E98" s="404"/>
      <c r="F98" s="404"/>
      <c r="G98" s="404"/>
      <c r="H98" s="404"/>
      <c r="I98" s="404"/>
      <c r="J98" s="404"/>
      <c r="K98" s="404"/>
      <c r="L98" s="404"/>
      <c r="M98" s="404"/>
      <c r="N98" s="404"/>
      <c r="O98" s="404"/>
    </row>
    <row r="99" spans="1:26" ht="30" customHeight="1" collapsed="1">
      <c r="A99" s="338" t="s">
        <v>2450</v>
      </c>
      <c r="B99" s="338" t="s">
        <v>30</v>
      </c>
      <c r="C99" s="338" t="s">
        <v>2428</v>
      </c>
      <c r="D99" s="338" t="s">
        <v>2434</v>
      </c>
      <c r="E99" s="338" t="s">
        <v>2451</v>
      </c>
      <c r="F99" s="338" t="s">
        <v>2452</v>
      </c>
      <c r="G99" s="338" t="s">
        <v>2453</v>
      </c>
      <c r="H99" s="338" t="s">
        <v>215</v>
      </c>
      <c r="I99" s="338"/>
      <c r="J99" s="338"/>
      <c r="K99" s="338"/>
      <c r="L99" s="338"/>
      <c r="M99" s="338"/>
      <c r="N99" s="338"/>
      <c r="O99" s="338"/>
    </row>
    <row r="100" spans="1:26" ht="48" hidden="1" outlineLevel="1">
      <c r="A100" s="335" t="s">
        <v>2454</v>
      </c>
      <c r="B100" s="335" t="s">
        <v>248</v>
      </c>
      <c r="C100" s="344" t="s">
        <v>15</v>
      </c>
      <c r="D100" s="346">
        <v>46023</v>
      </c>
      <c r="E100" s="347">
        <v>50000</v>
      </c>
      <c r="F100" s="344"/>
      <c r="G100" s="335" t="s">
        <v>2455</v>
      </c>
      <c r="H100" s="335" t="s">
        <v>2456</v>
      </c>
      <c r="O100" s="333" t="str">
        <f t="shared" ref="O100:O163" si="12">IF(LEFT(R100,2)="확인",R100,"")</f>
        <v/>
      </c>
      <c r="R100" s="335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335">
        <f t="shared" ref="S100:S163" si="13">IF(ISNUMBER(D100),DATE(YEAR(D100),MONTH(D100),1),0)</f>
        <v>46023</v>
      </c>
      <c r="T100" s="348">
        <f t="shared" ref="T100:T163" si="14">IF(R100="OK",SUMIFS($O$430:$O$729,$B$430:$B$729,A100,$E$430:$E$729,"&lt;"&amp;EDATE($B$3,1)),0)</f>
        <v>50000</v>
      </c>
      <c r="U100" s="348">
        <f t="shared" ref="U100:U163" si="15">IF(AND(R100="OK",D100&lt;EDATE($B$3,1),$B$3&gt;=DATE(2026,3,1)),MAX(0,E100-T100),0)</f>
        <v>0</v>
      </c>
      <c r="V100" s="348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348">
        <f>IF(V100&gt;0,ROUNDUP(INDEX(RAW!$K:$K,MAX(2,F100))/1000,0)*1000-ROUNDUP((INDEX(RAW!$K:$K,MAX(2,F100))-V100)/1000,0)*1000,0)</f>
        <v>0</v>
      </c>
      <c r="X100" s="335">
        <f t="shared" ref="X100:X163" si="16">IF(AND(R100="OK",IF($B$43="전체",D100&lt;EDATE($B$3,1),IF($B$43="미정산",U100&gt;0,OR(S100=$B$3,Z100&gt;0,U100&gt;0)))),1,0)</f>
        <v>0</v>
      </c>
      <c r="Y100" s="335">
        <f>IF(X100=1,COUNTIF($X$100:X100,1),0)</f>
        <v>0</v>
      </c>
      <c r="Z100" s="348">
        <f t="shared" ref="Z100:Z163" si="17">IF(R100="OK",SUMIFS($O$430:$O$729,$B$430:$B$729,A100,$E$430:$E$729,"&gt;="&amp;$B$3,$E$430:$E$729,"&lt;"&amp;EDATE($B$3,1)),0)</f>
        <v>0</v>
      </c>
    </row>
    <row r="101" spans="1:26" ht="48" hidden="1" outlineLevel="1">
      <c r="A101" s="335" t="s">
        <v>2457</v>
      </c>
      <c r="B101" s="335" t="s">
        <v>2458</v>
      </c>
      <c r="C101" s="344" t="s">
        <v>13</v>
      </c>
      <c r="D101" s="346">
        <v>46054</v>
      </c>
      <c r="E101" s="347">
        <v>100000</v>
      </c>
      <c r="F101" s="344"/>
      <c r="G101" s="335" t="s">
        <v>2455</v>
      </c>
      <c r="H101" s="335" t="s">
        <v>2459</v>
      </c>
      <c r="O101" s="333" t="str">
        <f t="shared" si="12"/>
        <v/>
      </c>
      <c r="R101" s="335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335">
        <f t="shared" si="13"/>
        <v>46054</v>
      </c>
      <c r="T101" s="348">
        <f t="shared" si="14"/>
        <v>100000</v>
      </c>
      <c r="U101" s="348">
        <f t="shared" si="15"/>
        <v>0</v>
      </c>
      <c r="V101" s="348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348">
        <f>IF(V101&gt;0,ROUNDUP(INDEX(RAW!$K:$K,MAX(2,F101))/1000,0)*1000-ROUNDUP((INDEX(RAW!$K:$K,MAX(2,F101))-V101)/1000,0)*1000,0)</f>
        <v>0</v>
      </c>
      <c r="X101" s="335">
        <f t="shared" si="16"/>
        <v>0</v>
      </c>
      <c r="Y101" s="335">
        <f>IF(X101=1,COUNTIF($X$100:X101,1),0)</f>
        <v>0</v>
      </c>
      <c r="Z101" s="348">
        <f t="shared" si="17"/>
        <v>0</v>
      </c>
    </row>
    <row r="102" spans="1:26" ht="80" hidden="1" outlineLevel="1">
      <c r="A102" s="335" t="s">
        <v>2460</v>
      </c>
      <c r="B102" s="335" t="str">
        <f>IFERROR(INDEX(RAW!$F:$F,MAX(2,F102)),"")</f>
        <v>휴가비지원사업</v>
      </c>
      <c r="C102" s="344" t="s">
        <v>17</v>
      </c>
      <c r="D102" s="346">
        <f>IFERROR(INDEX(RAW!$A:$A,MAX(2,F102)),"")</f>
        <v>46072.601226851853</v>
      </c>
      <c r="E102" s="347">
        <f>IFERROR(INDEX(RAW!$K:$K,MAX(2,F102)),"")</f>
        <v>200000</v>
      </c>
      <c r="F102" s="344">
        <v>356</v>
      </c>
      <c r="G102" s="335" t="s">
        <v>2461</v>
      </c>
      <c r="H102" s="335" t="s">
        <v>2462</v>
      </c>
      <c r="O102" s="333" t="str">
        <f t="shared" si="12"/>
        <v/>
      </c>
      <c r="R102" s="335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335">
        <f t="shared" si="13"/>
        <v>46054</v>
      </c>
      <c r="T102" s="348">
        <f t="shared" si="14"/>
        <v>200000</v>
      </c>
      <c r="U102" s="348">
        <f t="shared" si="15"/>
        <v>0</v>
      </c>
      <c r="V102" s="348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348">
        <f>IF(V102&gt;0,ROUNDUP(INDEX(RAW!$K:$K,MAX(2,F102))/1000,0)*1000-ROUNDUP((INDEX(RAW!$K:$K,MAX(2,F102))-V102)/1000,0)*1000,0)</f>
        <v>0</v>
      </c>
      <c r="X102" s="335">
        <f t="shared" si="16"/>
        <v>0</v>
      </c>
      <c r="Y102" s="335">
        <f>IF(X102=1,COUNTIF($X$100:X102,1),0)</f>
        <v>0</v>
      </c>
      <c r="Z102" s="348">
        <f t="shared" si="17"/>
        <v>0</v>
      </c>
    </row>
    <row r="103" spans="1:26" ht="64" hidden="1" outlineLevel="1">
      <c r="A103" s="335" t="s">
        <v>2463</v>
      </c>
      <c r="B103" s="335" t="s">
        <v>87</v>
      </c>
      <c r="C103" s="344" t="s">
        <v>13</v>
      </c>
      <c r="D103" s="346">
        <v>46143</v>
      </c>
      <c r="E103" s="347">
        <v>148900</v>
      </c>
      <c r="F103" s="344"/>
      <c r="G103" s="335" t="s">
        <v>2455</v>
      </c>
      <c r="H103" s="335" t="s">
        <v>2464</v>
      </c>
      <c r="O103" s="333" t="str">
        <f t="shared" si="12"/>
        <v/>
      </c>
      <c r="R103" s="335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335">
        <f t="shared" si="13"/>
        <v>46143</v>
      </c>
      <c r="T103" s="348">
        <f t="shared" si="14"/>
        <v>148900</v>
      </c>
      <c r="U103" s="348">
        <f t="shared" si="15"/>
        <v>0</v>
      </c>
      <c r="V103" s="348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348">
        <f>IF(V103&gt;0,ROUNDUP(INDEX(RAW!$K:$K,MAX(2,F103))/1000,0)*1000-ROUNDUP((INDEX(RAW!$K:$K,MAX(2,F103))-V103)/1000,0)*1000,0)</f>
        <v>0</v>
      </c>
      <c r="X103" s="335">
        <f t="shared" si="16"/>
        <v>0</v>
      </c>
      <c r="Y103" s="335">
        <f>IF(X103=1,COUNTIF($X$100:X103,1),0)</f>
        <v>0</v>
      </c>
      <c r="Z103" s="348">
        <f t="shared" si="17"/>
        <v>0</v>
      </c>
    </row>
    <row r="104" spans="1:26" ht="64" hidden="1" outlineLevel="1">
      <c r="A104" s="335" t="s">
        <v>2465</v>
      </c>
      <c r="B104" s="335" t="s">
        <v>2466</v>
      </c>
      <c r="C104" s="344" t="s">
        <v>16</v>
      </c>
      <c r="D104" s="346">
        <v>46143</v>
      </c>
      <c r="E104" s="347">
        <v>313980</v>
      </c>
      <c r="F104" s="344"/>
      <c r="G104" s="335" t="s">
        <v>2455</v>
      </c>
      <c r="H104" s="335" t="s">
        <v>2467</v>
      </c>
      <c r="O104" s="333" t="str">
        <f t="shared" si="12"/>
        <v/>
      </c>
      <c r="R104" s="335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335">
        <f t="shared" si="13"/>
        <v>46143</v>
      </c>
      <c r="T104" s="348">
        <f t="shared" si="14"/>
        <v>313980</v>
      </c>
      <c r="U104" s="348">
        <f t="shared" si="15"/>
        <v>0</v>
      </c>
      <c r="V104" s="348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348">
        <f>IF(V104&gt;0,ROUNDUP(INDEX(RAW!$K:$K,MAX(2,F104))/1000,0)*1000-ROUNDUP((INDEX(RAW!$K:$K,MAX(2,F104))-V104)/1000,0)*1000,0)</f>
        <v>0</v>
      </c>
      <c r="X104" s="335">
        <f t="shared" si="16"/>
        <v>0</v>
      </c>
      <c r="Y104" s="335">
        <f>IF(X104=1,COUNTIF($X$100:X104,1),0)</f>
        <v>0</v>
      </c>
      <c r="Z104" s="348">
        <f t="shared" si="17"/>
        <v>0</v>
      </c>
    </row>
    <row r="105" spans="1:26" ht="64" hidden="1" outlineLevel="1">
      <c r="A105" s="335" t="s">
        <v>2468</v>
      </c>
      <c r="B105" s="335" t="s">
        <v>2469</v>
      </c>
      <c r="C105" s="344" t="s">
        <v>14</v>
      </c>
      <c r="D105" s="346">
        <v>46235</v>
      </c>
      <c r="E105" s="347">
        <v>300000</v>
      </c>
      <c r="F105" s="344"/>
      <c r="G105" s="335" t="s">
        <v>2455</v>
      </c>
      <c r="H105" s="335" t="s">
        <v>2470</v>
      </c>
      <c r="O105" s="333" t="str">
        <f t="shared" si="12"/>
        <v/>
      </c>
      <c r="R105" s="335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335">
        <f t="shared" si="13"/>
        <v>46235</v>
      </c>
      <c r="T105" s="348">
        <f t="shared" si="14"/>
        <v>300000</v>
      </c>
      <c r="U105" s="348">
        <f t="shared" si="15"/>
        <v>0</v>
      </c>
      <c r="V105" s="348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348">
        <f>IF(V105&gt;0,ROUNDUP(INDEX(RAW!$K:$K,MAX(2,F105))/1000,0)*1000-ROUNDUP((INDEX(RAW!$K:$K,MAX(2,F105))-V105)/1000,0)*1000,0)</f>
        <v>0</v>
      </c>
      <c r="X105" s="335">
        <f t="shared" si="16"/>
        <v>0</v>
      </c>
      <c r="Y105" s="335">
        <f>IF(X105=1,COUNTIF($X$100:X105,1),0)</f>
        <v>0</v>
      </c>
      <c r="Z105" s="348">
        <f t="shared" si="17"/>
        <v>0</v>
      </c>
    </row>
    <row r="106" spans="1:26" ht="64" hidden="1" outlineLevel="1">
      <c r="A106" s="335" t="s">
        <v>2471</v>
      </c>
      <c r="B106" s="335" t="str">
        <f>IFERROR(INDEX(RAW!$F:$F,MAX(2,F106)),"")</f>
        <v>지인 생일</v>
      </c>
      <c r="C106" s="344" t="s">
        <v>15</v>
      </c>
      <c r="D106" s="346">
        <f>IFERROR(INDEX(RAW!$A:$A,MAX(2,F106)),"")</f>
        <v>46280.941672222223</v>
      </c>
      <c r="E106" s="347">
        <f>IFERROR(INDEX(RAW!$K:$K,MAX(2,F106)),"")</f>
        <v>50000</v>
      </c>
      <c r="F106" s="344">
        <v>2203</v>
      </c>
      <c r="G106" s="335" t="s">
        <v>2461</v>
      </c>
      <c r="H106" s="335" t="s">
        <v>2472</v>
      </c>
      <c r="O106" s="333" t="str">
        <f t="shared" si="12"/>
        <v/>
      </c>
      <c r="R106" s="335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335">
        <f t="shared" si="13"/>
        <v>46266</v>
      </c>
      <c r="T106" s="348">
        <f t="shared" si="14"/>
        <v>50000</v>
      </c>
      <c r="U106" s="348">
        <f t="shared" si="15"/>
        <v>0</v>
      </c>
      <c r="V106" s="348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348">
        <f>IF(V106&gt;0,ROUNDUP(INDEX(RAW!$K:$K,MAX(2,F106))/1000,0)*1000-ROUNDUP((INDEX(RAW!$K:$K,MAX(2,F106))-V106)/1000,0)*1000,0)</f>
        <v>0</v>
      </c>
      <c r="X106" s="335">
        <f t="shared" si="16"/>
        <v>0</v>
      </c>
      <c r="Y106" s="335">
        <f>IF(X106=1,COUNTIF($X$100:X106,1),0)</f>
        <v>0</v>
      </c>
      <c r="Z106" s="348">
        <f t="shared" si="17"/>
        <v>0</v>
      </c>
    </row>
    <row r="107" spans="1:26" ht="176" hidden="1" outlineLevel="1">
      <c r="A107" s="335" t="s">
        <v>2473</v>
      </c>
      <c r="B107" s="335" t="s">
        <v>2474</v>
      </c>
      <c r="C107" s="344" t="s">
        <v>15</v>
      </c>
      <c r="D107" s="346">
        <v>46296</v>
      </c>
      <c r="E107" s="347">
        <v>239000</v>
      </c>
      <c r="F107" s="344"/>
      <c r="G107" s="335" t="s">
        <v>2455</v>
      </c>
      <c r="H107" s="335" t="s">
        <v>2475</v>
      </c>
      <c r="O107" s="333" t="str">
        <f t="shared" si="12"/>
        <v/>
      </c>
      <c r="R107" s="335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335">
        <f t="shared" si="13"/>
        <v>46296</v>
      </c>
      <c r="T107" s="348">
        <f t="shared" si="14"/>
        <v>239000</v>
      </c>
      <c r="U107" s="348">
        <f t="shared" si="15"/>
        <v>0</v>
      </c>
      <c r="V107" s="348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348">
        <f>IF(V107&gt;0,ROUNDUP(INDEX(RAW!$K:$K,MAX(2,F107))/1000,0)*1000-ROUNDUP((INDEX(RAW!$K:$K,MAX(2,F107))-V107)/1000,0)*1000,0)</f>
        <v>0</v>
      </c>
      <c r="X107" s="335">
        <f t="shared" si="16"/>
        <v>1</v>
      </c>
      <c r="Y107" s="335">
        <f>IF(X107=1,COUNTIF($X$100:X107,1),0)</f>
        <v>1</v>
      </c>
      <c r="Z107" s="348">
        <f t="shared" si="17"/>
        <v>0</v>
      </c>
    </row>
    <row r="108" spans="1:26" ht="96" hidden="1" outlineLevel="1">
      <c r="A108" s="335" t="str">
        <f t="shared" ref="A108:A139" si="18">IF(F108="","","R"&amp;F108)</f>
        <v>R32</v>
      </c>
      <c r="B108" s="335" t="str">
        <f>IFERROR(INDEX(RAW!$F:$F,MAX(2,F108)),"")</f>
        <v>스타벅스</v>
      </c>
      <c r="C108" s="344" t="s">
        <v>12</v>
      </c>
      <c r="D108" s="346">
        <f>IFERROR(INDEX(RAW!$A:$A,MAX(2,F108)),"")</f>
        <v>46029.910231481481</v>
      </c>
      <c r="E108" s="347">
        <f>IFERROR(INDEX(RAW!$K:$K,MAX(2,F108)),"")</f>
        <v>10900</v>
      </c>
      <c r="F108" s="344">
        <v>32</v>
      </c>
      <c r="G108" s="335" t="s">
        <v>2476</v>
      </c>
      <c r="H108" s="335" t="s">
        <v>2477</v>
      </c>
      <c r="O108" s="333" t="str">
        <f t="shared" si="12"/>
        <v/>
      </c>
      <c r="R108" s="335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335">
        <f t="shared" si="13"/>
        <v>46023</v>
      </c>
      <c r="T108" s="348">
        <f t="shared" si="14"/>
        <v>0</v>
      </c>
      <c r="U108" s="348">
        <f t="shared" si="15"/>
        <v>0</v>
      </c>
      <c r="V108" s="348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348">
        <f>IF(V108&gt;0,ROUNDUP(INDEX(RAW!$K:$K,MAX(2,F108))/1000,0)*1000-ROUNDUP((INDEX(RAW!$K:$K,MAX(2,F108))-V108)/1000,0)*1000,0)</f>
        <v>0</v>
      </c>
      <c r="X108" s="335">
        <f t="shared" si="16"/>
        <v>0</v>
      </c>
      <c r="Y108" s="335">
        <f>IF(X108=1,COUNTIF($X$100:X108,1),0)</f>
        <v>0</v>
      </c>
      <c r="Z108" s="348">
        <f t="shared" si="17"/>
        <v>0</v>
      </c>
    </row>
    <row r="109" spans="1:26" ht="96" hidden="1" outlineLevel="1">
      <c r="A109" s="335" t="str">
        <f t="shared" si="18"/>
        <v>R152</v>
      </c>
      <c r="B109" s="335" t="str">
        <f>IFERROR(INDEX(RAW!$F:$F,MAX(2,F109)),"")</f>
        <v>지인 생일</v>
      </c>
      <c r="C109" s="344" t="s">
        <v>12</v>
      </c>
      <c r="D109" s="346">
        <f>IFERROR(INDEX(RAW!$A:$A,MAX(2,F109)),"")</f>
        <v>46045.769062500003</v>
      </c>
      <c r="E109" s="347">
        <f>IFERROR(INDEX(RAW!$K:$K,MAX(2,F109)),"")</f>
        <v>60000</v>
      </c>
      <c r="F109" s="344">
        <v>152</v>
      </c>
      <c r="G109" s="335" t="s">
        <v>2476</v>
      </c>
      <c r="H109" s="335" t="s">
        <v>2477</v>
      </c>
      <c r="O109" s="333" t="str">
        <f t="shared" si="12"/>
        <v/>
      </c>
      <c r="R109" s="335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335">
        <f t="shared" si="13"/>
        <v>46023</v>
      </c>
      <c r="T109" s="348">
        <f t="shared" si="14"/>
        <v>0</v>
      </c>
      <c r="U109" s="348">
        <f t="shared" si="15"/>
        <v>0</v>
      </c>
      <c r="V109" s="348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348">
        <f>IF(V109&gt;0,ROUNDUP(INDEX(RAW!$K:$K,MAX(2,F109))/1000,0)*1000-ROUNDUP((INDEX(RAW!$K:$K,MAX(2,F109))-V109)/1000,0)*1000,0)</f>
        <v>0</v>
      </c>
      <c r="X109" s="335">
        <f t="shared" si="16"/>
        <v>0</v>
      </c>
      <c r="Y109" s="335">
        <f>IF(X109=1,COUNTIF($X$100:X109,1),0)</f>
        <v>0</v>
      </c>
      <c r="Z109" s="348">
        <f t="shared" si="17"/>
        <v>0</v>
      </c>
    </row>
    <row r="110" spans="1:26" ht="96" hidden="1" outlineLevel="1">
      <c r="A110" s="335" t="str">
        <f t="shared" si="18"/>
        <v>R211</v>
      </c>
      <c r="B110" s="335" t="str">
        <f>IFERROR(INDEX(RAW!$F:$F,MAX(2,F110)),"")</f>
        <v>카카오 선물하기</v>
      </c>
      <c r="C110" s="344" t="s">
        <v>12</v>
      </c>
      <c r="D110" s="346">
        <f>IFERROR(INDEX(RAW!$A:$A,MAX(2,F110)),"")</f>
        <v>46052.286307870367</v>
      </c>
      <c r="E110" s="347">
        <f>IFERROR(INDEX(RAW!$K:$K,MAX(2,F110)),"")</f>
        <v>34000</v>
      </c>
      <c r="F110" s="344">
        <v>211</v>
      </c>
      <c r="G110" s="335" t="s">
        <v>2476</v>
      </c>
      <c r="H110" s="335" t="s">
        <v>2477</v>
      </c>
      <c r="O110" s="333" t="str">
        <f t="shared" si="12"/>
        <v/>
      </c>
      <c r="R110" s="335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335">
        <f t="shared" si="13"/>
        <v>46023</v>
      </c>
      <c r="T110" s="348">
        <f t="shared" si="14"/>
        <v>0</v>
      </c>
      <c r="U110" s="348">
        <f t="shared" si="15"/>
        <v>0</v>
      </c>
      <c r="V110" s="348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348">
        <f>IF(V110&gt;0,ROUNDUP(INDEX(RAW!$K:$K,MAX(2,F110))/1000,0)*1000-ROUNDUP((INDEX(RAW!$K:$K,MAX(2,F110))-V110)/1000,0)*1000,0)</f>
        <v>0</v>
      </c>
      <c r="X110" s="335">
        <f t="shared" si="16"/>
        <v>0</v>
      </c>
      <c r="Y110" s="335">
        <f>IF(X110=1,COUNTIF($X$100:X110,1),0)</f>
        <v>0</v>
      </c>
      <c r="Z110" s="348">
        <f t="shared" si="17"/>
        <v>0</v>
      </c>
    </row>
    <row r="111" spans="1:26" ht="96" hidden="1" outlineLevel="1">
      <c r="A111" s="335" t="str">
        <f t="shared" si="18"/>
        <v>R509</v>
      </c>
      <c r="B111" s="335" t="str">
        <f>IFERROR(INDEX(RAW!$F:$F,MAX(2,F111)),"")</f>
        <v>카카오 선물하기</v>
      </c>
      <c r="C111" s="344" t="s">
        <v>12</v>
      </c>
      <c r="D111" s="346">
        <f>IFERROR(INDEX(RAW!$A:$A,MAX(2,F111)),"")</f>
        <v>46086.426921296297</v>
      </c>
      <c r="E111" s="347">
        <f>IFERROR(INDEX(RAW!$K:$K,MAX(2,F111)),"")</f>
        <v>19900</v>
      </c>
      <c r="F111" s="344">
        <v>509</v>
      </c>
      <c r="G111" s="335" t="s">
        <v>2476</v>
      </c>
      <c r="H111" s="335" t="s">
        <v>2477</v>
      </c>
      <c r="O111" s="333" t="str">
        <f t="shared" si="12"/>
        <v/>
      </c>
      <c r="R111" s="335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335">
        <f t="shared" si="13"/>
        <v>46082</v>
      </c>
      <c r="T111" s="348">
        <f t="shared" si="14"/>
        <v>0</v>
      </c>
      <c r="U111" s="348">
        <f t="shared" si="15"/>
        <v>0</v>
      </c>
      <c r="V111" s="348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348">
        <f>IF(V111&gt;0,ROUNDUP(INDEX(RAW!$K:$K,MAX(2,F111))/1000,0)*1000-ROUNDUP((INDEX(RAW!$K:$K,MAX(2,F111))-V111)/1000,0)*1000,0)</f>
        <v>0</v>
      </c>
      <c r="X111" s="335">
        <f t="shared" si="16"/>
        <v>0</v>
      </c>
      <c r="Y111" s="335">
        <f>IF(X111=1,COUNTIF($X$100:X111,1),0)</f>
        <v>0</v>
      </c>
      <c r="Z111" s="348">
        <f t="shared" si="17"/>
        <v>0</v>
      </c>
    </row>
    <row r="112" spans="1:26" ht="96" hidden="1" outlineLevel="1">
      <c r="A112" s="335" t="str">
        <f t="shared" si="18"/>
        <v>R604</v>
      </c>
      <c r="B112" s="335" t="str">
        <f>IFERROR(INDEX(RAW!$F:$F,MAX(2,F112)),"")</f>
        <v>쿠팡</v>
      </c>
      <c r="C112" s="344" t="s">
        <v>12</v>
      </c>
      <c r="D112" s="346">
        <f>IFERROR(INDEX(RAW!$A:$A,MAX(2,F112)),"")</f>
        <v>46096.891539351847</v>
      </c>
      <c r="E112" s="347">
        <f>IFERROR(INDEX(RAW!$K:$K,MAX(2,F112)),"")</f>
        <v>260100</v>
      </c>
      <c r="F112" s="344">
        <v>604</v>
      </c>
      <c r="G112" s="335" t="s">
        <v>2476</v>
      </c>
      <c r="H112" s="335" t="s">
        <v>2477</v>
      </c>
      <c r="O112" s="333" t="str">
        <f t="shared" si="12"/>
        <v/>
      </c>
      <c r="R112" s="335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335">
        <f t="shared" si="13"/>
        <v>46082</v>
      </c>
      <c r="T112" s="348">
        <f t="shared" si="14"/>
        <v>0</v>
      </c>
      <c r="U112" s="348">
        <f t="shared" si="15"/>
        <v>0</v>
      </c>
      <c r="V112" s="348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348">
        <f>IF(V112&gt;0,ROUNDUP(INDEX(RAW!$K:$K,MAX(2,F112))/1000,0)*1000-ROUNDUP((INDEX(RAW!$K:$K,MAX(2,F112))-V112)/1000,0)*1000,0)</f>
        <v>0</v>
      </c>
      <c r="X112" s="335">
        <f t="shared" si="16"/>
        <v>0</v>
      </c>
      <c r="Y112" s="335">
        <f>IF(X112=1,COUNTIF($X$100:X112,1),0)</f>
        <v>0</v>
      </c>
      <c r="Z112" s="348">
        <f t="shared" si="17"/>
        <v>0</v>
      </c>
    </row>
    <row r="113" spans="1:26" ht="96" hidden="1" outlineLevel="1">
      <c r="A113" s="335" t="str">
        <f t="shared" si="18"/>
        <v>R608</v>
      </c>
      <c r="B113" s="335" t="str">
        <f>IFERROR(INDEX(RAW!$F:$F,MAX(2,F113)),"")</f>
        <v>쿠팡</v>
      </c>
      <c r="C113" s="344" t="s">
        <v>12</v>
      </c>
      <c r="D113" s="346">
        <f>IFERROR(INDEX(RAW!$A:$A,MAX(2,F113)),"")</f>
        <v>46096.893252314818</v>
      </c>
      <c r="E113" s="347">
        <f>IFERROR(INDEX(RAW!$K:$K,MAX(2,F113)),"")</f>
        <v>9110</v>
      </c>
      <c r="F113" s="344">
        <v>608</v>
      </c>
      <c r="G113" s="335" t="s">
        <v>2476</v>
      </c>
      <c r="H113" s="335" t="s">
        <v>2477</v>
      </c>
      <c r="O113" s="333" t="str">
        <f t="shared" si="12"/>
        <v/>
      </c>
      <c r="R113" s="335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335">
        <f t="shared" si="13"/>
        <v>46082</v>
      </c>
      <c r="T113" s="348">
        <f t="shared" si="14"/>
        <v>0</v>
      </c>
      <c r="U113" s="348">
        <f t="shared" si="15"/>
        <v>0</v>
      </c>
      <c r="V113" s="348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348">
        <f>IF(V113&gt;0,ROUNDUP(INDEX(RAW!$K:$K,MAX(2,F113))/1000,0)*1000-ROUNDUP((INDEX(RAW!$K:$K,MAX(2,F113))-V113)/1000,0)*1000,0)</f>
        <v>0</v>
      </c>
      <c r="X113" s="335">
        <f t="shared" si="16"/>
        <v>0</v>
      </c>
      <c r="Y113" s="335">
        <f>IF(X113=1,COUNTIF($X$100:X113,1),0)</f>
        <v>0</v>
      </c>
      <c r="Z113" s="348">
        <f t="shared" si="17"/>
        <v>0</v>
      </c>
    </row>
    <row r="114" spans="1:26" ht="96" hidden="1" outlineLevel="1">
      <c r="A114" s="335" t="str">
        <f t="shared" si="18"/>
        <v>R699</v>
      </c>
      <c r="B114" s="335" t="str">
        <f>IFERROR(INDEX(RAW!$F:$F,MAX(2,F114)),"")</f>
        <v>카카오 선물하기</v>
      </c>
      <c r="C114" s="344" t="s">
        <v>12</v>
      </c>
      <c r="D114" s="346">
        <f>IFERROR(INDEX(RAW!$A:$A,MAX(2,F114)),"")</f>
        <v>46107.774212962962</v>
      </c>
      <c r="E114" s="347">
        <f>IFERROR(INDEX(RAW!$K:$K,MAX(2,F114)),"")</f>
        <v>29900</v>
      </c>
      <c r="F114" s="344">
        <v>699</v>
      </c>
      <c r="G114" s="335" t="s">
        <v>2476</v>
      </c>
      <c r="H114" s="335" t="s">
        <v>2477</v>
      </c>
      <c r="O114" s="333" t="str">
        <f t="shared" si="12"/>
        <v/>
      </c>
      <c r="R114" s="335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335">
        <f t="shared" si="13"/>
        <v>46082</v>
      </c>
      <c r="T114" s="348">
        <f t="shared" si="14"/>
        <v>0</v>
      </c>
      <c r="U114" s="348">
        <f t="shared" si="15"/>
        <v>0</v>
      </c>
      <c r="V114" s="348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348">
        <f>IF(V114&gt;0,ROUNDUP(INDEX(RAW!$K:$K,MAX(2,F114))/1000,0)*1000-ROUNDUP((INDEX(RAW!$K:$K,MAX(2,F114))-V114)/1000,0)*1000,0)</f>
        <v>0</v>
      </c>
      <c r="X114" s="335">
        <f t="shared" si="16"/>
        <v>0</v>
      </c>
      <c r="Y114" s="335">
        <f>IF(X114=1,COUNTIF($X$100:X114,1),0)</f>
        <v>0</v>
      </c>
      <c r="Z114" s="348">
        <f t="shared" si="17"/>
        <v>0</v>
      </c>
    </row>
    <row r="115" spans="1:26" ht="96" hidden="1" outlineLevel="1">
      <c r="A115" s="335" t="str">
        <f t="shared" si="18"/>
        <v>R789</v>
      </c>
      <c r="B115" s="335" t="str">
        <f>IFERROR(INDEX(RAW!$F:$F,MAX(2,F115)),"")</f>
        <v>코레일</v>
      </c>
      <c r="C115" s="344" t="s">
        <v>12</v>
      </c>
      <c r="D115" s="346">
        <f>IFERROR(INDEX(RAW!$A:$A,MAX(2,F115)),"")</f>
        <v>46121.863888888889</v>
      </c>
      <c r="E115" s="347">
        <f>IFERROR(INDEX(RAW!$K:$K,MAX(2,F115)),"")</f>
        <v>43100</v>
      </c>
      <c r="F115" s="344">
        <v>789</v>
      </c>
      <c r="G115" s="335" t="s">
        <v>2476</v>
      </c>
      <c r="H115" s="335" t="s">
        <v>2477</v>
      </c>
      <c r="O115" s="333" t="str">
        <f t="shared" si="12"/>
        <v/>
      </c>
      <c r="R115" s="335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335">
        <f t="shared" si="13"/>
        <v>46113</v>
      </c>
      <c r="T115" s="348">
        <f t="shared" si="14"/>
        <v>0</v>
      </c>
      <c r="U115" s="348">
        <f t="shared" si="15"/>
        <v>0</v>
      </c>
      <c r="V115" s="348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348">
        <f>IF(V115&gt;0,ROUNDUP(INDEX(RAW!$K:$K,MAX(2,F115))/1000,0)*1000-ROUNDUP((INDEX(RAW!$K:$K,MAX(2,F115))-V115)/1000,0)*1000,0)</f>
        <v>0</v>
      </c>
      <c r="X115" s="335">
        <f t="shared" si="16"/>
        <v>0</v>
      </c>
      <c r="Y115" s="335">
        <f>IF(X115=1,COUNTIF($X$100:X115,1),0)</f>
        <v>0</v>
      </c>
      <c r="Z115" s="348">
        <f t="shared" si="17"/>
        <v>0</v>
      </c>
    </row>
    <row r="116" spans="1:26" ht="96" hidden="1" outlineLevel="1">
      <c r="A116" s="335" t="str">
        <f t="shared" si="18"/>
        <v>R790</v>
      </c>
      <c r="B116" s="335" t="str">
        <f>IFERROR(INDEX(RAW!$F:$F,MAX(2,F116)),"")</f>
        <v>코레일</v>
      </c>
      <c r="C116" s="344" t="s">
        <v>12</v>
      </c>
      <c r="D116" s="346">
        <f>IFERROR(INDEX(RAW!$A:$A,MAX(2,F116)),"")</f>
        <v>46121.864583333343</v>
      </c>
      <c r="E116" s="347">
        <f>IFERROR(INDEX(RAW!$K:$K,MAX(2,F116)),"")</f>
        <v>43500</v>
      </c>
      <c r="F116" s="344">
        <v>790</v>
      </c>
      <c r="G116" s="335" t="s">
        <v>2476</v>
      </c>
      <c r="H116" s="335" t="s">
        <v>2477</v>
      </c>
      <c r="O116" s="333" t="str">
        <f t="shared" si="12"/>
        <v/>
      </c>
      <c r="R116" s="335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335">
        <f t="shared" si="13"/>
        <v>46113</v>
      </c>
      <c r="T116" s="348">
        <f t="shared" si="14"/>
        <v>0</v>
      </c>
      <c r="U116" s="348">
        <f t="shared" si="15"/>
        <v>0</v>
      </c>
      <c r="V116" s="348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348">
        <f>IF(V116&gt;0,ROUNDUP(INDEX(RAW!$K:$K,MAX(2,F116))/1000,0)*1000-ROUNDUP((INDEX(RAW!$K:$K,MAX(2,F116))-V116)/1000,0)*1000,0)</f>
        <v>0</v>
      </c>
      <c r="X116" s="335">
        <f t="shared" si="16"/>
        <v>0</v>
      </c>
      <c r="Y116" s="335">
        <f>IF(X116=1,COUNTIF($X$100:X116,1),0)</f>
        <v>0</v>
      </c>
      <c r="Z116" s="348">
        <f t="shared" si="17"/>
        <v>0</v>
      </c>
    </row>
    <row r="117" spans="1:26" ht="96" hidden="1" outlineLevel="1">
      <c r="A117" s="335" t="str">
        <f t="shared" si="18"/>
        <v>R791</v>
      </c>
      <c r="B117" s="335" t="str">
        <f>IFERROR(INDEX(RAW!$F:$F,MAX(2,F117)),"")</f>
        <v>코레일</v>
      </c>
      <c r="C117" s="344" t="s">
        <v>12</v>
      </c>
      <c r="D117" s="346">
        <f>IFERROR(INDEX(RAW!$A:$A,MAX(2,F117)),"")</f>
        <v>46121.89166666667</v>
      </c>
      <c r="E117" s="347">
        <f>IFERROR(INDEX(RAW!$K:$K,MAX(2,F117)),"")</f>
        <v>40900</v>
      </c>
      <c r="F117" s="344">
        <v>791</v>
      </c>
      <c r="G117" s="335" t="s">
        <v>2476</v>
      </c>
      <c r="H117" s="335" t="s">
        <v>2477</v>
      </c>
      <c r="O117" s="333" t="str">
        <f t="shared" si="12"/>
        <v/>
      </c>
      <c r="R117" s="335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335">
        <f t="shared" si="13"/>
        <v>46113</v>
      </c>
      <c r="T117" s="348">
        <f t="shared" si="14"/>
        <v>0</v>
      </c>
      <c r="U117" s="348">
        <f t="shared" si="15"/>
        <v>0</v>
      </c>
      <c r="V117" s="348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348">
        <f>IF(V117&gt;0,ROUNDUP(INDEX(RAW!$K:$K,MAX(2,F117))/1000,0)*1000-ROUNDUP((INDEX(RAW!$K:$K,MAX(2,F117))-V117)/1000,0)*1000,0)</f>
        <v>0</v>
      </c>
      <c r="X117" s="335">
        <f t="shared" si="16"/>
        <v>0</v>
      </c>
      <c r="Y117" s="335">
        <f>IF(X117=1,COUNTIF($X$100:X117,1),0)</f>
        <v>0</v>
      </c>
      <c r="Z117" s="348">
        <f t="shared" si="17"/>
        <v>0</v>
      </c>
    </row>
    <row r="118" spans="1:26" ht="96" hidden="1" outlineLevel="1">
      <c r="A118" s="335" t="str">
        <f t="shared" si="18"/>
        <v>R835</v>
      </c>
      <c r="B118" s="335" t="str">
        <f>IFERROR(INDEX(RAW!$F:$F,MAX(2,F118)),"")</f>
        <v>코레일</v>
      </c>
      <c r="C118" s="344" t="s">
        <v>12</v>
      </c>
      <c r="D118" s="346">
        <f>IFERROR(INDEX(RAW!$A:$A,MAX(2,F118)),"")</f>
        <v>46128.857719907413</v>
      </c>
      <c r="E118" s="347">
        <f>IFERROR(INDEX(RAW!$K:$K,MAX(2,F118)),"")</f>
        <v>41300</v>
      </c>
      <c r="F118" s="344">
        <v>835</v>
      </c>
      <c r="G118" s="335" t="s">
        <v>2476</v>
      </c>
      <c r="H118" s="335" t="s">
        <v>2477</v>
      </c>
      <c r="O118" s="333" t="str">
        <f t="shared" si="12"/>
        <v/>
      </c>
      <c r="R118" s="335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335">
        <f t="shared" si="13"/>
        <v>46113</v>
      </c>
      <c r="T118" s="348">
        <f t="shared" si="14"/>
        <v>0</v>
      </c>
      <c r="U118" s="348">
        <f t="shared" si="15"/>
        <v>0</v>
      </c>
      <c r="V118" s="348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348">
        <f>IF(V118&gt;0,ROUNDUP(INDEX(RAW!$K:$K,MAX(2,F118))/1000,0)*1000-ROUNDUP((INDEX(RAW!$K:$K,MAX(2,F118))-V118)/1000,0)*1000,0)</f>
        <v>0</v>
      </c>
      <c r="X118" s="335">
        <f t="shared" si="16"/>
        <v>0</v>
      </c>
      <c r="Y118" s="335">
        <f>IF(X118=1,COUNTIF($X$100:X118,1),0)</f>
        <v>0</v>
      </c>
      <c r="Z118" s="348">
        <f t="shared" si="17"/>
        <v>0</v>
      </c>
    </row>
    <row r="119" spans="1:26" ht="96" hidden="1" outlineLevel="1">
      <c r="A119" s="335" t="str">
        <f t="shared" si="18"/>
        <v>R907</v>
      </c>
      <c r="B119" s="335" t="str">
        <f>IFERROR(INDEX(RAW!$F:$F,MAX(2,F119)),"")</f>
        <v>회성각</v>
      </c>
      <c r="C119" s="344" t="s">
        <v>12</v>
      </c>
      <c r="D119" s="346">
        <f>IFERROR(INDEX(RAW!$A:$A,MAX(2,F119)),"")</f>
        <v>46137.602777777778</v>
      </c>
      <c r="E119" s="347">
        <f>IFERROR(INDEX(RAW!$K:$K,MAX(2,F119)),"")</f>
        <v>64000</v>
      </c>
      <c r="F119" s="344">
        <v>907</v>
      </c>
      <c r="G119" s="335" t="s">
        <v>2476</v>
      </c>
      <c r="H119" s="335" t="s">
        <v>2477</v>
      </c>
      <c r="O119" s="333" t="str">
        <f t="shared" si="12"/>
        <v/>
      </c>
      <c r="R119" s="335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335">
        <f t="shared" si="13"/>
        <v>46113</v>
      </c>
      <c r="T119" s="348">
        <f t="shared" si="14"/>
        <v>0</v>
      </c>
      <c r="U119" s="348">
        <f t="shared" si="15"/>
        <v>0</v>
      </c>
      <c r="V119" s="348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348">
        <f>IF(V119&gt;0,ROUNDUP(INDEX(RAW!$K:$K,MAX(2,F119))/1000,0)*1000-ROUNDUP((INDEX(RAW!$K:$K,MAX(2,F119))-V119)/1000,0)*1000,0)</f>
        <v>0</v>
      </c>
      <c r="X119" s="335">
        <f t="shared" si="16"/>
        <v>0</v>
      </c>
      <c r="Y119" s="335">
        <f>IF(X119=1,COUNTIF($X$100:X119,1),0)</f>
        <v>0</v>
      </c>
      <c r="Z119" s="348">
        <f t="shared" si="17"/>
        <v>0</v>
      </c>
    </row>
    <row r="120" spans="1:26" ht="96" hidden="1" outlineLevel="1">
      <c r="A120" s="335" t="str">
        <f t="shared" si="18"/>
        <v>R908</v>
      </c>
      <c r="B120" s="335" t="str">
        <f>IFERROR(INDEX(RAW!$F:$F,MAX(2,F120)),"")</f>
        <v>수성못카페</v>
      </c>
      <c r="C120" s="344" t="s">
        <v>12</v>
      </c>
      <c r="D120" s="346">
        <f>IFERROR(INDEX(RAW!$A:$A,MAX(2,F120)),"")</f>
        <v>46137.603472222218</v>
      </c>
      <c r="E120" s="347">
        <f>IFERROR(INDEX(RAW!$K:$K,MAX(2,F120)),"")</f>
        <v>31000</v>
      </c>
      <c r="F120" s="344">
        <v>908</v>
      </c>
      <c r="G120" s="335" t="s">
        <v>2476</v>
      </c>
      <c r="H120" s="335" t="s">
        <v>2477</v>
      </c>
      <c r="O120" s="333" t="str">
        <f t="shared" si="12"/>
        <v/>
      </c>
      <c r="R120" s="335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335">
        <f t="shared" si="13"/>
        <v>46113</v>
      </c>
      <c r="T120" s="348">
        <f t="shared" si="14"/>
        <v>0</v>
      </c>
      <c r="U120" s="348">
        <f t="shared" si="15"/>
        <v>0</v>
      </c>
      <c r="V120" s="348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348">
        <f>IF(V120&gt;0,ROUNDUP(INDEX(RAW!$K:$K,MAX(2,F120))/1000,0)*1000-ROUNDUP((INDEX(RAW!$K:$K,MAX(2,F120))-V120)/1000,0)*1000,0)</f>
        <v>0</v>
      </c>
      <c r="X120" s="335">
        <f t="shared" si="16"/>
        <v>0</v>
      </c>
      <c r="Y120" s="335">
        <f>IF(X120=1,COUNTIF($X$100:X120,1),0)</f>
        <v>0</v>
      </c>
      <c r="Z120" s="348">
        <f t="shared" si="17"/>
        <v>0</v>
      </c>
    </row>
    <row r="121" spans="1:26" ht="96" hidden="1" outlineLevel="1">
      <c r="A121" s="335" t="str">
        <f t="shared" si="18"/>
        <v>R909</v>
      </c>
      <c r="B121" s="335" t="str">
        <f>IFERROR(INDEX(RAW!$F:$F,MAX(2,F121)),"")</f>
        <v>브라운도트호텔</v>
      </c>
      <c r="C121" s="344" t="s">
        <v>12</v>
      </c>
      <c r="D121" s="346">
        <f>IFERROR(INDEX(RAW!$A:$A,MAX(2,F121)),"")</f>
        <v>46137.604166666657</v>
      </c>
      <c r="E121" s="347">
        <f>IFERROR(INDEX(RAW!$K:$K,MAX(2,F121)),"")</f>
        <v>20000</v>
      </c>
      <c r="F121" s="344">
        <v>909</v>
      </c>
      <c r="G121" s="335" t="s">
        <v>2476</v>
      </c>
      <c r="H121" s="335" t="s">
        <v>2477</v>
      </c>
      <c r="O121" s="333" t="str">
        <f t="shared" si="12"/>
        <v/>
      </c>
      <c r="R121" s="335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335">
        <f t="shared" si="13"/>
        <v>46113</v>
      </c>
      <c r="T121" s="348">
        <f t="shared" si="14"/>
        <v>0</v>
      </c>
      <c r="U121" s="348">
        <f t="shared" si="15"/>
        <v>0</v>
      </c>
      <c r="V121" s="348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348">
        <f>IF(V121&gt;0,ROUNDUP(INDEX(RAW!$K:$K,MAX(2,F121))/1000,0)*1000-ROUNDUP((INDEX(RAW!$K:$K,MAX(2,F121))-V121)/1000,0)*1000,0)</f>
        <v>0</v>
      </c>
      <c r="X121" s="335">
        <f t="shared" si="16"/>
        <v>0</v>
      </c>
      <c r="Y121" s="335">
        <f>IF(X121=1,COUNTIF($X$100:X121,1),0)</f>
        <v>0</v>
      </c>
      <c r="Z121" s="348">
        <f t="shared" si="17"/>
        <v>0</v>
      </c>
    </row>
    <row r="122" spans="1:26" ht="96" hidden="1" outlineLevel="1">
      <c r="A122" s="335" t="str">
        <f t="shared" si="18"/>
        <v>R910</v>
      </c>
      <c r="B122" s="335" t="str">
        <f>IFERROR(INDEX(RAW!$F:$F,MAX(2,F122)),"")</f>
        <v>배스킨라빈스</v>
      </c>
      <c r="C122" s="344" t="s">
        <v>12</v>
      </c>
      <c r="D122" s="346">
        <f>IFERROR(INDEX(RAW!$A:$A,MAX(2,F122)),"")</f>
        <v>46137.604861111111</v>
      </c>
      <c r="E122" s="347">
        <f>IFERROR(INDEX(RAW!$K:$K,MAX(2,F122)),"")</f>
        <v>13800</v>
      </c>
      <c r="F122" s="344">
        <v>910</v>
      </c>
      <c r="G122" s="335" t="s">
        <v>2476</v>
      </c>
      <c r="H122" s="335" t="s">
        <v>2477</v>
      </c>
      <c r="O122" s="333" t="str">
        <f t="shared" si="12"/>
        <v/>
      </c>
      <c r="R122" s="335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335">
        <f t="shared" si="13"/>
        <v>46113</v>
      </c>
      <c r="T122" s="348">
        <f t="shared" si="14"/>
        <v>0</v>
      </c>
      <c r="U122" s="348">
        <f t="shared" si="15"/>
        <v>0</v>
      </c>
      <c r="V122" s="348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348">
        <f>IF(V122&gt;0,ROUNDUP(INDEX(RAW!$K:$K,MAX(2,F122))/1000,0)*1000-ROUNDUP((INDEX(RAW!$K:$K,MAX(2,F122))-V122)/1000,0)*1000,0)</f>
        <v>0</v>
      </c>
      <c r="X122" s="335">
        <f t="shared" si="16"/>
        <v>0</v>
      </c>
      <c r="Y122" s="335">
        <f>IF(X122=1,COUNTIF($X$100:X122,1),0)</f>
        <v>0</v>
      </c>
      <c r="Z122" s="348">
        <f t="shared" si="17"/>
        <v>0</v>
      </c>
    </row>
    <row r="123" spans="1:26" ht="96" hidden="1" outlineLevel="1">
      <c r="A123" s="335" t="str">
        <f t="shared" si="18"/>
        <v>R911</v>
      </c>
      <c r="B123" s="335" t="str">
        <f>IFERROR(INDEX(RAW!$F:$F,MAX(2,F123)),"")</f>
        <v>진미막창</v>
      </c>
      <c r="C123" s="344" t="s">
        <v>12</v>
      </c>
      <c r="D123" s="346">
        <f>IFERROR(INDEX(RAW!$A:$A,MAX(2,F123)),"")</f>
        <v>46137.604861111111</v>
      </c>
      <c r="E123" s="347">
        <f>IFERROR(INDEX(RAW!$K:$K,MAX(2,F123)),"")</f>
        <v>126000</v>
      </c>
      <c r="F123" s="344">
        <v>911</v>
      </c>
      <c r="G123" s="335" t="s">
        <v>2476</v>
      </c>
      <c r="H123" s="335" t="s">
        <v>2477</v>
      </c>
      <c r="O123" s="333" t="str">
        <f t="shared" si="12"/>
        <v/>
      </c>
      <c r="R123" s="335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335">
        <f t="shared" si="13"/>
        <v>46113</v>
      </c>
      <c r="T123" s="348">
        <f t="shared" si="14"/>
        <v>0</v>
      </c>
      <c r="U123" s="348">
        <f t="shared" si="15"/>
        <v>0</v>
      </c>
      <c r="V123" s="348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348">
        <f>IF(V123&gt;0,ROUNDUP(INDEX(RAW!$K:$K,MAX(2,F123))/1000,0)*1000-ROUNDUP((INDEX(RAW!$K:$K,MAX(2,F123))-V123)/1000,0)*1000,0)</f>
        <v>0</v>
      </c>
      <c r="X123" s="335">
        <f t="shared" si="16"/>
        <v>0</v>
      </c>
      <c r="Y123" s="335">
        <f>IF(X123=1,COUNTIF($X$100:X123,1),0)</f>
        <v>0</v>
      </c>
      <c r="Z123" s="348">
        <f t="shared" si="17"/>
        <v>0</v>
      </c>
    </row>
    <row r="124" spans="1:26" ht="96" hidden="1" outlineLevel="1">
      <c r="A124" s="335" t="str">
        <f t="shared" si="18"/>
        <v>R912</v>
      </c>
      <c r="B124" s="335" t="str">
        <f>IFERROR(INDEX(RAW!$F:$F,MAX(2,F124)),"")</f>
        <v>CU</v>
      </c>
      <c r="C124" s="344" t="s">
        <v>12</v>
      </c>
      <c r="D124" s="346">
        <f>IFERROR(INDEX(RAW!$A:$A,MAX(2,F124)),"")</f>
        <v>46137.606249999997</v>
      </c>
      <c r="E124" s="347">
        <f>IFERROR(INDEX(RAW!$K:$K,MAX(2,F124)),"")</f>
        <v>43000</v>
      </c>
      <c r="F124" s="344">
        <v>912</v>
      </c>
      <c r="G124" s="335" t="s">
        <v>2476</v>
      </c>
      <c r="H124" s="335" t="s">
        <v>2477</v>
      </c>
      <c r="O124" s="333" t="str">
        <f t="shared" si="12"/>
        <v/>
      </c>
      <c r="R124" s="335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335">
        <f t="shared" si="13"/>
        <v>46113</v>
      </c>
      <c r="T124" s="348">
        <f t="shared" si="14"/>
        <v>0</v>
      </c>
      <c r="U124" s="348">
        <f t="shared" si="15"/>
        <v>0</v>
      </c>
      <c r="V124" s="348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348">
        <f>IF(V124&gt;0,ROUNDUP(INDEX(RAW!$K:$K,MAX(2,F124))/1000,0)*1000-ROUNDUP((INDEX(RAW!$K:$K,MAX(2,F124))-V124)/1000,0)*1000,0)</f>
        <v>0</v>
      </c>
      <c r="X124" s="335">
        <f t="shared" si="16"/>
        <v>0</v>
      </c>
      <c r="Y124" s="335">
        <f>IF(X124=1,COUNTIF($X$100:X124,1),0)</f>
        <v>0</v>
      </c>
      <c r="Z124" s="348">
        <f t="shared" si="17"/>
        <v>0</v>
      </c>
    </row>
    <row r="125" spans="1:26" ht="96" hidden="1" outlineLevel="1">
      <c r="A125" s="335" t="str">
        <f t="shared" si="18"/>
        <v>R913</v>
      </c>
      <c r="B125" s="335" t="str">
        <f>IFERROR(INDEX(RAW!$F:$F,MAX(2,F125)),"")</f>
        <v>배달의민족</v>
      </c>
      <c r="C125" s="344" t="s">
        <v>12</v>
      </c>
      <c r="D125" s="346">
        <f>IFERROR(INDEX(RAW!$A:$A,MAX(2,F125)),"")</f>
        <v>46137.606944444437</v>
      </c>
      <c r="E125" s="347">
        <f>IFERROR(INDEX(RAW!$K:$K,MAX(2,F125)),"")</f>
        <v>28500</v>
      </c>
      <c r="F125" s="344">
        <v>913</v>
      </c>
      <c r="G125" s="335" t="s">
        <v>2476</v>
      </c>
      <c r="H125" s="335" t="s">
        <v>2477</v>
      </c>
      <c r="O125" s="333" t="str">
        <f t="shared" si="12"/>
        <v/>
      </c>
      <c r="R125" s="335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335">
        <f t="shared" si="13"/>
        <v>46113</v>
      </c>
      <c r="T125" s="348">
        <f t="shared" si="14"/>
        <v>0</v>
      </c>
      <c r="U125" s="348">
        <f t="shared" si="15"/>
        <v>0</v>
      </c>
      <c r="V125" s="348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348">
        <f>IF(V125&gt;0,ROUNDUP(INDEX(RAW!$K:$K,MAX(2,F125))/1000,0)*1000-ROUNDUP((INDEX(RAW!$K:$K,MAX(2,F125))-V125)/1000,0)*1000,0)</f>
        <v>0</v>
      </c>
      <c r="X125" s="335">
        <f t="shared" si="16"/>
        <v>0</v>
      </c>
      <c r="Y125" s="335">
        <f>IF(X125=1,COUNTIF($X$100:X125,1),0)</f>
        <v>0</v>
      </c>
      <c r="Z125" s="348">
        <f t="shared" si="17"/>
        <v>0</v>
      </c>
    </row>
    <row r="126" spans="1:26" ht="96" hidden="1" outlineLevel="1">
      <c r="A126" s="335" t="str">
        <f t="shared" si="18"/>
        <v>R919</v>
      </c>
      <c r="B126" s="335" t="str">
        <f>IFERROR(INDEX(RAW!$F:$F,MAX(2,F126)),"")</f>
        <v>근본국밥</v>
      </c>
      <c r="C126" s="344" t="s">
        <v>12</v>
      </c>
      <c r="D126" s="346">
        <f>IFERROR(INDEX(RAW!$A:$A,MAX(2,F126)),"")</f>
        <v>46138.669444444437</v>
      </c>
      <c r="E126" s="347">
        <f>IFERROR(INDEX(RAW!$K:$K,MAX(2,F126)),"")</f>
        <v>55000</v>
      </c>
      <c r="F126" s="344">
        <v>919</v>
      </c>
      <c r="G126" s="335" t="s">
        <v>2476</v>
      </c>
      <c r="H126" s="335" t="s">
        <v>2477</v>
      </c>
      <c r="O126" s="333" t="str">
        <f t="shared" si="12"/>
        <v/>
      </c>
      <c r="R126" s="335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335">
        <f t="shared" si="13"/>
        <v>46113</v>
      </c>
      <c r="T126" s="348">
        <f t="shared" si="14"/>
        <v>0</v>
      </c>
      <c r="U126" s="348">
        <f t="shared" si="15"/>
        <v>0</v>
      </c>
      <c r="V126" s="348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348">
        <f>IF(V126&gt;0,ROUNDUP(INDEX(RAW!$K:$K,MAX(2,F126))/1000,0)*1000-ROUNDUP((INDEX(RAW!$K:$K,MAX(2,F126))-V126)/1000,0)*1000,0)</f>
        <v>0</v>
      </c>
      <c r="X126" s="335">
        <f t="shared" si="16"/>
        <v>0</v>
      </c>
      <c r="Y126" s="335">
        <f>IF(X126=1,COUNTIF($X$100:X126,1),0)</f>
        <v>0</v>
      </c>
      <c r="Z126" s="348">
        <f t="shared" si="17"/>
        <v>0</v>
      </c>
    </row>
    <row r="127" spans="1:26" ht="96" hidden="1" outlineLevel="1">
      <c r="A127" s="335" t="str">
        <f t="shared" si="18"/>
        <v>R921</v>
      </c>
      <c r="B127" s="335" t="str">
        <f>IFERROR(INDEX(RAW!$F:$F,MAX(2,F127)),"")</f>
        <v>투썸플레이스</v>
      </c>
      <c r="C127" s="344" t="s">
        <v>12</v>
      </c>
      <c r="D127" s="346">
        <f>IFERROR(INDEX(RAW!$A:$A,MAX(2,F127)),"")</f>
        <v>46138.67291666667</v>
      </c>
      <c r="E127" s="347">
        <f>IFERROR(INDEX(RAW!$K:$K,MAX(2,F127)),"")</f>
        <v>17150</v>
      </c>
      <c r="F127" s="344">
        <v>921</v>
      </c>
      <c r="G127" s="335" t="s">
        <v>2476</v>
      </c>
      <c r="H127" s="335" t="s">
        <v>2477</v>
      </c>
      <c r="O127" s="333" t="str">
        <f t="shared" si="12"/>
        <v/>
      </c>
      <c r="R127" s="335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335">
        <f t="shared" si="13"/>
        <v>46113</v>
      </c>
      <c r="T127" s="348">
        <f t="shared" si="14"/>
        <v>0</v>
      </c>
      <c r="U127" s="348">
        <f t="shared" si="15"/>
        <v>0</v>
      </c>
      <c r="V127" s="348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348">
        <f>IF(V127&gt;0,ROUNDUP(INDEX(RAW!$K:$K,MAX(2,F127))/1000,0)*1000-ROUNDUP((INDEX(RAW!$K:$K,MAX(2,F127))-V127)/1000,0)*1000,0)</f>
        <v>0</v>
      </c>
      <c r="X127" s="335">
        <f t="shared" si="16"/>
        <v>0</v>
      </c>
      <c r="Y127" s="335">
        <f>IF(X127=1,COUNTIF($X$100:X127,1),0)</f>
        <v>0</v>
      </c>
      <c r="Z127" s="348">
        <f t="shared" si="17"/>
        <v>0</v>
      </c>
    </row>
    <row r="128" spans="1:26" ht="96" hidden="1" outlineLevel="1">
      <c r="A128" s="335" t="str">
        <f t="shared" si="18"/>
        <v>R960</v>
      </c>
      <c r="B128" s="335" t="str">
        <f>IFERROR(INDEX(RAW!$F:$F,MAX(2,F128)),"")</f>
        <v>네이버플러스 스토어</v>
      </c>
      <c r="C128" s="344" t="s">
        <v>12</v>
      </c>
      <c r="D128" s="346">
        <f>IFERROR(INDEX(RAW!$A:$A,MAX(2,F128)),"")</f>
        <v>46144.555694444447</v>
      </c>
      <c r="E128" s="347">
        <f>IFERROR(INDEX(RAW!$K:$K,MAX(2,F128)),"")</f>
        <v>99000</v>
      </c>
      <c r="F128" s="344">
        <v>960</v>
      </c>
      <c r="G128" s="335" t="s">
        <v>2476</v>
      </c>
      <c r="H128" s="335" t="s">
        <v>2477</v>
      </c>
      <c r="O128" s="333" t="str">
        <f t="shared" si="12"/>
        <v/>
      </c>
      <c r="R128" s="335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335">
        <f t="shared" si="13"/>
        <v>46143</v>
      </c>
      <c r="T128" s="348">
        <f t="shared" si="14"/>
        <v>0</v>
      </c>
      <c r="U128" s="348">
        <f t="shared" si="15"/>
        <v>0</v>
      </c>
      <c r="V128" s="348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348">
        <f>IF(V128&gt;0,ROUNDUP(INDEX(RAW!$K:$K,MAX(2,F128))/1000,0)*1000-ROUNDUP((INDEX(RAW!$K:$K,MAX(2,F128))-V128)/1000,0)*1000,0)</f>
        <v>0</v>
      </c>
      <c r="X128" s="335">
        <f t="shared" si="16"/>
        <v>0</v>
      </c>
      <c r="Y128" s="335">
        <f>IF(X128=1,COUNTIF($X$100:X128,1),0)</f>
        <v>0</v>
      </c>
      <c r="Z128" s="348">
        <f t="shared" si="17"/>
        <v>0</v>
      </c>
    </row>
    <row r="129" spans="1:26" ht="96" hidden="1" outlineLevel="1">
      <c r="A129" s="335" t="str">
        <f t="shared" si="18"/>
        <v>R991</v>
      </c>
      <c r="B129" s="335" t="str">
        <f>IFERROR(INDEX(RAW!$F:$F,MAX(2,F129)),"")</f>
        <v>카카오 선물하기</v>
      </c>
      <c r="C129" s="344" t="s">
        <v>12</v>
      </c>
      <c r="D129" s="346">
        <f>IFERROR(INDEX(RAW!$A:$A,MAX(2,F129)),"")</f>
        <v>46149.911168981482</v>
      </c>
      <c r="E129" s="347">
        <f>IFERROR(INDEX(RAW!$K:$K,MAX(2,F129)),"")</f>
        <v>49900</v>
      </c>
      <c r="F129" s="344">
        <v>991</v>
      </c>
      <c r="G129" s="335" t="s">
        <v>2476</v>
      </c>
      <c r="H129" s="335" t="s">
        <v>2477</v>
      </c>
      <c r="O129" s="333" t="str">
        <f t="shared" si="12"/>
        <v/>
      </c>
      <c r="R129" s="335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335">
        <f t="shared" si="13"/>
        <v>46143</v>
      </c>
      <c r="T129" s="348">
        <f t="shared" si="14"/>
        <v>0</v>
      </c>
      <c r="U129" s="348">
        <f t="shared" si="15"/>
        <v>0</v>
      </c>
      <c r="V129" s="348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348">
        <f>IF(V129&gt;0,ROUNDUP(INDEX(RAW!$K:$K,MAX(2,F129))/1000,0)*1000-ROUNDUP((INDEX(RAW!$K:$K,MAX(2,F129))-V129)/1000,0)*1000,0)</f>
        <v>0</v>
      </c>
      <c r="X129" s="335">
        <f t="shared" si="16"/>
        <v>0</v>
      </c>
      <c r="Y129" s="335">
        <f>IF(X129=1,COUNTIF($X$100:X129,1),0)</f>
        <v>0</v>
      </c>
      <c r="Z129" s="348">
        <f t="shared" si="17"/>
        <v>0</v>
      </c>
    </row>
    <row r="130" spans="1:26" ht="96" hidden="1" outlineLevel="1">
      <c r="A130" s="335" t="str">
        <f t="shared" si="18"/>
        <v>R1070</v>
      </c>
      <c r="B130" s="335" t="str">
        <f>IFERROR(INDEX(RAW!$F:$F,MAX(2,F130)),"")</f>
        <v>카카오톡 이모티콘</v>
      </c>
      <c r="C130" s="344" t="s">
        <v>12</v>
      </c>
      <c r="D130" s="346">
        <f>IFERROR(INDEX(RAW!$A:$A,MAX(2,F130)),"")</f>
        <v>46163.898796296293</v>
      </c>
      <c r="E130" s="347">
        <f>IFERROR(INDEX(RAW!$K:$K,MAX(2,F130)),"")</f>
        <v>2000</v>
      </c>
      <c r="F130" s="344">
        <v>1070</v>
      </c>
      <c r="G130" s="335" t="s">
        <v>2476</v>
      </c>
      <c r="H130" s="335" t="s">
        <v>2477</v>
      </c>
      <c r="O130" s="333" t="str">
        <f t="shared" si="12"/>
        <v/>
      </c>
      <c r="R130" s="335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335">
        <f t="shared" si="13"/>
        <v>46143</v>
      </c>
      <c r="T130" s="348">
        <f t="shared" si="14"/>
        <v>0</v>
      </c>
      <c r="U130" s="348">
        <f t="shared" si="15"/>
        <v>0</v>
      </c>
      <c r="V130" s="348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348">
        <f>IF(V130&gt;0,ROUNDUP(INDEX(RAW!$K:$K,MAX(2,F130))/1000,0)*1000-ROUNDUP((INDEX(RAW!$K:$K,MAX(2,F130))-V130)/1000,0)*1000,0)</f>
        <v>0</v>
      </c>
      <c r="X130" s="335">
        <f t="shared" si="16"/>
        <v>0</v>
      </c>
      <c r="Y130" s="335">
        <f>IF(X130=1,COUNTIF($X$100:X130,1),0)</f>
        <v>0</v>
      </c>
      <c r="Z130" s="348">
        <f t="shared" si="17"/>
        <v>0</v>
      </c>
    </row>
    <row r="131" spans="1:26" ht="96" hidden="1" outlineLevel="1">
      <c r="A131" s="335" t="str">
        <f t="shared" si="18"/>
        <v>R1072</v>
      </c>
      <c r="B131" s="335" t="str">
        <f>IFERROR(INDEX(RAW!$F:$F,MAX(2,F131)),"")</f>
        <v>카카오 선물하기</v>
      </c>
      <c r="C131" s="344" t="s">
        <v>12</v>
      </c>
      <c r="D131" s="346">
        <f>IFERROR(INDEX(RAW!$A:$A,MAX(2,F131)),"")</f>
        <v>46164.693055555559</v>
      </c>
      <c r="E131" s="347">
        <f>IFERROR(INDEX(RAW!$K:$K,MAX(2,F131)),"")</f>
        <v>30000</v>
      </c>
      <c r="F131" s="344">
        <v>1072</v>
      </c>
      <c r="G131" s="335" t="s">
        <v>2476</v>
      </c>
      <c r="H131" s="335" t="s">
        <v>2477</v>
      </c>
      <c r="O131" s="333" t="str">
        <f t="shared" si="12"/>
        <v/>
      </c>
      <c r="R131" s="335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335">
        <f t="shared" si="13"/>
        <v>46143</v>
      </c>
      <c r="T131" s="348">
        <f t="shared" si="14"/>
        <v>0</v>
      </c>
      <c r="U131" s="348">
        <f t="shared" si="15"/>
        <v>0</v>
      </c>
      <c r="V131" s="348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348">
        <f>IF(V131&gt;0,ROUNDUP(INDEX(RAW!$K:$K,MAX(2,F131))/1000,0)*1000-ROUNDUP((INDEX(RAW!$K:$K,MAX(2,F131))-V131)/1000,0)*1000,0)</f>
        <v>0</v>
      </c>
      <c r="X131" s="335">
        <f t="shared" si="16"/>
        <v>0</v>
      </c>
      <c r="Y131" s="335">
        <f>IF(X131=1,COUNTIF($X$100:X131,1),0)</f>
        <v>0</v>
      </c>
      <c r="Z131" s="348">
        <f t="shared" si="17"/>
        <v>0</v>
      </c>
    </row>
    <row r="132" spans="1:26" ht="96" hidden="1" outlineLevel="1">
      <c r="A132" s="335" t="str">
        <f t="shared" si="18"/>
        <v>R1109</v>
      </c>
      <c r="B132" s="335" t="str">
        <f>IFERROR(INDEX(RAW!$F:$F,MAX(2,F132)),"")</f>
        <v>교보문고</v>
      </c>
      <c r="C132" s="344" t="s">
        <v>12</v>
      </c>
      <c r="D132" s="346">
        <f>IFERROR(INDEX(RAW!$A:$A,MAX(2,F132)),"")</f>
        <v>46167.878472222219</v>
      </c>
      <c r="E132" s="347">
        <f>IFERROR(INDEX(RAW!$K:$K,MAX(2,F132)),"")</f>
        <v>4960</v>
      </c>
      <c r="F132" s="344">
        <v>1109</v>
      </c>
      <c r="G132" s="335" t="s">
        <v>2476</v>
      </c>
      <c r="H132" s="335" t="s">
        <v>2477</v>
      </c>
      <c r="O132" s="333" t="str">
        <f t="shared" si="12"/>
        <v/>
      </c>
      <c r="R132" s="335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335">
        <f t="shared" si="13"/>
        <v>46143</v>
      </c>
      <c r="T132" s="348">
        <f t="shared" si="14"/>
        <v>0</v>
      </c>
      <c r="U132" s="348">
        <f t="shared" si="15"/>
        <v>0</v>
      </c>
      <c r="V132" s="348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348">
        <f>IF(V132&gt;0,ROUNDUP(INDEX(RAW!$K:$K,MAX(2,F132))/1000,0)*1000-ROUNDUP((INDEX(RAW!$K:$K,MAX(2,F132))-V132)/1000,0)*1000,0)</f>
        <v>0</v>
      </c>
      <c r="X132" s="335">
        <f t="shared" si="16"/>
        <v>0</v>
      </c>
      <c r="Y132" s="335">
        <f>IF(X132=1,COUNTIF($X$100:X132,1),0)</f>
        <v>0</v>
      </c>
      <c r="Z132" s="348">
        <f t="shared" si="17"/>
        <v>0</v>
      </c>
    </row>
    <row r="133" spans="1:26" ht="96" hidden="1" outlineLevel="1">
      <c r="A133" s="335" t="str">
        <f t="shared" si="18"/>
        <v>R1123</v>
      </c>
      <c r="B133" s="335" t="str">
        <f>IFERROR(INDEX(RAW!$F:$F,MAX(2,F133)),"")</f>
        <v>바나프레소</v>
      </c>
      <c r="C133" s="344" t="s">
        <v>12</v>
      </c>
      <c r="D133" s="346">
        <f>IFERROR(INDEX(RAW!$A:$A,MAX(2,F133)),"")</f>
        <v>46168.881249999999</v>
      </c>
      <c r="E133" s="347">
        <f>IFERROR(INDEX(RAW!$K:$K,MAX(2,F133)),"")</f>
        <v>30000</v>
      </c>
      <c r="F133" s="344">
        <v>1123</v>
      </c>
      <c r="G133" s="335" t="s">
        <v>2476</v>
      </c>
      <c r="H133" s="335" t="s">
        <v>2477</v>
      </c>
      <c r="O133" s="333" t="str">
        <f t="shared" si="12"/>
        <v/>
      </c>
      <c r="R133" s="335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335">
        <f t="shared" si="13"/>
        <v>46143</v>
      </c>
      <c r="T133" s="348">
        <f t="shared" si="14"/>
        <v>0</v>
      </c>
      <c r="U133" s="348">
        <f t="shared" si="15"/>
        <v>0</v>
      </c>
      <c r="V133" s="348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348">
        <f>IF(V133&gt;0,ROUNDUP(INDEX(RAW!$K:$K,MAX(2,F133))/1000,0)*1000-ROUNDUP((INDEX(RAW!$K:$K,MAX(2,F133))-V133)/1000,0)*1000,0)</f>
        <v>0</v>
      </c>
      <c r="X133" s="335">
        <f t="shared" si="16"/>
        <v>0</v>
      </c>
      <c r="Y133" s="335">
        <f>IF(X133=1,COUNTIF($X$100:X133,1),0)</f>
        <v>0</v>
      </c>
      <c r="Z133" s="348">
        <f t="shared" si="17"/>
        <v>0</v>
      </c>
    </row>
    <row r="134" spans="1:26" ht="96" hidden="1" outlineLevel="1">
      <c r="A134" s="335" t="str">
        <f t="shared" si="18"/>
        <v>R1210</v>
      </c>
      <c r="B134" s="335" t="str">
        <f>IFERROR(INDEX(RAW!$F:$F,MAX(2,F134)),"")</f>
        <v>오늘의집</v>
      </c>
      <c r="C134" s="344" t="s">
        <v>12</v>
      </c>
      <c r="D134" s="346">
        <f>IFERROR(INDEX(RAW!$A:$A,MAX(2,F134)),"")</f>
        <v>46182.419641203713</v>
      </c>
      <c r="E134" s="347">
        <f>IFERROR(INDEX(RAW!$K:$K,MAX(2,F134)),"")</f>
        <v>34810</v>
      </c>
      <c r="F134" s="344">
        <v>1210</v>
      </c>
      <c r="G134" s="335" t="s">
        <v>2476</v>
      </c>
      <c r="H134" s="335" t="s">
        <v>2477</v>
      </c>
      <c r="O134" s="333" t="str">
        <f t="shared" si="12"/>
        <v/>
      </c>
      <c r="R134" s="335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335">
        <f t="shared" si="13"/>
        <v>46174</v>
      </c>
      <c r="T134" s="348">
        <f t="shared" si="14"/>
        <v>0</v>
      </c>
      <c r="U134" s="348">
        <f t="shared" si="15"/>
        <v>0</v>
      </c>
      <c r="V134" s="348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348">
        <f>IF(V134&gt;0,ROUNDUP(INDEX(RAW!$K:$K,MAX(2,F134))/1000,0)*1000-ROUNDUP((INDEX(RAW!$K:$K,MAX(2,F134))-V134)/1000,0)*1000,0)</f>
        <v>0</v>
      </c>
      <c r="X134" s="335">
        <f t="shared" si="16"/>
        <v>0</v>
      </c>
      <c r="Y134" s="335">
        <f>IF(X134=1,COUNTIF($X$100:X134,1),0)</f>
        <v>0</v>
      </c>
      <c r="Z134" s="348">
        <f t="shared" si="17"/>
        <v>0</v>
      </c>
    </row>
    <row r="135" spans="1:26" ht="96" hidden="1" outlineLevel="1">
      <c r="A135" s="335" t="str">
        <f t="shared" si="18"/>
        <v>R1312</v>
      </c>
      <c r="B135" s="335" t="str">
        <f>IFERROR(INDEX(RAW!$F:$F,MAX(2,F135)),"")</f>
        <v>네이버플러스 스토어</v>
      </c>
      <c r="C135" s="344" t="s">
        <v>12</v>
      </c>
      <c r="D135" s="346">
        <f>IFERROR(INDEX(RAW!$A:$A,MAX(2,F135)),"")</f>
        <v>46194.272118055553</v>
      </c>
      <c r="E135" s="347">
        <f>IFERROR(INDEX(RAW!$K:$K,MAX(2,F135)),"")</f>
        <v>10109</v>
      </c>
      <c r="F135" s="344">
        <v>1312</v>
      </c>
      <c r="G135" s="335" t="s">
        <v>2476</v>
      </c>
      <c r="H135" s="335" t="s">
        <v>2477</v>
      </c>
      <c r="O135" s="333" t="str">
        <f t="shared" si="12"/>
        <v/>
      </c>
      <c r="R135" s="335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335">
        <f t="shared" si="13"/>
        <v>46174</v>
      </c>
      <c r="T135" s="348">
        <f t="shared" si="14"/>
        <v>0</v>
      </c>
      <c r="U135" s="348">
        <f t="shared" si="15"/>
        <v>0</v>
      </c>
      <c r="V135" s="348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348">
        <f>IF(V135&gt;0,ROUNDUP(INDEX(RAW!$K:$K,MAX(2,F135))/1000,0)*1000-ROUNDUP((INDEX(RAW!$K:$K,MAX(2,F135))-V135)/1000,0)*1000,0)</f>
        <v>0</v>
      </c>
      <c r="X135" s="335">
        <f t="shared" si="16"/>
        <v>0</v>
      </c>
      <c r="Y135" s="335">
        <f>IF(X135=1,COUNTIF($X$100:X135,1),0)</f>
        <v>0</v>
      </c>
      <c r="Z135" s="348">
        <f t="shared" si="17"/>
        <v>0</v>
      </c>
    </row>
    <row r="136" spans="1:26" ht="96" hidden="1" outlineLevel="1">
      <c r="A136" s="335" t="str">
        <f t="shared" si="18"/>
        <v>R1414</v>
      </c>
      <c r="B136" s="335" t="str">
        <f>IFERROR(INDEX(RAW!$F:$F,MAX(2,F136)),"")</f>
        <v>카카오 선물하기</v>
      </c>
      <c r="C136" s="344" t="s">
        <v>12</v>
      </c>
      <c r="D136" s="346">
        <f>IFERROR(INDEX(RAW!$A:$A,MAX(2,F136)),"")</f>
        <v>46203.547222222223</v>
      </c>
      <c r="E136" s="347">
        <f>IFERROR(INDEX(RAW!$K:$K,MAX(2,F136)),"")</f>
        <v>50000</v>
      </c>
      <c r="F136" s="344">
        <v>1414</v>
      </c>
      <c r="G136" s="335" t="s">
        <v>2476</v>
      </c>
      <c r="H136" s="335" t="s">
        <v>2477</v>
      </c>
      <c r="O136" s="333" t="str">
        <f t="shared" si="12"/>
        <v/>
      </c>
      <c r="R136" s="335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335">
        <f t="shared" si="13"/>
        <v>46174</v>
      </c>
      <c r="T136" s="348">
        <f t="shared" si="14"/>
        <v>0</v>
      </c>
      <c r="U136" s="348">
        <f t="shared" si="15"/>
        <v>0</v>
      </c>
      <c r="V136" s="348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348">
        <f>IF(V136&gt;0,ROUNDUP(INDEX(RAW!$K:$K,MAX(2,F136))/1000,0)*1000-ROUNDUP((INDEX(RAW!$K:$K,MAX(2,F136))-V136)/1000,0)*1000,0)</f>
        <v>0</v>
      </c>
      <c r="X136" s="335">
        <f t="shared" si="16"/>
        <v>0</v>
      </c>
      <c r="Y136" s="335">
        <f>IF(X136=1,COUNTIF($X$100:X136,1),0)</f>
        <v>0</v>
      </c>
      <c r="Z136" s="348">
        <f t="shared" si="17"/>
        <v>0</v>
      </c>
    </row>
    <row r="137" spans="1:26" ht="96" hidden="1" outlineLevel="1">
      <c r="A137" s="335" t="str">
        <f t="shared" si="18"/>
        <v>R1448</v>
      </c>
      <c r="B137" s="335" t="str">
        <f>IFERROR(INDEX(RAW!$F:$F,MAX(2,F137)),"")</f>
        <v>파리바게트</v>
      </c>
      <c r="C137" s="344" t="s">
        <v>12</v>
      </c>
      <c r="D137" s="346">
        <f>IFERROR(INDEX(RAW!$A:$A,MAX(2,F137)),"")</f>
        <v>46206.6012962963</v>
      </c>
      <c r="E137" s="347">
        <f>IFERROR(INDEX(RAW!$K:$K,MAX(2,F137)),"")</f>
        <v>19800</v>
      </c>
      <c r="F137" s="344">
        <v>1448</v>
      </c>
      <c r="G137" s="335" t="s">
        <v>2476</v>
      </c>
      <c r="H137" s="335" t="s">
        <v>2477</v>
      </c>
      <c r="O137" s="333" t="str">
        <f t="shared" si="12"/>
        <v/>
      </c>
      <c r="R137" s="335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335">
        <f t="shared" si="13"/>
        <v>46204</v>
      </c>
      <c r="T137" s="348">
        <f t="shared" si="14"/>
        <v>0</v>
      </c>
      <c r="U137" s="348">
        <f t="shared" si="15"/>
        <v>0</v>
      </c>
      <c r="V137" s="348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348">
        <f>IF(V137&gt;0,ROUNDUP(INDEX(RAW!$K:$K,MAX(2,F137))/1000,0)*1000-ROUNDUP((INDEX(RAW!$K:$K,MAX(2,F137))-V137)/1000,0)*1000,0)</f>
        <v>0</v>
      </c>
      <c r="X137" s="335">
        <f t="shared" si="16"/>
        <v>0</v>
      </c>
      <c r="Y137" s="335">
        <f>IF(X137=1,COUNTIF($X$100:X137,1),0)</f>
        <v>0</v>
      </c>
      <c r="Z137" s="348">
        <f t="shared" si="17"/>
        <v>0</v>
      </c>
    </row>
    <row r="138" spans="1:26" ht="96" hidden="1" outlineLevel="1">
      <c r="A138" s="335" t="str">
        <f t="shared" si="18"/>
        <v>R1485</v>
      </c>
      <c r="B138" s="335" t="str">
        <f>IFERROR(INDEX(RAW!$F:$F,MAX(2,F138)),"")</f>
        <v>카카오 선물하기</v>
      </c>
      <c r="C138" s="344" t="s">
        <v>12</v>
      </c>
      <c r="D138" s="346">
        <f>IFERROR(INDEX(RAW!$A:$A,MAX(2,F138)),"")</f>
        <v>46210.90965277778</v>
      </c>
      <c r="E138" s="347">
        <f>IFERROR(INDEX(RAW!$K:$K,MAX(2,F138)),"")</f>
        <v>29400</v>
      </c>
      <c r="F138" s="344">
        <v>1485</v>
      </c>
      <c r="G138" s="335" t="s">
        <v>2476</v>
      </c>
      <c r="H138" s="335" t="s">
        <v>2477</v>
      </c>
      <c r="O138" s="333" t="str">
        <f t="shared" si="12"/>
        <v/>
      </c>
      <c r="R138" s="335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335">
        <f t="shared" si="13"/>
        <v>46204</v>
      </c>
      <c r="T138" s="348">
        <f t="shared" si="14"/>
        <v>0</v>
      </c>
      <c r="U138" s="348">
        <f t="shared" si="15"/>
        <v>0</v>
      </c>
      <c r="V138" s="348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348">
        <f>IF(V138&gt;0,ROUNDUP(INDEX(RAW!$K:$K,MAX(2,F138))/1000,0)*1000-ROUNDUP((INDEX(RAW!$K:$K,MAX(2,F138))-V138)/1000,0)*1000,0)</f>
        <v>0</v>
      </c>
      <c r="X138" s="335">
        <f t="shared" si="16"/>
        <v>0</v>
      </c>
      <c r="Y138" s="335">
        <f>IF(X138=1,COUNTIF($X$100:X138,1),0)</f>
        <v>0</v>
      </c>
      <c r="Z138" s="348">
        <f t="shared" si="17"/>
        <v>0</v>
      </c>
    </row>
    <row r="139" spans="1:26" ht="96" hidden="1" outlineLevel="1">
      <c r="A139" s="335" t="str">
        <f t="shared" si="18"/>
        <v>R1574</v>
      </c>
      <c r="B139" s="335" t="str">
        <f>IFERROR(INDEX(RAW!$F:$F,MAX(2,F139)),"")</f>
        <v>네이버플레이스</v>
      </c>
      <c r="C139" s="344" t="s">
        <v>12</v>
      </c>
      <c r="D139" s="346">
        <f>IFERROR(INDEX(RAW!$A:$A,MAX(2,F139)),"")</f>
        <v>46218.934432870366</v>
      </c>
      <c r="E139" s="347">
        <f>IFERROR(INDEX(RAW!$K:$K,MAX(2,F139)),"")</f>
        <v>319500</v>
      </c>
      <c r="F139" s="344">
        <v>1574</v>
      </c>
      <c r="G139" s="335" t="s">
        <v>2476</v>
      </c>
      <c r="H139" s="335" t="s">
        <v>2477</v>
      </c>
      <c r="O139" s="333" t="str">
        <f t="shared" si="12"/>
        <v/>
      </c>
      <c r="R139" s="335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335">
        <f t="shared" si="13"/>
        <v>46204</v>
      </c>
      <c r="T139" s="348">
        <f t="shared" si="14"/>
        <v>0</v>
      </c>
      <c r="U139" s="348">
        <f t="shared" si="15"/>
        <v>0</v>
      </c>
      <c r="V139" s="348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348">
        <f>IF(V139&gt;0,ROUNDUP(INDEX(RAW!$K:$K,MAX(2,F139))/1000,0)*1000-ROUNDUP((INDEX(RAW!$K:$K,MAX(2,F139))-V139)/1000,0)*1000,0)</f>
        <v>0</v>
      </c>
      <c r="X139" s="335">
        <f t="shared" si="16"/>
        <v>0</v>
      </c>
      <c r="Y139" s="335">
        <f>IF(X139=1,COUNTIF($X$100:X139,1),0)</f>
        <v>0</v>
      </c>
      <c r="Z139" s="348">
        <f t="shared" si="17"/>
        <v>0</v>
      </c>
    </row>
    <row r="140" spans="1:26" ht="96" hidden="1" outlineLevel="1">
      <c r="A140" s="335" t="str">
        <f t="shared" ref="A140:A171" si="19">IF(F140="","","R"&amp;F140)</f>
        <v>R1840</v>
      </c>
      <c r="B140" s="335" t="str">
        <f>IFERROR(INDEX(RAW!$F:$F,MAX(2,F140)),"")</f>
        <v>아고다</v>
      </c>
      <c r="C140" s="344" t="s">
        <v>12</v>
      </c>
      <c r="D140" s="346">
        <f>IFERROR(INDEX(RAW!$A:$A,MAX(2,F140)),"")</f>
        <v>46243.826388888891</v>
      </c>
      <c r="E140" s="347">
        <f>IFERROR(INDEX(RAW!$K:$K,MAX(2,F140)),"")</f>
        <v>192311</v>
      </c>
      <c r="F140" s="344">
        <v>1840</v>
      </c>
      <c r="G140" s="335" t="s">
        <v>2476</v>
      </c>
      <c r="H140" s="335" t="s">
        <v>2477</v>
      </c>
      <c r="O140" s="333" t="str">
        <f t="shared" si="12"/>
        <v/>
      </c>
      <c r="R140" s="335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335">
        <f t="shared" si="13"/>
        <v>46235</v>
      </c>
      <c r="T140" s="348">
        <f t="shared" si="14"/>
        <v>0</v>
      </c>
      <c r="U140" s="348">
        <f t="shared" si="15"/>
        <v>0</v>
      </c>
      <c r="V140" s="348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348">
        <f>IF(V140&gt;0,ROUNDUP(INDEX(RAW!$K:$K,MAX(2,F140))/1000,0)*1000-ROUNDUP((INDEX(RAW!$K:$K,MAX(2,F140))-V140)/1000,0)*1000,0)</f>
        <v>0</v>
      </c>
      <c r="X140" s="335">
        <f t="shared" si="16"/>
        <v>0</v>
      </c>
      <c r="Y140" s="335">
        <f>IF(X140=1,COUNTIF($X$100:X140,1),0)</f>
        <v>0</v>
      </c>
      <c r="Z140" s="348">
        <f t="shared" si="17"/>
        <v>0</v>
      </c>
    </row>
    <row r="141" spans="1:26" ht="96" hidden="1" outlineLevel="1">
      <c r="A141" s="335" t="str">
        <f t="shared" si="19"/>
        <v>R1842</v>
      </c>
      <c r="B141" s="335" t="str">
        <f>IFERROR(INDEX(RAW!$F:$F,MAX(2,F141)),"")</f>
        <v>투썸플레이스</v>
      </c>
      <c r="C141" s="344" t="s">
        <v>12</v>
      </c>
      <c r="D141" s="346">
        <f>IFERROR(INDEX(RAW!$A:$A,MAX(2,F141)),"")</f>
        <v>46244.82708333333</v>
      </c>
      <c r="E141" s="347">
        <f>IFERROR(INDEX(RAW!$K:$K,MAX(2,F141)),"")</f>
        <v>30800</v>
      </c>
      <c r="F141" s="344">
        <v>1842</v>
      </c>
      <c r="G141" s="335" t="s">
        <v>2476</v>
      </c>
      <c r="H141" s="335" t="s">
        <v>2477</v>
      </c>
      <c r="O141" s="333" t="str">
        <f t="shared" si="12"/>
        <v/>
      </c>
      <c r="R141" s="335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335">
        <f t="shared" si="13"/>
        <v>46235</v>
      </c>
      <c r="T141" s="348">
        <f t="shared" si="14"/>
        <v>0</v>
      </c>
      <c r="U141" s="348">
        <f t="shared" si="15"/>
        <v>0</v>
      </c>
      <c r="V141" s="348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348">
        <f>IF(V141&gt;0,ROUNDUP(INDEX(RAW!$K:$K,MAX(2,F141))/1000,0)*1000-ROUNDUP((INDEX(RAW!$K:$K,MAX(2,F141))-V141)/1000,0)*1000,0)</f>
        <v>0</v>
      </c>
      <c r="X141" s="335">
        <f t="shared" si="16"/>
        <v>0</v>
      </c>
      <c r="Y141" s="335">
        <f>IF(X141=1,COUNTIF($X$100:X141,1),0)</f>
        <v>0</v>
      </c>
      <c r="Z141" s="348">
        <f t="shared" si="17"/>
        <v>0</v>
      </c>
    </row>
    <row r="142" spans="1:26" ht="96" hidden="1" outlineLevel="1">
      <c r="A142" s="335" t="str">
        <f t="shared" si="19"/>
        <v>R1867</v>
      </c>
      <c r="B142" s="335" t="str">
        <f>IFERROR(INDEX(RAW!$F:$F,MAX(2,F142)),"")</f>
        <v>네이버플러스 스토어</v>
      </c>
      <c r="C142" s="344" t="s">
        <v>12</v>
      </c>
      <c r="D142" s="346">
        <f>IFERROR(INDEX(RAW!$A:$A,MAX(2,F142)),"")</f>
        <v>46246.682638888888</v>
      </c>
      <c r="E142" s="347">
        <f>IFERROR(INDEX(RAW!$K:$K,MAX(2,F142)),"")</f>
        <v>23800</v>
      </c>
      <c r="F142" s="344">
        <v>1867</v>
      </c>
      <c r="G142" s="335" t="s">
        <v>2476</v>
      </c>
      <c r="H142" s="335" t="s">
        <v>2477</v>
      </c>
      <c r="O142" s="333" t="str">
        <f t="shared" si="12"/>
        <v/>
      </c>
      <c r="R142" s="335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335">
        <f t="shared" si="13"/>
        <v>46235</v>
      </c>
      <c r="T142" s="348">
        <f t="shared" si="14"/>
        <v>0</v>
      </c>
      <c r="U142" s="348">
        <f t="shared" si="15"/>
        <v>0</v>
      </c>
      <c r="V142" s="348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348">
        <f>IF(V142&gt;0,ROUNDUP(INDEX(RAW!$K:$K,MAX(2,F142))/1000,0)*1000-ROUNDUP((INDEX(RAW!$K:$K,MAX(2,F142))-V142)/1000,0)*1000,0)</f>
        <v>0</v>
      </c>
      <c r="X142" s="335">
        <f t="shared" si="16"/>
        <v>0</v>
      </c>
      <c r="Y142" s="335">
        <f>IF(X142=1,COUNTIF($X$100:X142,1),0)</f>
        <v>0</v>
      </c>
      <c r="Z142" s="348">
        <f t="shared" si="17"/>
        <v>0</v>
      </c>
    </row>
    <row r="143" spans="1:26" ht="96" hidden="1" outlineLevel="1">
      <c r="A143" s="335" t="str">
        <f t="shared" si="19"/>
        <v>R1888</v>
      </c>
      <c r="B143" s="335" t="str">
        <f>IFERROR(INDEX(RAW!$F:$F,MAX(2,F143)),"")</f>
        <v>코레일</v>
      </c>
      <c r="C143" s="344" t="s">
        <v>12</v>
      </c>
      <c r="D143" s="346">
        <f>IFERROR(INDEX(RAW!$A:$A,MAX(2,F143)),"")</f>
        <v>46247.320474537039</v>
      </c>
      <c r="E143" s="347">
        <f>IFERROR(INDEX(RAW!$K:$K,MAX(2,F143)),"")</f>
        <v>99200</v>
      </c>
      <c r="F143" s="344">
        <v>1888</v>
      </c>
      <c r="G143" s="335" t="s">
        <v>2476</v>
      </c>
      <c r="H143" s="335" t="s">
        <v>2477</v>
      </c>
      <c r="O143" s="333" t="str">
        <f t="shared" si="12"/>
        <v/>
      </c>
      <c r="R143" s="335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335">
        <f t="shared" si="13"/>
        <v>46235</v>
      </c>
      <c r="T143" s="348">
        <f t="shared" si="14"/>
        <v>0</v>
      </c>
      <c r="U143" s="348">
        <f t="shared" si="15"/>
        <v>0</v>
      </c>
      <c r="V143" s="348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348">
        <f>IF(V143&gt;0,ROUNDUP(INDEX(RAW!$K:$K,MAX(2,F143))/1000,0)*1000-ROUNDUP((INDEX(RAW!$K:$K,MAX(2,F143))-V143)/1000,0)*1000,0)</f>
        <v>0</v>
      </c>
      <c r="X143" s="335">
        <f t="shared" si="16"/>
        <v>0</v>
      </c>
      <c r="Y143" s="335">
        <f>IF(X143=1,COUNTIF($X$100:X143,1),0)</f>
        <v>0</v>
      </c>
      <c r="Z143" s="348">
        <f t="shared" si="17"/>
        <v>0</v>
      </c>
    </row>
    <row r="144" spans="1:26" ht="96" hidden="1" outlineLevel="1">
      <c r="A144" s="335" t="str">
        <f t="shared" si="19"/>
        <v>R1889</v>
      </c>
      <c r="B144" s="335" t="str">
        <f>IFERROR(INDEX(RAW!$F:$F,MAX(2,F144)),"")</f>
        <v>코레일</v>
      </c>
      <c r="C144" s="344" t="s">
        <v>12</v>
      </c>
      <c r="D144" s="346">
        <f>IFERROR(INDEX(RAW!$A:$A,MAX(2,F144)),"")</f>
        <v>46247.320474537039</v>
      </c>
      <c r="E144" s="347">
        <f>IFERROR(INDEX(RAW!$K:$K,MAX(2,F144)),"")</f>
        <v>113100</v>
      </c>
      <c r="F144" s="344">
        <v>1889</v>
      </c>
      <c r="G144" s="335" t="s">
        <v>2476</v>
      </c>
      <c r="H144" s="335" t="s">
        <v>2477</v>
      </c>
      <c r="O144" s="333" t="str">
        <f t="shared" si="12"/>
        <v/>
      </c>
      <c r="R144" s="335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335">
        <f t="shared" si="13"/>
        <v>46235</v>
      </c>
      <c r="T144" s="348">
        <f t="shared" si="14"/>
        <v>0</v>
      </c>
      <c r="U144" s="348">
        <f t="shared" si="15"/>
        <v>0</v>
      </c>
      <c r="V144" s="348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348">
        <f>IF(V144&gt;0,ROUNDUP(INDEX(RAW!$K:$K,MAX(2,F144))/1000,0)*1000-ROUNDUP((INDEX(RAW!$K:$K,MAX(2,F144))-V144)/1000,0)*1000,0)</f>
        <v>0</v>
      </c>
      <c r="X144" s="335">
        <f t="shared" si="16"/>
        <v>0</v>
      </c>
      <c r="Y144" s="335">
        <f>IF(X144=1,COUNTIF($X$100:X144,1),0)</f>
        <v>0</v>
      </c>
      <c r="Z144" s="348">
        <f t="shared" si="17"/>
        <v>0</v>
      </c>
    </row>
    <row r="145" spans="1:26" ht="96" hidden="1" outlineLevel="1">
      <c r="A145" s="335" t="str">
        <f t="shared" si="19"/>
        <v>R1923</v>
      </c>
      <c r="B145" s="335" t="str">
        <f>IFERROR(INDEX(RAW!$F:$F,MAX(2,F145)),"")</f>
        <v>아늑 성수</v>
      </c>
      <c r="C145" s="344" t="s">
        <v>12</v>
      </c>
      <c r="D145" s="346">
        <f>IFERROR(INDEX(RAW!$A:$A,MAX(2,F145)),"")</f>
        <v>46249.900034722217</v>
      </c>
      <c r="E145" s="347">
        <f>IFERROR(INDEX(RAW!$K:$K,MAX(2,F145)),"")</f>
        <v>2000</v>
      </c>
      <c r="F145" s="344">
        <v>1923</v>
      </c>
      <c r="G145" s="335" t="s">
        <v>2476</v>
      </c>
      <c r="H145" s="335" t="s">
        <v>2477</v>
      </c>
      <c r="O145" s="333" t="str">
        <f t="shared" si="12"/>
        <v/>
      </c>
      <c r="R145" s="335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335">
        <f t="shared" si="13"/>
        <v>46235</v>
      </c>
      <c r="T145" s="348">
        <f t="shared" si="14"/>
        <v>0</v>
      </c>
      <c r="U145" s="348">
        <f t="shared" si="15"/>
        <v>0</v>
      </c>
      <c r="V145" s="348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348">
        <f>IF(V145&gt;0,ROUNDUP(INDEX(RAW!$K:$K,MAX(2,F145))/1000,0)*1000-ROUNDUP((INDEX(RAW!$K:$K,MAX(2,F145))-V145)/1000,0)*1000,0)</f>
        <v>0</v>
      </c>
      <c r="X145" s="335">
        <f t="shared" si="16"/>
        <v>0</v>
      </c>
      <c r="Y145" s="335">
        <f>IF(X145=1,COUNTIF($X$100:X145,1),0)</f>
        <v>0</v>
      </c>
      <c r="Z145" s="348">
        <f t="shared" si="17"/>
        <v>0</v>
      </c>
    </row>
    <row r="146" spans="1:26" ht="96" hidden="1" outlineLevel="1">
      <c r="A146" s="335" t="str">
        <f t="shared" si="19"/>
        <v>R1930</v>
      </c>
      <c r="B146" s="335" t="str">
        <f>IFERROR(INDEX(RAW!$F:$F,MAX(2,F146)),"")</f>
        <v>뉴발란스</v>
      </c>
      <c r="C146" s="344" t="s">
        <v>12</v>
      </c>
      <c r="D146" s="346">
        <f>IFERROR(INDEX(RAW!$A:$A,MAX(2,F146)),"")</f>
        <v>46250.617361111108</v>
      </c>
      <c r="E146" s="347">
        <f>IFERROR(INDEX(RAW!$K:$K,MAX(2,F146)),"")</f>
        <v>129000</v>
      </c>
      <c r="F146" s="344">
        <v>1930</v>
      </c>
      <c r="G146" s="335" t="s">
        <v>2476</v>
      </c>
      <c r="H146" s="335" t="s">
        <v>2477</v>
      </c>
      <c r="O146" s="333" t="str">
        <f t="shared" si="12"/>
        <v/>
      </c>
      <c r="R146" s="335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335">
        <f t="shared" si="13"/>
        <v>46235</v>
      </c>
      <c r="T146" s="348">
        <f t="shared" si="14"/>
        <v>0</v>
      </c>
      <c r="U146" s="348">
        <f t="shared" si="15"/>
        <v>0</v>
      </c>
      <c r="V146" s="348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348">
        <f>IF(V146&gt;0,ROUNDUP(INDEX(RAW!$K:$K,MAX(2,F146))/1000,0)*1000-ROUNDUP((INDEX(RAW!$K:$K,MAX(2,F146))-V146)/1000,0)*1000,0)</f>
        <v>0</v>
      </c>
      <c r="X146" s="335">
        <f t="shared" si="16"/>
        <v>0</v>
      </c>
      <c r="Y146" s="335">
        <f>IF(X146=1,COUNTIF($X$100:X146,1),0)</f>
        <v>0</v>
      </c>
      <c r="Z146" s="348">
        <f t="shared" si="17"/>
        <v>0</v>
      </c>
    </row>
    <row r="147" spans="1:26" ht="96" hidden="1" outlineLevel="1">
      <c r="A147" s="335" t="str">
        <f t="shared" si="19"/>
        <v>R2036</v>
      </c>
      <c r="B147" s="335" t="str">
        <f>IFERROR(INDEX(RAW!$F:$F,MAX(2,F147)),"")</f>
        <v>스타벅스</v>
      </c>
      <c r="C147" s="344" t="s">
        <v>12</v>
      </c>
      <c r="D147" s="346">
        <f>IFERROR(INDEX(RAW!$A:$A,MAX(2,F147)),"")</f>
        <v>46262.916666666657</v>
      </c>
      <c r="E147" s="347">
        <f>IFERROR(INDEX(RAW!$K:$K,MAX(2,F147)),"")</f>
        <v>8500</v>
      </c>
      <c r="F147" s="344">
        <v>2036</v>
      </c>
      <c r="G147" s="335" t="s">
        <v>2476</v>
      </c>
      <c r="H147" s="335" t="s">
        <v>2477</v>
      </c>
      <c r="O147" s="333" t="str">
        <f t="shared" si="12"/>
        <v/>
      </c>
      <c r="R147" s="335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335">
        <f t="shared" si="13"/>
        <v>46235</v>
      </c>
      <c r="T147" s="348">
        <f t="shared" si="14"/>
        <v>0</v>
      </c>
      <c r="U147" s="348">
        <f t="shared" si="15"/>
        <v>0</v>
      </c>
      <c r="V147" s="348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348">
        <f>IF(V147&gt;0,ROUNDUP(INDEX(RAW!$K:$K,MAX(2,F147))/1000,0)*1000-ROUNDUP((INDEX(RAW!$K:$K,MAX(2,F147))-V147)/1000,0)*1000,0)</f>
        <v>0</v>
      </c>
      <c r="X147" s="335">
        <f t="shared" si="16"/>
        <v>0</v>
      </c>
      <c r="Y147" s="335">
        <f>IF(X147=1,COUNTIF($X$100:X147,1),0)</f>
        <v>0</v>
      </c>
      <c r="Z147" s="348">
        <f t="shared" si="17"/>
        <v>0</v>
      </c>
    </row>
    <row r="148" spans="1:26" ht="96" hidden="1" outlineLevel="1">
      <c r="A148" s="335" t="str">
        <f t="shared" si="19"/>
        <v>R2045</v>
      </c>
      <c r="B148" s="335" t="str">
        <f>IFERROR(INDEX(RAW!$F:$F,MAX(2,F148)),"")</f>
        <v>우버택시</v>
      </c>
      <c r="C148" s="344" t="s">
        <v>12</v>
      </c>
      <c r="D148" s="346">
        <f>IFERROR(INDEX(RAW!$A:$A,MAX(2,F148)),"")</f>
        <v>46263.94027777778</v>
      </c>
      <c r="E148" s="347">
        <f>IFERROR(INDEX(RAW!$K:$K,MAX(2,F148)),"")</f>
        <v>9600</v>
      </c>
      <c r="F148" s="344">
        <v>2045</v>
      </c>
      <c r="G148" s="335" t="s">
        <v>2476</v>
      </c>
      <c r="H148" s="335" t="s">
        <v>2477</v>
      </c>
      <c r="O148" s="333" t="str">
        <f t="shared" si="12"/>
        <v/>
      </c>
      <c r="R148" s="335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335">
        <f t="shared" si="13"/>
        <v>46235</v>
      </c>
      <c r="T148" s="348">
        <f t="shared" si="14"/>
        <v>0</v>
      </c>
      <c r="U148" s="348">
        <f t="shared" si="15"/>
        <v>0</v>
      </c>
      <c r="V148" s="348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348">
        <f>IF(V148&gt;0,ROUNDUP(INDEX(RAW!$K:$K,MAX(2,F148))/1000,0)*1000-ROUNDUP((INDEX(RAW!$K:$K,MAX(2,F148))-V148)/1000,0)*1000,0)</f>
        <v>0</v>
      </c>
      <c r="X148" s="335">
        <f t="shared" si="16"/>
        <v>0</v>
      </c>
      <c r="Y148" s="335">
        <f>IF(X148=1,COUNTIF($X$100:X148,1),0)</f>
        <v>0</v>
      </c>
      <c r="Z148" s="348">
        <f t="shared" si="17"/>
        <v>0</v>
      </c>
    </row>
    <row r="149" spans="1:26" ht="96" hidden="1" outlineLevel="1">
      <c r="A149" s="335" t="str">
        <f t="shared" si="19"/>
        <v>R2047</v>
      </c>
      <c r="B149" s="335" t="str">
        <f>IFERROR(INDEX(RAW!$F:$F,MAX(2,F149)),"")</f>
        <v>이마트</v>
      </c>
      <c r="C149" s="344" t="s">
        <v>12</v>
      </c>
      <c r="D149" s="346">
        <f>IFERROR(INDEX(RAW!$A:$A,MAX(2,F149)),"")</f>
        <v>46263.943055555559</v>
      </c>
      <c r="E149" s="347">
        <f>IFERROR(INDEX(RAW!$K:$K,MAX(2,F149)),"")</f>
        <v>300680</v>
      </c>
      <c r="F149" s="344">
        <v>2047</v>
      </c>
      <c r="G149" s="335" t="s">
        <v>2476</v>
      </c>
      <c r="H149" s="335" t="s">
        <v>2477</v>
      </c>
      <c r="O149" s="333" t="str">
        <f t="shared" si="12"/>
        <v/>
      </c>
      <c r="R149" s="335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335">
        <f t="shared" si="13"/>
        <v>46235</v>
      </c>
      <c r="T149" s="348">
        <f t="shared" si="14"/>
        <v>0</v>
      </c>
      <c r="U149" s="348">
        <f t="shared" si="15"/>
        <v>0</v>
      </c>
      <c r="V149" s="348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348">
        <f>IF(V149&gt;0,ROUNDUP(INDEX(RAW!$K:$K,MAX(2,F149))/1000,0)*1000-ROUNDUP((INDEX(RAW!$K:$K,MAX(2,F149))-V149)/1000,0)*1000,0)</f>
        <v>0</v>
      </c>
      <c r="X149" s="335">
        <f t="shared" si="16"/>
        <v>0</v>
      </c>
      <c r="Y149" s="335">
        <f>IF(X149=1,COUNTIF($X$100:X149,1),0)</f>
        <v>0</v>
      </c>
      <c r="Z149" s="348">
        <f t="shared" si="17"/>
        <v>0</v>
      </c>
    </row>
    <row r="150" spans="1:26" ht="96" hidden="1" outlineLevel="1">
      <c r="A150" s="335" t="str">
        <f t="shared" si="19"/>
        <v>R2048</v>
      </c>
      <c r="B150" s="335" t="str">
        <f>IFERROR(INDEX(RAW!$F:$F,MAX(2,F150)),"")</f>
        <v>CU</v>
      </c>
      <c r="C150" s="344" t="s">
        <v>12</v>
      </c>
      <c r="D150" s="346">
        <f>IFERROR(INDEX(RAW!$A:$A,MAX(2,F150)),"")</f>
        <v>46263.943055555559</v>
      </c>
      <c r="E150" s="347">
        <f>IFERROR(INDEX(RAW!$K:$K,MAX(2,F150)),"")</f>
        <v>19800</v>
      </c>
      <c r="F150" s="344">
        <v>2048</v>
      </c>
      <c r="G150" s="335" t="s">
        <v>2476</v>
      </c>
      <c r="H150" s="335" t="s">
        <v>2477</v>
      </c>
      <c r="O150" s="333" t="str">
        <f t="shared" si="12"/>
        <v/>
      </c>
      <c r="R150" s="335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335">
        <f t="shared" si="13"/>
        <v>46235</v>
      </c>
      <c r="T150" s="348">
        <f t="shared" si="14"/>
        <v>0</v>
      </c>
      <c r="U150" s="348">
        <f t="shared" si="15"/>
        <v>0</v>
      </c>
      <c r="V150" s="348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348">
        <f>IF(V150&gt;0,ROUNDUP(INDEX(RAW!$K:$K,MAX(2,F150))/1000,0)*1000-ROUNDUP((INDEX(RAW!$K:$K,MAX(2,F150))-V150)/1000,0)*1000,0)</f>
        <v>0</v>
      </c>
      <c r="X150" s="335">
        <f t="shared" si="16"/>
        <v>0</v>
      </c>
      <c r="Y150" s="335">
        <f>IF(X150=1,COUNTIF($X$100:X150,1),0)</f>
        <v>0</v>
      </c>
      <c r="Z150" s="348">
        <f t="shared" si="17"/>
        <v>0</v>
      </c>
    </row>
    <row r="151" spans="1:26" ht="96" hidden="1" outlineLevel="1">
      <c r="A151" s="335" t="str">
        <f t="shared" si="19"/>
        <v>R2050</v>
      </c>
      <c r="B151" s="335" t="str">
        <f>IFERROR(INDEX(RAW!$F:$F,MAX(2,F151)),"")</f>
        <v>카페감동</v>
      </c>
      <c r="C151" s="344" t="s">
        <v>12</v>
      </c>
      <c r="D151" s="346">
        <f>IFERROR(INDEX(RAW!$A:$A,MAX(2,F151)),"")</f>
        <v>46263.943055555559</v>
      </c>
      <c r="E151" s="347">
        <f>IFERROR(INDEX(RAW!$K:$K,MAX(2,F151)),"")</f>
        <v>26000</v>
      </c>
      <c r="F151" s="344">
        <v>2050</v>
      </c>
      <c r="G151" s="335" t="s">
        <v>2476</v>
      </c>
      <c r="H151" s="335" t="s">
        <v>2477</v>
      </c>
      <c r="O151" s="333" t="str">
        <f t="shared" si="12"/>
        <v/>
      </c>
      <c r="R151" s="335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335">
        <f t="shared" si="13"/>
        <v>46235</v>
      </c>
      <c r="T151" s="348">
        <f t="shared" si="14"/>
        <v>0</v>
      </c>
      <c r="U151" s="348">
        <f t="shared" si="15"/>
        <v>0</v>
      </c>
      <c r="V151" s="348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348">
        <f>IF(V151&gt;0,ROUNDUP(INDEX(RAW!$K:$K,MAX(2,F151))/1000,0)*1000-ROUNDUP((INDEX(RAW!$K:$K,MAX(2,F151))-V151)/1000,0)*1000,0)</f>
        <v>0</v>
      </c>
      <c r="X151" s="335">
        <f t="shared" si="16"/>
        <v>0</v>
      </c>
      <c r="Y151" s="335">
        <f>IF(X151=1,COUNTIF($X$100:X151,1),0)</f>
        <v>0</v>
      </c>
      <c r="Z151" s="348">
        <f t="shared" si="17"/>
        <v>0</v>
      </c>
    </row>
    <row r="152" spans="1:26" ht="96" hidden="1" outlineLevel="1">
      <c r="A152" s="335" t="str">
        <f t="shared" si="19"/>
        <v>R2051</v>
      </c>
      <c r="B152" s="335" t="str">
        <f>IFERROR(INDEX(RAW!$F:$F,MAX(2,F152)),"")</f>
        <v>CU</v>
      </c>
      <c r="C152" s="344" t="s">
        <v>12</v>
      </c>
      <c r="D152" s="346">
        <f>IFERROR(INDEX(RAW!$A:$A,MAX(2,F152)),"")</f>
        <v>46263.943055555559</v>
      </c>
      <c r="E152" s="347">
        <f>IFERROR(INDEX(RAW!$K:$K,MAX(2,F152)),"")</f>
        <v>9500</v>
      </c>
      <c r="F152" s="344">
        <v>2051</v>
      </c>
      <c r="G152" s="335" t="s">
        <v>2476</v>
      </c>
      <c r="H152" s="335" t="s">
        <v>2477</v>
      </c>
      <c r="O152" s="333" t="str">
        <f t="shared" si="12"/>
        <v/>
      </c>
      <c r="R152" s="335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335">
        <f t="shared" si="13"/>
        <v>46235</v>
      </c>
      <c r="T152" s="348">
        <f t="shared" si="14"/>
        <v>0</v>
      </c>
      <c r="U152" s="348">
        <f t="shared" si="15"/>
        <v>0</v>
      </c>
      <c r="V152" s="348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348">
        <f>IF(V152&gt;0,ROUNDUP(INDEX(RAW!$K:$K,MAX(2,F152))/1000,0)*1000-ROUNDUP((INDEX(RAW!$K:$K,MAX(2,F152))-V152)/1000,0)*1000,0)</f>
        <v>0</v>
      </c>
      <c r="X152" s="335">
        <f t="shared" si="16"/>
        <v>0</v>
      </c>
      <c r="Y152" s="335">
        <f>IF(X152=1,COUNTIF($X$100:X152,1),0)</f>
        <v>0</v>
      </c>
      <c r="Z152" s="348">
        <f t="shared" si="17"/>
        <v>0</v>
      </c>
    </row>
    <row r="153" spans="1:26" ht="96" hidden="1" outlineLevel="1">
      <c r="A153" s="335" t="str">
        <f t="shared" si="19"/>
        <v>R2052</v>
      </c>
      <c r="B153" s="335" t="str">
        <f>IFERROR(INDEX(RAW!$F:$F,MAX(2,F153)),"")</f>
        <v>지라산산청돼지국밥</v>
      </c>
      <c r="C153" s="344" t="s">
        <v>12</v>
      </c>
      <c r="D153" s="346">
        <f>IFERROR(INDEX(RAW!$A:$A,MAX(2,F153)),"")</f>
        <v>46263.943055555559</v>
      </c>
      <c r="E153" s="347">
        <f>IFERROR(INDEX(RAW!$K:$K,MAX(2,F153)),"")</f>
        <v>45000</v>
      </c>
      <c r="F153" s="344">
        <v>2052</v>
      </c>
      <c r="G153" s="335" t="s">
        <v>2476</v>
      </c>
      <c r="H153" s="335" t="s">
        <v>2477</v>
      </c>
      <c r="O153" s="333" t="str">
        <f t="shared" si="12"/>
        <v/>
      </c>
      <c r="R153" s="335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335">
        <f t="shared" si="13"/>
        <v>46235</v>
      </c>
      <c r="T153" s="348">
        <f t="shared" si="14"/>
        <v>0</v>
      </c>
      <c r="U153" s="348">
        <f t="shared" si="15"/>
        <v>0</v>
      </c>
      <c r="V153" s="348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348">
        <f>IF(V153&gt;0,ROUNDUP(INDEX(RAW!$K:$K,MAX(2,F153))/1000,0)*1000-ROUNDUP((INDEX(RAW!$K:$K,MAX(2,F153))-V153)/1000,0)*1000,0)</f>
        <v>0</v>
      </c>
      <c r="X153" s="335">
        <f t="shared" si="16"/>
        <v>0</v>
      </c>
      <c r="Y153" s="335">
        <f>IF(X153=1,COUNTIF($X$100:X153,1),0)</f>
        <v>0</v>
      </c>
      <c r="Z153" s="348">
        <f t="shared" si="17"/>
        <v>0</v>
      </c>
    </row>
    <row r="154" spans="1:26" ht="96" hidden="1" outlineLevel="1">
      <c r="A154" s="335" t="str">
        <f t="shared" si="19"/>
        <v>R2053</v>
      </c>
      <c r="B154" s="335" t="str">
        <f>IFERROR(INDEX(RAW!$F:$F,MAX(2,F154)),"")</f>
        <v>숙소 바베큐</v>
      </c>
      <c r="C154" s="344" t="s">
        <v>12</v>
      </c>
      <c r="D154" s="346">
        <f>IFERROR(INDEX(RAW!$A:$A,MAX(2,F154)),"")</f>
        <v>46263.945833333331</v>
      </c>
      <c r="E154" s="347">
        <f>IFERROR(INDEX(RAW!$K:$K,MAX(2,F154)),"")</f>
        <v>30000</v>
      </c>
      <c r="F154" s="344">
        <v>2053</v>
      </c>
      <c r="G154" s="335" t="s">
        <v>2476</v>
      </c>
      <c r="H154" s="335" t="s">
        <v>2477</v>
      </c>
      <c r="O154" s="333" t="str">
        <f t="shared" si="12"/>
        <v/>
      </c>
      <c r="R154" s="335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335">
        <f t="shared" si="13"/>
        <v>46235</v>
      </c>
      <c r="T154" s="348">
        <f t="shared" si="14"/>
        <v>0</v>
      </c>
      <c r="U154" s="348">
        <f t="shared" si="15"/>
        <v>0</v>
      </c>
      <c r="V154" s="348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348">
        <f>IF(V154&gt;0,ROUNDUP(INDEX(RAW!$K:$K,MAX(2,F154))/1000,0)*1000-ROUNDUP((INDEX(RAW!$K:$K,MAX(2,F154))-V154)/1000,0)*1000,0)</f>
        <v>0</v>
      </c>
      <c r="X154" s="335">
        <f t="shared" si="16"/>
        <v>0</v>
      </c>
      <c r="Y154" s="335">
        <f>IF(X154=1,COUNTIF($X$100:X154,1),0)</f>
        <v>0</v>
      </c>
      <c r="Z154" s="348">
        <f t="shared" si="17"/>
        <v>0</v>
      </c>
    </row>
    <row r="155" spans="1:26" ht="96" hidden="1" outlineLevel="1">
      <c r="A155" s="335" t="str">
        <f t="shared" si="19"/>
        <v>R2056</v>
      </c>
      <c r="B155" s="335" t="str">
        <f>IFERROR(INDEX(RAW!$F:$F,MAX(2,F155)),"")</f>
        <v>홍천뚝배기</v>
      </c>
      <c r="C155" s="344" t="s">
        <v>12</v>
      </c>
      <c r="D155" s="346">
        <f>IFERROR(INDEX(RAW!$A:$A,MAX(2,F155)),"")</f>
        <v>46264.946527777778</v>
      </c>
      <c r="E155" s="347">
        <f>IFERROR(INDEX(RAW!$K:$K,MAX(2,F155)),"")</f>
        <v>53000</v>
      </c>
      <c r="F155" s="344">
        <v>2056</v>
      </c>
      <c r="G155" s="335" t="s">
        <v>2476</v>
      </c>
      <c r="H155" s="335" t="s">
        <v>2477</v>
      </c>
      <c r="O155" s="333" t="str">
        <f t="shared" si="12"/>
        <v/>
      </c>
      <c r="R155" s="335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335">
        <f t="shared" si="13"/>
        <v>46235</v>
      </c>
      <c r="T155" s="348">
        <f t="shared" si="14"/>
        <v>0</v>
      </c>
      <c r="U155" s="348">
        <f t="shared" si="15"/>
        <v>0</v>
      </c>
      <c r="V155" s="348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348">
        <f>IF(V155&gt;0,ROUNDUP(INDEX(RAW!$K:$K,MAX(2,F155))/1000,0)*1000-ROUNDUP((INDEX(RAW!$K:$K,MAX(2,F155))-V155)/1000,0)*1000,0)</f>
        <v>0</v>
      </c>
      <c r="X155" s="335">
        <f t="shared" si="16"/>
        <v>0</v>
      </c>
      <c r="Y155" s="335">
        <f>IF(X155=1,COUNTIF($X$100:X155,1),0)</f>
        <v>0</v>
      </c>
      <c r="Z155" s="348">
        <f t="shared" si="17"/>
        <v>0</v>
      </c>
    </row>
    <row r="156" spans="1:26" ht="96" hidden="1" outlineLevel="1">
      <c r="A156" s="335" t="str">
        <f t="shared" si="19"/>
        <v>R2057</v>
      </c>
      <c r="B156" s="335" t="str">
        <f>IFERROR(INDEX(RAW!$F:$F,MAX(2,F156)),"")</f>
        <v>그라운드헤븐</v>
      </c>
      <c r="C156" s="344" t="s">
        <v>12</v>
      </c>
      <c r="D156" s="346">
        <f>IFERROR(INDEX(RAW!$A:$A,MAX(2,F156)),"")</f>
        <v>46264.947222222218</v>
      </c>
      <c r="E156" s="347">
        <f>IFERROR(INDEX(RAW!$K:$K,MAX(2,F156)),"")</f>
        <v>54100</v>
      </c>
      <c r="F156" s="344">
        <v>2057</v>
      </c>
      <c r="G156" s="335" t="s">
        <v>2476</v>
      </c>
      <c r="H156" s="335" t="s">
        <v>2477</v>
      </c>
      <c r="O156" s="333" t="str">
        <f t="shared" si="12"/>
        <v/>
      </c>
      <c r="R156" s="335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335">
        <f t="shared" si="13"/>
        <v>46235</v>
      </c>
      <c r="T156" s="348">
        <f t="shared" si="14"/>
        <v>0</v>
      </c>
      <c r="U156" s="348">
        <f t="shared" si="15"/>
        <v>0</v>
      </c>
      <c r="V156" s="348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348">
        <f>IF(V156&gt;0,ROUNDUP(INDEX(RAW!$K:$K,MAX(2,F156))/1000,0)*1000-ROUNDUP((INDEX(RAW!$K:$K,MAX(2,F156))-V156)/1000,0)*1000,0)</f>
        <v>0</v>
      </c>
      <c r="X156" s="335">
        <f t="shared" si="16"/>
        <v>0</v>
      </c>
      <c r="Y156" s="335">
        <f>IF(X156=1,COUNTIF($X$100:X156,1),0)</f>
        <v>0</v>
      </c>
      <c r="Z156" s="348">
        <f t="shared" si="17"/>
        <v>0</v>
      </c>
    </row>
    <row r="157" spans="1:26" ht="96" hidden="1" outlineLevel="1">
      <c r="A157" s="335" t="str">
        <f t="shared" si="19"/>
        <v>R2058</v>
      </c>
      <c r="B157" s="335" t="str">
        <f>IFERROR(INDEX(RAW!$F:$F,MAX(2,F157)),"")</f>
        <v>스토리웨이</v>
      </c>
      <c r="C157" s="344" t="s">
        <v>12</v>
      </c>
      <c r="D157" s="346">
        <f>IFERROR(INDEX(RAW!$A:$A,MAX(2,F157)),"")</f>
        <v>46264.947916666657</v>
      </c>
      <c r="E157" s="347">
        <f>IFERROR(INDEX(RAW!$K:$K,MAX(2,F157)),"")</f>
        <v>14400</v>
      </c>
      <c r="F157" s="344">
        <v>2058</v>
      </c>
      <c r="G157" s="335" t="s">
        <v>2476</v>
      </c>
      <c r="H157" s="335" t="s">
        <v>2477</v>
      </c>
      <c r="O157" s="333" t="str">
        <f t="shared" si="12"/>
        <v/>
      </c>
      <c r="R157" s="335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335">
        <f t="shared" si="13"/>
        <v>46235</v>
      </c>
      <c r="T157" s="348">
        <f t="shared" si="14"/>
        <v>0</v>
      </c>
      <c r="U157" s="348">
        <f t="shared" si="15"/>
        <v>0</v>
      </c>
      <c r="V157" s="348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348">
        <f>IF(V157&gt;0,ROUNDUP(INDEX(RAW!$K:$K,MAX(2,F157))/1000,0)*1000-ROUNDUP((INDEX(RAW!$K:$K,MAX(2,F157))-V157)/1000,0)*1000,0)</f>
        <v>0</v>
      </c>
      <c r="X157" s="335">
        <f t="shared" si="16"/>
        <v>0</v>
      </c>
      <c r="Y157" s="335">
        <f>IF(X157=1,COUNTIF($X$100:X157,1),0)</f>
        <v>0</v>
      </c>
      <c r="Z157" s="348">
        <f t="shared" si="17"/>
        <v>0</v>
      </c>
    </row>
    <row r="158" spans="1:26" ht="96" hidden="1" outlineLevel="1">
      <c r="A158" s="335" t="str">
        <f t="shared" si="19"/>
        <v>R2075</v>
      </c>
      <c r="B158" s="335" t="str">
        <f>IFERROR(INDEX(RAW!$F:$F,MAX(2,F158)),"")</f>
        <v>롯데월드몰</v>
      </c>
      <c r="C158" s="344" t="s">
        <v>12</v>
      </c>
      <c r="D158" s="346">
        <f>IFERROR(INDEX(RAW!$A:$A,MAX(2,F158)),"")</f>
        <v>46265.868750000001</v>
      </c>
      <c r="E158" s="347">
        <f>IFERROR(INDEX(RAW!$K:$K,MAX(2,F158)),"")</f>
        <v>20100</v>
      </c>
      <c r="F158" s="344">
        <v>2075</v>
      </c>
      <c r="G158" s="335" t="s">
        <v>2476</v>
      </c>
      <c r="H158" s="335" t="s">
        <v>2477</v>
      </c>
      <c r="O158" s="333" t="str">
        <f t="shared" si="12"/>
        <v/>
      </c>
      <c r="R158" s="335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335">
        <f t="shared" si="13"/>
        <v>46235</v>
      </c>
      <c r="T158" s="348">
        <f t="shared" si="14"/>
        <v>0</v>
      </c>
      <c r="U158" s="348">
        <f t="shared" si="15"/>
        <v>0</v>
      </c>
      <c r="V158" s="348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348">
        <f>IF(V158&gt;0,ROUNDUP(INDEX(RAW!$K:$K,MAX(2,F158))/1000,0)*1000-ROUNDUP((INDEX(RAW!$K:$K,MAX(2,F158))-V158)/1000,0)*1000,0)</f>
        <v>0</v>
      </c>
      <c r="X158" s="335">
        <f t="shared" si="16"/>
        <v>0</v>
      </c>
      <c r="Y158" s="335">
        <f>IF(X158=1,COUNTIF($X$100:X158,1),0)</f>
        <v>0</v>
      </c>
      <c r="Z158" s="348">
        <f t="shared" si="17"/>
        <v>0</v>
      </c>
    </row>
    <row r="159" spans="1:26" ht="96" hidden="1" outlineLevel="1">
      <c r="A159" s="335" t="str">
        <f t="shared" si="19"/>
        <v>R2112</v>
      </c>
      <c r="B159" s="335" t="str">
        <f>IFERROR(INDEX(RAW!$F:$F,MAX(2,F159)),"")</f>
        <v>GS25</v>
      </c>
      <c r="C159" s="344" t="s">
        <v>12</v>
      </c>
      <c r="D159" s="346">
        <f>IFERROR(INDEX(RAW!$A:$A,MAX(2,F159)),"")</f>
        <v>46269.684027777781</v>
      </c>
      <c r="E159" s="347">
        <f>IFERROR(INDEX(RAW!$K:$K,MAX(2,F159)),"")</f>
        <v>50900</v>
      </c>
      <c r="F159" s="344">
        <v>2112</v>
      </c>
      <c r="G159" s="335" t="s">
        <v>2476</v>
      </c>
      <c r="H159" s="335" t="s">
        <v>2477</v>
      </c>
      <c r="O159" s="333" t="str">
        <f t="shared" si="12"/>
        <v/>
      </c>
      <c r="R159" s="335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335">
        <f t="shared" si="13"/>
        <v>46266</v>
      </c>
      <c r="T159" s="348">
        <f t="shared" si="14"/>
        <v>0</v>
      </c>
      <c r="U159" s="348">
        <f t="shared" si="15"/>
        <v>0</v>
      </c>
      <c r="V159" s="348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348">
        <f>IF(V159&gt;0,ROUNDUP(INDEX(RAW!$K:$K,MAX(2,F159))/1000,0)*1000-ROUNDUP((INDEX(RAW!$K:$K,MAX(2,F159))-V159)/1000,0)*1000,0)</f>
        <v>0</v>
      </c>
      <c r="X159" s="335">
        <f t="shared" si="16"/>
        <v>0</v>
      </c>
      <c r="Y159" s="335">
        <f>IF(X159=1,COUNTIF($X$100:X159,1),0)</f>
        <v>0</v>
      </c>
      <c r="Z159" s="348">
        <f t="shared" si="17"/>
        <v>0</v>
      </c>
    </row>
    <row r="160" spans="1:26" ht="96" hidden="1" outlineLevel="1">
      <c r="A160" s="335" t="str">
        <f t="shared" si="19"/>
        <v>R2128</v>
      </c>
      <c r="B160" s="335" t="str">
        <f>IFERROR(INDEX(RAW!$F:$F,MAX(2,F160)),"")</f>
        <v>KFC</v>
      </c>
      <c r="C160" s="344" t="s">
        <v>12</v>
      </c>
      <c r="D160" s="346">
        <f>IFERROR(INDEX(RAW!$A:$A,MAX(2,F160)),"")</f>
        <v>46270.889178240737</v>
      </c>
      <c r="E160" s="347">
        <f>IFERROR(INDEX(RAW!$K:$K,MAX(2,F160)),"")</f>
        <v>7800</v>
      </c>
      <c r="F160" s="344">
        <v>2128</v>
      </c>
      <c r="G160" s="335" t="s">
        <v>2476</v>
      </c>
      <c r="H160" s="335" t="s">
        <v>2477</v>
      </c>
      <c r="O160" s="333" t="str">
        <f t="shared" si="12"/>
        <v/>
      </c>
      <c r="R160" s="335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335">
        <f t="shared" si="13"/>
        <v>46266</v>
      </c>
      <c r="T160" s="348">
        <f t="shared" si="14"/>
        <v>0</v>
      </c>
      <c r="U160" s="348">
        <f t="shared" si="15"/>
        <v>0</v>
      </c>
      <c r="V160" s="348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348">
        <f>IF(V160&gt;0,ROUNDUP(INDEX(RAW!$K:$K,MAX(2,F160))/1000,0)*1000-ROUNDUP((INDEX(RAW!$K:$K,MAX(2,F160))-V160)/1000,0)*1000,0)</f>
        <v>0</v>
      </c>
      <c r="X160" s="335">
        <f t="shared" si="16"/>
        <v>0</v>
      </c>
      <c r="Y160" s="335">
        <f>IF(X160=1,COUNTIF($X$100:X160,1),0)</f>
        <v>0</v>
      </c>
      <c r="Z160" s="348">
        <f t="shared" si="17"/>
        <v>0</v>
      </c>
    </row>
    <row r="161" spans="1:26" ht="96" hidden="1" outlineLevel="1">
      <c r="A161" s="335" t="str">
        <f t="shared" si="19"/>
        <v>R2138</v>
      </c>
      <c r="B161" s="335" t="str">
        <f>IFERROR(INDEX(RAW!$F:$F,MAX(2,F161)),"")</f>
        <v>CU</v>
      </c>
      <c r="C161" s="344" t="s">
        <v>12</v>
      </c>
      <c r="D161" s="346">
        <f>IFERROR(INDEX(RAW!$A:$A,MAX(2,F161)),"")</f>
        <v>46272.698630740742</v>
      </c>
      <c r="E161" s="347">
        <f>IFERROR(INDEX(RAW!$K:$K,MAX(2,F161)),"")</f>
        <v>2300</v>
      </c>
      <c r="F161" s="344">
        <v>2138</v>
      </c>
      <c r="G161" s="335" t="s">
        <v>2476</v>
      </c>
      <c r="H161" s="335" t="s">
        <v>2477</v>
      </c>
      <c r="O161" s="333" t="str">
        <f t="shared" si="12"/>
        <v/>
      </c>
      <c r="R161" s="335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335">
        <f t="shared" si="13"/>
        <v>46266</v>
      </c>
      <c r="T161" s="348">
        <f t="shared" si="14"/>
        <v>0</v>
      </c>
      <c r="U161" s="348">
        <f t="shared" si="15"/>
        <v>0</v>
      </c>
      <c r="V161" s="348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348">
        <f>IF(V161&gt;0,ROUNDUP(INDEX(RAW!$K:$K,MAX(2,F161))/1000,0)*1000-ROUNDUP((INDEX(RAW!$K:$K,MAX(2,F161))-V161)/1000,0)*1000,0)</f>
        <v>0</v>
      </c>
      <c r="X161" s="335">
        <f t="shared" si="16"/>
        <v>0</v>
      </c>
      <c r="Y161" s="335">
        <f>IF(X161=1,COUNTIF($X$100:X161,1),0)</f>
        <v>0</v>
      </c>
      <c r="Z161" s="348">
        <f t="shared" si="17"/>
        <v>0</v>
      </c>
    </row>
    <row r="162" spans="1:26" ht="96" hidden="1" outlineLevel="1">
      <c r="A162" s="335" t="str">
        <f t="shared" si="19"/>
        <v>R2140</v>
      </c>
      <c r="B162" s="335" t="str">
        <f>IFERROR(INDEX(RAW!$F:$F,MAX(2,F162)),"")</f>
        <v>알리익스프레스</v>
      </c>
      <c r="C162" s="344" t="s">
        <v>12</v>
      </c>
      <c r="D162" s="346">
        <f>IFERROR(INDEX(RAW!$A:$A,MAX(2,F162)),"")</f>
        <v>46272.702766203707</v>
      </c>
      <c r="E162" s="347">
        <f>IFERROR(INDEX(RAW!$K:$K,MAX(2,F162)),"")</f>
        <v>5070</v>
      </c>
      <c r="F162" s="344">
        <v>2140</v>
      </c>
      <c r="G162" s="335" t="s">
        <v>2476</v>
      </c>
      <c r="H162" s="335" t="s">
        <v>2477</v>
      </c>
      <c r="O162" s="333" t="str">
        <f t="shared" si="12"/>
        <v/>
      </c>
      <c r="R162" s="335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335">
        <f t="shared" si="13"/>
        <v>46266</v>
      </c>
      <c r="T162" s="348">
        <f t="shared" si="14"/>
        <v>0</v>
      </c>
      <c r="U162" s="348">
        <f t="shared" si="15"/>
        <v>0</v>
      </c>
      <c r="V162" s="348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348">
        <f>IF(V162&gt;0,ROUNDUP(INDEX(RAW!$K:$K,MAX(2,F162))/1000,0)*1000-ROUNDUP((INDEX(RAW!$K:$K,MAX(2,F162))-V162)/1000,0)*1000,0)</f>
        <v>0</v>
      </c>
      <c r="X162" s="335">
        <f t="shared" si="16"/>
        <v>0</v>
      </c>
      <c r="Y162" s="335">
        <f>IF(X162=1,COUNTIF($X$100:X162,1),0)</f>
        <v>0</v>
      </c>
      <c r="Z162" s="348">
        <f t="shared" si="17"/>
        <v>0</v>
      </c>
    </row>
    <row r="163" spans="1:26" ht="96" hidden="1" outlineLevel="1">
      <c r="A163" s="335" t="str">
        <f t="shared" si="19"/>
        <v>R2220</v>
      </c>
      <c r="B163" s="335" t="str">
        <f>IFERROR(INDEX(RAW!$F:$F,MAX(2,F163)),"")</f>
        <v>카카오 선물하기</v>
      </c>
      <c r="C163" s="344" t="s">
        <v>12</v>
      </c>
      <c r="D163" s="346">
        <f>IFERROR(INDEX(RAW!$A:$A,MAX(2,F163)),"")</f>
        <v>46283.653475879633</v>
      </c>
      <c r="E163" s="347">
        <f>IFERROR(INDEX(RAW!$K:$K,MAX(2,F163)),"")</f>
        <v>26000</v>
      </c>
      <c r="F163" s="344">
        <v>2220</v>
      </c>
      <c r="G163" s="335" t="s">
        <v>2476</v>
      </c>
      <c r="H163" s="335" t="s">
        <v>2477</v>
      </c>
      <c r="O163" s="333" t="str">
        <f t="shared" si="12"/>
        <v/>
      </c>
      <c r="R163" s="335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335">
        <f t="shared" si="13"/>
        <v>46266</v>
      </c>
      <c r="T163" s="348">
        <f t="shared" si="14"/>
        <v>0</v>
      </c>
      <c r="U163" s="348">
        <f t="shared" si="15"/>
        <v>0</v>
      </c>
      <c r="V163" s="348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348">
        <f>IF(V163&gt;0,ROUNDUP(INDEX(RAW!$K:$K,MAX(2,F163))/1000,0)*1000-ROUNDUP((INDEX(RAW!$K:$K,MAX(2,F163))-V163)/1000,0)*1000,0)</f>
        <v>0</v>
      </c>
      <c r="X163" s="335">
        <f t="shared" si="16"/>
        <v>0</v>
      </c>
      <c r="Y163" s="335">
        <f>IF(X163=1,COUNTIF($X$100:X163,1),0)</f>
        <v>0</v>
      </c>
      <c r="Z163" s="348">
        <f t="shared" si="17"/>
        <v>0</v>
      </c>
    </row>
    <row r="164" spans="1:26" ht="96" hidden="1" outlineLevel="1">
      <c r="A164" s="335" t="str">
        <f t="shared" si="19"/>
        <v>R2221</v>
      </c>
      <c r="B164" s="335" t="str">
        <f>IFERROR(INDEX(RAW!$F:$F,MAX(2,F164)),"")</f>
        <v>카카오 선물하기</v>
      </c>
      <c r="C164" s="344" t="s">
        <v>12</v>
      </c>
      <c r="D164" s="346">
        <f>IFERROR(INDEX(RAW!$A:$A,MAX(2,F164)),"")</f>
        <v>46283.653478310189</v>
      </c>
      <c r="E164" s="347">
        <f>IFERROR(INDEX(RAW!$K:$K,MAX(2,F164)),"")</f>
        <v>20000</v>
      </c>
      <c r="F164" s="344">
        <v>2221</v>
      </c>
      <c r="G164" s="335" t="s">
        <v>2476</v>
      </c>
      <c r="H164" s="335" t="s">
        <v>2477</v>
      </c>
      <c r="O164" s="333" t="str">
        <f t="shared" ref="O164:O227" si="20">IF(LEFT(R164,2)="확인",R164,"")</f>
        <v/>
      </c>
      <c r="R164" s="335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335">
        <f t="shared" ref="S164:S227" si="21">IF(ISNUMBER(D164),DATE(YEAR(D164),MONTH(D164),1),0)</f>
        <v>46266</v>
      </c>
      <c r="T164" s="348">
        <f t="shared" ref="T164:T227" si="22">IF(R164="OK",SUMIFS($O$430:$O$729,$B$430:$B$729,A164,$E$430:$E$729,"&lt;"&amp;EDATE($B$3,1)),0)</f>
        <v>0</v>
      </c>
      <c r="U164" s="348">
        <f t="shared" ref="U164:U227" si="23">IF(AND(R164="OK",D164&lt;EDATE($B$3,1),$B$3&gt;=DATE(2026,3,1)),MAX(0,E164-T164),0)</f>
        <v>0</v>
      </c>
      <c r="V164" s="348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348">
        <f>IF(V164&gt;0,ROUNDUP(INDEX(RAW!$K:$K,MAX(2,F164))/1000,0)*1000-ROUNDUP((INDEX(RAW!$K:$K,MAX(2,F164))-V164)/1000,0)*1000,0)</f>
        <v>0</v>
      </c>
      <c r="X164" s="335">
        <f t="shared" ref="X164:X227" si="24">IF(AND(R164="OK",IF($B$43="전체",D164&lt;EDATE($B$3,1),IF($B$43="미정산",U164&gt;0,OR(S164=$B$3,Z164&gt;0,U164&gt;0)))),1,0)</f>
        <v>0</v>
      </c>
      <c r="Y164" s="335">
        <f>IF(X164=1,COUNTIF($X$100:X164,1),0)</f>
        <v>0</v>
      </c>
      <c r="Z164" s="348">
        <f t="shared" ref="Z164:Z227" si="25">IF(R164="OK",SUMIFS($O$430:$O$729,$B$430:$B$729,A164,$E$430:$E$729,"&gt;="&amp;$B$3,$E$430:$E$729,"&lt;"&amp;EDATE($B$3,1)),0)</f>
        <v>0</v>
      </c>
    </row>
    <row r="165" spans="1:26" ht="96" hidden="1" outlineLevel="1">
      <c r="A165" s="335" t="str">
        <f t="shared" si="19"/>
        <v>R2251</v>
      </c>
      <c r="B165" s="335" t="str">
        <f>IFERROR(INDEX(RAW!$F:$F,MAX(2,F165)),"")</f>
        <v>파파이스</v>
      </c>
      <c r="C165" s="344" t="s">
        <v>12</v>
      </c>
      <c r="D165" s="346">
        <f>IFERROR(INDEX(RAW!$A:$A,MAX(2,F165)),"")</f>
        <v>46288.866677685182</v>
      </c>
      <c r="E165" s="347">
        <f>IFERROR(INDEX(RAW!$K:$K,MAX(2,F165)),"")</f>
        <v>16600</v>
      </c>
      <c r="F165" s="344">
        <v>2251</v>
      </c>
      <c r="G165" s="335" t="s">
        <v>2476</v>
      </c>
      <c r="H165" s="335" t="s">
        <v>2477</v>
      </c>
      <c r="O165" s="333" t="str">
        <f t="shared" si="20"/>
        <v/>
      </c>
      <c r="R165" s="335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335">
        <f t="shared" si="21"/>
        <v>46266</v>
      </c>
      <c r="T165" s="348">
        <f t="shared" si="22"/>
        <v>0</v>
      </c>
      <c r="U165" s="348">
        <f t="shared" si="23"/>
        <v>0</v>
      </c>
      <c r="V165" s="348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348">
        <f>IF(V165&gt;0,ROUNDUP(INDEX(RAW!$K:$K,MAX(2,F165))/1000,0)*1000-ROUNDUP((INDEX(RAW!$K:$K,MAX(2,F165))-V165)/1000,0)*1000,0)</f>
        <v>0</v>
      </c>
      <c r="X165" s="335">
        <f t="shared" si="24"/>
        <v>0</v>
      </c>
      <c r="Y165" s="335">
        <f>IF(X165=1,COUNTIF($X$100:X165,1),0)</f>
        <v>0</v>
      </c>
      <c r="Z165" s="348">
        <f t="shared" si="25"/>
        <v>0</v>
      </c>
    </row>
    <row r="166" spans="1:26" ht="96" hidden="1" outlineLevel="1">
      <c r="A166" s="335" t="str">
        <f t="shared" si="19"/>
        <v>R2312</v>
      </c>
      <c r="B166" s="335" t="str">
        <f>IFERROR(INDEX(RAW!$F:$F,MAX(2,F166)),"")</f>
        <v>오보타르트</v>
      </c>
      <c r="C166" s="344" t="s">
        <v>12</v>
      </c>
      <c r="D166" s="346">
        <f>IFERROR(INDEX(RAW!$A:$A,MAX(2,F166)),"")</f>
        <v>46294.865981759263</v>
      </c>
      <c r="E166" s="347">
        <f>IFERROR(INDEX(RAW!$K:$K,MAX(2,F166)),"")</f>
        <v>42600</v>
      </c>
      <c r="F166" s="344">
        <v>2312</v>
      </c>
      <c r="G166" s="335" t="s">
        <v>2476</v>
      </c>
      <c r="H166" s="335" t="s">
        <v>2477</v>
      </c>
      <c r="O166" s="333" t="str">
        <f t="shared" si="20"/>
        <v/>
      </c>
      <c r="R166" s="335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335">
        <f t="shared" si="21"/>
        <v>46266</v>
      </c>
      <c r="T166" s="348">
        <f t="shared" si="22"/>
        <v>0</v>
      </c>
      <c r="U166" s="348">
        <f t="shared" si="23"/>
        <v>0</v>
      </c>
      <c r="V166" s="348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348">
        <f>IF(V166&gt;0,ROUNDUP(INDEX(RAW!$K:$K,MAX(2,F166))/1000,0)*1000-ROUNDUP((INDEX(RAW!$K:$K,MAX(2,F166))-V166)/1000,0)*1000,0)</f>
        <v>0</v>
      </c>
      <c r="X166" s="335">
        <f t="shared" si="24"/>
        <v>0</v>
      </c>
      <c r="Y166" s="335">
        <f>IF(X166=1,COUNTIF($X$100:X166,1),0)</f>
        <v>0</v>
      </c>
      <c r="Z166" s="348">
        <f t="shared" si="25"/>
        <v>0</v>
      </c>
    </row>
    <row r="167" spans="1:26" ht="96" hidden="1" outlineLevel="1">
      <c r="A167" s="335" t="str">
        <f t="shared" si="19"/>
        <v>R2317</v>
      </c>
      <c r="B167" s="335" t="str">
        <f>IFERROR(INDEX(RAW!$F:$F,MAX(2,F167)),"")</f>
        <v>쿠팡</v>
      </c>
      <c r="C167" s="344" t="s">
        <v>12</v>
      </c>
      <c r="D167" s="346">
        <f>IFERROR(INDEX(RAW!$A:$A,MAX(2,F167)),"")</f>
        <v>46294.868062777779</v>
      </c>
      <c r="E167" s="347">
        <f>IFERROR(INDEX(RAW!$K:$K,MAX(2,F167)),"")</f>
        <v>7500</v>
      </c>
      <c r="F167" s="344">
        <v>2317</v>
      </c>
      <c r="G167" s="335" t="s">
        <v>2476</v>
      </c>
      <c r="H167" s="335" t="s">
        <v>2477</v>
      </c>
      <c r="O167" s="333" t="str">
        <f t="shared" si="20"/>
        <v/>
      </c>
      <c r="R167" s="335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335">
        <f t="shared" si="21"/>
        <v>46266</v>
      </c>
      <c r="T167" s="348">
        <f t="shared" si="22"/>
        <v>0</v>
      </c>
      <c r="U167" s="348">
        <f t="shared" si="23"/>
        <v>0</v>
      </c>
      <c r="V167" s="348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348">
        <f>IF(V167&gt;0,ROUNDUP(INDEX(RAW!$K:$K,MAX(2,F167))/1000,0)*1000-ROUNDUP((INDEX(RAW!$K:$K,MAX(2,F167))-V167)/1000,0)*1000,0)</f>
        <v>0</v>
      </c>
      <c r="X167" s="335">
        <f t="shared" si="24"/>
        <v>0</v>
      </c>
      <c r="Y167" s="335">
        <f>IF(X167=1,COUNTIF($X$100:X167,1),0)</f>
        <v>0</v>
      </c>
      <c r="Z167" s="348">
        <f t="shared" si="25"/>
        <v>0</v>
      </c>
    </row>
    <row r="168" spans="1:26" ht="96" hidden="1" outlineLevel="1">
      <c r="A168" s="335" t="str">
        <f t="shared" si="19"/>
        <v>R2318</v>
      </c>
      <c r="B168" s="335" t="str">
        <f>IFERROR(INDEX(RAW!$F:$F,MAX(2,F168)),"")</f>
        <v>GOSTY</v>
      </c>
      <c r="C168" s="344" t="s">
        <v>12</v>
      </c>
      <c r="D168" s="346">
        <f>IFERROR(INDEX(RAW!$A:$A,MAX(2,F168)),"")</f>
        <v>46294.868759004632</v>
      </c>
      <c r="E168" s="347">
        <f>IFERROR(INDEX(RAW!$K:$K,MAX(2,F168)),"")</f>
        <v>22800</v>
      </c>
      <c r="F168" s="344">
        <v>2318</v>
      </c>
      <c r="G168" s="335" t="s">
        <v>2476</v>
      </c>
      <c r="H168" s="335" t="s">
        <v>2477</v>
      </c>
      <c r="O168" s="333" t="str">
        <f t="shared" si="20"/>
        <v/>
      </c>
      <c r="R168" s="335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335">
        <f t="shared" si="21"/>
        <v>46266</v>
      </c>
      <c r="T168" s="348">
        <f t="shared" si="22"/>
        <v>0</v>
      </c>
      <c r="U168" s="348">
        <f t="shared" si="23"/>
        <v>0</v>
      </c>
      <c r="V168" s="348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348">
        <f>IF(V168&gt;0,ROUNDUP(INDEX(RAW!$K:$K,MAX(2,F168))/1000,0)*1000-ROUNDUP((INDEX(RAW!$K:$K,MAX(2,F168))-V168)/1000,0)*1000,0)</f>
        <v>0</v>
      </c>
      <c r="X168" s="335">
        <f t="shared" si="24"/>
        <v>0</v>
      </c>
      <c r="Y168" s="335">
        <f>IF(X168=1,COUNTIF($X$100:X168,1),0)</f>
        <v>0</v>
      </c>
      <c r="Z168" s="348">
        <f t="shared" si="25"/>
        <v>0</v>
      </c>
    </row>
    <row r="169" spans="1:26" ht="96" hidden="1" outlineLevel="1">
      <c r="A169" s="335" t="str">
        <f t="shared" si="19"/>
        <v>R2354</v>
      </c>
      <c r="B169" s="335" t="str">
        <f>IFERROR(INDEX(RAW!$F:$F,MAX(2,F169)),"")</f>
        <v>연신내로데오약국</v>
      </c>
      <c r="C169" s="344" t="s">
        <v>12</v>
      </c>
      <c r="D169" s="346">
        <f>IFERROR(INDEX(RAW!$A:$A,MAX(2,F169)),"")</f>
        <v>46299.626390810183</v>
      </c>
      <c r="E169" s="347">
        <f>IFERROR(INDEX(RAW!$K:$K,MAX(2,F169)),"")</f>
        <v>6000</v>
      </c>
      <c r="F169" s="344">
        <v>2354</v>
      </c>
      <c r="G169" s="335" t="s">
        <v>2476</v>
      </c>
      <c r="H169" s="335" t="s">
        <v>2477</v>
      </c>
      <c r="O169" s="333" t="str">
        <f t="shared" si="20"/>
        <v/>
      </c>
      <c r="R169" s="335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335">
        <f t="shared" si="21"/>
        <v>46296</v>
      </c>
      <c r="T169" s="348">
        <f t="shared" si="22"/>
        <v>0</v>
      </c>
      <c r="U169" s="348">
        <f t="shared" si="23"/>
        <v>0</v>
      </c>
      <c r="V169" s="348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348">
        <f>IF(V169&gt;0,ROUNDUP(INDEX(RAW!$K:$K,MAX(2,F169))/1000,0)*1000-ROUNDUP((INDEX(RAW!$K:$K,MAX(2,F169))-V169)/1000,0)*1000,0)</f>
        <v>0</v>
      </c>
      <c r="X169" s="335">
        <f t="shared" si="24"/>
        <v>0</v>
      </c>
      <c r="Y169" s="335">
        <f>IF(X169=1,COUNTIF($X$100:X169,1),0)</f>
        <v>0</v>
      </c>
      <c r="Z169" s="348">
        <f t="shared" si="25"/>
        <v>0</v>
      </c>
    </row>
    <row r="170" spans="1:26" ht="96" hidden="1" outlineLevel="1">
      <c r="A170" s="335" t="str">
        <f t="shared" si="19"/>
        <v>R2367</v>
      </c>
      <c r="B170" s="335" t="str">
        <f>IFERROR(INDEX(RAW!$F:$F,MAX(2,F170)),"")</f>
        <v>네이버플러스 스토어</v>
      </c>
      <c r="C170" s="344" t="s">
        <v>12</v>
      </c>
      <c r="D170" s="346">
        <f>IFERROR(INDEX(RAW!$A:$A,MAX(2,F170)),"")</f>
        <v>46300.638203958333</v>
      </c>
      <c r="E170" s="347">
        <f>IFERROR(INDEX(RAW!$K:$K,MAX(2,F170)),"")</f>
        <v>71130</v>
      </c>
      <c r="F170" s="344">
        <v>2367</v>
      </c>
      <c r="G170" s="335" t="s">
        <v>2476</v>
      </c>
      <c r="H170" s="335" t="s">
        <v>2477</v>
      </c>
      <c r="O170" s="333" t="str">
        <f t="shared" si="20"/>
        <v/>
      </c>
      <c r="R170" s="335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335">
        <f t="shared" si="21"/>
        <v>46296</v>
      </c>
      <c r="T170" s="348">
        <f t="shared" si="22"/>
        <v>0</v>
      </c>
      <c r="U170" s="348">
        <f t="shared" si="23"/>
        <v>0</v>
      </c>
      <c r="V170" s="348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348">
        <f>IF(V170&gt;0,ROUNDUP(INDEX(RAW!$K:$K,MAX(2,F170))/1000,0)*1000-ROUNDUP((INDEX(RAW!$K:$K,MAX(2,F170))-V170)/1000,0)*1000,0)</f>
        <v>0</v>
      </c>
      <c r="X170" s="335">
        <f t="shared" si="24"/>
        <v>0</v>
      </c>
      <c r="Y170" s="335">
        <f>IF(X170=1,COUNTIF($X$100:X170,1),0)</f>
        <v>0</v>
      </c>
      <c r="Z170" s="348">
        <f t="shared" si="25"/>
        <v>0</v>
      </c>
    </row>
    <row r="171" spans="1:26" ht="96" hidden="1" outlineLevel="1">
      <c r="A171" s="335" t="str">
        <f t="shared" si="19"/>
        <v>R2379</v>
      </c>
      <c r="B171" s="335" t="str">
        <f>IFERROR(INDEX(RAW!$F:$F,MAX(2,F171)),"")</f>
        <v>NOL유니버스</v>
      </c>
      <c r="C171" s="344" t="s">
        <v>12</v>
      </c>
      <c r="D171" s="346">
        <f>IFERROR(INDEX(RAW!$A:$A,MAX(2,F171)),"")</f>
        <v>46302.799314027783</v>
      </c>
      <c r="E171" s="347">
        <f>IFERROR(INDEX(RAW!$K:$K,MAX(2,F171)),"")</f>
        <v>39000</v>
      </c>
      <c r="F171" s="344">
        <v>2379</v>
      </c>
      <c r="G171" s="335" t="s">
        <v>2476</v>
      </c>
      <c r="H171" s="335" t="s">
        <v>2477</v>
      </c>
      <c r="O171" s="333" t="str">
        <f t="shared" si="20"/>
        <v/>
      </c>
      <c r="R171" s="335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335">
        <f t="shared" si="21"/>
        <v>46296</v>
      </c>
      <c r="T171" s="348">
        <f t="shared" si="22"/>
        <v>0</v>
      </c>
      <c r="U171" s="348">
        <f t="shared" si="23"/>
        <v>0</v>
      </c>
      <c r="V171" s="348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348">
        <f>IF(V171&gt;0,ROUNDUP(INDEX(RAW!$K:$K,MAX(2,F171))/1000,0)*1000-ROUNDUP((INDEX(RAW!$K:$K,MAX(2,F171))-V171)/1000,0)*1000,0)</f>
        <v>0</v>
      </c>
      <c r="X171" s="335">
        <f t="shared" si="24"/>
        <v>0</v>
      </c>
      <c r="Y171" s="335">
        <f>IF(X171=1,COUNTIF($X$100:X171,1),0)</f>
        <v>0</v>
      </c>
      <c r="Z171" s="348">
        <f t="shared" si="25"/>
        <v>0</v>
      </c>
    </row>
    <row r="172" spans="1:26" ht="96" hidden="1" outlineLevel="1">
      <c r="A172" s="335" t="str">
        <f t="shared" ref="A172:A177" si="26">IF(F172="","","R"&amp;F172)</f>
        <v>R2380</v>
      </c>
      <c r="B172" s="335" t="str">
        <f>IFERROR(INDEX(RAW!$F:$F,MAX(2,F172)),"")</f>
        <v>여기어때</v>
      </c>
      <c r="C172" s="344" t="s">
        <v>12</v>
      </c>
      <c r="D172" s="346">
        <f>IFERROR(INDEX(RAW!$A:$A,MAX(2,F172)),"")</f>
        <v>46302.799315416669</v>
      </c>
      <c r="E172" s="347">
        <f>IFERROR(INDEX(RAW!$K:$K,MAX(2,F172)),"")</f>
        <v>35000</v>
      </c>
      <c r="F172" s="344">
        <v>2380</v>
      </c>
      <c r="G172" s="335" t="s">
        <v>2476</v>
      </c>
      <c r="H172" s="335" t="s">
        <v>2477</v>
      </c>
      <c r="O172" s="333" t="str">
        <f t="shared" si="20"/>
        <v/>
      </c>
      <c r="R172" s="335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335">
        <f t="shared" si="21"/>
        <v>46296</v>
      </c>
      <c r="T172" s="348">
        <f t="shared" si="22"/>
        <v>0</v>
      </c>
      <c r="U172" s="348">
        <f t="shared" si="23"/>
        <v>0</v>
      </c>
      <c r="V172" s="348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348">
        <f>IF(V172&gt;0,ROUNDUP(INDEX(RAW!$K:$K,MAX(2,F172))/1000,0)*1000-ROUNDUP((INDEX(RAW!$K:$K,MAX(2,F172))-V172)/1000,0)*1000,0)</f>
        <v>0</v>
      </c>
      <c r="X172" s="335">
        <f t="shared" si="24"/>
        <v>0</v>
      </c>
      <c r="Y172" s="335">
        <f>IF(X172=1,COUNTIF($X$100:X172,1),0)</f>
        <v>0</v>
      </c>
      <c r="Z172" s="348">
        <f t="shared" si="25"/>
        <v>0</v>
      </c>
    </row>
    <row r="173" spans="1:26" ht="96" hidden="1" outlineLevel="1">
      <c r="A173" s="335" t="str">
        <f t="shared" si="26"/>
        <v>R2399</v>
      </c>
      <c r="B173" s="335" t="str">
        <f>IFERROR(INDEX(RAW!$F:$F,MAX(2,F173)),"")</f>
        <v>CU</v>
      </c>
      <c r="C173" s="344" t="s">
        <v>12</v>
      </c>
      <c r="D173" s="346">
        <f>IFERROR(INDEX(RAW!$A:$A,MAX(2,F173)),"")</f>
        <v>46303.804867430546</v>
      </c>
      <c r="E173" s="347">
        <f>IFERROR(INDEX(RAW!$K:$K,MAX(2,F173)),"")</f>
        <v>6300</v>
      </c>
      <c r="F173" s="344">
        <v>2399</v>
      </c>
      <c r="G173" s="335" t="s">
        <v>2476</v>
      </c>
      <c r="H173" s="335" t="s">
        <v>2477</v>
      </c>
      <c r="O173" s="333" t="str">
        <f t="shared" si="20"/>
        <v/>
      </c>
      <c r="R173" s="335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335">
        <f t="shared" si="21"/>
        <v>46296</v>
      </c>
      <c r="T173" s="348">
        <f t="shared" si="22"/>
        <v>0</v>
      </c>
      <c r="U173" s="348">
        <f t="shared" si="23"/>
        <v>0</v>
      </c>
      <c r="V173" s="348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348">
        <f>IF(V173&gt;0,ROUNDUP(INDEX(RAW!$K:$K,MAX(2,F173))/1000,0)*1000-ROUNDUP((INDEX(RAW!$K:$K,MAX(2,F173))-V173)/1000,0)*1000,0)</f>
        <v>0</v>
      </c>
      <c r="X173" s="335">
        <f t="shared" si="24"/>
        <v>0</v>
      </c>
      <c r="Y173" s="335">
        <f>IF(X173=1,COUNTIF($X$100:X173,1),0)</f>
        <v>0</v>
      </c>
      <c r="Z173" s="348">
        <f t="shared" si="25"/>
        <v>0</v>
      </c>
    </row>
    <row r="174" spans="1:26" ht="96" hidden="1" outlineLevel="1">
      <c r="A174" s="335" t="str">
        <f t="shared" si="26"/>
        <v>R2414</v>
      </c>
      <c r="B174" s="335" t="str">
        <f>IFERROR(INDEX(RAW!$F:$F,MAX(2,F174)),"")</f>
        <v>올리브영</v>
      </c>
      <c r="C174" s="344" t="s">
        <v>12</v>
      </c>
      <c r="D174" s="346">
        <f>IFERROR(INDEX(RAW!$A:$A,MAX(2,F174)),"")</f>
        <v>46304.820147800929</v>
      </c>
      <c r="E174" s="347">
        <f>IFERROR(INDEX(RAW!$K:$K,MAX(2,F174)),"")</f>
        <v>36900</v>
      </c>
      <c r="F174" s="344">
        <v>2414</v>
      </c>
      <c r="G174" s="335" t="s">
        <v>2476</v>
      </c>
      <c r="H174" s="335" t="s">
        <v>2477</v>
      </c>
      <c r="O174" s="333" t="str">
        <f t="shared" si="20"/>
        <v/>
      </c>
      <c r="R174" s="335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335">
        <f t="shared" si="21"/>
        <v>46296</v>
      </c>
      <c r="T174" s="348">
        <f t="shared" si="22"/>
        <v>0</v>
      </c>
      <c r="U174" s="348">
        <f t="shared" si="23"/>
        <v>0</v>
      </c>
      <c r="V174" s="348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348">
        <f>IF(V174&gt;0,ROUNDUP(INDEX(RAW!$K:$K,MAX(2,F174))/1000,0)*1000-ROUNDUP((INDEX(RAW!$K:$K,MAX(2,F174))-V174)/1000,0)*1000,0)</f>
        <v>0</v>
      </c>
      <c r="X174" s="335">
        <f t="shared" si="24"/>
        <v>0</v>
      </c>
      <c r="Y174" s="335">
        <f>IF(X174=1,COUNTIF($X$100:X174,1),0)</f>
        <v>0</v>
      </c>
      <c r="Z174" s="348">
        <f t="shared" si="25"/>
        <v>0</v>
      </c>
    </row>
    <row r="175" spans="1:26" ht="96" hidden="1" outlineLevel="1">
      <c r="A175" s="335" t="str">
        <f t="shared" si="26"/>
        <v>R2418</v>
      </c>
      <c r="B175" s="335" t="str">
        <f>IFERROR(INDEX(RAW!$F:$F,MAX(2,F175)),"")</f>
        <v>쿠팡</v>
      </c>
      <c r="C175" s="344" t="s">
        <v>12</v>
      </c>
      <c r="D175" s="346">
        <f>IFERROR(INDEX(RAW!$A:$A,MAX(2,F175)),"")</f>
        <v>46305.812503981477</v>
      </c>
      <c r="E175" s="347">
        <f>IFERROR(INDEX(RAW!$K:$K,MAX(2,F175)),"")</f>
        <v>26900</v>
      </c>
      <c r="F175" s="344">
        <v>2418</v>
      </c>
      <c r="G175" s="335" t="s">
        <v>2476</v>
      </c>
      <c r="H175" s="335" t="s">
        <v>2477</v>
      </c>
      <c r="O175" s="333" t="str">
        <f t="shared" si="20"/>
        <v/>
      </c>
      <c r="R175" s="335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335">
        <f t="shared" si="21"/>
        <v>46296</v>
      </c>
      <c r="T175" s="348">
        <f t="shared" si="22"/>
        <v>0</v>
      </c>
      <c r="U175" s="348">
        <f t="shared" si="23"/>
        <v>0</v>
      </c>
      <c r="V175" s="348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348">
        <f>IF(V175&gt;0,ROUNDUP(INDEX(RAW!$K:$K,MAX(2,F175))/1000,0)*1000-ROUNDUP((INDEX(RAW!$K:$K,MAX(2,F175))-V175)/1000,0)*1000,0)</f>
        <v>0</v>
      </c>
      <c r="X175" s="335">
        <f t="shared" si="24"/>
        <v>0</v>
      </c>
      <c r="Y175" s="335">
        <f>IF(X175=1,COUNTIF($X$100:X175,1),0)</f>
        <v>0</v>
      </c>
      <c r="Z175" s="348">
        <f t="shared" si="25"/>
        <v>0</v>
      </c>
    </row>
    <row r="176" spans="1:26" ht="96" hidden="1" outlineLevel="1">
      <c r="A176" s="335" t="str">
        <f t="shared" si="26"/>
        <v>R2433</v>
      </c>
      <c r="B176" s="335" t="str">
        <f>IFERROR(INDEX(RAW!$F:$F,MAX(2,F176)),"")</f>
        <v>코레일</v>
      </c>
      <c r="C176" s="344" t="s">
        <v>12</v>
      </c>
      <c r="D176" s="346">
        <f>IFERROR(INDEX(RAW!$A:$A,MAX(2,F176)),"")</f>
        <v>46307.82638943287</v>
      </c>
      <c r="E176" s="347">
        <f>IFERROR(INDEX(RAW!$K:$K,MAX(2,F176)),"")</f>
        <v>53900</v>
      </c>
      <c r="F176" s="344">
        <v>2433</v>
      </c>
      <c r="G176" s="335" t="s">
        <v>2476</v>
      </c>
      <c r="H176" s="335" t="s">
        <v>2477</v>
      </c>
      <c r="O176" s="333" t="str">
        <f t="shared" si="20"/>
        <v/>
      </c>
      <c r="R176" s="335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335">
        <f t="shared" si="21"/>
        <v>46296</v>
      </c>
      <c r="T176" s="348">
        <f t="shared" si="22"/>
        <v>0</v>
      </c>
      <c r="U176" s="348">
        <f t="shared" si="23"/>
        <v>0</v>
      </c>
      <c r="V176" s="348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348">
        <f>IF(V176&gt;0,ROUNDUP(INDEX(RAW!$K:$K,MAX(2,F176))/1000,0)*1000-ROUNDUP((INDEX(RAW!$K:$K,MAX(2,F176))-V176)/1000,0)*1000,0)</f>
        <v>0</v>
      </c>
      <c r="X176" s="335">
        <f t="shared" si="24"/>
        <v>0</v>
      </c>
      <c r="Y176" s="335">
        <f>IF(X176=1,COUNTIF($X$100:X176,1),0)</f>
        <v>0</v>
      </c>
      <c r="Z176" s="348">
        <f t="shared" si="25"/>
        <v>0</v>
      </c>
    </row>
    <row r="177" spans="1:26" ht="96" hidden="1" outlineLevel="1">
      <c r="A177" s="335" t="str">
        <f t="shared" si="26"/>
        <v>R2459</v>
      </c>
      <c r="B177" s="335" t="str">
        <f>IFERROR(INDEX(RAW!$F:$F,MAX(2,F177)),"")</f>
        <v>코레일</v>
      </c>
      <c r="C177" s="344" t="s">
        <v>12</v>
      </c>
      <c r="D177" s="346">
        <f>IFERROR(INDEX(RAW!$A:$A,MAX(2,F177)),"")</f>
        <v>46309.872691180557</v>
      </c>
      <c r="E177" s="347">
        <f>IFERROR(INDEX(RAW!$K:$K,MAX(2,F177)),"")</f>
        <v>53900</v>
      </c>
      <c r="F177" s="344">
        <v>2459</v>
      </c>
      <c r="G177" s="335" t="s">
        <v>2476</v>
      </c>
      <c r="H177" s="335" t="s">
        <v>2477</v>
      </c>
      <c r="O177" s="333" t="str">
        <f t="shared" si="20"/>
        <v/>
      </c>
      <c r="R177" s="335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335">
        <f t="shared" si="21"/>
        <v>46296</v>
      </c>
      <c r="T177" s="348">
        <f t="shared" si="22"/>
        <v>0</v>
      </c>
      <c r="U177" s="348">
        <f t="shared" si="23"/>
        <v>0</v>
      </c>
      <c r="V177" s="348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348">
        <f>IF(V177&gt;0,ROUNDUP(INDEX(RAW!$K:$K,MAX(2,F177))/1000,0)*1000-ROUNDUP((INDEX(RAW!$K:$K,MAX(2,F177))-V177)/1000,0)*1000,0)</f>
        <v>0</v>
      </c>
      <c r="X177" s="335">
        <f t="shared" si="24"/>
        <v>0</v>
      </c>
      <c r="Y177" s="335">
        <f>IF(X177=1,COUNTIF($X$100:X177,1),0)</f>
        <v>0</v>
      </c>
      <c r="Z177" s="348">
        <f t="shared" si="25"/>
        <v>0</v>
      </c>
    </row>
    <row r="178" spans="1:26" ht="16" hidden="1" outlineLevel="1">
      <c r="A178" s="335" t="str">
        <f t="shared" ref="A178:A241" si="27">IF(F178="","",IF(F178&gt;0,"R"&amp;F178,""))</f>
        <v/>
      </c>
      <c r="B178" s="335" t="str">
        <f>IF(F178="","",IFERROR(INDEX(RAW!$F:$F,MAX(2,F178)),""))</f>
        <v/>
      </c>
      <c r="C178" s="344"/>
      <c r="D178" s="346" t="str">
        <f>IF(F178="","",IFERROR(INDEX(RAW!$A:$A,MAX(2,F178)),""))</f>
        <v/>
      </c>
      <c r="E178" s="347" t="str">
        <f>IF(F178="","",IFERROR(INDEX(RAW!$K:$K,MAX(2,F178)),0))</f>
        <v/>
      </c>
      <c r="F178" s="344"/>
      <c r="G178" s="335" t="s">
        <v>2476</v>
      </c>
      <c r="O178" s="333" t="str">
        <f t="shared" si="20"/>
        <v/>
      </c>
      <c r="R178" s="335" t="str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  <v/>
      </c>
      <c r="S178" s="335">
        <f t="shared" si="21"/>
        <v>0</v>
      </c>
      <c r="T178" s="348">
        <f t="shared" si="22"/>
        <v>0</v>
      </c>
      <c r="U178" s="348">
        <f t="shared" si="23"/>
        <v>0</v>
      </c>
      <c r="V178" s="348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348">
        <f>IF(V178&gt;0,ROUNDUP(INDEX(RAW!$K:$K,MAX(2,F178))/1000,0)*1000-ROUNDUP((INDEX(RAW!$K:$K,MAX(2,F178))-V178)/1000,0)*1000,0)</f>
        <v>0</v>
      </c>
      <c r="X178" s="335">
        <f t="shared" si="24"/>
        <v>0</v>
      </c>
      <c r="Y178" s="335">
        <f>IF(X178=1,COUNTIF($X$100:X178,1),0)</f>
        <v>0</v>
      </c>
      <c r="Z178" s="348">
        <f t="shared" si="25"/>
        <v>0</v>
      </c>
    </row>
    <row r="179" spans="1:26" ht="16" hidden="1" outlineLevel="1">
      <c r="A179" s="335" t="str">
        <f t="shared" si="27"/>
        <v/>
      </c>
      <c r="B179" s="335" t="str">
        <f>IF(F179="","",IFERROR(INDEX(RAW!$F:$F,MAX(2,F179)),""))</f>
        <v/>
      </c>
      <c r="C179" s="344"/>
      <c r="D179" s="346" t="str">
        <f>IF(F179="","",IFERROR(INDEX(RAW!$A:$A,MAX(2,F179)),""))</f>
        <v/>
      </c>
      <c r="E179" s="347" t="str">
        <f>IF(F179="","",IFERROR(INDEX(RAW!$K:$K,MAX(2,F179)),0))</f>
        <v/>
      </c>
      <c r="F179" s="344"/>
      <c r="G179" s="335" t="s">
        <v>2476</v>
      </c>
      <c r="O179" s="333" t="str">
        <f t="shared" si="20"/>
        <v/>
      </c>
      <c r="R179" s="335" t="str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  <v/>
      </c>
      <c r="S179" s="335">
        <f t="shared" si="21"/>
        <v>0</v>
      </c>
      <c r="T179" s="348">
        <f t="shared" si="22"/>
        <v>0</v>
      </c>
      <c r="U179" s="348">
        <f t="shared" si="23"/>
        <v>0</v>
      </c>
      <c r="V179" s="348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348">
        <f>IF(V179&gt;0,ROUNDUP(INDEX(RAW!$K:$K,MAX(2,F179))/1000,0)*1000-ROUNDUP((INDEX(RAW!$K:$K,MAX(2,F179))-V179)/1000,0)*1000,0)</f>
        <v>0</v>
      </c>
      <c r="X179" s="335">
        <f t="shared" si="24"/>
        <v>0</v>
      </c>
      <c r="Y179" s="335">
        <f>IF(X179=1,COUNTIF($X$100:X179,1),0)</f>
        <v>0</v>
      </c>
      <c r="Z179" s="348">
        <f t="shared" si="25"/>
        <v>0</v>
      </c>
    </row>
    <row r="180" spans="1:26" ht="16" hidden="1" outlineLevel="1">
      <c r="A180" s="335" t="str">
        <f t="shared" si="27"/>
        <v/>
      </c>
      <c r="B180" s="335" t="str">
        <f>IF(F180="","",IFERROR(INDEX(RAW!$F:$F,MAX(2,F180)),""))</f>
        <v/>
      </c>
      <c r="C180" s="344"/>
      <c r="D180" s="346" t="str">
        <f>IF(F180="","",IFERROR(INDEX(RAW!$A:$A,MAX(2,F180)),""))</f>
        <v/>
      </c>
      <c r="E180" s="347" t="str">
        <f>IF(F180="","",IFERROR(INDEX(RAW!$K:$K,MAX(2,F180)),0))</f>
        <v/>
      </c>
      <c r="F180" s="344"/>
      <c r="G180" s="335" t="s">
        <v>2476</v>
      </c>
      <c r="O180" s="333" t="str">
        <f t="shared" si="20"/>
        <v/>
      </c>
      <c r="R180" s="335" t="str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  <v/>
      </c>
      <c r="S180" s="335">
        <f t="shared" si="21"/>
        <v>0</v>
      </c>
      <c r="T180" s="348">
        <f t="shared" si="22"/>
        <v>0</v>
      </c>
      <c r="U180" s="348">
        <f t="shared" si="23"/>
        <v>0</v>
      </c>
      <c r="V180" s="348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348">
        <f>IF(V180&gt;0,ROUNDUP(INDEX(RAW!$K:$K,MAX(2,F180))/1000,0)*1000-ROUNDUP((INDEX(RAW!$K:$K,MAX(2,F180))-V180)/1000,0)*1000,0)</f>
        <v>0</v>
      </c>
      <c r="X180" s="335">
        <f t="shared" si="24"/>
        <v>0</v>
      </c>
      <c r="Y180" s="335">
        <f>IF(X180=1,COUNTIF($X$100:X180,1),0)</f>
        <v>0</v>
      </c>
      <c r="Z180" s="348">
        <f t="shared" si="25"/>
        <v>0</v>
      </c>
    </row>
    <row r="181" spans="1:26" ht="16" hidden="1" outlineLevel="1">
      <c r="A181" s="335" t="str">
        <f t="shared" si="27"/>
        <v/>
      </c>
      <c r="B181" s="335" t="str">
        <f>IF(F181="","",IFERROR(INDEX(RAW!$F:$F,MAX(2,F181)),""))</f>
        <v/>
      </c>
      <c r="C181" s="344"/>
      <c r="D181" s="346" t="str">
        <f>IF(F181="","",IFERROR(INDEX(RAW!$A:$A,MAX(2,F181)),""))</f>
        <v/>
      </c>
      <c r="E181" s="347" t="str">
        <f>IF(F181="","",IFERROR(INDEX(RAW!$K:$K,MAX(2,F181)),0))</f>
        <v/>
      </c>
      <c r="F181" s="344"/>
      <c r="G181" s="335" t="s">
        <v>2476</v>
      </c>
      <c r="O181" s="333" t="str">
        <f t="shared" si="20"/>
        <v/>
      </c>
      <c r="R181" s="335" t="str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  <v/>
      </c>
      <c r="S181" s="335">
        <f t="shared" si="21"/>
        <v>0</v>
      </c>
      <c r="T181" s="348">
        <f t="shared" si="22"/>
        <v>0</v>
      </c>
      <c r="U181" s="348">
        <f t="shared" si="23"/>
        <v>0</v>
      </c>
      <c r="V181" s="348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348">
        <f>IF(V181&gt;0,ROUNDUP(INDEX(RAW!$K:$K,MAX(2,F181))/1000,0)*1000-ROUNDUP((INDEX(RAW!$K:$K,MAX(2,F181))-V181)/1000,0)*1000,0)</f>
        <v>0</v>
      </c>
      <c r="X181" s="335">
        <f t="shared" si="24"/>
        <v>0</v>
      </c>
      <c r="Y181" s="335">
        <f>IF(X181=1,COUNTIF($X$100:X181,1),0)</f>
        <v>0</v>
      </c>
      <c r="Z181" s="348">
        <f t="shared" si="25"/>
        <v>0</v>
      </c>
    </row>
    <row r="182" spans="1:26" ht="16" hidden="1" outlineLevel="1">
      <c r="A182" s="335" t="str">
        <f t="shared" si="27"/>
        <v/>
      </c>
      <c r="B182" s="335" t="str">
        <f>IF(F182="","",IFERROR(INDEX(RAW!$F:$F,MAX(2,F182)),""))</f>
        <v/>
      </c>
      <c r="C182" s="344"/>
      <c r="D182" s="346" t="str">
        <f>IF(F182="","",IFERROR(INDEX(RAW!$A:$A,MAX(2,F182)),""))</f>
        <v/>
      </c>
      <c r="E182" s="347" t="str">
        <f>IF(F182="","",IFERROR(INDEX(RAW!$K:$K,MAX(2,F182)),0))</f>
        <v/>
      </c>
      <c r="F182" s="344"/>
      <c r="G182" s="335" t="s">
        <v>2476</v>
      </c>
      <c r="O182" s="333" t="str">
        <f t="shared" si="20"/>
        <v/>
      </c>
      <c r="R182" s="335" t="str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  <v/>
      </c>
      <c r="S182" s="335">
        <f t="shared" si="21"/>
        <v>0</v>
      </c>
      <c r="T182" s="348">
        <f t="shared" si="22"/>
        <v>0</v>
      </c>
      <c r="U182" s="348">
        <f t="shared" si="23"/>
        <v>0</v>
      </c>
      <c r="V182" s="348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348">
        <f>IF(V182&gt;0,ROUNDUP(INDEX(RAW!$K:$K,MAX(2,F182))/1000,0)*1000-ROUNDUP((INDEX(RAW!$K:$K,MAX(2,F182))-V182)/1000,0)*1000,0)</f>
        <v>0</v>
      </c>
      <c r="X182" s="335">
        <f t="shared" si="24"/>
        <v>0</v>
      </c>
      <c r="Y182" s="335">
        <f>IF(X182=1,COUNTIF($X$100:X182,1),0)</f>
        <v>0</v>
      </c>
      <c r="Z182" s="348">
        <f t="shared" si="25"/>
        <v>0</v>
      </c>
    </row>
    <row r="183" spans="1:26" ht="16" hidden="1" outlineLevel="1">
      <c r="A183" s="335" t="str">
        <f t="shared" si="27"/>
        <v/>
      </c>
      <c r="B183" s="335" t="str">
        <f>IF(F183="","",IFERROR(INDEX(RAW!$F:$F,MAX(2,F183)),""))</f>
        <v/>
      </c>
      <c r="C183" s="344"/>
      <c r="D183" s="346" t="str">
        <f>IF(F183="","",IFERROR(INDEX(RAW!$A:$A,MAX(2,F183)),""))</f>
        <v/>
      </c>
      <c r="E183" s="347" t="str">
        <f>IF(F183="","",IFERROR(INDEX(RAW!$K:$K,MAX(2,F183)),0))</f>
        <v/>
      </c>
      <c r="F183" s="344"/>
      <c r="G183" s="335" t="s">
        <v>2476</v>
      </c>
      <c r="O183" s="333" t="str">
        <f t="shared" si="20"/>
        <v/>
      </c>
      <c r="R183" s="335" t="str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  <v/>
      </c>
      <c r="S183" s="335">
        <f t="shared" si="21"/>
        <v>0</v>
      </c>
      <c r="T183" s="348">
        <f t="shared" si="22"/>
        <v>0</v>
      </c>
      <c r="U183" s="348">
        <f t="shared" si="23"/>
        <v>0</v>
      </c>
      <c r="V183" s="348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348">
        <f>IF(V183&gt;0,ROUNDUP(INDEX(RAW!$K:$K,MAX(2,F183))/1000,0)*1000-ROUNDUP((INDEX(RAW!$K:$K,MAX(2,F183))-V183)/1000,0)*1000,0)</f>
        <v>0</v>
      </c>
      <c r="X183" s="335">
        <f t="shared" si="24"/>
        <v>0</v>
      </c>
      <c r="Y183" s="335">
        <f>IF(X183=1,COUNTIF($X$100:X183,1),0)</f>
        <v>0</v>
      </c>
      <c r="Z183" s="348">
        <f t="shared" si="25"/>
        <v>0</v>
      </c>
    </row>
    <row r="184" spans="1:26" ht="16" hidden="1" outlineLevel="1">
      <c r="A184" s="335" t="str">
        <f t="shared" si="27"/>
        <v/>
      </c>
      <c r="B184" s="335" t="str">
        <f>IF(F184="","",IFERROR(INDEX(RAW!$F:$F,MAX(2,F184)),""))</f>
        <v/>
      </c>
      <c r="C184" s="344"/>
      <c r="D184" s="346" t="str">
        <f>IF(F184="","",IFERROR(INDEX(RAW!$A:$A,MAX(2,F184)),""))</f>
        <v/>
      </c>
      <c r="E184" s="347" t="str">
        <f>IF(F184="","",IFERROR(INDEX(RAW!$K:$K,MAX(2,F184)),0))</f>
        <v/>
      </c>
      <c r="F184" s="344"/>
      <c r="G184" s="335" t="s">
        <v>2476</v>
      </c>
      <c r="O184" s="333" t="str">
        <f t="shared" si="20"/>
        <v/>
      </c>
      <c r="R184" s="335" t="str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  <v/>
      </c>
      <c r="S184" s="335">
        <f t="shared" si="21"/>
        <v>0</v>
      </c>
      <c r="T184" s="348">
        <f t="shared" si="22"/>
        <v>0</v>
      </c>
      <c r="U184" s="348">
        <f t="shared" si="23"/>
        <v>0</v>
      </c>
      <c r="V184" s="348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348">
        <f>IF(V184&gt;0,ROUNDUP(INDEX(RAW!$K:$K,MAX(2,F184))/1000,0)*1000-ROUNDUP((INDEX(RAW!$K:$K,MAX(2,F184))-V184)/1000,0)*1000,0)</f>
        <v>0</v>
      </c>
      <c r="X184" s="335">
        <f t="shared" si="24"/>
        <v>0</v>
      </c>
      <c r="Y184" s="335">
        <f>IF(X184=1,COUNTIF($X$100:X184,1),0)</f>
        <v>0</v>
      </c>
      <c r="Z184" s="348">
        <f t="shared" si="25"/>
        <v>0</v>
      </c>
    </row>
    <row r="185" spans="1:26" ht="16" hidden="1" outlineLevel="1">
      <c r="A185" s="335" t="str">
        <f t="shared" si="27"/>
        <v/>
      </c>
      <c r="B185" s="335" t="str">
        <f>IF(F185="","",IFERROR(INDEX(RAW!$F:$F,MAX(2,F185)),""))</f>
        <v/>
      </c>
      <c r="C185" s="344"/>
      <c r="D185" s="346" t="str">
        <f>IF(F185="","",IFERROR(INDEX(RAW!$A:$A,MAX(2,F185)),""))</f>
        <v/>
      </c>
      <c r="E185" s="347" t="str">
        <f>IF(F185="","",IFERROR(INDEX(RAW!$K:$K,MAX(2,F185)),0))</f>
        <v/>
      </c>
      <c r="F185" s="344"/>
      <c r="G185" s="335" t="s">
        <v>2476</v>
      </c>
      <c r="O185" s="333" t="str">
        <f t="shared" si="20"/>
        <v/>
      </c>
      <c r="R185" s="335" t="str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  <v/>
      </c>
      <c r="S185" s="335">
        <f t="shared" si="21"/>
        <v>0</v>
      </c>
      <c r="T185" s="348">
        <f t="shared" si="22"/>
        <v>0</v>
      </c>
      <c r="U185" s="348">
        <f t="shared" si="23"/>
        <v>0</v>
      </c>
      <c r="V185" s="348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348">
        <f>IF(V185&gt;0,ROUNDUP(INDEX(RAW!$K:$K,MAX(2,F185))/1000,0)*1000-ROUNDUP((INDEX(RAW!$K:$K,MAX(2,F185))-V185)/1000,0)*1000,0)</f>
        <v>0</v>
      </c>
      <c r="X185" s="335">
        <f t="shared" si="24"/>
        <v>0</v>
      </c>
      <c r="Y185" s="335">
        <f>IF(X185=1,COUNTIF($X$100:X185,1),0)</f>
        <v>0</v>
      </c>
      <c r="Z185" s="348">
        <f t="shared" si="25"/>
        <v>0</v>
      </c>
    </row>
    <row r="186" spans="1:26" ht="16" hidden="1" outlineLevel="1">
      <c r="A186" s="335" t="str">
        <f t="shared" si="27"/>
        <v/>
      </c>
      <c r="B186" s="335" t="str">
        <f>IF(F186="","",IFERROR(INDEX(RAW!$F:$F,MAX(2,F186)),""))</f>
        <v/>
      </c>
      <c r="C186" s="344"/>
      <c r="D186" s="346" t="str">
        <f>IF(F186="","",IFERROR(INDEX(RAW!$A:$A,MAX(2,F186)),""))</f>
        <v/>
      </c>
      <c r="E186" s="347" t="str">
        <f>IF(F186="","",IFERROR(INDEX(RAW!$K:$K,MAX(2,F186)),0))</f>
        <v/>
      </c>
      <c r="F186" s="344"/>
      <c r="G186" s="335" t="s">
        <v>2476</v>
      </c>
      <c r="O186" s="333" t="str">
        <f t="shared" si="20"/>
        <v/>
      </c>
      <c r="R186" s="335" t="str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  <v/>
      </c>
      <c r="S186" s="335">
        <f t="shared" si="21"/>
        <v>0</v>
      </c>
      <c r="T186" s="348">
        <f t="shared" si="22"/>
        <v>0</v>
      </c>
      <c r="U186" s="348">
        <f t="shared" si="23"/>
        <v>0</v>
      </c>
      <c r="V186" s="348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348">
        <f>IF(V186&gt;0,ROUNDUP(INDEX(RAW!$K:$K,MAX(2,F186))/1000,0)*1000-ROUNDUP((INDEX(RAW!$K:$K,MAX(2,F186))-V186)/1000,0)*1000,0)</f>
        <v>0</v>
      </c>
      <c r="X186" s="335">
        <f t="shared" si="24"/>
        <v>0</v>
      </c>
      <c r="Y186" s="335">
        <f>IF(X186=1,COUNTIF($X$100:X186,1),0)</f>
        <v>0</v>
      </c>
      <c r="Z186" s="348">
        <f t="shared" si="25"/>
        <v>0</v>
      </c>
    </row>
    <row r="187" spans="1:26" ht="16" hidden="1" outlineLevel="1">
      <c r="A187" s="335" t="str">
        <f t="shared" si="27"/>
        <v/>
      </c>
      <c r="B187" s="335" t="str">
        <f>IF(F187="","",IFERROR(INDEX(RAW!$F:$F,MAX(2,F187)),""))</f>
        <v/>
      </c>
      <c r="C187" s="344"/>
      <c r="D187" s="346" t="str">
        <f>IF(F187="","",IFERROR(INDEX(RAW!$A:$A,MAX(2,F187)),""))</f>
        <v/>
      </c>
      <c r="E187" s="347" t="str">
        <f>IF(F187="","",IFERROR(INDEX(RAW!$K:$K,MAX(2,F187)),0))</f>
        <v/>
      </c>
      <c r="F187" s="344"/>
      <c r="G187" s="335" t="s">
        <v>2476</v>
      </c>
      <c r="O187" s="333" t="str">
        <f t="shared" si="20"/>
        <v/>
      </c>
      <c r="R187" s="335" t="str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  <v/>
      </c>
      <c r="S187" s="335">
        <f t="shared" si="21"/>
        <v>0</v>
      </c>
      <c r="T187" s="348">
        <f t="shared" si="22"/>
        <v>0</v>
      </c>
      <c r="U187" s="348">
        <f t="shared" si="23"/>
        <v>0</v>
      </c>
      <c r="V187" s="348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348">
        <f>IF(V187&gt;0,ROUNDUP(INDEX(RAW!$K:$K,MAX(2,F187))/1000,0)*1000-ROUNDUP((INDEX(RAW!$K:$K,MAX(2,F187))-V187)/1000,0)*1000,0)</f>
        <v>0</v>
      </c>
      <c r="X187" s="335">
        <f t="shared" si="24"/>
        <v>0</v>
      </c>
      <c r="Y187" s="335">
        <f>IF(X187=1,COUNTIF($X$100:X187,1),0)</f>
        <v>0</v>
      </c>
      <c r="Z187" s="348">
        <f t="shared" si="25"/>
        <v>0</v>
      </c>
    </row>
    <row r="188" spans="1:26" ht="16" hidden="1" outlineLevel="1">
      <c r="A188" s="335" t="str">
        <f t="shared" si="27"/>
        <v/>
      </c>
      <c r="B188" s="335" t="str">
        <f>IF(F188="","",IFERROR(INDEX(RAW!$F:$F,MAX(2,F188)),""))</f>
        <v/>
      </c>
      <c r="C188" s="344"/>
      <c r="D188" s="346" t="str">
        <f>IF(F188="","",IFERROR(INDEX(RAW!$A:$A,MAX(2,F188)),""))</f>
        <v/>
      </c>
      <c r="E188" s="347" t="str">
        <f>IF(F188="","",IFERROR(INDEX(RAW!$K:$K,MAX(2,F188)),0))</f>
        <v/>
      </c>
      <c r="F188" s="344"/>
      <c r="G188" s="335" t="s">
        <v>2476</v>
      </c>
      <c r="O188" s="333" t="str">
        <f t="shared" si="20"/>
        <v/>
      </c>
      <c r="R188" s="335" t="str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  <v/>
      </c>
      <c r="S188" s="335">
        <f t="shared" si="21"/>
        <v>0</v>
      </c>
      <c r="T188" s="348">
        <f t="shared" si="22"/>
        <v>0</v>
      </c>
      <c r="U188" s="348">
        <f t="shared" si="23"/>
        <v>0</v>
      </c>
      <c r="V188" s="348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348">
        <f>IF(V188&gt;0,ROUNDUP(INDEX(RAW!$K:$K,MAX(2,F188))/1000,0)*1000-ROUNDUP((INDEX(RAW!$K:$K,MAX(2,F188))-V188)/1000,0)*1000,0)</f>
        <v>0</v>
      </c>
      <c r="X188" s="335">
        <f t="shared" si="24"/>
        <v>0</v>
      </c>
      <c r="Y188" s="335">
        <f>IF(X188=1,COUNTIF($X$100:X188,1),0)</f>
        <v>0</v>
      </c>
      <c r="Z188" s="348">
        <f t="shared" si="25"/>
        <v>0</v>
      </c>
    </row>
    <row r="189" spans="1:26" ht="16" hidden="1" outlineLevel="1">
      <c r="A189" s="335" t="str">
        <f t="shared" si="27"/>
        <v/>
      </c>
      <c r="B189" s="335" t="str">
        <f>IF(F189="","",IFERROR(INDEX(RAW!$F:$F,MAX(2,F189)),""))</f>
        <v/>
      </c>
      <c r="C189" s="344"/>
      <c r="D189" s="346" t="str">
        <f>IF(F189="","",IFERROR(INDEX(RAW!$A:$A,MAX(2,F189)),""))</f>
        <v/>
      </c>
      <c r="E189" s="347" t="str">
        <f>IF(F189="","",IFERROR(INDEX(RAW!$K:$K,MAX(2,F189)),0))</f>
        <v/>
      </c>
      <c r="F189" s="344"/>
      <c r="G189" s="335" t="s">
        <v>2476</v>
      </c>
      <c r="O189" s="333" t="str">
        <f t="shared" si="20"/>
        <v/>
      </c>
      <c r="R189" s="335" t="str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  <v/>
      </c>
      <c r="S189" s="335">
        <f t="shared" si="21"/>
        <v>0</v>
      </c>
      <c r="T189" s="348">
        <f t="shared" si="22"/>
        <v>0</v>
      </c>
      <c r="U189" s="348">
        <f t="shared" si="23"/>
        <v>0</v>
      </c>
      <c r="V189" s="348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348">
        <f>IF(V189&gt;0,ROUNDUP(INDEX(RAW!$K:$K,MAX(2,F189))/1000,0)*1000-ROUNDUP((INDEX(RAW!$K:$K,MAX(2,F189))-V189)/1000,0)*1000,0)</f>
        <v>0</v>
      </c>
      <c r="X189" s="335">
        <f t="shared" si="24"/>
        <v>0</v>
      </c>
      <c r="Y189" s="335">
        <f>IF(X189=1,COUNTIF($X$100:X189,1),0)</f>
        <v>0</v>
      </c>
      <c r="Z189" s="348">
        <f t="shared" si="25"/>
        <v>0</v>
      </c>
    </row>
    <row r="190" spans="1:26" ht="16" hidden="1" outlineLevel="1">
      <c r="A190" s="335" t="str">
        <f t="shared" si="27"/>
        <v/>
      </c>
      <c r="B190" s="335" t="str">
        <f>IF(F190="","",IFERROR(INDEX(RAW!$F:$F,MAX(2,F190)),""))</f>
        <v/>
      </c>
      <c r="C190" s="344"/>
      <c r="D190" s="346" t="str">
        <f>IF(F190="","",IFERROR(INDEX(RAW!$A:$A,MAX(2,F190)),""))</f>
        <v/>
      </c>
      <c r="E190" s="347" t="str">
        <f>IF(F190="","",IFERROR(INDEX(RAW!$K:$K,MAX(2,F190)),0))</f>
        <v/>
      </c>
      <c r="F190" s="344"/>
      <c r="G190" s="335" t="s">
        <v>2476</v>
      </c>
      <c r="O190" s="333" t="str">
        <f t="shared" si="20"/>
        <v/>
      </c>
      <c r="R190" s="335" t="str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  <v/>
      </c>
      <c r="S190" s="335">
        <f t="shared" si="21"/>
        <v>0</v>
      </c>
      <c r="T190" s="348">
        <f t="shared" si="22"/>
        <v>0</v>
      </c>
      <c r="U190" s="348">
        <f t="shared" si="23"/>
        <v>0</v>
      </c>
      <c r="V190" s="348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348">
        <f>IF(V190&gt;0,ROUNDUP(INDEX(RAW!$K:$K,MAX(2,F190))/1000,0)*1000-ROUNDUP((INDEX(RAW!$K:$K,MAX(2,F190))-V190)/1000,0)*1000,0)</f>
        <v>0</v>
      </c>
      <c r="X190" s="335">
        <f t="shared" si="24"/>
        <v>0</v>
      </c>
      <c r="Y190" s="335">
        <f>IF(X190=1,COUNTIF($X$100:X190,1),0)</f>
        <v>0</v>
      </c>
      <c r="Z190" s="348">
        <f t="shared" si="25"/>
        <v>0</v>
      </c>
    </row>
    <row r="191" spans="1:26" ht="16" hidden="1" outlineLevel="1">
      <c r="A191" s="335" t="str">
        <f t="shared" si="27"/>
        <v/>
      </c>
      <c r="B191" s="335" t="str">
        <f>IF(F191="","",IFERROR(INDEX(RAW!$F:$F,MAX(2,F191)),""))</f>
        <v/>
      </c>
      <c r="C191" s="344"/>
      <c r="D191" s="346" t="str">
        <f>IF(F191="","",IFERROR(INDEX(RAW!$A:$A,MAX(2,F191)),""))</f>
        <v/>
      </c>
      <c r="E191" s="347" t="str">
        <f>IF(F191="","",IFERROR(INDEX(RAW!$K:$K,MAX(2,F191)),0))</f>
        <v/>
      </c>
      <c r="F191" s="344"/>
      <c r="G191" s="335" t="s">
        <v>2476</v>
      </c>
      <c r="O191" s="333" t="str">
        <f t="shared" si="20"/>
        <v/>
      </c>
      <c r="R191" s="335" t="str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  <v/>
      </c>
      <c r="S191" s="335">
        <f t="shared" si="21"/>
        <v>0</v>
      </c>
      <c r="T191" s="348">
        <f t="shared" si="22"/>
        <v>0</v>
      </c>
      <c r="U191" s="348">
        <f t="shared" si="23"/>
        <v>0</v>
      </c>
      <c r="V191" s="348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348">
        <f>IF(V191&gt;0,ROUNDUP(INDEX(RAW!$K:$K,MAX(2,F191))/1000,0)*1000-ROUNDUP((INDEX(RAW!$K:$K,MAX(2,F191))-V191)/1000,0)*1000,0)</f>
        <v>0</v>
      </c>
      <c r="X191" s="335">
        <f t="shared" si="24"/>
        <v>0</v>
      </c>
      <c r="Y191" s="335">
        <f>IF(X191=1,COUNTIF($X$100:X191,1),0)</f>
        <v>0</v>
      </c>
      <c r="Z191" s="348">
        <f t="shared" si="25"/>
        <v>0</v>
      </c>
    </row>
    <row r="192" spans="1:26" ht="16" hidden="1" outlineLevel="1">
      <c r="A192" s="335" t="str">
        <f t="shared" si="27"/>
        <v/>
      </c>
      <c r="B192" s="335" t="str">
        <f>IF(F192="","",IFERROR(INDEX(RAW!$F:$F,MAX(2,F192)),""))</f>
        <v/>
      </c>
      <c r="C192" s="344"/>
      <c r="D192" s="346" t="str">
        <f>IF(F192="","",IFERROR(INDEX(RAW!$A:$A,MAX(2,F192)),""))</f>
        <v/>
      </c>
      <c r="E192" s="347" t="str">
        <f>IF(F192="","",IFERROR(INDEX(RAW!$K:$K,MAX(2,F192)),0))</f>
        <v/>
      </c>
      <c r="F192" s="344"/>
      <c r="G192" s="335" t="s">
        <v>2476</v>
      </c>
      <c r="O192" s="333" t="str">
        <f t="shared" si="20"/>
        <v/>
      </c>
      <c r="R192" s="335" t="str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  <v/>
      </c>
      <c r="S192" s="335">
        <f t="shared" si="21"/>
        <v>0</v>
      </c>
      <c r="T192" s="348">
        <f t="shared" si="22"/>
        <v>0</v>
      </c>
      <c r="U192" s="348">
        <f t="shared" si="23"/>
        <v>0</v>
      </c>
      <c r="V192" s="348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348">
        <f>IF(V192&gt;0,ROUNDUP(INDEX(RAW!$K:$K,MAX(2,F192))/1000,0)*1000-ROUNDUP((INDEX(RAW!$K:$K,MAX(2,F192))-V192)/1000,0)*1000,0)</f>
        <v>0</v>
      </c>
      <c r="X192" s="335">
        <f t="shared" si="24"/>
        <v>0</v>
      </c>
      <c r="Y192" s="335">
        <f>IF(X192=1,COUNTIF($X$100:X192,1),0)</f>
        <v>0</v>
      </c>
      <c r="Z192" s="348">
        <f t="shared" si="25"/>
        <v>0</v>
      </c>
    </row>
    <row r="193" spans="1:26" ht="16" hidden="1" outlineLevel="1">
      <c r="A193" s="335" t="str">
        <f t="shared" si="27"/>
        <v/>
      </c>
      <c r="B193" s="335" t="str">
        <f>IF(F193="","",IFERROR(INDEX(RAW!$F:$F,MAX(2,F193)),""))</f>
        <v/>
      </c>
      <c r="C193" s="344"/>
      <c r="D193" s="346" t="str">
        <f>IF(F193="","",IFERROR(INDEX(RAW!$A:$A,MAX(2,F193)),""))</f>
        <v/>
      </c>
      <c r="E193" s="347" t="str">
        <f>IF(F193="","",IFERROR(INDEX(RAW!$K:$K,MAX(2,F193)),0))</f>
        <v/>
      </c>
      <c r="F193" s="344"/>
      <c r="G193" s="335" t="s">
        <v>2476</v>
      </c>
      <c r="O193" s="333" t="str">
        <f t="shared" si="20"/>
        <v/>
      </c>
      <c r="R193" s="335" t="str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  <v/>
      </c>
      <c r="S193" s="335">
        <f t="shared" si="21"/>
        <v>0</v>
      </c>
      <c r="T193" s="348">
        <f t="shared" si="22"/>
        <v>0</v>
      </c>
      <c r="U193" s="348">
        <f t="shared" si="23"/>
        <v>0</v>
      </c>
      <c r="V193" s="348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348">
        <f>IF(V193&gt;0,ROUNDUP(INDEX(RAW!$K:$K,MAX(2,F193))/1000,0)*1000-ROUNDUP((INDEX(RAW!$K:$K,MAX(2,F193))-V193)/1000,0)*1000,0)</f>
        <v>0</v>
      </c>
      <c r="X193" s="335">
        <f t="shared" si="24"/>
        <v>0</v>
      </c>
      <c r="Y193" s="335">
        <f>IF(X193=1,COUNTIF($X$100:X193,1),0)</f>
        <v>0</v>
      </c>
      <c r="Z193" s="348">
        <f t="shared" si="25"/>
        <v>0</v>
      </c>
    </row>
    <row r="194" spans="1:26" ht="16" hidden="1" outlineLevel="1">
      <c r="A194" s="335" t="str">
        <f t="shared" si="27"/>
        <v/>
      </c>
      <c r="B194" s="335" t="str">
        <f>IF(F194="","",IFERROR(INDEX(RAW!$F:$F,MAX(2,F194)),""))</f>
        <v/>
      </c>
      <c r="C194" s="344"/>
      <c r="D194" s="346" t="str">
        <f>IF(F194="","",IFERROR(INDEX(RAW!$A:$A,MAX(2,F194)),""))</f>
        <v/>
      </c>
      <c r="E194" s="347" t="str">
        <f>IF(F194="","",IFERROR(INDEX(RAW!$K:$K,MAX(2,F194)),0))</f>
        <v/>
      </c>
      <c r="F194" s="344"/>
      <c r="G194" s="335" t="s">
        <v>2476</v>
      </c>
      <c r="O194" s="333" t="str">
        <f t="shared" si="20"/>
        <v/>
      </c>
      <c r="R194" s="335" t="str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  <v/>
      </c>
      <c r="S194" s="335">
        <f t="shared" si="21"/>
        <v>0</v>
      </c>
      <c r="T194" s="348">
        <f t="shared" si="22"/>
        <v>0</v>
      </c>
      <c r="U194" s="348">
        <f t="shared" si="23"/>
        <v>0</v>
      </c>
      <c r="V194" s="348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348">
        <f>IF(V194&gt;0,ROUNDUP(INDEX(RAW!$K:$K,MAX(2,F194))/1000,0)*1000-ROUNDUP((INDEX(RAW!$K:$K,MAX(2,F194))-V194)/1000,0)*1000,0)</f>
        <v>0</v>
      </c>
      <c r="X194" s="335">
        <f t="shared" si="24"/>
        <v>0</v>
      </c>
      <c r="Y194" s="335">
        <f>IF(X194=1,COUNTIF($X$100:X194,1),0)</f>
        <v>0</v>
      </c>
      <c r="Z194" s="348">
        <f t="shared" si="25"/>
        <v>0</v>
      </c>
    </row>
    <row r="195" spans="1:26" ht="16" hidden="1" outlineLevel="1">
      <c r="A195" s="335" t="str">
        <f t="shared" si="27"/>
        <v/>
      </c>
      <c r="B195" s="335" t="str">
        <f>IF(F195="","",IFERROR(INDEX(RAW!$F:$F,MAX(2,F195)),""))</f>
        <v/>
      </c>
      <c r="C195" s="344"/>
      <c r="D195" s="346" t="str">
        <f>IF(F195="","",IFERROR(INDEX(RAW!$A:$A,MAX(2,F195)),""))</f>
        <v/>
      </c>
      <c r="E195" s="347" t="str">
        <f>IF(F195="","",IFERROR(INDEX(RAW!$K:$K,MAX(2,F195)),0))</f>
        <v/>
      </c>
      <c r="F195" s="344"/>
      <c r="G195" s="335" t="s">
        <v>2476</v>
      </c>
      <c r="O195" s="333" t="str">
        <f t="shared" si="20"/>
        <v/>
      </c>
      <c r="R195" s="335" t="str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  <v/>
      </c>
      <c r="S195" s="335">
        <f t="shared" si="21"/>
        <v>0</v>
      </c>
      <c r="T195" s="348">
        <f t="shared" si="22"/>
        <v>0</v>
      </c>
      <c r="U195" s="348">
        <f t="shared" si="23"/>
        <v>0</v>
      </c>
      <c r="V195" s="348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348">
        <f>IF(V195&gt;0,ROUNDUP(INDEX(RAW!$K:$K,MAX(2,F195))/1000,0)*1000-ROUNDUP((INDEX(RAW!$K:$K,MAX(2,F195))-V195)/1000,0)*1000,0)</f>
        <v>0</v>
      </c>
      <c r="X195" s="335">
        <f t="shared" si="24"/>
        <v>0</v>
      </c>
      <c r="Y195" s="335">
        <f>IF(X195=1,COUNTIF($X$100:X195,1),0)</f>
        <v>0</v>
      </c>
      <c r="Z195" s="348">
        <f t="shared" si="25"/>
        <v>0</v>
      </c>
    </row>
    <row r="196" spans="1:26" ht="16" hidden="1" outlineLevel="1">
      <c r="A196" s="335" t="str">
        <f t="shared" si="27"/>
        <v/>
      </c>
      <c r="B196" s="335" t="str">
        <f>IF(F196="","",IFERROR(INDEX(RAW!$F:$F,MAX(2,F196)),""))</f>
        <v/>
      </c>
      <c r="C196" s="344"/>
      <c r="D196" s="346" t="str">
        <f>IF(F196="","",IFERROR(INDEX(RAW!$A:$A,MAX(2,F196)),""))</f>
        <v/>
      </c>
      <c r="E196" s="347" t="str">
        <f>IF(F196="","",IFERROR(INDEX(RAW!$K:$K,MAX(2,F196)),0))</f>
        <v/>
      </c>
      <c r="F196" s="344"/>
      <c r="G196" s="335" t="s">
        <v>2476</v>
      </c>
      <c r="O196" s="333" t="str">
        <f t="shared" si="20"/>
        <v/>
      </c>
      <c r="R196" s="335" t="str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  <v/>
      </c>
      <c r="S196" s="335">
        <f t="shared" si="21"/>
        <v>0</v>
      </c>
      <c r="T196" s="348">
        <f t="shared" si="22"/>
        <v>0</v>
      </c>
      <c r="U196" s="348">
        <f t="shared" si="23"/>
        <v>0</v>
      </c>
      <c r="V196" s="348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348">
        <f>IF(V196&gt;0,ROUNDUP(INDEX(RAW!$K:$K,MAX(2,F196))/1000,0)*1000-ROUNDUP((INDEX(RAW!$K:$K,MAX(2,F196))-V196)/1000,0)*1000,0)</f>
        <v>0</v>
      </c>
      <c r="X196" s="335">
        <f t="shared" si="24"/>
        <v>0</v>
      </c>
      <c r="Y196" s="335">
        <f>IF(X196=1,COUNTIF($X$100:X196,1),0)</f>
        <v>0</v>
      </c>
      <c r="Z196" s="348">
        <f t="shared" si="25"/>
        <v>0</v>
      </c>
    </row>
    <row r="197" spans="1:26" ht="16" hidden="1" outlineLevel="1">
      <c r="A197" s="335" t="str">
        <f t="shared" si="27"/>
        <v/>
      </c>
      <c r="B197" s="335" t="str">
        <f>IF(F197="","",IFERROR(INDEX(RAW!$F:$F,MAX(2,F197)),""))</f>
        <v/>
      </c>
      <c r="C197" s="344"/>
      <c r="D197" s="346" t="str">
        <f>IF(F197="","",IFERROR(INDEX(RAW!$A:$A,MAX(2,F197)),""))</f>
        <v/>
      </c>
      <c r="E197" s="347" t="str">
        <f>IF(F197="","",IFERROR(INDEX(RAW!$K:$K,MAX(2,F197)),0))</f>
        <v/>
      </c>
      <c r="F197" s="344"/>
      <c r="G197" s="335" t="s">
        <v>2476</v>
      </c>
      <c r="O197" s="333" t="str">
        <f t="shared" si="20"/>
        <v/>
      </c>
      <c r="R197" s="335" t="str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  <v/>
      </c>
      <c r="S197" s="335">
        <f t="shared" si="21"/>
        <v>0</v>
      </c>
      <c r="T197" s="348">
        <f t="shared" si="22"/>
        <v>0</v>
      </c>
      <c r="U197" s="348">
        <f t="shared" si="23"/>
        <v>0</v>
      </c>
      <c r="V197" s="348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348">
        <f>IF(V197&gt;0,ROUNDUP(INDEX(RAW!$K:$K,MAX(2,F197))/1000,0)*1000-ROUNDUP((INDEX(RAW!$K:$K,MAX(2,F197))-V197)/1000,0)*1000,0)</f>
        <v>0</v>
      </c>
      <c r="X197" s="335">
        <f t="shared" si="24"/>
        <v>0</v>
      </c>
      <c r="Y197" s="335">
        <f>IF(X197=1,COUNTIF($X$100:X197,1),0)</f>
        <v>0</v>
      </c>
      <c r="Z197" s="348">
        <f t="shared" si="25"/>
        <v>0</v>
      </c>
    </row>
    <row r="198" spans="1:26" ht="16" hidden="1" outlineLevel="1">
      <c r="A198" s="335" t="str">
        <f t="shared" si="27"/>
        <v/>
      </c>
      <c r="B198" s="335" t="str">
        <f>IF(F198="","",IFERROR(INDEX(RAW!$F:$F,MAX(2,F198)),""))</f>
        <v/>
      </c>
      <c r="C198" s="344"/>
      <c r="D198" s="346" t="str">
        <f>IF(F198="","",IFERROR(INDEX(RAW!$A:$A,MAX(2,F198)),""))</f>
        <v/>
      </c>
      <c r="E198" s="347" t="str">
        <f>IF(F198="","",IFERROR(INDEX(RAW!$K:$K,MAX(2,F198)),0))</f>
        <v/>
      </c>
      <c r="F198" s="344"/>
      <c r="G198" s="335" t="s">
        <v>2476</v>
      </c>
      <c r="O198" s="333" t="str">
        <f t="shared" si="20"/>
        <v/>
      </c>
      <c r="R198" s="335" t="str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  <v/>
      </c>
      <c r="S198" s="335">
        <f t="shared" si="21"/>
        <v>0</v>
      </c>
      <c r="T198" s="348">
        <f t="shared" si="22"/>
        <v>0</v>
      </c>
      <c r="U198" s="348">
        <f t="shared" si="23"/>
        <v>0</v>
      </c>
      <c r="V198" s="348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348">
        <f>IF(V198&gt;0,ROUNDUP(INDEX(RAW!$K:$K,MAX(2,F198))/1000,0)*1000-ROUNDUP((INDEX(RAW!$K:$K,MAX(2,F198))-V198)/1000,0)*1000,0)</f>
        <v>0</v>
      </c>
      <c r="X198" s="335">
        <f t="shared" si="24"/>
        <v>0</v>
      </c>
      <c r="Y198" s="335">
        <f>IF(X198=1,COUNTIF($X$100:X198,1),0)</f>
        <v>0</v>
      </c>
      <c r="Z198" s="348">
        <f t="shared" si="25"/>
        <v>0</v>
      </c>
    </row>
    <row r="199" spans="1:26" ht="16" hidden="1" outlineLevel="1">
      <c r="A199" s="335" t="str">
        <f t="shared" si="27"/>
        <v/>
      </c>
      <c r="B199" s="335" t="str">
        <f>IF(F199="","",IFERROR(INDEX(RAW!$F:$F,MAX(2,F199)),""))</f>
        <v/>
      </c>
      <c r="C199" s="344"/>
      <c r="D199" s="346" t="str">
        <f>IF(F199="","",IFERROR(INDEX(RAW!$A:$A,MAX(2,F199)),""))</f>
        <v/>
      </c>
      <c r="E199" s="347" t="str">
        <f>IF(F199="","",IFERROR(INDEX(RAW!$K:$K,MAX(2,F199)),0))</f>
        <v/>
      </c>
      <c r="F199" s="344"/>
      <c r="G199" s="335" t="s">
        <v>2476</v>
      </c>
      <c r="O199" s="333" t="str">
        <f t="shared" si="20"/>
        <v/>
      </c>
      <c r="R199" s="335" t="str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  <v/>
      </c>
      <c r="S199" s="335">
        <f t="shared" si="21"/>
        <v>0</v>
      </c>
      <c r="T199" s="348">
        <f t="shared" si="22"/>
        <v>0</v>
      </c>
      <c r="U199" s="348">
        <f t="shared" si="23"/>
        <v>0</v>
      </c>
      <c r="V199" s="348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348">
        <f>IF(V199&gt;0,ROUNDUP(INDEX(RAW!$K:$K,MAX(2,F199))/1000,0)*1000-ROUNDUP((INDEX(RAW!$K:$K,MAX(2,F199))-V199)/1000,0)*1000,0)</f>
        <v>0</v>
      </c>
      <c r="X199" s="335">
        <f t="shared" si="24"/>
        <v>0</v>
      </c>
      <c r="Y199" s="335">
        <f>IF(X199=1,COUNTIF($X$100:X199,1),0)</f>
        <v>0</v>
      </c>
      <c r="Z199" s="348">
        <f t="shared" si="25"/>
        <v>0</v>
      </c>
    </row>
    <row r="200" spans="1:26" ht="16" hidden="1" outlineLevel="1">
      <c r="A200" s="335" t="str">
        <f t="shared" si="27"/>
        <v/>
      </c>
      <c r="B200" s="335" t="str">
        <f>IF(F200="","",IFERROR(INDEX(RAW!$F:$F,MAX(2,F200)),""))</f>
        <v/>
      </c>
      <c r="C200" s="344"/>
      <c r="D200" s="346" t="str">
        <f>IF(F200="","",IFERROR(INDEX(RAW!$A:$A,MAX(2,F200)),""))</f>
        <v/>
      </c>
      <c r="E200" s="347" t="str">
        <f>IF(F200="","",IFERROR(INDEX(RAW!$K:$K,MAX(2,F200)),0))</f>
        <v/>
      </c>
      <c r="F200" s="344"/>
      <c r="G200" s="335" t="s">
        <v>2476</v>
      </c>
      <c r="O200" s="333" t="str">
        <f t="shared" si="20"/>
        <v/>
      </c>
      <c r="R200" s="335" t="str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  <v/>
      </c>
      <c r="S200" s="335">
        <f t="shared" si="21"/>
        <v>0</v>
      </c>
      <c r="T200" s="348">
        <f t="shared" si="22"/>
        <v>0</v>
      </c>
      <c r="U200" s="348">
        <f t="shared" si="23"/>
        <v>0</v>
      </c>
      <c r="V200" s="348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348">
        <f>IF(V200&gt;0,ROUNDUP(INDEX(RAW!$K:$K,MAX(2,F200))/1000,0)*1000-ROUNDUP((INDEX(RAW!$K:$K,MAX(2,F200))-V200)/1000,0)*1000,0)</f>
        <v>0</v>
      </c>
      <c r="X200" s="335">
        <f t="shared" si="24"/>
        <v>0</v>
      </c>
      <c r="Y200" s="335">
        <f>IF(X200=1,COUNTIF($X$100:X200,1),0)</f>
        <v>0</v>
      </c>
      <c r="Z200" s="348">
        <f t="shared" si="25"/>
        <v>0</v>
      </c>
    </row>
    <row r="201" spans="1:26" ht="16" hidden="1" outlineLevel="1">
      <c r="A201" s="335" t="str">
        <f t="shared" si="27"/>
        <v/>
      </c>
      <c r="B201" s="335" t="str">
        <f>IF(F201="","",IFERROR(INDEX(RAW!$F:$F,MAX(2,F201)),""))</f>
        <v/>
      </c>
      <c r="C201" s="344"/>
      <c r="D201" s="346" t="str">
        <f>IF(F201="","",IFERROR(INDEX(RAW!$A:$A,MAX(2,F201)),""))</f>
        <v/>
      </c>
      <c r="E201" s="347" t="str">
        <f>IF(F201="","",IFERROR(INDEX(RAW!$K:$K,MAX(2,F201)),0))</f>
        <v/>
      </c>
      <c r="F201" s="344"/>
      <c r="G201" s="335" t="s">
        <v>2476</v>
      </c>
      <c r="O201" s="333" t="str">
        <f t="shared" si="20"/>
        <v/>
      </c>
      <c r="R201" s="335" t="str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  <v/>
      </c>
      <c r="S201" s="335">
        <f t="shared" si="21"/>
        <v>0</v>
      </c>
      <c r="T201" s="348">
        <f t="shared" si="22"/>
        <v>0</v>
      </c>
      <c r="U201" s="348">
        <f t="shared" si="23"/>
        <v>0</v>
      </c>
      <c r="V201" s="348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348">
        <f>IF(V201&gt;0,ROUNDUP(INDEX(RAW!$K:$K,MAX(2,F201))/1000,0)*1000-ROUNDUP((INDEX(RAW!$K:$K,MAX(2,F201))-V201)/1000,0)*1000,0)</f>
        <v>0</v>
      </c>
      <c r="X201" s="335">
        <f t="shared" si="24"/>
        <v>0</v>
      </c>
      <c r="Y201" s="335">
        <f>IF(X201=1,COUNTIF($X$100:X201,1),0)</f>
        <v>0</v>
      </c>
      <c r="Z201" s="348">
        <f t="shared" si="25"/>
        <v>0</v>
      </c>
    </row>
    <row r="202" spans="1:26" ht="16" hidden="1" outlineLevel="1">
      <c r="A202" s="335" t="str">
        <f t="shared" si="27"/>
        <v/>
      </c>
      <c r="B202" s="335" t="str">
        <f>IF(F202="","",IFERROR(INDEX(RAW!$F:$F,MAX(2,F202)),""))</f>
        <v/>
      </c>
      <c r="C202" s="344"/>
      <c r="D202" s="346" t="str">
        <f>IF(F202="","",IFERROR(INDEX(RAW!$A:$A,MAX(2,F202)),""))</f>
        <v/>
      </c>
      <c r="E202" s="347" t="str">
        <f>IF(F202="","",IFERROR(INDEX(RAW!$K:$K,MAX(2,F202)),0))</f>
        <v/>
      </c>
      <c r="F202" s="344"/>
      <c r="G202" s="335" t="s">
        <v>2476</v>
      </c>
      <c r="O202" s="333" t="str">
        <f t="shared" si="20"/>
        <v/>
      </c>
      <c r="R202" s="335" t="str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  <v/>
      </c>
      <c r="S202" s="335">
        <f t="shared" si="21"/>
        <v>0</v>
      </c>
      <c r="T202" s="348">
        <f t="shared" si="22"/>
        <v>0</v>
      </c>
      <c r="U202" s="348">
        <f t="shared" si="23"/>
        <v>0</v>
      </c>
      <c r="V202" s="348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348">
        <f>IF(V202&gt;0,ROUNDUP(INDEX(RAW!$K:$K,MAX(2,F202))/1000,0)*1000-ROUNDUP((INDEX(RAW!$K:$K,MAX(2,F202))-V202)/1000,0)*1000,0)</f>
        <v>0</v>
      </c>
      <c r="X202" s="335">
        <f t="shared" si="24"/>
        <v>0</v>
      </c>
      <c r="Y202" s="335">
        <f>IF(X202=1,COUNTIF($X$100:X202,1),0)</f>
        <v>0</v>
      </c>
      <c r="Z202" s="348">
        <f t="shared" si="25"/>
        <v>0</v>
      </c>
    </row>
    <row r="203" spans="1:26" ht="16" hidden="1" outlineLevel="1">
      <c r="A203" s="335" t="str">
        <f t="shared" si="27"/>
        <v/>
      </c>
      <c r="B203" s="335" t="str">
        <f>IF(F203="","",IFERROR(INDEX(RAW!$F:$F,MAX(2,F203)),""))</f>
        <v/>
      </c>
      <c r="C203" s="344"/>
      <c r="D203" s="346" t="str">
        <f>IF(F203="","",IFERROR(INDEX(RAW!$A:$A,MAX(2,F203)),""))</f>
        <v/>
      </c>
      <c r="E203" s="347" t="str">
        <f>IF(F203="","",IFERROR(INDEX(RAW!$K:$K,MAX(2,F203)),0))</f>
        <v/>
      </c>
      <c r="F203" s="344"/>
      <c r="G203" s="335" t="s">
        <v>2476</v>
      </c>
      <c r="O203" s="333" t="str">
        <f t="shared" si="20"/>
        <v/>
      </c>
      <c r="R203" s="335" t="str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  <v/>
      </c>
      <c r="S203" s="335">
        <f t="shared" si="21"/>
        <v>0</v>
      </c>
      <c r="T203" s="348">
        <f t="shared" si="22"/>
        <v>0</v>
      </c>
      <c r="U203" s="348">
        <f t="shared" si="23"/>
        <v>0</v>
      </c>
      <c r="V203" s="348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348">
        <f>IF(V203&gt;0,ROUNDUP(INDEX(RAW!$K:$K,MAX(2,F203))/1000,0)*1000-ROUNDUP((INDEX(RAW!$K:$K,MAX(2,F203))-V203)/1000,0)*1000,0)</f>
        <v>0</v>
      </c>
      <c r="X203" s="335">
        <f t="shared" si="24"/>
        <v>0</v>
      </c>
      <c r="Y203" s="335">
        <f>IF(X203=1,COUNTIF($X$100:X203,1),0)</f>
        <v>0</v>
      </c>
      <c r="Z203" s="348">
        <f t="shared" si="25"/>
        <v>0</v>
      </c>
    </row>
    <row r="204" spans="1:26" ht="16" hidden="1" outlineLevel="1">
      <c r="A204" s="335" t="str">
        <f t="shared" si="27"/>
        <v/>
      </c>
      <c r="B204" s="335" t="str">
        <f>IF(F204="","",IFERROR(INDEX(RAW!$F:$F,MAX(2,F204)),""))</f>
        <v/>
      </c>
      <c r="C204" s="344"/>
      <c r="D204" s="346" t="str">
        <f>IF(F204="","",IFERROR(INDEX(RAW!$A:$A,MAX(2,F204)),""))</f>
        <v/>
      </c>
      <c r="E204" s="347" t="str">
        <f>IF(F204="","",IFERROR(INDEX(RAW!$K:$K,MAX(2,F204)),0))</f>
        <v/>
      </c>
      <c r="F204" s="344"/>
      <c r="G204" s="335" t="s">
        <v>2476</v>
      </c>
      <c r="O204" s="333" t="str">
        <f t="shared" si="20"/>
        <v/>
      </c>
      <c r="R204" s="335" t="str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  <v/>
      </c>
      <c r="S204" s="335">
        <f t="shared" si="21"/>
        <v>0</v>
      </c>
      <c r="T204" s="348">
        <f t="shared" si="22"/>
        <v>0</v>
      </c>
      <c r="U204" s="348">
        <f t="shared" si="23"/>
        <v>0</v>
      </c>
      <c r="V204" s="348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348">
        <f>IF(V204&gt;0,ROUNDUP(INDEX(RAW!$K:$K,MAX(2,F204))/1000,0)*1000-ROUNDUP((INDEX(RAW!$K:$K,MAX(2,F204))-V204)/1000,0)*1000,0)</f>
        <v>0</v>
      </c>
      <c r="X204" s="335">
        <f t="shared" si="24"/>
        <v>0</v>
      </c>
      <c r="Y204" s="335">
        <f>IF(X204=1,COUNTIF($X$100:X204,1),0)</f>
        <v>0</v>
      </c>
      <c r="Z204" s="348">
        <f t="shared" si="25"/>
        <v>0</v>
      </c>
    </row>
    <row r="205" spans="1:26" ht="16" hidden="1" outlineLevel="1">
      <c r="A205" s="335" t="str">
        <f t="shared" si="27"/>
        <v/>
      </c>
      <c r="B205" s="335" t="str">
        <f>IF(F205="","",IFERROR(INDEX(RAW!$F:$F,MAX(2,F205)),""))</f>
        <v/>
      </c>
      <c r="C205" s="344"/>
      <c r="D205" s="346" t="str">
        <f>IF(F205="","",IFERROR(INDEX(RAW!$A:$A,MAX(2,F205)),""))</f>
        <v/>
      </c>
      <c r="E205" s="347" t="str">
        <f>IF(F205="","",IFERROR(INDEX(RAW!$K:$K,MAX(2,F205)),0))</f>
        <v/>
      </c>
      <c r="F205" s="344"/>
      <c r="G205" s="335" t="s">
        <v>2476</v>
      </c>
      <c r="O205" s="333" t="str">
        <f t="shared" si="20"/>
        <v/>
      </c>
      <c r="R205" s="335" t="str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  <v/>
      </c>
      <c r="S205" s="335">
        <f t="shared" si="21"/>
        <v>0</v>
      </c>
      <c r="T205" s="348">
        <f t="shared" si="22"/>
        <v>0</v>
      </c>
      <c r="U205" s="348">
        <f t="shared" si="23"/>
        <v>0</v>
      </c>
      <c r="V205" s="348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348">
        <f>IF(V205&gt;0,ROUNDUP(INDEX(RAW!$K:$K,MAX(2,F205))/1000,0)*1000-ROUNDUP((INDEX(RAW!$K:$K,MAX(2,F205))-V205)/1000,0)*1000,0)</f>
        <v>0</v>
      </c>
      <c r="X205" s="335">
        <f t="shared" si="24"/>
        <v>0</v>
      </c>
      <c r="Y205" s="335">
        <f>IF(X205=1,COUNTIF($X$100:X205,1),0)</f>
        <v>0</v>
      </c>
      <c r="Z205" s="348">
        <f t="shared" si="25"/>
        <v>0</v>
      </c>
    </row>
    <row r="206" spans="1:26" ht="16" hidden="1" outlineLevel="1">
      <c r="A206" s="335" t="str">
        <f t="shared" si="27"/>
        <v/>
      </c>
      <c r="B206" s="335" t="str">
        <f>IF(F206="","",IFERROR(INDEX(RAW!$F:$F,MAX(2,F206)),""))</f>
        <v/>
      </c>
      <c r="C206" s="344"/>
      <c r="D206" s="346" t="str">
        <f>IF(F206="","",IFERROR(INDEX(RAW!$A:$A,MAX(2,F206)),""))</f>
        <v/>
      </c>
      <c r="E206" s="347" t="str">
        <f>IF(F206="","",IFERROR(INDEX(RAW!$K:$K,MAX(2,F206)),0))</f>
        <v/>
      </c>
      <c r="F206" s="344"/>
      <c r="G206" s="335" t="s">
        <v>2476</v>
      </c>
      <c r="O206" s="333" t="str">
        <f t="shared" si="20"/>
        <v/>
      </c>
      <c r="R206" s="335" t="str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  <v/>
      </c>
      <c r="S206" s="335">
        <f t="shared" si="21"/>
        <v>0</v>
      </c>
      <c r="T206" s="348">
        <f t="shared" si="22"/>
        <v>0</v>
      </c>
      <c r="U206" s="348">
        <f t="shared" si="23"/>
        <v>0</v>
      </c>
      <c r="V206" s="348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348">
        <f>IF(V206&gt;0,ROUNDUP(INDEX(RAW!$K:$K,MAX(2,F206))/1000,0)*1000-ROUNDUP((INDEX(RAW!$K:$K,MAX(2,F206))-V206)/1000,0)*1000,0)</f>
        <v>0</v>
      </c>
      <c r="X206" s="335">
        <f t="shared" si="24"/>
        <v>0</v>
      </c>
      <c r="Y206" s="335">
        <f>IF(X206=1,COUNTIF($X$100:X206,1),0)</f>
        <v>0</v>
      </c>
      <c r="Z206" s="348">
        <f t="shared" si="25"/>
        <v>0</v>
      </c>
    </row>
    <row r="207" spans="1:26" ht="16" hidden="1" outlineLevel="1">
      <c r="A207" s="335" t="str">
        <f t="shared" si="27"/>
        <v/>
      </c>
      <c r="B207" s="335" t="str">
        <f>IF(F207="","",IFERROR(INDEX(RAW!$F:$F,MAX(2,F207)),""))</f>
        <v/>
      </c>
      <c r="C207" s="344"/>
      <c r="D207" s="346" t="str">
        <f>IF(F207="","",IFERROR(INDEX(RAW!$A:$A,MAX(2,F207)),""))</f>
        <v/>
      </c>
      <c r="E207" s="347" t="str">
        <f>IF(F207="","",IFERROR(INDEX(RAW!$K:$K,MAX(2,F207)),0))</f>
        <v/>
      </c>
      <c r="F207" s="344"/>
      <c r="G207" s="335" t="s">
        <v>2476</v>
      </c>
      <c r="O207" s="333" t="str">
        <f t="shared" si="20"/>
        <v/>
      </c>
      <c r="R207" s="335" t="str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  <v/>
      </c>
      <c r="S207" s="335">
        <f t="shared" si="21"/>
        <v>0</v>
      </c>
      <c r="T207" s="348">
        <f t="shared" si="22"/>
        <v>0</v>
      </c>
      <c r="U207" s="348">
        <f t="shared" si="23"/>
        <v>0</v>
      </c>
      <c r="V207" s="348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348">
        <f>IF(V207&gt;0,ROUNDUP(INDEX(RAW!$K:$K,MAX(2,F207))/1000,0)*1000-ROUNDUP((INDEX(RAW!$K:$K,MAX(2,F207))-V207)/1000,0)*1000,0)</f>
        <v>0</v>
      </c>
      <c r="X207" s="335">
        <f t="shared" si="24"/>
        <v>0</v>
      </c>
      <c r="Y207" s="335">
        <f>IF(X207=1,COUNTIF($X$100:X207,1),0)</f>
        <v>0</v>
      </c>
      <c r="Z207" s="348">
        <f t="shared" si="25"/>
        <v>0</v>
      </c>
    </row>
    <row r="208" spans="1:26" ht="16" hidden="1" outlineLevel="1">
      <c r="A208" s="335" t="str">
        <f t="shared" si="27"/>
        <v/>
      </c>
      <c r="B208" s="335" t="str">
        <f>IF(F208="","",IFERROR(INDEX(RAW!$F:$F,MAX(2,F208)),""))</f>
        <v/>
      </c>
      <c r="C208" s="344"/>
      <c r="D208" s="346" t="str">
        <f>IF(F208="","",IFERROR(INDEX(RAW!$A:$A,MAX(2,F208)),""))</f>
        <v/>
      </c>
      <c r="E208" s="347" t="str">
        <f>IF(F208="","",IFERROR(INDEX(RAW!$K:$K,MAX(2,F208)),0))</f>
        <v/>
      </c>
      <c r="F208" s="344"/>
      <c r="G208" s="335" t="s">
        <v>2476</v>
      </c>
      <c r="O208" s="333" t="str">
        <f t="shared" si="20"/>
        <v/>
      </c>
      <c r="R208" s="335" t="str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  <v/>
      </c>
      <c r="S208" s="335">
        <f t="shared" si="21"/>
        <v>0</v>
      </c>
      <c r="T208" s="348">
        <f t="shared" si="22"/>
        <v>0</v>
      </c>
      <c r="U208" s="348">
        <f t="shared" si="23"/>
        <v>0</v>
      </c>
      <c r="V208" s="348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348">
        <f>IF(V208&gt;0,ROUNDUP(INDEX(RAW!$K:$K,MAX(2,F208))/1000,0)*1000-ROUNDUP((INDEX(RAW!$K:$K,MAX(2,F208))-V208)/1000,0)*1000,0)</f>
        <v>0</v>
      </c>
      <c r="X208" s="335">
        <f t="shared" si="24"/>
        <v>0</v>
      </c>
      <c r="Y208" s="335">
        <f>IF(X208=1,COUNTIF($X$100:X208,1),0)</f>
        <v>0</v>
      </c>
      <c r="Z208" s="348">
        <f t="shared" si="25"/>
        <v>0</v>
      </c>
    </row>
    <row r="209" spans="1:26" ht="16" hidden="1" outlineLevel="1">
      <c r="A209" s="335" t="str">
        <f t="shared" si="27"/>
        <v/>
      </c>
      <c r="B209" s="335" t="str">
        <f>IF(F209="","",IFERROR(INDEX(RAW!$F:$F,MAX(2,F209)),""))</f>
        <v/>
      </c>
      <c r="C209" s="344"/>
      <c r="D209" s="346" t="str">
        <f>IF(F209="","",IFERROR(INDEX(RAW!$A:$A,MAX(2,F209)),""))</f>
        <v/>
      </c>
      <c r="E209" s="347" t="str">
        <f>IF(F209="","",IFERROR(INDEX(RAW!$K:$K,MAX(2,F209)),0))</f>
        <v/>
      </c>
      <c r="F209" s="344"/>
      <c r="G209" s="335" t="s">
        <v>2476</v>
      </c>
      <c r="O209" s="333" t="str">
        <f t="shared" si="20"/>
        <v/>
      </c>
      <c r="R209" s="335" t="str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  <v/>
      </c>
      <c r="S209" s="335">
        <f t="shared" si="21"/>
        <v>0</v>
      </c>
      <c r="T209" s="348">
        <f t="shared" si="22"/>
        <v>0</v>
      </c>
      <c r="U209" s="348">
        <f t="shared" si="23"/>
        <v>0</v>
      </c>
      <c r="V209" s="348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348">
        <f>IF(V209&gt;0,ROUNDUP(INDEX(RAW!$K:$K,MAX(2,F209))/1000,0)*1000-ROUNDUP((INDEX(RAW!$K:$K,MAX(2,F209))-V209)/1000,0)*1000,0)</f>
        <v>0</v>
      </c>
      <c r="X209" s="335">
        <f t="shared" si="24"/>
        <v>0</v>
      </c>
      <c r="Y209" s="335">
        <f>IF(X209=1,COUNTIF($X$100:X209,1),0)</f>
        <v>0</v>
      </c>
      <c r="Z209" s="348">
        <f t="shared" si="25"/>
        <v>0</v>
      </c>
    </row>
    <row r="210" spans="1:26" ht="16" hidden="1" outlineLevel="1">
      <c r="A210" s="335" t="str">
        <f t="shared" si="27"/>
        <v/>
      </c>
      <c r="B210" s="335" t="str">
        <f>IF(F210="","",IFERROR(INDEX(RAW!$F:$F,MAX(2,F210)),""))</f>
        <v/>
      </c>
      <c r="C210" s="344"/>
      <c r="D210" s="346" t="str">
        <f>IF(F210="","",IFERROR(INDEX(RAW!$A:$A,MAX(2,F210)),""))</f>
        <v/>
      </c>
      <c r="E210" s="347" t="str">
        <f>IF(F210="","",IFERROR(INDEX(RAW!$K:$K,MAX(2,F210)),0))</f>
        <v/>
      </c>
      <c r="F210" s="344"/>
      <c r="G210" s="335" t="s">
        <v>2476</v>
      </c>
      <c r="O210" s="333" t="str">
        <f t="shared" si="20"/>
        <v/>
      </c>
      <c r="R210" s="335" t="str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  <v/>
      </c>
      <c r="S210" s="335">
        <f t="shared" si="21"/>
        <v>0</v>
      </c>
      <c r="T210" s="348">
        <f t="shared" si="22"/>
        <v>0</v>
      </c>
      <c r="U210" s="348">
        <f t="shared" si="23"/>
        <v>0</v>
      </c>
      <c r="V210" s="348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348">
        <f>IF(V210&gt;0,ROUNDUP(INDEX(RAW!$K:$K,MAX(2,F210))/1000,0)*1000-ROUNDUP((INDEX(RAW!$K:$K,MAX(2,F210))-V210)/1000,0)*1000,0)</f>
        <v>0</v>
      </c>
      <c r="X210" s="335">
        <f t="shared" si="24"/>
        <v>0</v>
      </c>
      <c r="Y210" s="335">
        <f>IF(X210=1,COUNTIF($X$100:X210,1),0)</f>
        <v>0</v>
      </c>
      <c r="Z210" s="348">
        <f t="shared" si="25"/>
        <v>0</v>
      </c>
    </row>
    <row r="211" spans="1:26" ht="16" hidden="1" outlineLevel="1">
      <c r="A211" s="335" t="str">
        <f t="shared" si="27"/>
        <v/>
      </c>
      <c r="B211" s="335" t="str">
        <f>IF(F211="","",IFERROR(INDEX(RAW!$F:$F,MAX(2,F211)),""))</f>
        <v/>
      </c>
      <c r="C211" s="344"/>
      <c r="D211" s="346" t="str">
        <f>IF(F211="","",IFERROR(INDEX(RAW!$A:$A,MAX(2,F211)),""))</f>
        <v/>
      </c>
      <c r="E211" s="347" t="str">
        <f>IF(F211="","",IFERROR(INDEX(RAW!$K:$K,MAX(2,F211)),0))</f>
        <v/>
      </c>
      <c r="F211" s="344"/>
      <c r="G211" s="335" t="s">
        <v>2476</v>
      </c>
      <c r="O211" s="333" t="str">
        <f t="shared" si="20"/>
        <v/>
      </c>
      <c r="R211" s="335" t="str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  <v/>
      </c>
      <c r="S211" s="335">
        <f t="shared" si="21"/>
        <v>0</v>
      </c>
      <c r="T211" s="348">
        <f t="shared" si="22"/>
        <v>0</v>
      </c>
      <c r="U211" s="348">
        <f t="shared" si="23"/>
        <v>0</v>
      </c>
      <c r="V211" s="348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348">
        <f>IF(V211&gt;0,ROUNDUP(INDEX(RAW!$K:$K,MAX(2,F211))/1000,0)*1000-ROUNDUP((INDEX(RAW!$K:$K,MAX(2,F211))-V211)/1000,0)*1000,0)</f>
        <v>0</v>
      </c>
      <c r="X211" s="335">
        <f t="shared" si="24"/>
        <v>0</v>
      </c>
      <c r="Y211" s="335">
        <f>IF(X211=1,COUNTIF($X$100:X211,1),0)</f>
        <v>0</v>
      </c>
      <c r="Z211" s="348">
        <f t="shared" si="25"/>
        <v>0</v>
      </c>
    </row>
    <row r="212" spans="1:26" ht="16" hidden="1" outlineLevel="1">
      <c r="A212" s="335" t="str">
        <f t="shared" si="27"/>
        <v/>
      </c>
      <c r="B212" s="335" t="str">
        <f>IF(F212="","",IFERROR(INDEX(RAW!$F:$F,MAX(2,F212)),""))</f>
        <v/>
      </c>
      <c r="C212" s="344"/>
      <c r="D212" s="346" t="str">
        <f>IF(F212="","",IFERROR(INDEX(RAW!$A:$A,MAX(2,F212)),""))</f>
        <v/>
      </c>
      <c r="E212" s="347" t="str">
        <f>IF(F212="","",IFERROR(INDEX(RAW!$K:$K,MAX(2,F212)),0))</f>
        <v/>
      </c>
      <c r="F212" s="344"/>
      <c r="G212" s="335" t="s">
        <v>2476</v>
      </c>
      <c r="O212" s="333" t="str">
        <f t="shared" si="20"/>
        <v/>
      </c>
      <c r="R212" s="335" t="str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  <v/>
      </c>
      <c r="S212" s="335">
        <f t="shared" si="21"/>
        <v>0</v>
      </c>
      <c r="T212" s="348">
        <f t="shared" si="22"/>
        <v>0</v>
      </c>
      <c r="U212" s="348">
        <f t="shared" si="23"/>
        <v>0</v>
      </c>
      <c r="V212" s="348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348">
        <f>IF(V212&gt;0,ROUNDUP(INDEX(RAW!$K:$K,MAX(2,F212))/1000,0)*1000-ROUNDUP((INDEX(RAW!$K:$K,MAX(2,F212))-V212)/1000,0)*1000,0)</f>
        <v>0</v>
      </c>
      <c r="X212" s="335">
        <f t="shared" si="24"/>
        <v>0</v>
      </c>
      <c r="Y212" s="335">
        <f>IF(X212=1,COUNTIF($X$100:X212,1),0)</f>
        <v>0</v>
      </c>
      <c r="Z212" s="348">
        <f t="shared" si="25"/>
        <v>0</v>
      </c>
    </row>
    <row r="213" spans="1:26" ht="16" hidden="1" outlineLevel="1">
      <c r="A213" s="335" t="str">
        <f t="shared" si="27"/>
        <v/>
      </c>
      <c r="B213" s="335" t="str">
        <f>IF(F213="","",IFERROR(INDEX(RAW!$F:$F,MAX(2,F213)),""))</f>
        <v/>
      </c>
      <c r="C213" s="344"/>
      <c r="D213" s="346" t="str">
        <f>IF(F213="","",IFERROR(INDEX(RAW!$A:$A,MAX(2,F213)),""))</f>
        <v/>
      </c>
      <c r="E213" s="347" t="str">
        <f>IF(F213="","",IFERROR(INDEX(RAW!$K:$K,MAX(2,F213)),0))</f>
        <v/>
      </c>
      <c r="F213" s="344"/>
      <c r="G213" s="335" t="s">
        <v>2476</v>
      </c>
      <c r="O213" s="333" t="str">
        <f t="shared" si="20"/>
        <v/>
      </c>
      <c r="R213" s="335" t="str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  <v/>
      </c>
      <c r="S213" s="335">
        <f t="shared" si="21"/>
        <v>0</v>
      </c>
      <c r="T213" s="348">
        <f t="shared" si="22"/>
        <v>0</v>
      </c>
      <c r="U213" s="348">
        <f t="shared" si="23"/>
        <v>0</v>
      </c>
      <c r="V213" s="348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348">
        <f>IF(V213&gt;0,ROUNDUP(INDEX(RAW!$K:$K,MAX(2,F213))/1000,0)*1000-ROUNDUP((INDEX(RAW!$K:$K,MAX(2,F213))-V213)/1000,0)*1000,0)</f>
        <v>0</v>
      </c>
      <c r="X213" s="335">
        <f t="shared" si="24"/>
        <v>0</v>
      </c>
      <c r="Y213" s="335">
        <f>IF(X213=1,COUNTIF($X$100:X213,1),0)</f>
        <v>0</v>
      </c>
      <c r="Z213" s="348">
        <f t="shared" si="25"/>
        <v>0</v>
      </c>
    </row>
    <row r="214" spans="1:26" ht="16" hidden="1" outlineLevel="1">
      <c r="A214" s="335" t="str">
        <f t="shared" si="27"/>
        <v/>
      </c>
      <c r="B214" s="335" t="str">
        <f>IF(F214="","",IFERROR(INDEX(RAW!$F:$F,MAX(2,F214)),""))</f>
        <v/>
      </c>
      <c r="C214" s="344"/>
      <c r="D214" s="346" t="str">
        <f>IF(F214="","",IFERROR(INDEX(RAW!$A:$A,MAX(2,F214)),""))</f>
        <v/>
      </c>
      <c r="E214" s="347" t="str">
        <f>IF(F214="","",IFERROR(INDEX(RAW!$K:$K,MAX(2,F214)),0))</f>
        <v/>
      </c>
      <c r="F214" s="344"/>
      <c r="G214" s="335" t="s">
        <v>2476</v>
      </c>
      <c r="O214" s="333" t="str">
        <f t="shared" si="20"/>
        <v/>
      </c>
      <c r="R214" s="335" t="str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  <v/>
      </c>
      <c r="S214" s="335">
        <f t="shared" si="21"/>
        <v>0</v>
      </c>
      <c r="T214" s="348">
        <f t="shared" si="22"/>
        <v>0</v>
      </c>
      <c r="U214" s="348">
        <f t="shared" si="23"/>
        <v>0</v>
      </c>
      <c r="V214" s="348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348">
        <f>IF(V214&gt;0,ROUNDUP(INDEX(RAW!$K:$K,MAX(2,F214))/1000,0)*1000-ROUNDUP((INDEX(RAW!$K:$K,MAX(2,F214))-V214)/1000,0)*1000,0)</f>
        <v>0</v>
      </c>
      <c r="X214" s="335">
        <f t="shared" si="24"/>
        <v>0</v>
      </c>
      <c r="Y214" s="335">
        <f>IF(X214=1,COUNTIF($X$100:X214,1),0)</f>
        <v>0</v>
      </c>
      <c r="Z214" s="348">
        <f t="shared" si="25"/>
        <v>0</v>
      </c>
    </row>
    <row r="215" spans="1:26" ht="16" hidden="1" outlineLevel="1">
      <c r="A215" s="335" t="str">
        <f t="shared" si="27"/>
        <v/>
      </c>
      <c r="B215" s="335" t="str">
        <f>IF(F215="","",IFERROR(INDEX(RAW!$F:$F,MAX(2,F215)),""))</f>
        <v/>
      </c>
      <c r="C215" s="344"/>
      <c r="D215" s="346" t="str">
        <f>IF(F215="","",IFERROR(INDEX(RAW!$A:$A,MAX(2,F215)),""))</f>
        <v/>
      </c>
      <c r="E215" s="347" t="str">
        <f>IF(F215="","",IFERROR(INDEX(RAW!$K:$K,MAX(2,F215)),0))</f>
        <v/>
      </c>
      <c r="F215" s="344"/>
      <c r="G215" s="335" t="s">
        <v>2476</v>
      </c>
      <c r="O215" s="333" t="str">
        <f t="shared" si="20"/>
        <v/>
      </c>
      <c r="R215" s="335" t="str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  <v/>
      </c>
      <c r="S215" s="335">
        <f t="shared" si="21"/>
        <v>0</v>
      </c>
      <c r="T215" s="348">
        <f t="shared" si="22"/>
        <v>0</v>
      </c>
      <c r="U215" s="348">
        <f t="shared" si="23"/>
        <v>0</v>
      </c>
      <c r="V215" s="348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348">
        <f>IF(V215&gt;0,ROUNDUP(INDEX(RAW!$K:$K,MAX(2,F215))/1000,0)*1000-ROUNDUP((INDEX(RAW!$K:$K,MAX(2,F215))-V215)/1000,0)*1000,0)</f>
        <v>0</v>
      </c>
      <c r="X215" s="335">
        <f t="shared" si="24"/>
        <v>0</v>
      </c>
      <c r="Y215" s="335">
        <f>IF(X215=1,COUNTIF($X$100:X215,1),0)</f>
        <v>0</v>
      </c>
      <c r="Z215" s="348">
        <f t="shared" si="25"/>
        <v>0</v>
      </c>
    </row>
    <row r="216" spans="1:26" ht="16" hidden="1" outlineLevel="1">
      <c r="A216" s="335" t="str">
        <f t="shared" si="27"/>
        <v/>
      </c>
      <c r="B216" s="335" t="str">
        <f>IF(F216="","",IFERROR(INDEX(RAW!$F:$F,MAX(2,F216)),""))</f>
        <v/>
      </c>
      <c r="C216" s="344"/>
      <c r="D216" s="346" t="str">
        <f>IF(F216="","",IFERROR(INDEX(RAW!$A:$A,MAX(2,F216)),""))</f>
        <v/>
      </c>
      <c r="E216" s="347" t="str">
        <f>IF(F216="","",IFERROR(INDEX(RAW!$K:$K,MAX(2,F216)),0))</f>
        <v/>
      </c>
      <c r="F216" s="344"/>
      <c r="G216" s="335" t="s">
        <v>2476</v>
      </c>
      <c r="O216" s="333" t="str">
        <f t="shared" si="20"/>
        <v/>
      </c>
      <c r="R216" s="335" t="str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  <v/>
      </c>
      <c r="S216" s="335">
        <f t="shared" si="21"/>
        <v>0</v>
      </c>
      <c r="T216" s="348">
        <f t="shared" si="22"/>
        <v>0</v>
      </c>
      <c r="U216" s="348">
        <f t="shared" si="23"/>
        <v>0</v>
      </c>
      <c r="V216" s="348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348">
        <f>IF(V216&gt;0,ROUNDUP(INDEX(RAW!$K:$K,MAX(2,F216))/1000,0)*1000-ROUNDUP((INDEX(RAW!$K:$K,MAX(2,F216))-V216)/1000,0)*1000,0)</f>
        <v>0</v>
      </c>
      <c r="X216" s="335">
        <f t="shared" si="24"/>
        <v>0</v>
      </c>
      <c r="Y216" s="335">
        <f>IF(X216=1,COUNTIF($X$100:X216,1),0)</f>
        <v>0</v>
      </c>
      <c r="Z216" s="348">
        <f t="shared" si="25"/>
        <v>0</v>
      </c>
    </row>
    <row r="217" spans="1:26" ht="16" hidden="1" outlineLevel="1">
      <c r="A217" s="335" t="str">
        <f t="shared" si="27"/>
        <v/>
      </c>
      <c r="B217" s="335" t="str">
        <f>IF(F217="","",IFERROR(INDEX(RAW!$F:$F,MAX(2,F217)),""))</f>
        <v/>
      </c>
      <c r="C217" s="344"/>
      <c r="D217" s="346" t="str">
        <f>IF(F217="","",IFERROR(INDEX(RAW!$A:$A,MAX(2,F217)),""))</f>
        <v/>
      </c>
      <c r="E217" s="347" t="str">
        <f>IF(F217="","",IFERROR(INDEX(RAW!$K:$K,MAX(2,F217)),0))</f>
        <v/>
      </c>
      <c r="F217" s="344"/>
      <c r="G217" s="335" t="s">
        <v>2476</v>
      </c>
      <c r="O217" s="333" t="str">
        <f t="shared" si="20"/>
        <v/>
      </c>
      <c r="R217" s="335" t="str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  <v/>
      </c>
      <c r="S217" s="335">
        <f t="shared" si="21"/>
        <v>0</v>
      </c>
      <c r="T217" s="348">
        <f t="shared" si="22"/>
        <v>0</v>
      </c>
      <c r="U217" s="348">
        <f t="shared" si="23"/>
        <v>0</v>
      </c>
      <c r="V217" s="348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348">
        <f>IF(V217&gt;0,ROUNDUP(INDEX(RAW!$K:$K,MAX(2,F217))/1000,0)*1000-ROUNDUP((INDEX(RAW!$K:$K,MAX(2,F217))-V217)/1000,0)*1000,0)</f>
        <v>0</v>
      </c>
      <c r="X217" s="335">
        <f t="shared" si="24"/>
        <v>0</v>
      </c>
      <c r="Y217" s="335">
        <f>IF(X217=1,COUNTIF($X$100:X217,1),0)</f>
        <v>0</v>
      </c>
      <c r="Z217" s="348">
        <f t="shared" si="25"/>
        <v>0</v>
      </c>
    </row>
    <row r="218" spans="1:26" ht="16" hidden="1" outlineLevel="1">
      <c r="A218" s="335" t="str">
        <f t="shared" si="27"/>
        <v/>
      </c>
      <c r="B218" s="335" t="str">
        <f>IF(F218="","",IFERROR(INDEX(RAW!$F:$F,MAX(2,F218)),""))</f>
        <v/>
      </c>
      <c r="C218" s="344"/>
      <c r="D218" s="346" t="str">
        <f>IF(F218="","",IFERROR(INDEX(RAW!$A:$A,MAX(2,F218)),""))</f>
        <v/>
      </c>
      <c r="E218" s="347" t="str">
        <f>IF(F218="","",IFERROR(INDEX(RAW!$K:$K,MAX(2,F218)),0))</f>
        <v/>
      </c>
      <c r="F218" s="344"/>
      <c r="G218" s="335" t="s">
        <v>2476</v>
      </c>
      <c r="O218" s="333" t="str">
        <f t="shared" si="20"/>
        <v/>
      </c>
      <c r="R218" s="335" t="str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  <v/>
      </c>
      <c r="S218" s="335">
        <f t="shared" si="21"/>
        <v>0</v>
      </c>
      <c r="T218" s="348">
        <f t="shared" si="22"/>
        <v>0</v>
      </c>
      <c r="U218" s="348">
        <f t="shared" si="23"/>
        <v>0</v>
      </c>
      <c r="V218" s="348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348">
        <f>IF(V218&gt;0,ROUNDUP(INDEX(RAW!$K:$K,MAX(2,F218))/1000,0)*1000-ROUNDUP((INDEX(RAW!$K:$K,MAX(2,F218))-V218)/1000,0)*1000,0)</f>
        <v>0</v>
      </c>
      <c r="X218" s="335">
        <f t="shared" si="24"/>
        <v>0</v>
      </c>
      <c r="Y218" s="335">
        <f>IF(X218=1,COUNTIF($X$100:X218,1),0)</f>
        <v>0</v>
      </c>
      <c r="Z218" s="348">
        <f t="shared" si="25"/>
        <v>0</v>
      </c>
    </row>
    <row r="219" spans="1:26" ht="16" hidden="1" outlineLevel="1">
      <c r="A219" s="335" t="str">
        <f t="shared" si="27"/>
        <v/>
      </c>
      <c r="B219" s="335" t="str">
        <f>IF(F219="","",IFERROR(INDEX(RAW!$F:$F,MAX(2,F219)),""))</f>
        <v/>
      </c>
      <c r="C219" s="344"/>
      <c r="D219" s="346" t="str">
        <f>IF(F219="","",IFERROR(INDEX(RAW!$A:$A,MAX(2,F219)),""))</f>
        <v/>
      </c>
      <c r="E219" s="347" t="str">
        <f>IF(F219="","",IFERROR(INDEX(RAW!$K:$K,MAX(2,F219)),0))</f>
        <v/>
      </c>
      <c r="F219" s="344"/>
      <c r="G219" s="335" t="s">
        <v>2476</v>
      </c>
      <c r="O219" s="333" t="str">
        <f t="shared" si="20"/>
        <v/>
      </c>
      <c r="R219" s="335" t="str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  <v/>
      </c>
      <c r="S219" s="335">
        <f t="shared" si="21"/>
        <v>0</v>
      </c>
      <c r="T219" s="348">
        <f t="shared" si="22"/>
        <v>0</v>
      </c>
      <c r="U219" s="348">
        <f t="shared" si="23"/>
        <v>0</v>
      </c>
      <c r="V219" s="348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348">
        <f>IF(V219&gt;0,ROUNDUP(INDEX(RAW!$K:$K,MAX(2,F219))/1000,0)*1000-ROUNDUP((INDEX(RAW!$K:$K,MAX(2,F219))-V219)/1000,0)*1000,0)</f>
        <v>0</v>
      </c>
      <c r="X219" s="335">
        <f t="shared" si="24"/>
        <v>0</v>
      </c>
      <c r="Y219" s="335">
        <f>IF(X219=1,COUNTIF($X$100:X219,1),0)</f>
        <v>0</v>
      </c>
      <c r="Z219" s="348">
        <f t="shared" si="25"/>
        <v>0</v>
      </c>
    </row>
    <row r="220" spans="1:26" ht="16" hidden="1" outlineLevel="1">
      <c r="A220" s="335" t="str">
        <f t="shared" si="27"/>
        <v/>
      </c>
      <c r="B220" s="335" t="str">
        <f>IF(F220="","",IFERROR(INDEX(RAW!$F:$F,MAX(2,F220)),""))</f>
        <v/>
      </c>
      <c r="C220" s="344"/>
      <c r="D220" s="346" t="str">
        <f>IF(F220="","",IFERROR(INDEX(RAW!$A:$A,MAX(2,F220)),""))</f>
        <v/>
      </c>
      <c r="E220" s="347" t="str">
        <f>IF(F220="","",IFERROR(INDEX(RAW!$K:$K,MAX(2,F220)),0))</f>
        <v/>
      </c>
      <c r="F220" s="344"/>
      <c r="G220" s="335" t="s">
        <v>2476</v>
      </c>
      <c r="O220" s="333" t="str">
        <f t="shared" si="20"/>
        <v/>
      </c>
      <c r="R220" s="335" t="str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  <v/>
      </c>
      <c r="S220" s="335">
        <f t="shared" si="21"/>
        <v>0</v>
      </c>
      <c r="T220" s="348">
        <f t="shared" si="22"/>
        <v>0</v>
      </c>
      <c r="U220" s="348">
        <f t="shared" si="23"/>
        <v>0</v>
      </c>
      <c r="V220" s="348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348">
        <f>IF(V220&gt;0,ROUNDUP(INDEX(RAW!$K:$K,MAX(2,F220))/1000,0)*1000-ROUNDUP((INDEX(RAW!$K:$K,MAX(2,F220))-V220)/1000,0)*1000,0)</f>
        <v>0</v>
      </c>
      <c r="X220" s="335">
        <f t="shared" si="24"/>
        <v>0</v>
      </c>
      <c r="Y220" s="335">
        <f>IF(X220=1,COUNTIF($X$100:X220,1),0)</f>
        <v>0</v>
      </c>
      <c r="Z220" s="348">
        <f t="shared" si="25"/>
        <v>0</v>
      </c>
    </row>
    <row r="221" spans="1:26" ht="16" hidden="1" outlineLevel="1">
      <c r="A221" s="335" t="str">
        <f t="shared" si="27"/>
        <v/>
      </c>
      <c r="B221" s="335" t="str">
        <f>IF(F221="","",IFERROR(INDEX(RAW!$F:$F,MAX(2,F221)),""))</f>
        <v/>
      </c>
      <c r="C221" s="344"/>
      <c r="D221" s="346" t="str">
        <f>IF(F221="","",IFERROR(INDEX(RAW!$A:$A,MAX(2,F221)),""))</f>
        <v/>
      </c>
      <c r="E221" s="347" t="str">
        <f>IF(F221="","",IFERROR(INDEX(RAW!$K:$K,MAX(2,F221)),0))</f>
        <v/>
      </c>
      <c r="F221" s="344"/>
      <c r="G221" s="335" t="s">
        <v>2476</v>
      </c>
      <c r="O221" s="333" t="str">
        <f t="shared" si="20"/>
        <v/>
      </c>
      <c r="R221" s="335" t="str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  <v/>
      </c>
      <c r="S221" s="335">
        <f t="shared" si="21"/>
        <v>0</v>
      </c>
      <c r="T221" s="348">
        <f t="shared" si="22"/>
        <v>0</v>
      </c>
      <c r="U221" s="348">
        <f t="shared" si="23"/>
        <v>0</v>
      </c>
      <c r="V221" s="348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348">
        <f>IF(V221&gt;0,ROUNDUP(INDEX(RAW!$K:$K,MAX(2,F221))/1000,0)*1000-ROUNDUP((INDEX(RAW!$K:$K,MAX(2,F221))-V221)/1000,0)*1000,0)</f>
        <v>0</v>
      </c>
      <c r="X221" s="335">
        <f t="shared" si="24"/>
        <v>0</v>
      </c>
      <c r="Y221" s="335">
        <f>IF(X221=1,COUNTIF($X$100:X221,1),0)</f>
        <v>0</v>
      </c>
      <c r="Z221" s="348">
        <f t="shared" si="25"/>
        <v>0</v>
      </c>
    </row>
    <row r="222" spans="1:26" ht="16" hidden="1" outlineLevel="1">
      <c r="A222" s="335" t="str">
        <f t="shared" si="27"/>
        <v/>
      </c>
      <c r="B222" s="335" t="str">
        <f>IF(F222="","",IFERROR(INDEX(RAW!$F:$F,MAX(2,F222)),""))</f>
        <v/>
      </c>
      <c r="C222" s="344"/>
      <c r="D222" s="346" t="str">
        <f>IF(F222="","",IFERROR(INDEX(RAW!$A:$A,MAX(2,F222)),""))</f>
        <v/>
      </c>
      <c r="E222" s="347" t="str">
        <f>IF(F222="","",IFERROR(INDEX(RAW!$K:$K,MAX(2,F222)),0))</f>
        <v/>
      </c>
      <c r="F222" s="344"/>
      <c r="G222" s="335" t="s">
        <v>2476</v>
      </c>
      <c r="O222" s="333" t="str">
        <f t="shared" si="20"/>
        <v/>
      </c>
      <c r="R222" s="335" t="str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  <v/>
      </c>
      <c r="S222" s="335">
        <f t="shared" si="21"/>
        <v>0</v>
      </c>
      <c r="T222" s="348">
        <f t="shared" si="22"/>
        <v>0</v>
      </c>
      <c r="U222" s="348">
        <f t="shared" si="23"/>
        <v>0</v>
      </c>
      <c r="V222" s="348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348">
        <f>IF(V222&gt;0,ROUNDUP(INDEX(RAW!$K:$K,MAX(2,F222))/1000,0)*1000-ROUNDUP((INDEX(RAW!$K:$K,MAX(2,F222))-V222)/1000,0)*1000,0)</f>
        <v>0</v>
      </c>
      <c r="X222" s="335">
        <f t="shared" si="24"/>
        <v>0</v>
      </c>
      <c r="Y222" s="335">
        <f>IF(X222=1,COUNTIF($X$100:X222,1),0)</f>
        <v>0</v>
      </c>
      <c r="Z222" s="348">
        <f t="shared" si="25"/>
        <v>0</v>
      </c>
    </row>
    <row r="223" spans="1:26" ht="16" hidden="1" outlineLevel="1">
      <c r="A223" s="335" t="str">
        <f t="shared" si="27"/>
        <v/>
      </c>
      <c r="B223" s="335" t="str">
        <f>IF(F223="","",IFERROR(INDEX(RAW!$F:$F,MAX(2,F223)),""))</f>
        <v/>
      </c>
      <c r="C223" s="344"/>
      <c r="D223" s="346" t="str">
        <f>IF(F223="","",IFERROR(INDEX(RAW!$A:$A,MAX(2,F223)),""))</f>
        <v/>
      </c>
      <c r="E223" s="347" t="str">
        <f>IF(F223="","",IFERROR(INDEX(RAW!$K:$K,MAX(2,F223)),0))</f>
        <v/>
      </c>
      <c r="F223" s="344"/>
      <c r="G223" s="335" t="s">
        <v>2476</v>
      </c>
      <c r="O223" s="333" t="str">
        <f t="shared" si="20"/>
        <v/>
      </c>
      <c r="R223" s="335" t="str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  <v/>
      </c>
      <c r="S223" s="335">
        <f t="shared" si="21"/>
        <v>0</v>
      </c>
      <c r="T223" s="348">
        <f t="shared" si="22"/>
        <v>0</v>
      </c>
      <c r="U223" s="348">
        <f t="shared" si="23"/>
        <v>0</v>
      </c>
      <c r="V223" s="348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348">
        <f>IF(V223&gt;0,ROUNDUP(INDEX(RAW!$K:$K,MAX(2,F223))/1000,0)*1000-ROUNDUP((INDEX(RAW!$K:$K,MAX(2,F223))-V223)/1000,0)*1000,0)</f>
        <v>0</v>
      </c>
      <c r="X223" s="335">
        <f t="shared" si="24"/>
        <v>0</v>
      </c>
      <c r="Y223" s="335">
        <f>IF(X223=1,COUNTIF($X$100:X223,1),0)</f>
        <v>0</v>
      </c>
      <c r="Z223" s="348">
        <f t="shared" si="25"/>
        <v>0</v>
      </c>
    </row>
    <row r="224" spans="1:26" ht="16" hidden="1" outlineLevel="1">
      <c r="A224" s="335" t="str">
        <f t="shared" si="27"/>
        <v/>
      </c>
      <c r="B224" s="335" t="str">
        <f>IF(F224="","",IFERROR(INDEX(RAW!$F:$F,MAX(2,F224)),""))</f>
        <v/>
      </c>
      <c r="C224" s="344"/>
      <c r="D224" s="346" t="str">
        <f>IF(F224="","",IFERROR(INDEX(RAW!$A:$A,MAX(2,F224)),""))</f>
        <v/>
      </c>
      <c r="E224" s="347" t="str">
        <f>IF(F224="","",IFERROR(INDEX(RAW!$K:$K,MAX(2,F224)),0))</f>
        <v/>
      </c>
      <c r="F224" s="344"/>
      <c r="G224" s="335" t="s">
        <v>2476</v>
      </c>
      <c r="O224" s="333" t="str">
        <f t="shared" si="20"/>
        <v/>
      </c>
      <c r="R224" s="335" t="str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  <v/>
      </c>
      <c r="S224" s="335">
        <f t="shared" si="21"/>
        <v>0</v>
      </c>
      <c r="T224" s="348">
        <f t="shared" si="22"/>
        <v>0</v>
      </c>
      <c r="U224" s="348">
        <f t="shared" si="23"/>
        <v>0</v>
      </c>
      <c r="V224" s="348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348">
        <f>IF(V224&gt;0,ROUNDUP(INDEX(RAW!$K:$K,MAX(2,F224))/1000,0)*1000-ROUNDUP((INDEX(RAW!$K:$K,MAX(2,F224))-V224)/1000,0)*1000,0)</f>
        <v>0</v>
      </c>
      <c r="X224" s="335">
        <f t="shared" si="24"/>
        <v>0</v>
      </c>
      <c r="Y224" s="335">
        <f>IF(X224=1,COUNTIF($X$100:X224,1),0)</f>
        <v>0</v>
      </c>
      <c r="Z224" s="348">
        <f t="shared" si="25"/>
        <v>0</v>
      </c>
    </row>
    <row r="225" spans="1:26" ht="16" hidden="1" outlineLevel="1">
      <c r="A225" s="335" t="str">
        <f t="shared" si="27"/>
        <v/>
      </c>
      <c r="B225" s="335" t="str">
        <f>IF(F225="","",IFERROR(INDEX(RAW!$F:$F,MAX(2,F225)),""))</f>
        <v/>
      </c>
      <c r="C225" s="344"/>
      <c r="D225" s="346" t="str">
        <f>IF(F225="","",IFERROR(INDEX(RAW!$A:$A,MAX(2,F225)),""))</f>
        <v/>
      </c>
      <c r="E225" s="347" t="str">
        <f>IF(F225="","",IFERROR(INDEX(RAW!$K:$K,MAX(2,F225)),0))</f>
        <v/>
      </c>
      <c r="F225" s="344"/>
      <c r="G225" s="335" t="s">
        <v>2476</v>
      </c>
      <c r="O225" s="333" t="str">
        <f t="shared" si="20"/>
        <v/>
      </c>
      <c r="R225" s="335" t="str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  <v/>
      </c>
      <c r="S225" s="335">
        <f t="shared" si="21"/>
        <v>0</v>
      </c>
      <c r="T225" s="348">
        <f t="shared" si="22"/>
        <v>0</v>
      </c>
      <c r="U225" s="348">
        <f t="shared" si="23"/>
        <v>0</v>
      </c>
      <c r="V225" s="348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348">
        <f>IF(V225&gt;0,ROUNDUP(INDEX(RAW!$K:$K,MAX(2,F225))/1000,0)*1000-ROUNDUP((INDEX(RAW!$K:$K,MAX(2,F225))-V225)/1000,0)*1000,0)</f>
        <v>0</v>
      </c>
      <c r="X225" s="335">
        <f t="shared" si="24"/>
        <v>0</v>
      </c>
      <c r="Y225" s="335">
        <f>IF(X225=1,COUNTIF($X$100:X225,1),0)</f>
        <v>0</v>
      </c>
      <c r="Z225" s="348">
        <f t="shared" si="25"/>
        <v>0</v>
      </c>
    </row>
    <row r="226" spans="1:26" ht="16" hidden="1" outlineLevel="1">
      <c r="A226" s="335" t="str">
        <f t="shared" si="27"/>
        <v/>
      </c>
      <c r="B226" s="335" t="str">
        <f>IF(F226="","",IFERROR(INDEX(RAW!$F:$F,MAX(2,F226)),""))</f>
        <v/>
      </c>
      <c r="C226" s="344"/>
      <c r="D226" s="346" t="str">
        <f>IF(F226="","",IFERROR(INDEX(RAW!$A:$A,MAX(2,F226)),""))</f>
        <v/>
      </c>
      <c r="E226" s="347" t="str">
        <f>IF(F226="","",IFERROR(INDEX(RAW!$K:$K,MAX(2,F226)),0))</f>
        <v/>
      </c>
      <c r="F226" s="344"/>
      <c r="G226" s="335" t="s">
        <v>2476</v>
      </c>
      <c r="O226" s="333" t="str">
        <f t="shared" si="20"/>
        <v/>
      </c>
      <c r="R226" s="335" t="str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  <v/>
      </c>
      <c r="S226" s="335">
        <f t="shared" si="21"/>
        <v>0</v>
      </c>
      <c r="T226" s="348">
        <f t="shared" si="22"/>
        <v>0</v>
      </c>
      <c r="U226" s="348">
        <f t="shared" si="23"/>
        <v>0</v>
      </c>
      <c r="V226" s="348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348">
        <f>IF(V226&gt;0,ROUNDUP(INDEX(RAW!$K:$K,MAX(2,F226))/1000,0)*1000-ROUNDUP((INDEX(RAW!$K:$K,MAX(2,F226))-V226)/1000,0)*1000,0)</f>
        <v>0</v>
      </c>
      <c r="X226" s="335">
        <f t="shared" si="24"/>
        <v>0</v>
      </c>
      <c r="Y226" s="335">
        <f>IF(X226=1,COUNTIF($X$100:X226,1),0)</f>
        <v>0</v>
      </c>
      <c r="Z226" s="348">
        <f t="shared" si="25"/>
        <v>0</v>
      </c>
    </row>
    <row r="227" spans="1:26" ht="16" hidden="1" outlineLevel="1">
      <c r="A227" s="335" t="str">
        <f t="shared" si="27"/>
        <v/>
      </c>
      <c r="B227" s="335" t="str">
        <f>IF(F227="","",IFERROR(INDEX(RAW!$F:$F,MAX(2,F227)),""))</f>
        <v/>
      </c>
      <c r="C227" s="344"/>
      <c r="D227" s="346" t="str">
        <f>IF(F227="","",IFERROR(INDEX(RAW!$A:$A,MAX(2,F227)),""))</f>
        <v/>
      </c>
      <c r="E227" s="347" t="str">
        <f>IF(F227="","",IFERROR(INDEX(RAW!$K:$K,MAX(2,F227)),0))</f>
        <v/>
      </c>
      <c r="F227" s="344"/>
      <c r="G227" s="335" t="s">
        <v>2476</v>
      </c>
      <c r="O227" s="333" t="str">
        <f t="shared" si="20"/>
        <v/>
      </c>
      <c r="R227" s="335" t="str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  <v/>
      </c>
      <c r="S227" s="335">
        <f t="shared" si="21"/>
        <v>0</v>
      </c>
      <c r="T227" s="348">
        <f t="shared" si="22"/>
        <v>0</v>
      </c>
      <c r="U227" s="348">
        <f t="shared" si="23"/>
        <v>0</v>
      </c>
      <c r="V227" s="348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348">
        <f>IF(V227&gt;0,ROUNDUP(INDEX(RAW!$K:$K,MAX(2,F227))/1000,0)*1000-ROUNDUP((INDEX(RAW!$K:$K,MAX(2,F227))-V227)/1000,0)*1000,0)</f>
        <v>0</v>
      </c>
      <c r="X227" s="335">
        <f t="shared" si="24"/>
        <v>0</v>
      </c>
      <c r="Y227" s="335">
        <f>IF(X227=1,COUNTIF($X$100:X227,1),0)</f>
        <v>0</v>
      </c>
      <c r="Z227" s="348">
        <f t="shared" si="25"/>
        <v>0</v>
      </c>
    </row>
    <row r="228" spans="1:26" ht="16" hidden="1" outlineLevel="1">
      <c r="A228" s="335" t="str">
        <f t="shared" si="27"/>
        <v/>
      </c>
      <c r="B228" s="335" t="str">
        <f>IF(F228="","",IFERROR(INDEX(RAW!$F:$F,MAX(2,F228)),""))</f>
        <v/>
      </c>
      <c r="C228" s="344"/>
      <c r="D228" s="346" t="str">
        <f>IF(F228="","",IFERROR(INDEX(RAW!$A:$A,MAX(2,F228)),""))</f>
        <v/>
      </c>
      <c r="E228" s="347" t="str">
        <f>IF(F228="","",IFERROR(INDEX(RAW!$K:$K,MAX(2,F228)),0))</f>
        <v/>
      </c>
      <c r="F228" s="344"/>
      <c r="G228" s="335" t="s">
        <v>2476</v>
      </c>
      <c r="O228" s="333" t="str">
        <f t="shared" ref="O228:O291" si="28">IF(LEFT(R228,2)="확인",R228,"")</f>
        <v/>
      </c>
      <c r="R228" s="335" t="str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  <v/>
      </c>
      <c r="S228" s="335">
        <f t="shared" ref="S228:S291" si="29">IF(ISNUMBER(D228),DATE(YEAR(D228),MONTH(D228),1),0)</f>
        <v>0</v>
      </c>
      <c r="T228" s="348">
        <f t="shared" ref="T228:T291" si="30">IF(R228="OK",SUMIFS($O$430:$O$729,$B$430:$B$729,A228,$E$430:$E$729,"&lt;"&amp;EDATE($B$3,1)),0)</f>
        <v>0</v>
      </c>
      <c r="U228" s="348">
        <f t="shared" ref="U228:U291" si="31">IF(AND(R228="OK",D228&lt;EDATE($B$3,1),$B$3&gt;=DATE(2026,3,1)),MAX(0,E228-T228),0)</f>
        <v>0</v>
      </c>
      <c r="V228" s="348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348">
        <f>IF(V228&gt;0,ROUNDUP(INDEX(RAW!$K:$K,MAX(2,F228))/1000,0)*1000-ROUNDUP((INDEX(RAW!$K:$K,MAX(2,F228))-V228)/1000,0)*1000,0)</f>
        <v>0</v>
      </c>
      <c r="X228" s="335">
        <f t="shared" ref="X228:X291" si="32">IF(AND(R228="OK",IF($B$43="전체",D228&lt;EDATE($B$3,1),IF($B$43="미정산",U228&gt;0,OR(S228=$B$3,Z228&gt;0,U228&gt;0)))),1,0)</f>
        <v>0</v>
      </c>
      <c r="Y228" s="335">
        <f>IF(X228=1,COUNTIF($X$100:X228,1),0)</f>
        <v>0</v>
      </c>
      <c r="Z228" s="348">
        <f t="shared" ref="Z228:Z291" si="33">IF(R228="OK",SUMIFS($O$430:$O$729,$B$430:$B$729,A228,$E$430:$E$729,"&gt;="&amp;$B$3,$E$430:$E$729,"&lt;"&amp;EDATE($B$3,1)),0)</f>
        <v>0</v>
      </c>
    </row>
    <row r="229" spans="1:26" ht="16" hidden="1" outlineLevel="1">
      <c r="A229" s="335" t="str">
        <f t="shared" si="27"/>
        <v/>
      </c>
      <c r="B229" s="335" t="str">
        <f>IF(F229="","",IFERROR(INDEX(RAW!$F:$F,MAX(2,F229)),""))</f>
        <v/>
      </c>
      <c r="C229" s="344"/>
      <c r="D229" s="346" t="str">
        <f>IF(F229="","",IFERROR(INDEX(RAW!$A:$A,MAX(2,F229)),""))</f>
        <v/>
      </c>
      <c r="E229" s="347" t="str">
        <f>IF(F229="","",IFERROR(INDEX(RAW!$K:$K,MAX(2,F229)),0))</f>
        <v/>
      </c>
      <c r="F229" s="344"/>
      <c r="G229" s="335" t="s">
        <v>2476</v>
      </c>
      <c r="O229" s="333" t="str">
        <f t="shared" si="28"/>
        <v/>
      </c>
      <c r="R229" s="335" t="str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  <v/>
      </c>
      <c r="S229" s="335">
        <f t="shared" si="29"/>
        <v>0</v>
      </c>
      <c r="T229" s="348">
        <f t="shared" si="30"/>
        <v>0</v>
      </c>
      <c r="U229" s="348">
        <f t="shared" si="31"/>
        <v>0</v>
      </c>
      <c r="V229" s="348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348">
        <f>IF(V229&gt;0,ROUNDUP(INDEX(RAW!$K:$K,MAX(2,F229))/1000,0)*1000-ROUNDUP((INDEX(RAW!$K:$K,MAX(2,F229))-V229)/1000,0)*1000,0)</f>
        <v>0</v>
      </c>
      <c r="X229" s="335">
        <f t="shared" si="32"/>
        <v>0</v>
      </c>
      <c r="Y229" s="335">
        <f>IF(X229=1,COUNTIF($X$100:X229,1),0)</f>
        <v>0</v>
      </c>
      <c r="Z229" s="348">
        <f t="shared" si="33"/>
        <v>0</v>
      </c>
    </row>
    <row r="230" spans="1:26" ht="16" hidden="1" outlineLevel="1">
      <c r="A230" s="335" t="str">
        <f t="shared" si="27"/>
        <v/>
      </c>
      <c r="B230" s="335" t="str">
        <f>IF(F230="","",IFERROR(INDEX(RAW!$F:$F,MAX(2,F230)),""))</f>
        <v/>
      </c>
      <c r="C230" s="344"/>
      <c r="D230" s="346" t="str">
        <f>IF(F230="","",IFERROR(INDEX(RAW!$A:$A,MAX(2,F230)),""))</f>
        <v/>
      </c>
      <c r="E230" s="347" t="str">
        <f>IF(F230="","",IFERROR(INDEX(RAW!$K:$K,MAX(2,F230)),0))</f>
        <v/>
      </c>
      <c r="F230" s="344"/>
      <c r="G230" s="335" t="s">
        <v>2476</v>
      </c>
      <c r="O230" s="333" t="str">
        <f t="shared" si="28"/>
        <v/>
      </c>
      <c r="R230" s="335" t="str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  <v/>
      </c>
      <c r="S230" s="335">
        <f t="shared" si="29"/>
        <v>0</v>
      </c>
      <c r="T230" s="348">
        <f t="shared" si="30"/>
        <v>0</v>
      </c>
      <c r="U230" s="348">
        <f t="shared" si="31"/>
        <v>0</v>
      </c>
      <c r="V230" s="348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348">
        <f>IF(V230&gt;0,ROUNDUP(INDEX(RAW!$K:$K,MAX(2,F230))/1000,0)*1000-ROUNDUP((INDEX(RAW!$K:$K,MAX(2,F230))-V230)/1000,0)*1000,0)</f>
        <v>0</v>
      </c>
      <c r="X230" s="335">
        <f t="shared" si="32"/>
        <v>0</v>
      </c>
      <c r="Y230" s="335">
        <f>IF(X230=1,COUNTIF($X$100:X230,1),0)</f>
        <v>0</v>
      </c>
      <c r="Z230" s="348">
        <f t="shared" si="33"/>
        <v>0</v>
      </c>
    </row>
    <row r="231" spans="1:26" ht="16" hidden="1" outlineLevel="1">
      <c r="A231" s="335" t="str">
        <f t="shared" si="27"/>
        <v/>
      </c>
      <c r="B231" s="335" t="str">
        <f>IF(F231="","",IFERROR(INDEX(RAW!$F:$F,MAX(2,F231)),""))</f>
        <v/>
      </c>
      <c r="C231" s="344"/>
      <c r="D231" s="346" t="str">
        <f>IF(F231="","",IFERROR(INDEX(RAW!$A:$A,MAX(2,F231)),""))</f>
        <v/>
      </c>
      <c r="E231" s="347" t="str">
        <f>IF(F231="","",IFERROR(INDEX(RAW!$K:$K,MAX(2,F231)),0))</f>
        <v/>
      </c>
      <c r="F231" s="344"/>
      <c r="G231" s="335" t="s">
        <v>2476</v>
      </c>
      <c r="O231" s="333" t="str">
        <f t="shared" si="28"/>
        <v/>
      </c>
      <c r="R231" s="335" t="str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  <v/>
      </c>
      <c r="S231" s="335">
        <f t="shared" si="29"/>
        <v>0</v>
      </c>
      <c r="T231" s="348">
        <f t="shared" si="30"/>
        <v>0</v>
      </c>
      <c r="U231" s="348">
        <f t="shared" si="31"/>
        <v>0</v>
      </c>
      <c r="V231" s="348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348">
        <f>IF(V231&gt;0,ROUNDUP(INDEX(RAW!$K:$K,MAX(2,F231))/1000,0)*1000-ROUNDUP((INDEX(RAW!$K:$K,MAX(2,F231))-V231)/1000,0)*1000,0)</f>
        <v>0</v>
      </c>
      <c r="X231" s="335">
        <f t="shared" si="32"/>
        <v>0</v>
      </c>
      <c r="Y231" s="335">
        <f>IF(X231=1,COUNTIF($X$100:X231,1),0)</f>
        <v>0</v>
      </c>
      <c r="Z231" s="348">
        <f t="shared" si="33"/>
        <v>0</v>
      </c>
    </row>
    <row r="232" spans="1:26" ht="16" hidden="1" outlineLevel="1">
      <c r="A232" s="335" t="str">
        <f t="shared" si="27"/>
        <v/>
      </c>
      <c r="B232" s="335" t="str">
        <f>IF(F232="","",IFERROR(INDEX(RAW!$F:$F,MAX(2,F232)),""))</f>
        <v/>
      </c>
      <c r="C232" s="344"/>
      <c r="D232" s="346" t="str">
        <f>IF(F232="","",IFERROR(INDEX(RAW!$A:$A,MAX(2,F232)),""))</f>
        <v/>
      </c>
      <c r="E232" s="347" t="str">
        <f>IF(F232="","",IFERROR(INDEX(RAW!$K:$K,MAX(2,F232)),0))</f>
        <v/>
      </c>
      <c r="F232" s="344"/>
      <c r="G232" s="335" t="s">
        <v>2476</v>
      </c>
      <c r="O232" s="333" t="str">
        <f t="shared" si="28"/>
        <v/>
      </c>
      <c r="R232" s="335" t="str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  <v/>
      </c>
      <c r="S232" s="335">
        <f t="shared" si="29"/>
        <v>0</v>
      </c>
      <c r="T232" s="348">
        <f t="shared" si="30"/>
        <v>0</v>
      </c>
      <c r="U232" s="348">
        <f t="shared" si="31"/>
        <v>0</v>
      </c>
      <c r="V232" s="348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348">
        <f>IF(V232&gt;0,ROUNDUP(INDEX(RAW!$K:$K,MAX(2,F232))/1000,0)*1000-ROUNDUP((INDEX(RAW!$K:$K,MAX(2,F232))-V232)/1000,0)*1000,0)</f>
        <v>0</v>
      </c>
      <c r="X232" s="335">
        <f t="shared" si="32"/>
        <v>0</v>
      </c>
      <c r="Y232" s="335">
        <f>IF(X232=1,COUNTIF($X$100:X232,1),0)</f>
        <v>0</v>
      </c>
      <c r="Z232" s="348">
        <f t="shared" si="33"/>
        <v>0</v>
      </c>
    </row>
    <row r="233" spans="1:26" ht="16" hidden="1" outlineLevel="1">
      <c r="A233" s="335" t="str">
        <f t="shared" si="27"/>
        <v/>
      </c>
      <c r="B233" s="335" t="str">
        <f>IF(F233="","",IFERROR(INDEX(RAW!$F:$F,MAX(2,F233)),""))</f>
        <v/>
      </c>
      <c r="C233" s="344"/>
      <c r="D233" s="346" t="str">
        <f>IF(F233="","",IFERROR(INDEX(RAW!$A:$A,MAX(2,F233)),""))</f>
        <v/>
      </c>
      <c r="E233" s="347" t="str">
        <f>IF(F233="","",IFERROR(INDEX(RAW!$K:$K,MAX(2,F233)),0))</f>
        <v/>
      </c>
      <c r="F233" s="344"/>
      <c r="G233" s="335" t="s">
        <v>2476</v>
      </c>
      <c r="O233" s="333" t="str">
        <f t="shared" si="28"/>
        <v/>
      </c>
      <c r="R233" s="335" t="str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  <v/>
      </c>
      <c r="S233" s="335">
        <f t="shared" si="29"/>
        <v>0</v>
      </c>
      <c r="T233" s="348">
        <f t="shared" si="30"/>
        <v>0</v>
      </c>
      <c r="U233" s="348">
        <f t="shared" si="31"/>
        <v>0</v>
      </c>
      <c r="V233" s="348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348">
        <f>IF(V233&gt;0,ROUNDUP(INDEX(RAW!$K:$K,MAX(2,F233))/1000,0)*1000-ROUNDUP((INDEX(RAW!$K:$K,MAX(2,F233))-V233)/1000,0)*1000,0)</f>
        <v>0</v>
      </c>
      <c r="X233" s="335">
        <f t="shared" si="32"/>
        <v>0</v>
      </c>
      <c r="Y233" s="335">
        <f>IF(X233=1,COUNTIF($X$100:X233,1),0)</f>
        <v>0</v>
      </c>
      <c r="Z233" s="348">
        <f t="shared" si="33"/>
        <v>0</v>
      </c>
    </row>
    <row r="234" spans="1:26" ht="16" hidden="1" outlineLevel="1">
      <c r="A234" s="335" t="str">
        <f t="shared" si="27"/>
        <v/>
      </c>
      <c r="B234" s="335" t="str">
        <f>IF(F234="","",IFERROR(INDEX(RAW!$F:$F,MAX(2,F234)),""))</f>
        <v/>
      </c>
      <c r="C234" s="344"/>
      <c r="D234" s="346" t="str">
        <f>IF(F234="","",IFERROR(INDEX(RAW!$A:$A,MAX(2,F234)),""))</f>
        <v/>
      </c>
      <c r="E234" s="347" t="str">
        <f>IF(F234="","",IFERROR(INDEX(RAW!$K:$K,MAX(2,F234)),0))</f>
        <v/>
      </c>
      <c r="F234" s="344"/>
      <c r="G234" s="335" t="s">
        <v>2476</v>
      </c>
      <c r="O234" s="333" t="str">
        <f t="shared" si="28"/>
        <v/>
      </c>
      <c r="R234" s="335" t="str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  <v/>
      </c>
      <c r="S234" s="335">
        <f t="shared" si="29"/>
        <v>0</v>
      </c>
      <c r="T234" s="348">
        <f t="shared" si="30"/>
        <v>0</v>
      </c>
      <c r="U234" s="348">
        <f t="shared" si="31"/>
        <v>0</v>
      </c>
      <c r="V234" s="348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348">
        <f>IF(V234&gt;0,ROUNDUP(INDEX(RAW!$K:$K,MAX(2,F234))/1000,0)*1000-ROUNDUP((INDEX(RAW!$K:$K,MAX(2,F234))-V234)/1000,0)*1000,0)</f>
        <v>0</v>
      </c>
      <c r="X234" s="335">
        <f t="shared" si="32"/>
        <v>0</v>
      </c>
      <c r="Y234" s="335">
        <f>IF(X234=1,COUNTIF($X$100:X234,1),0)</f>
        <v>0</v>
      </c>
      <c r="Z234" s="348">
        <f t="shared" si="33"/>
        <v>0</v>
      </c>
    </row>
    <row r="235" spans="1:26" ht="16" hidden="1" outlineLevel="1">
      <c r="A235" s="335" t="str">
        <f t="shared" si="27"/>
        <v/>
      </c>
      <c r="B235" s="335" t="str">
        <f>IF(F235="","",IFERROR(INDEX(RAW!$F:$F,MAX(2,F235)),""))</f>
        <v/>
      </c>
      <c r="C235" s="344"/>
      <c r="D235" s="346" t="str">
        <f>IF(F235="","",IFERROR(INDEX(RAW!$A:$A,MAX(2,F235)),""))</f>
        <v/>
      </c>
      <c r="E235" s="347" t="str">
        <f>IF(F235="","",IFERROR(INDEX(RAW!$K:$K,MAX(2,F235)),0))</f>
        <v/>
      </c>
      <c r="F235" s="344"/>
      <c r="G235" s="335" t="s">
        <v>2476</v>
      </c>
      <c r="O235" s="333" t="str">
        <f t="shared" si="28"/>
        <v/>
      </c>
      <c r="R235" s="335" t="str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  <v/>
      </c>
      <c r="S235" s="335">
        <f t="shared" si="29"/>
        <v>0</v>
      </c>
      <c r="T235" s="348">
        <f t="shared" si="30"/>
        <v>0</v>
      </c>
      <c r="U235" s="348">
        <f t="shared" si="31"/>
        <v>0</v>
      </c>
      <c r="V235" s="348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348">
        <f>IF(V235&gt;0,ROUNDUP(INDEX(RAW!$K:$K,MAX(2,F235))/1000,0)*1000-ROUNDUP((INDEX(RAW!$K:$K,MAX(2,F235))-V235)/1000,0)*1000,0)</f>
        <v>0</v>
      </c>
      <c r="X235" s="335">
        <f t="shared" si="32"/>
        <v>0</v>
      </c>
      <c r="Y235" s="335">
        <f>IF(X235=1,COUNTIF($X$100:X235,1),0)</f>
        <v>0</v>
      </c>
      <c r="Z235" s="348">
        <f t="shared" si="33"/>
        <v>0</v>
      </c>
    </row>
    <row r="236" spans="1:26" ht="16" hidden="1" outlineLevel="1">
      <c r="A236" s="335" t="str">
        <f t="shared" si="27"/>
        <v/>
      </c>
      <c r="B236" s="335" t="str">
        <f>IF(F236="","",IFERROR(INDEX(RAW!$F:$F,MAX(2,F236)),""))</f>
        <v/>
      </c>
      <c r="C236" s="344"/>
      <c r="D236" s="346" t="str">
        <f>IF(F236="","",IFERROR(INDEX(RAW!$A:$A,MAX(2,F236)),""))</f>
        <v/>
      </c>
      <c r="E236" s="347" t="str">
        <f>IF(F236="","",IFERROR(INDEX(RAW!$K:$K,MAX(2,F236)),0))</f>
        <v/>
      </c>
      <c r="F236" s="344"/>
      <c r="G236" s="335" t="s">
        <v>2476</v>
      </c>
      <c r="O236" s="333" t="str">
        <f t="shared" si="28"/>
        <v/>
      </c>
      <c r="R236" s="335" t="str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  <v/>
      </c>
      <c r="S236" s="335">
        <f t="shared" si="29"/>
        <v>0</v>
      </c>
      <c r="T236" s="348">
        <f t="shared" si="30"/>
        <v>0</v>
      </c>
      <c r="U236" s="348">
        <f t="shared" si="31"/>
        <v>0</v>
      </c>
      <c r="V236" s="348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348">
        <f>IF(V236&gt;0,ROUNDUP(INDEX(RAW!$K:$K,MAX(2,F236))/1000,0)*1000-ROUNDUP((INDEX(RAW!$K:$K,MAX(2,F236))-V236)/1000,0)*1000,0)</f>
        <v>0</v>
      </c>
      <c r="X236" s="335">
        <f t="shared" si="32"/>
        <v>0</v>
      </c>
      <c r="Y236" s="335">
        <f>IF(X236=1,COUNTIF($X$100:X236,1),0)</f>
        <v>0</v>
      </c>
      <c r="Z236" s="348">
        <f t="shared" si="33"/>
        <v>0</v>
      </c>
    </row>
    <row r="237" spans="1:26" ht="16" hidden="1" outlineLevel="1">
      <c r="A237" s="335" t="str">
        <f t="shared" si="27"/>
        <v/>
      </c>
      <c r="B237" s="335" t="str">
        <f>IF(F237="","",IFERROR(INDEX(RAW!$F:$F,MAX(2,F237)),""))</f>
        <v/>
      </c>
      <c r="C237" s="344"/>
      <c r="D237" s="346" t="str">
        <f>IF(F237="","",IFERROR(INDEX(RAW!$A:$A,MAX(2,F237)),""))</f>
        <v/>
      </c>
      <c r="E237" s="347" t="str">
        <f>IF(F237="","",IFERROR(INDEX(RAW!$K:$K,MAX(2,F237)),0))</f>
        <v/>
      </c>
      <c r="F237" s="344"/>
      <c r="G237" s="335" t="s">
        <v>2476</v>
      </c>
      <c r="O237" s="333" t="str">
        <f t="shared" si="28"/>
        <v/>
      </c>
      <c r="R237" s="335" t="str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  <v/>
      </c>
      <c r="S237" s="335">
        <f t="shared" si="29"/>
        <v>0</v>
      </c>
      <c r="T237" s="348">
        <f t="shared" si="30"/>
        <v>0</v>
      </c>
      <c r="U237" s="348">
        <f t="shared" si="31"/>
        <v>0</v>
      </c>
      <c r="V237" s="348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348">
        <f>IF(V237&gt;0,ROUNDUP(INDEX(RAW!$K:$K,MAX(2,F237))/1000,0)*1000-ROUNDUP((INDEX(RAW!$K:$K,MAX(2,F237))-V237)/1000,0)*1000,0)</f>
        <v>0</v>
      </c>
      <c r="X237" s="335">
        <f t="shared" si="32"/>
        <v>0</v>
      </c>
      <c r="Y237" s="335">
        <f>IF(X237=1,COUNTIF($X$100:X237,1),0)</f>
        <v>0</v>
      </c>
      <c r="Z237" s="348">
        <f t="shared" si="33"/>
        <v>0</v>
      </c>
    </row>
    <row r="238" spans="1:26" ht="16" hidden="1" outlineLevel="1">
      <c r="A238" s="335" t="str">
        <f t="shared" si="27"/>
        <v/>
      </c>
      <c r="B238" s="335" t="str">
        <f>IF(F238="","",IFERROR(INDEX(RAW!$F:$F,MAX(2,F238)),""))</f>
        <v/>
      </c>
      <c r="C238" s="344"/>
      <c r="D238" s="346" t="str">
        <f>IF(F238="","",IFERROR(INDEX(RAW!$A:$A,MAX(2,F238)),""))</f>
        <v/>
      </c>
      <c r="E238" s="347" t="str">
        <f>IF(F238="","",IFERROR(INDEX(RAW!$K:$K,MAX(2,F238)),0))</f>
        <v/>
      </c>
      <c r="F238" s="344"/>
      <c r="G238" s="335" t="s">
        <v>2476</v>
      </c>
      <c r="O238" s="333" t="str">
        <f t="shared" si="28"/>
        <v/>
      </c>
      <c r="R238" s="335" t="str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  <v/>
      </c>
      <c r="S238" s="335">
        <f t="shared" si="29"/>
        <v>0</v>
      </c>
      <c r="T238" s="348">
        <f t="shared" si="30"/>
        <v>0</v>
      </c>
      <c r="U238" s="348">
        <f t="shared" si="31"/>
        <v>0</v>
      </c>
      <c r="V238" s="348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348">
        <f>IF(V238&gt;0,ROUNDUP(INDEX(RAW!$K:$K,MAX(2,F238))/1000,0)*1000-ROUNDUP((INDEX(RAW!$K:$K,MAX(2,F238))-V238)/1000,0)*1000,0)</f>
        <v>0</v>
      </c>
      <c r="X238" s="335">
        <f t="shared" si="32"/>
        <v>0</v>
      </c>
      <c r="Y238" s="335">
        <f>IF(X238=1,COUNTIF($X$100:X238,1),0)</f>
        <v>0</v>
      </c>
      <c r="Z238" s="348">
        <f t="shared" si="33"/>
        <v>0</v>
      </c>
    </row>
    <row r="239" spans="1:26" ht="16" hidden="1" outlineLevel="1">
      <c r="A239" s="335" t="str">
        <f t="shared" si="27"/>
        <v/>
      </c>
      <c r="B239" s="335" t="str">
        <f>IF(F239="","",IFERROR(INDEX(RAW!$F:$F,MAX(2,F239)),""))</f>
        <v/>
      </c>
      <c r="C239" s="344"/>
      <c r="D239" s="346" t="str">
        <f>IF(F239="","",IFERROR(INDEX(RAW!$A:$A,MAX(2,F239)),""))</f>
        <v/>
      </c>
      <c r="E239" s="347" t="str">
        <f>IF(F239="","",IFERROR(INDEX(RAW!$K:$K,MAX(2,F239)),0))</f>
        <v/>
      </c>
      <c r="F239" s="344"/>
      <c r="G239" s="335" t="s">
        <v>2476</v>
      </c>
      <c r="O239" s="333" t="str">
        <f t="shared" si="28"/>
        <v/>
      </c>
      <c r="R239" s="335" t="str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  <v/>
      </c>
      <c r="S239" s="335">
        <f t="shared" si="29"/>
        <v>0</v>
      </c>
      <c r="T239" s="348">
        <f t="shared" si="30"/>
        <v>0</v>
      </c>
      <c r="U239" s="348">
        <f t="shared" si="31"/>
        <v>0</v>
      </c>
      <c r="V239" s="348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348">
        <f>IF(V239&gt;0,ROUNDUP(INDEX(RAW!$K:$K,MAX(2,F239))/1000,0)*1000-ROUNDUP((INDEX(RAW!$K:$K,MAX(2,F239))-V239)/1000,0)*1000,0)</f>
        <v>0</v>
      </c>
      <c r="X239" s="335">
        <f t="shared" si="32"/>
        <v>0</v>
      </c>
      <c r="Y239" s="335">
        <f>IF(X239=1,COUNTIF($X$100:X239,1),0)</f>
        <v>0</v>
      </c>
      <c r="Z239" s="348">
        <f t="shared" si="33"/>
        <v>0</v>
      </c>
    </row>
    <row r="240" spans="1:26" ht="16" hidden="1" outlineLevel="1">
      <c r="A240" s="335" t="str">
        <f t="shared" si="27"/>
        <v/>
      </c>
      <c r="B240" s="335" t="str">
        <f>IF(F240="","",IFERROR(INDEX(RAW!$F:$F,MAX(2,F240)),""))</f>
        <v/>
      </c>
      <c r="C240" s="344"/>
      <c r="D240" s="346" t="str">
        <f>IF(F240="","",IFERROR(INDEX(RAW!$A:$A,MAX(2,F240)),""))</f>
        <v/>
      </c>
      <c r="E240" s="347" t="str">
        <f>IF(F240="","",IFERROR(INDEX(RAW!$K:$K,MAX(2,F240)),0))</f>
        <v/>
      </c>
      <c r="F240" s="344"/>
      <c r="G240" s="335" t="s">
        <v>2476</v>
      </c>
      <c r="O240" s="333" t="str">
        <f t="shared" si="28"/>
        <v/>
      </c>
      <c r="R240" s="335" t="str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  <v/>
      </c>
      <c r="S240" s="335">
        <f t="shared" si="29"/>
        <v>0</v>
      </c>
      <c r="T240" s="348">
        <f t="shared" si="30"/>
        <v>0</v>
      </c>
      <c r="U240" s="348">
        <f t="shared" si="31"/>
        <v>0</v>
      </c>
      <c r="V240" s="348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348">
        <f>IF(V240&gt;0,ROUNDUP(INDEX(RAW!$K:$K,MAX(2,F240))/1000,0)*1000-ROUNDUP((INDEX(RAW!$K:$K,MAX(2,F240))-V240)/1000,0)*1000,0)</f>
        <v>0</v>
      </c>
      <c r="X240" s="335">
        <f t="shared" si="32"/>
        <v>0</v>
      </c>
      <c r="Y240" s="335">
        <f>IF(X240=1,COUNTIF($X$100:X240,1),0)</f>
        <v>0</v>
      </c>
      <c r="Z240" s="348">
        <f t="shared" si="33"/>
        <v>0</v>
      </c>
    </row>
    <row r="241" spans="1:26" ht="16" hidden="1" outlineLevel="1">
      <c r="A241" s="335" t="str">
        <f t="shared" si="27"/>
        <v/>
      </c>
      <c r="B241" s="335" t="str">
        <f>IF(F241="","",IFERROR(INDEX(RAW!$F:$F,MAX(2,F241)),""))</f>
        <v/>
      </c>
      <c r="C241" s="344"/>
      <c r="D241" s="346" t="str">
        <f>IF(F241="","",IFERROR(INDEX(RAW!$A:$A,MAX(2,F241)),""))</f>
        <v/>
      </c>
      <c r="E241" s="347" t="str">
        <f>IF(F241="","",IFERROR(INDEX(RAW!$K:$K,MAX(2,F241)),0))</f>
        <v/>
      </c>
      <c r="F241" s="344"/>
      <c r="G241" s="335" t="s">
        <v>2476</v>
      </c>
      <c r="O241" s="333" t="str">
        <f t="shared" si="28"/>
        <v/>
      </c>
      <c r="R241" s="335" t="str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  <v/>
      </c>
      <c r="S241" s="335">
        <f t="shared" si="29"/>
        <v>0</v>
      </c>
      <c r="T241" s="348">
        <f t="shared" si="30"/>
        <v>0</v>
      </c>
      <c r="U241" s="348">
        <f t="shared" si="31"/>
        <v>0</v>
      </c>
      <c r="V241" s="348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348">
        <f>IF(V241&gt;0,ROUNDUP(INDEX(RAW!$K:$K,MAX(2,F241))/1000,0)*1000-ROUNDUP((INDEX(RAW!$K:$K,MAX(2,F241))-V241)/1000,0)*1000,0)</f>
        <v>0</v>
      </c>
      <c r="X241" s="335">
        <f t="shared" si="32"/>
        <v>0</v>
      </c>
      <c r="Y241" s="335">
        <f>IF(X241=1,COUNTIF($X$100:X241,1),0)</f>
        <v>0</v>
      </c>
      <c r="Z241" s="348">
        <f t="shared" si="33"/>
        <v>0</v>
      </c>
    </row>
    <row r="242" spans="1:26" ht="16" hidden="1" outlineLevel="1">
      <c r="A242" s="335" t="str">
        <f t="shared" ref="A242:A305" si="34">IF(F242="","",IF(F242&gt;0,"R"&amp;F242,""))</f>
        <v/>
      </c>
      <c r="B242" s="335" t="str">
        <f>IF(F242="","",IFERROR(INDEX(RAW!$F:$F,MAX(2,F242)),""))</f>
        <v/>
      </c>
      <c r="C242" s="344"/>
      <c r="D242" s="346" t="str">
        <f>IF(F242="","",IFERROR(INDEX(RAW!$A:$A,MAX(2,F242)),""))</f>
        <v/>
      </c>
      <c r="E242" s="347" t="str">
        <f>IF(F242="","",IFERROR(INDEX(RAW!$K:$K,MAX(2,F242)),0))</f>
        <v/>
      </c>
      <c r="F242" s="344"/>
      <c r="G242" s="335" t="s">
        <v>2476</v>
      </c>
      <c r="O242" s="333" t="str">
        <f t="shared" si="28"/>
        <v/>
      </c>
      <c r="R242" s="335" t="str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  <v/>
      </c>
      <c r="S242" s="335">
        <f t="shared" si="29"/>
        <v>0</v>
      </c>
      <c r="T242" s="348">
        <f t="shared" si="30"/>
        <v>0</v>
      </c>
      <c r="U242" s="348">
        <f t="shared" si="31"/>
        <v>0</v>
      </c>
      <c r="V242" s="348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348">
        <f>IF(V242&gt;0,ROUNDUP(INDEX(RAW!$K:$K,MAX(2,F242))/1000,0)*1000-ROUNDUP((INDEX(RAW!$K:$K,MAX(2,F242))-V242)/1000,0)*1000,0)</f>
        <v>0</v>
      </c>
      <c r="X242" s="335">
        <f t="shared" si="32"/>
        <v>0</v>
      </c>
      <c r="Y242" s="335">
        <f>IF(X242=1,COUNTIF($X$100:X242,1),0)</f>
        <v>0</v>
      </c>
      <c r="Z242" s="348">
        <f t="shared" si="33"/>
        <v>0</v>
      </c>
    </row>
    <row r="243" spans="1:26" ht="16" hidden="1" outlineLevel="1">
      <c r="A243" s="335" t="str">
        <f t="shared" si="34"/>
        <v/>
      </c>
      <c r="B243" s="335" t="str">
        <f>IF(F243="","",IFERROR(INDEX(RAW!$F:$F,MAX(2,F243)),""))</f>
        <v/>
      </c>
      <c r="C243" s="344"/>
      <c r="D243" s="346" t="str">
        <f>IF(F243="","",IFERROR(INDEX(RAW!$A:$A,MAX(2,F243)),""))</f>
        <v/>
      </c>
      <c r="E243" s="347" t="str">
        <f>IF(F243="","",IFERROR(INDEX(RAW!$K:$K,MAX(2,F243)),0))</f>
        <v/>
      </c>
      <c r="F243" s="344"/>
      <c r="G243" s="335" t="s">
        <v>2476</v>
      </c>
      <c r="O243" s="333" t="str">
        <f t="shared" si="28"/>
        <v/>
      </c>
      <c r="R243" s="335" t="str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  <v/>
      </c>
      <c r="S243" s="335">
        <f t="shared" si="29"/>
        <v>0</v>
      </c>
      <c r="T243" s="348">
        <f t="shared" si="30"/>
        <v>0</v>
      </c>
      <c r="U243" s="348">
        <f t="shared" si="31"/>
        <v>0</v>
      </c>
      <c r="V243" s="348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348">
        <f>IF(V243&gt;0,ROUNDUP(INDEX(RAW!$K:$K,MAX(2,F243))/1000,0)*1000-ROUNDUP((INDEX(RAW!$K:$K,MAX(2,F243))-V243)/1000,0)*1000,0)</f>
        <v>0</v>
      </c>
      <c r="X243" s="335">
        <f t="shared" si="32"/>
        <v>0</v>
      </c>
      <c r="Y243" s="335">
        <f>IF(X243=1,COUNTIF($X$100:X243,1),0)</f>
        <v>0</v>
      </c>
      <c r="Z243" s="348">
        <f t="shared" si="33"/>
        <v>0</v>
      </c>
    </row>
    <row r="244" spans="1:26" ht="16" hidden="1" outlineLevel="1">
      <c r="A244" s="335" t="str">
        <f t="shared" si="34"/>
        <v/>
      </c>
      <c r="B244" s="335" t="str">
        <f>IF(F244="","",IFERROR(INDEX(RAW!$F:$F,MAX(2,F244)),""))</f>
        <v/>
      </c>
      <c r="C244" s="344"/>
      <c r="D244" s="346" t="str">
        <f>IF(F244="","",IFERROR(INDEX(RAW!$A:$A,MAX(2,F244)),""))</f>
        <v/>
      </c>
      <c r="E244" s="347" t="str">
        <f>IF(F244="","",IFERROR(INDEX(RAW!$K:$K,MAX(2,F244)),0))</f>
        <v/>
      </c>
      <c r="F244" s="344"/>
      <c r="G244" s="335" t="s">
        <v>2476</v>
      </c>
      <c r="O244" s="333" t="str">
        <f t="shared" si="28"/>
        <v/>
      </c>
      <c r="R244" s="335" t="str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  <v/>
      </c>
      <c r="S244" s="335">
        <f t="shared" si="29"/>
        <v>0</v>
      </c>
      <c r="T244" s="348">
        <f t="shared" si="30"/>
        <v>0</v>
      </c>
      <c r="U244" s="348">
        <f t="shared" si="31"/>
        <v>0</v>
      </c>
      <c r="V244" s="348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348">
        <f>IF(V244&gt;0,ROUNDUP(INDEX(RAW!$K:$K,MAX(2,F244))/1000,0)*1000-ROUNDUP((INDEX(RAW!$K:$K,MAX(2,F244))-V244)/1000,0)*1000,0)</f>
        <v>0</v>
      </c>
      <c r="X244" s="335">
        <f t="shared" si="32"/>
        <v>0</v>
      </c>
      <c r="Y244" s="335">
        <f>IF(X244=1,COUNTIF($X$100:X244,1),0)</f>
        <v>0</v>
      </c>
      <c r="Z244" s="348">
        <f t="shared" si="33"/>
        <v>0</v>
      </c>
    </row>
    <row r="245" spans="1:26" ht="16" hidden="1" outlineLevel="1">
      <c r="A245" s="335" t="str">
        <f t="shared" si="34"/>
        <v/>
      </c>
      <c r="B245" s="335" t="str">
        <f>IF(F245="","",IFERROR(INDEX(RAW!$F:$F,MAX(2,F245)),""))</f>
        <v/>
      </c>
      <c r="C245" s="344"/>
      <c r="D245" s="346" t="str">
        <f>IF(F245="","",IFERROR(INDEX(RAW!$A:$A,MAX(2,F245)),""))</f>
        <v/>
      </c>
      <c r="E245" s="347" t="str">
        <f>IF(F245="","",IFERROR(INDEX(RAW!$K:$K,MAX(2,F245)),0))</f>
        <v/>
      </c>
      <c r="F245" s="344"/>
      <c r="G245" s="335" t="s">
        <v>2476</v>
      </c>
      <c r="O245" s="333" t="str">
        <f t="shared" si="28"/>
        <v/>
      </c>
      <c r="R245" s="335" t="str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  <v/>
      </c>
      <c r="S245" s="335">
        <f t="shared" si="29"/>
        <v>0</v>
      </c>
      <c r="T245" s="348">
        <f t="shared" si="30"/>
        <v>0</v>
      </c>
      <c r="U245" s="348">
        <f t="shared" si="31"/>
        <v>0</v>
      </c>
      <c r="V245" s="348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348">
        <f>IF(V245&gt;0,ROUNDUP(INDEX(RAW!$K:$K,MAX(2,F245))/1000,0)*1000-ROUNDUP((INDEX(RAW!$K:$K,MAX(2,F245))-V245)/1000,0)*1000,0)</f>
        <v>0</v>
      </c>
      <c r="X245" s="335">
        <f t="shared" si="32"/>
        <v>0</v>
      </c>
      <c r="Y245" s="335">
        <f>IF(X245=1,COUNTIF($X$100:X245,1),0)</f>
        <v>0</v>
      </c>
      <c r="Z245" s="348">
        <f t="shared" si="33"/>
        <v>0</v>
      </c>
    </row>
    <row r="246" spans="1:26" ht="16" hidden="1" outlineLevel="1">
      <c r="A246" s="335" t="str">
        <f t="shared" si="34"/>
        <v/>
      </c>
      <c r="B246" s="335" t="str">
        <f>IF(F246="","",IFERROR(INDEX(RAW!$F:$F,MAX(2,F246)),""))</f>
        <v/>
      </c>
      <c r="C246" s="344"/>
      <c r="D246" s="346" t="str">
        <f>IF(F246="","",IFERROR(INDEX(RAW!$A:$A,MAX(2,F246)),""))</f>
        <v/>
      </c>
      <c r="E246" s="347" t="str">
        <f>IF(F246="","",IFERROR(INDEX(RAW!$K:$K,MAX(2,F246)),0))</f>
        <v/>
      </c>
      <c r="F246" s="344"/>
      <c r="G246" s="335" t="s">
        <v>2476</v>
      </c>
      <c r="O246" s="333" t="str">
        <f t="shared" si="28"/>
        <v/>
      </c>
      <c r="R246" s="335" t="str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  <v/>
      </c>
      <c r="S246" s="335">
        <f t="shared" si="29"/>
        <v>0</v>
      </c>
      <c r="T246" s="348">
        <f t="shared" si="30"/>
        <v>0</v>
      </c>
      <c r="U246" s="348">
        <f t="shared" si="31"/>
        <v>0</v>
      </c>
      <c r="V246" s="348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348">
        <f>IF(V246&gt;0,ROUNDUP(INDEX(RAW!$K:$K,MAX(2,F246))/1000,0)*1000-ROUNDUP((INDEX(RAW!$K:$K,MAX(2,F246))-V246)/1000,0)*1000,0)</f>
        <v>0</v>
      </c>
      <c r="X246" s="335">
        <f t="shared" si="32"/>
        <v>0</v>
      </c>
      <c r="Y246" s="335">
        <f>IF(X246=1,COUNTIF($X$100:X246,1),0)</f>
        <v>0</v>
      </c>
      <c r="Z246" s="348">
        <f t="shared" si="33"/>
        <v>0</v>
      </c>
    </row>
    <row r="247" spans="1:26" ht="16" hidden="1" outlineLevel="1">
      <c r="A247" s="335" t="str">
        <f t="shared" si="34"/>
        <v/>
      </c>
      <c r="B247" s="335" t="str">
        <f>IF(F247="","",IFERROR(INDEX(RAW!$F:$F,MAX(2,F247)),""))</f>
        <v/>
      </c>
      <c r="C247" s="344"/>
      <c r="D247" s="346" t="str">
        <f>IF(F247="","",IFERROR(INDEX(RAW!$A:$A,MAX(2,F247)),""))</f>
        <v/>
      </c>
      <c r="E247" s="347" t="str">
        <f>IF(F247="","",IFERROR(INDEX(RAW!$K:$K,MAX(2,F247)),0))</f>
        <v/>
      </c>
      <c r="F247" s="344"/>
      <c r="G247" s="335" t="s">
        <v>2476</v>
      </c>
      <c r="O247" s="333" t="str">
        <f t="shared" si="28"/>
        <v/>
      </c>
      <c r="R247" s="335" t="str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  <v/>
      </c>
      <c r="S247" s="335">
        <f t="shared" si="29"/>
        <v>0</v>
      </c>
      <c r="T247" s="348">
        <f t="shared" si="30"/>
        <v>0</v>
      </c>
      <c r="U247" s="348">
        <f t="shared" si="31"/>
        <v>0</v>
      </c>
      <c r="V247" s="348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348">
        <f>IF(V247&gt;0,ROUNDUP(INDEX(RAW!$K:$K,MAX(2,F247))/1000,0)*1000-ROUNDUP((INDEX(RAW!$K:$K,MAX(2,F247))-V247)/1000,0)*1000,0)</f>
        <v>0</v>
      </c>
      <c r="X247" s="335">
        <f t="shared" si="32"/>
        <v>0</v>
      </c>
      <c r="Y247" s="335">
        <f>IF(X247=1,COUNTIF($X$100:X247,1),0)</f>
        <v>0</v>
      </c>
      <c r="Z247" s="348">
        <f t="shared" si="33"/>
        <v>0</v>
      </c>
    </row>
    <row r="248" spans="1:26" ht="16" hidden="1" outlineLevel="1">
      <c r="A248" s="335" t="str">
        <f t="shared" si="34"/>
        <v/>
      </c>
      <c r="B248" s="335" t="str">
        <f>IF(F248="","",IFERROR(INDEX(RAW!$F:$F,MAX(2,F248)),""))</f>
        <v/>
      </c>
      <c r="C248" s="344"/>
      <c r="D248" s="346" t="str">
        <f>IF(F248="","",IFERROR(INDEX(RAW!$A:$A,MAX(2,F248)),""))</f>
        <v/>
      </c>
      <c r="E248" s="347" t="str">
        <f>IF(F248="","",IFERROR(INDEX(RAW!$K:$K,MAX(2,F248)),0))</f>
        <v/>
      </c>
      <c r="F248" s="344"/>
      <c r="G248" s="335" t="s">
        <v>2476</v>
      </c>
      <c r="O248" s="333" t="str">
        <f t="shared" si="28"/>
        <v/>
      </c>
      <c r="R248" s="335" t="str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  <v/>
      </c>
      <c r="S248" s="335">
        <f t="shared" si="29"/>
        <v>0</v>
      </c>
      <c r="T248" s="348">
        <f t="shared" si="30"/>
        <v>0</v>
      </c>
      <c r="U248" s="348">
        <f t="shared" si="31"/>
        <v>0</v>
      </c>
      <c r="V248" s="348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348">
        <f>IF(V248&gt;0,ROUNDUP(INDEX(RAW!$K:$K,MAX(2,F248))/1000,0)*1000-ROUNDUP((INDEX(RAW!$K:$K,MAX(2,F248))-V248)/1000,0)*1000,0)</f>
        <v>0</v>
      </c>
      <c r="X248" s="335">
        <f t="shared" si="32"/>
        <v>0</v>
      </c>
      <c r="Y248" s="335">
        <f>IF(X248=1,COUNTIF($X$100:X248,1),0)</f>
        <v>0</v>
      </c>
      <c r="Z248" s="348">
        <f t="shared" si="33"/>
        <v>0</v>
      </c>
    </row>
    <row r="249" spans="1:26" ht="16" hidden="1" outlineLevel="1">
      <c r="A249" s="335" t="str">
        <f t="shared" si="34"/>
        <v/>
      </c>
      <c r="B249" s="335" t="str">
        <f>IF(F249="","",IFERROR(INDEX(RAW!$F:$F,MAX(2,F249)),""))</f>
        <v/>
      </c>
      <c r="C249" s="344"/>
      <c r="D249" s="346" t="str">
        <f>IF(F249="","",IFERROR(INDEX(RAW!$A:$A,MAX(2,F249)),""))</f>
        <v/>
      </c>
      <c r="E249" s="347" t="str">
        <f>IF(F249="","",IFERROR(INDEX(RAW!$K:$K,MAX(2,F249)),0))</f>
        <v/>
      </c>
      <c r="F249" s="344"/>
      <c r="G249" s="335" t="s">
        <v>2476</v>
      </c>
      <c r="O249" s="333" t="str">
        <f t="shared" si="28"/>
        <v/>
      </c>
      <c r="R249" s="335" t="str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  <v/>
      </c>
      <c r="S249" s="335">
        <f t="shared" si="29"/>
        <v>0</v>
      </c>
      <c r="T249" s="348">
        <f t="shared" si="30"/>
        <v>0</v>
      </c>
      <c r="U249" s="348">
        <f t="shared" si="31"/>
        <v>0</v>
      </c>
      <c r="V249" s="348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348">
        <f>IF(V249&gt;0,ROUNDUP(INDEX(RAW!$K:$K,MAX(2,F249))/1000,0)*1000-ROUNDUP((INDEX(RAW!$K:$K,MAX(2,F249))-V249)/1000,0)*1000,0)</f>
        <v>0</v>
      </c>
      <c r="X249" s="335">
        <f t="shared" si="32"/>
        <v>0</v>
      </c>
      <c r="Y249" s="335">
        <f>IF(X249=1,COUNTIF($X$100:X249,1),0)</f>
        <v>0</v>
      </c>
      <c r="Z249" s="348">
        <f t="shared" si="33"/>
        <v>0</v>
      </c>
    </row>
    <row r="250" spans="1:26" ht="16" hidden="1" outlineLevel="1">
      <c r="A250" s="335" t="str">
        <f t="shared" si="34"/>
        <v/>
      </c>
      <c r="B250" s="335" t="str">
        <f>IF(F250="","",IFERROR(INDEX(RAW!$F:$F,MAX(2,F250)),""))</f>
        <v/>
      </c>
      <c r="C250" s="344"/>
      <c r="D250" s="346" t="str">
        <f>IF(F250="","",IFERROR(INDEX(RAW!$A:$A,MAX(2,F250)),""))</f>
        <v/>
      </c>
      <c r="E250" s="347" t="str">
        <f>IF(F250="","",IFERROR(INDEX(RAW!$K:$K,MAX(2,F250)),0))</f>
        <v/>
      </c>
      <c r="F250" s="344"/>
      <c r="G250" s="335" t="s">
        <v>2476</v>
      </c>
      <c r="O250" s="333" t="str">
        <f t="shared" si="28"/>
        <v/>
      </c>
      <c r="R250" s="335" t="str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  <v/>
      </c>
      <c r="S250" s="335">
        <f t="shared" si="29"/>
        <v>0</v>
      </c>
      <c r="T250" s="348">
        <f t="shared" si="30"/>
        <v>0</v>
      </c>
      <c r="U250" s="348">
        <f t="shared" si="31"/>
        <v>0</v>
      </c>
      <c r="V250" s="348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348">
        <f>IF(V250&gt;0,ROUNDUP(INDEX(RAW!$K:$K,MAX(2,F250))/1000,0)*1000-ROUNDUP((INDEX(RAW!$K:$K,MAX(2,F250))-V250)/1000,0)*1000,0)</f>
        <v>0</v>
      </c>
      <c r="X250" s="335">
        <f t="shared" si="32"/>
        <v>0</v>
      </c>
      <c r="Y250" s="335">
        <f>IF(X250=1,COUNTIF($X$100:X250,1),0)</f>
        <v>0</v>
      </c>
      <c r="Z250" s="348">
        <f t="shared" si="33"/>
        <v>0</v>
      </c>
    </row>
    <row r="251" spans="1:26" ht="16" hidden="1" outlineLevel="1">
      <c r="A251" s="335" t="str">
        <f t="shared" si="34"/>
        <v/>
      </c>
      <c r="B251" s="335" t="str">
        <f>IF(F251="","",IFERROR(INDEX(RAW!$F:$F,MAX(2,F251)),""))</f>
        <v/>
      </c>
      <c r="C251" s="344"/>
      <c r="D251" s="346" t="str">
        <f>IF(F251="","",IFERROR(INDEX(RAW!$A:$A,MAX(2,F251)),""))</f>
        <v/>
      </c>
      <c r="E251" s="347" t="str">
        <f>IF(F251="","",IFERROR(INDEX(RAW!$K:$K,MAX(2,F251)),0))</f>
        <v/>
      </c>
      <c r="F251" s="344"/>
      <c r="G251" s="335" t="s">
        <v>2476</v>
      </c>
      <c r="O251" s="333" t="str">
        <f t="shared" si="28"/>
        <v/>
      </c>
      <c r="R251" s="335" t="str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  <v/>
      </c>
      <c r="S251" s="335">
        <f t="shared" si="29"/>
        <v>0</v>
      </c>
      <c r="T251" s="348">
        <f t="shared" si="30"/>
        <v>0</v>
      </c>
      <c r="U251" s="348">
        <f t="shared" si="31"/>
        <v>0</v>
      </c>
      <c r="V251" s="348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348">
        <f>IF(V251&gt;0,ROUNDUP(INDEX(RAW!$K:$K,MAX(2,F251))/1000,0)*1000-ROUNDUP((INDEX(RAW!$K:$K,MAX(2,F251))-V251)/1000,0)*1000,0)</f>
        <v>0</v>
      </c>
      <c r="X251" s="335">
        <f t="shared" si="32"/>
        <v>0</v>
      </c>
      <c r="Y251" s="335">
        <f>IF(X251=1,COUNTIF($X$100:X251,1),0)</f>
        <v>0</v>
      </c>
      <c r="Z251" s="348">
        <f t="shared" si="33"/>
        <v>0</v>
      </c>
    </row>
    <row r="252" spans="1:26" ht="16" hidden="1" outlineLevel="1">
      <c r="A252" s="335" t="str">
        <f t="shared" si="34"/>
        <v/>
      </c>
      <c r="B252" s="335" t="str">
        <f>IF(F252="","",IFERROR(INDEX(RAW!$F:$F,MAX(2,F252)),""))</f>
        <v/>
      </c>
      <c r="C252" s="344"/>
      <c r="D252" s="346" t="str">
        <f>IF(F252="","",IFERROR(INDEX(RAW!$A:$A,MAX(2,F252)),""))</f>
        <v/>
      </c>
      <c r="E252" s="347" t="str">
        <f>IF(F252="","",IFERROR(INDEX(RAW!$K:$K,MAX(2,F252)),0))</f>
        <v/>
      </c>
      <c r="F252" s="344"/>
      <c r="G252" s="335" t="s">
        <v>2476</v>
      </c>
      <c r="O252" s="333" t="str">
        <f t="shared" si="28"/>
        <v/>
      </c>
      <c r="R252" s="335" t="str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  <v/>
      </c>
      <c r="S252" s="335">
        <f t="shared" si="29"/>
        <v>0</v>
      </c>
      <c r="T252" s="348">
        <f t="shared" si="30"/>
        <v>0</v>
      </c>
      <c r="U252" s="348">
        <f t="shared" si="31"/>
        <v>0</v>
      </c>
      <c r="V252" s="348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348">
        <f>IF(V252&gt;0,ROUNDUP(INDEX(RAW!$K:$K,MAX(2,F252))/1000,0)*1000-ROUNDUP((INDEX(RAW!$K:$K,MAX(2,F252))-V252)/1000,0)*1000,0)</f>
        <v>0</v>
      </c>
      <c r="X252" s="335">
        <f t="shared" si="32"/>
        <v>0</v>
      </c>
      <c r="Y252" s="335">
        <f>IF(X252=1,COUNTIF($X$100:X252,1),0)</f>
        <v>0</v>
      </c>
      <c r="Z252" s="348">
        <f t="shared" si="33"/>
        <v>0</v>
      </c>
    </row>
    <row r="253" spans="1:26" ht="16" hidden="1" outlineLevel="1">
      <c r="A253" s="335" t="str">
        <f t="shared" si="34"/>
        <v/>
      </c>
      <c r="B253" s="335" t="str">
        <f>IF(F253="","",IFERROR(INDEX(RAW!$F:$F,MAX(2,F253)),""))</f>
        <v/>
      </c>
      <c r="C253" s="344"/>
      <c r="D253" s="346" t="str">
        <f>IF(F253="","",IFERROR(INDEX(RAW!$A:$A,MAX(2,F253)),""))</f>
        <v/>
      </c>
      <c r="E253" s="347" t="str">
        <f>IF(F253="","",IFERROR(INDEX(RAW!$K:$K,MAX(2,F253)),0))</f>
        <v/>
      </c>
      <c r="F253" s="344"/>
      <c r="G253" s="335" t="s">
        <v>2476</v>
      </c>
      <c r="O253" s="333" t="str">
        <f t="shared" si="28"/>
        <v/>
      </c>
      <c r="R253" s="335" t="str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  <v/>
      </c>
      <c r="S253" s="335">
        <f t="shared" si="29"/>
        <v>0</v>
      </c>
      <c r="T253" s="348">
        <f t="shared" si="30"/>
        <v>0</v>
      </c>
      <c r="U253" s="348">
        <f t="shared" si="31"/>
        <v>0</v>
      </c>
      <c r="V253" s="348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348">
        <f>IF(V253&gt;0,ROUNDUP(INDEX(RAW!$K:$K,MAX(2,F253))/1000,0)*1000-ROUNDUP((INDEX(RAW!$K:$K,MAX(2,F253))-V253)/1000,0)*1000,0)</f>
        <v>0</v>
      </c>
      <c r="X253" s="335">
        <f t="shared" si="32"/>
        <v>0</v>
      </c>
      <c r="Y253" s="335">
        <f>IF(X253=1,COUNTIF($X$100:X253,1),0)</f>
        <v>0</v>
      </c>
      <c r="Z253" s="348">
        <f t="shared" si="33"/>
        <v>0</v>
      </c>
    </row>
    <row r="254" spans="1:26" ht="16" hidden="1" outlineLevel="1">
      <c r="A254" s="335" t="str">
        <f t="shared" si="34"/>
        <v/>
      </c>
      <c r="B254" s="335" t="str">
        <f>IF(F254="","",IFERROR(INDEX(RAW!$F:$F,MAX(2,F254)),""))</f>
        <v/>
      </c>
      <c r="C254" s="344"/>
      <c r="D254" s="346" t="str">
        <f>IF(F254="","",IFERROR(INDEX(RAW!$A:$A,MAX(2,F254)),""))</f>
        <v/>
      </c>
      <c r="E254" s="347" t="str">
        <f>IF(F254="","",IFERROR(INDEX(RAW!$K:$K,MAX(2,F254)),0))</f>
        <v/>
      </c>
      <c r="F254" s="344"/>
      <c r="G254" s="335" t="s">
        <v>2476</v>
      </c>
      <c r="O254" s="333" t="str">
        <f t="shared" si="28"/>
        <v/>
      </c>
      <c r="R254" s="335" t="str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  <v/>
      </c>
      <c r="S254" s="335">
        <f t="shared" si="29"/>
        <v>0</v>
      </c>
      <c r="T254" s="348">
        <f t="shared" si="30"/>
        <v>0</v>
      </c>
      <c r="U254" s="348">
        <f t="shared" si="31"/>
        <v>0</v>
      </c>
      <c r="V254" s="348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348">
        <f>IF(V254&gt;0,ROUNDUP(INDEX(RAW!$K:$K,MAX(2,F254))/1000,0)*1000-ROUNDUP((INDEX(RAW!$K:$K,MAX(2,F254))-V254)/1000,0)*1000,0)</f>
        <v>0</v>
      </c>
      <c r="X254" s="335">
        <f t="shared" si="32"/>
        <v>0</v>
      </c>
      <c r="Y254" s="335">
        <f>IF(X254=1,COUNTIF($X$100:X254,1),0)</f>
        <v>0</v>
      </c>
      <c r="Z254" s="348">
        <f t="shared" si="33"/>
        <v>0</v>
      </c>
    </row>
    <row r="255" spans="1:26" ht="16" hidden="1" outlineLevel="1">
      <c r="A255" s="335" t="str">
        <f t="shared" si="34"/>
        <v/>
      </c>
      <c r="B255" s="335" t="str">
        <f>IF(F255="","",IFERROR(INDEX(RAW!$F:$F,MAX(2,F255)),""))</f>
        <v/>
      </c>
      <c r="C255" s="344"/>
      <c r="D255" s="346" t="str">
        <f>IF(F255="","",IFERROR(INDEX(RAW!$A:$A,MAX(2,F255)),""))</f>
        <v/>
      </c>
      <c r="E255" s="347" t="str">
        <f>IF(F255="","",IFERROR(INDEX(RAW!$K:$K,MAX(2,F255)),0))</f>
        <v/>
      </c>
      <c r="F255" s="344"/>
      <c r="G255" s="335" t="s">
        <v>2476</v>
      </c>
      <c r="O255" s="333" t="str">
        <f t="shared" si="28"/>
        <v/>
      </c>
      <c r="R255" s="335" t="str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  <v/>
      </c>
      <c r="S255" s="335">
        <f t="shared" si="29"/>
        <v>0</v>
      </c>
      <c r="T255" s="348">
        <f t="shared" si="30"/>
        <v>0</v>
      </c>
      <c r="U255" s="348">
        <f t="shared" si="31"/>
        <v>0</v>
      </c>
      <c r="V255" s="348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348">
        <f>IF(V255&gt;0,ROUNDUP(INDEX(RAW!$K:$K,MAX(2,F255))/1000,0)*1000-ROUNDUP((INDEX(RAW!$K:$K,MAX(2,F255))-V255)/1000,0)*1000,0)</f>
        <v>0</v>
      </c>
      <c r="X255" s="335">
        <f t="shared" si="32"/>
        <v>0</v>
      </c>
      <c r="Y255" s="335">
        <f>IF(X255=1,COUNTIF($X$100:X255,1),0)</f>
        <v>0</v>
      </c>
      <c r="Z255" s="348">
        <f t="shared" si="33"/>
        <v>0</v>
      </c>
    </row>
    <row r="256" spans="1:26" ht="16" hidden="1" outlineLevel="1">
      <c r="A256" s="335" t="str">
        <f t="shared" si="34"/>
        <v/>
      </c>
      <c r="B256" s="335" t="str">
        <f>IF(F256="","",IFERROR(INDEX(RAW!$F:$F,MAX(2,F256)),""))</f>
        <v/>
      </c>
      <c r="C256" s="344"/>
      <c r="D256" s="346" t="str">
        <f>IF(F256="","",IFERROR(INDEX(RAW!$A:$A,MAX(2,F256)),""))</f>
        <v/>
      </c>
      <c r="E256" s="347" t="str">
        <f>IF(F256="","",IFERROR(INDEX(RAW!$K:$K,MAX(2,F256)),0))</f>
        <v/>
      </c>
      <c r="F256" s="344"/>
      <c r="G256" s="335" t="s">
        <v>2476</v>
      </c>
      <c r="O256" s="333" t="str">
        <f t="shared" si="28"/>
        <v/>
      </c>
      <c r="R256" s="335" t="str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  <v/>
      </c>
      <c r="S256" s="335">
        <f t="shared" si="29"/>
        <v>0</v>
      </c>
      <c r="T256" s="348">
        <f t="shared" si="30"/>
        <v>0</v>
      </c>
      <c r="U256" s="348">
        <f t="shared" si="31"/>
        <v>0</v>
      </c>
      <c r="V256" s="348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348">
        <f>IF(V256&gt;0,ROUNDUP(INDEX(RAW!$K:$K,MAX(2,F256))/1000,0)*1000-ROUNDUP((INDEX(RAW!$K:$K,MAX(2,F256))-V256)/1000,0)*1000,0)</f>
        <v>0</v>
      </c>
      <c r="X256" s="335">
        <f t="shared" si="32"/>
        <v>0</v>
      </c>
      <c r="Y256" s="335">
        <f>IF(X256=1,COUNTIF($X$100:X256,1),0)</f>
        <v>0</v>
      </c>
      <c r="Z256" s="348">
        <f t="shared" si="33"/>
        <v>0</v>
      </c>
    </row>
    <row r="257" spans="1:26" ht="16" hidden="1" outlineLevel="1">
      <c r="A257" s="335" t="str">
        <f t="shared" si="34"/>
        <v/>
      </c>
      <c r="B257" s="335" t="str">
        <f>IF(F257="","",IFERROR(INDEX(RAW!$F:$F,MAX(2,F257)),""))</f>
        <v/>
      </c>
      <c r="C257" s="344"/>
      <c r="D257" s="346" t="str">
        <f>IF(F257="","",IFERROR(INDEX(RAW!$A:$A,MAX(2,F257)),""))</f>
        <v/>
      </c>
      <c r="E257" s="347" t="str">
        <f>IF(F257="","",IFERROR(INDEX(RAW!$K:$K,MAX(2,F257)),0))</f>
        <v/>
      </c>
      <c r="F257" s="344"/>
      <c r="G257" s="335" t="s">
        <v>2476</v>
      </c>
      <c r="O257" s="333" t="str">
        <f t="shared" si="28"/>
        <v/>
      </c>
      <c r="R257" s="335" t="str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  <v/>
      </c>
      <c r="S257" s="335">
        <f t="shared" si="29"/>
        <v>0</v>
      </c>
      <c r="T257" s="348">
        <f t="shared" si="30"/>
        <v>0</v>
      </c>
      <c r="U257" s="348">
        <f t="shared" si="31"/>
        <v>0</v>
      </c>
      <c r="V257" s="348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348">
        <f>IF(V257&gt;0,ROUNDUP(INDEX(RAW!$K:$K,MAX(2,F257))/1000,0)*1000-ROUNDUP((INDEX(RAW!$K:$K,MAX(2,F257))-V257)/1000,0)*1000,0)</f>
        <v>0</v>
      </c>
      <c r="X257" s="335">
        <f t="shared" si="32"/>
        <v>0</v>
      </c>
      <c r="Y257" s="335">
        <f>IF(X257=1,COUNTIF($X$100:X257,1),0)</f>
        <v>0</v>
      </c>
      <c r="Z257" s="348">
        <f t="shared" si="33"/>
        <v>0</v>
      </c>
    </row>
    <row r="258" spans="1:26" ht="16" hidden="1" outlineLevel="1">
      <c r="A258" s="335" t="str">
        <f t="shared" si="34"/>
        <v/>
      </c>
      <c r="B258" s="335" t="str">
        <f>IF(F258="","",IFERROR(INDEX(RAW!$F:$F,MAX(2,F258)),""))</f>
        <v/>
      </c>
      <c r="C258" s="344"/>
      <c r="D258" s="346" t="str">
        <f>IF(F258="","",IFERROR(INDEX(RAW!$A:$A,MAX(2,F258)),""))</f>
        <v/>
      </c>
      <c r="E258" s="347" t="str">
        <f>IF(F258="","",IFERROR(INDEX(RAW!$K:$K,MAX(2,F258)),0))</f>
        <v/>
      </c>
      <c r="F258" s="344"/>
      <c r="G258" s="335" t="s">
        <v>2476</v>
      </c>
      <c r="O258" s="333" t="str">
        <f t="shared" si="28"/>
        <v/>
      </c>
      <c r="R258" s="335" t="str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  <v/>
      </c>
      <c r="S258" s="335">
        <f t="shared" si="29"/>
        <v>0</v>
      </c>
      <c r="T258" s="348">
        <f t="shared" si="30"/>
        <v>0</v>
      </c>
      <c r="U258" s="348">
        <f t="shared" si="31"/>
        <v>0</v>
      </c>
      <c r="V258" s="348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348">
        <f>IF(V258&gt;0,ROUNDUP(INDEX(RAW!$K:$K,MAX(2,F258))/1000,0)*1000-ROUNDUP((INDEX(RAW!$K:$K,MAX(2,F258))-V258)/1000,0)*1000,0)</f>
        <v>0</v>
      </c>
      <c r="X258" s="335">
        <f t="shared" si="32"/>
        <v>0</v>
      </c>
      <c r="Y258" s="335">
        <f>IF(X258=1,COUNTIF($X$100:X258,1),0)</f>
        <v>0</v>
      </c>
      <c r="Z258" s="348">
        <f t="shared" si="33"/>
        <v>0</v>
      </c>
    </row>
    <row r="259" spans="1:26" ht="16" hidden="1" outlineLevel="1">
      <c r="A259" s="335" t="str">
        <f t="shared" si="34"/>
        <v/>
      </c>
      <c r="B259" s="335" t="str">
        <f>IF(F259="","",IFERROR(INDEX(RAW!$F:$F,MAX(2,F259)),""))</f>
        <v/>
      </c>
      <c r="C259" s="344"/>
      <c r="D259" s="346" t="str">
        <f>IF(F259="","",IFERROR(INDEX(RAW!$A:$A,MAX(2,F259)),""))</f>
        <v/>
      </c>
      <c r="E259" s="347" t="str">
        <f>IF(F259="","",IFERROR(INDEX(RAW!$K:$K,MAX(2,F259)),0))</f>
        <v/>
      </c>
      <c r="F259" s="344"/>
      <c r="G259" s="335" t="s">
        <v>2476</v>
      </c>
      <c r="O259" s="333" t="str">
        <f t="shared" si="28"/>
        <v/>
      </c>
      <c r="R259" s="335" t="str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  <v/>
      </c>
      <c r="S259" s="335">
        <f t="shared" si="29"/>
        <v>0</v>
      </c>
      <c r="T259" s="348">
        <f t="shared" si="30"/>
        <v>0</v>
      </c>
      <c r="U259" s="348">
        <f t="shared" si="31"/>
        <v>0</v>
      </c>
      <c r="V259" s="348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348">
        <f>IF(V259&gt;0,ROUNDUP(INDEX(RAW!$K:$K,MAX(2,F259))/1000,0)*1000-ROUNDUP((INDEX(RAW!$K:$K,MAX(2,F259))-V259)/1000,0)*1000,0)</f>
        <v>0</v>
      </c>
      <c r="X259" s="335">
        <f t="shared" si="32"/>
        <v>0</v>
      </c>
      <c r="Y259" s="335">
        <f>IF(X259=1,COUNTIF($X$100:X259,1),0)</f>
        <v>0</v>
      </c>
      <c r="Z259" s="348">
        <f t="shared" si="33"/>
        <v>0</v>
      </c>
    </row>
    <row r="260" spans="1:26" ht="16" hidden="1" outlineLevel="1">
      <c r="A260" s="335" t="str">
        <f t="shared" si="34"/>
        <v/>
      </c>
      <c r="B260" s="335" t="str">
        <f>IF(F260="","",IFERROR(INDEX(RAW!$F:$F,MAX(2,F260)),""))</f>
        <v/>
      </c>
      <c r="C260" s="344"/>
      <c r="D260" s="346" t="str">
        <f>IF(F260="","",IFERROR(INDEX(RAW!$A:$A,MAX(2,F260)),""))</f>
        <v/>
      </c>
      <c r="E260" s="347" t="str">
        <f>IF(F260="","",IFERROR(INDEX(RAW!$K:$K,MAX(2,F260)),0))</f>
        <v/>
      </c>
      <c r="F260" s="344"/>
      <c r="G260" s="335" t="s">
        <v>2476</v>
      </c>
      <c r="O260" s="333" t="str">
        <f t="shared" si="28"/>
        <v/>
      </c>
      <c r="R260" s="335" t="str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  <v/>
      </c>
      <c r="S260" s="335">
        <f t="shared" si="29"/>
        <v>0</v>
      </c>
      <c r="T260" s="348">
        <f t="shared" si="30"/>
        <v>0</v>
      </c>
      <c r="U260" s="348">
        <f t="shared" si="31"/>
        <v>0</v>
      </c>
      <c r="V260" s="348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348">
        <f>IF(V260&gt;0,ROUNDUP(INDEX(RAW!$K:$K,MAX(2,F260))/1000,0)*1000-ROUNDUP((INDEX(RAW!$K:$K,MAX(2,F260))-V260)/1000,0)*1000,0)</f>
        <v>0</v>
      </c>
      <c r="X260" s="335">
        <f t="shared" si="32"/>
        <v>0</v>
      </c>
      <c r="Y260" s="335">
        <f>IF(X260=1,COUNTIF($X$100:X260,1),0)</f>
        <v>0</v>
      </c>
      <c r="Z260" s="348">
        <f t="shared" si="33"/>
        <v>0</v>
      </c>
    </row>
    <row r="261" spans="1:26" ht="16" hidden="1" outlineLevel="1">
      <c r="A261" s="335" t="str">
        <f t="shared" si="34"/>
        <v/>
      </c>
      <c r="B261" s="335" t="str">
        <f>IF(F261="","",IFERROR(INDEX(RAW!$F:$F,MAX(2,F261)),""))</f>
        <v/>
      </c>
      <c r="C261" s="344"/>
      <c r="D261" s="346" t="str">
        <f>IF(F261="","",IFERROR(INDEX(RAW!$A:$A,MAX(2,F261)),""))</f>
        <v/>
      </c>
      <c r="E261" s="347" t="str">
        <f>IF(F261="","",IFERROR(INDEX(RAW!$K:$K,MAX(2,F261)),0))</f>
        <v/>
      </c>
      <c r="F261" s="344"/>
      <c r="G261" s="335" t="s">
        <v>2476</v>
      </c>
      <c r="O261" s="333" t="str">
        <f t="shared" si="28"/>
        <v/>
      </c>
      <c r="R261" s="335" t="str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  <v/>
      </c>
      <c r="S261" s="335">
        <f t="shared" si="29"/>
        <v>0</v>
      </c>
      <c r="T261" s="348">
        <f t="shared" si="30"/>
        <v>0</v>
      </c>
      <c r="U261" s="348">
        <f t="shared" si="31"/>
        <v>0</v>
      </c>
      <c r="V261" s="348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348">
        <f>IF(V261&gt;0,ROUNDUP(INDEX(RAW!$K:$K,MAX(2,F261))/1000,0)*1000-ROUNDUP((INDEX(RAW!$K:$K,MAX(2,F261))-V261)/1000,0)*1000,0)</f>
        <v>0</v>
      </c>
      <c r="X261" s="335">
        <f t="shared" si="32"/>
        <v>0</v>
      </c>
      <c r="Y261" s="335">
        <f>IF(X261=1,COUNTIF($X$100:X261,1),0)</f>
        <v>0</v>
      </c>
      <c r="Z261" s="348">
        <f t="shared" si="33"/>
        <v>0</v>
      </c>
    </row>
    <row r="262" spans="1:26" ht="16" hidden="1" outlineLevel="1">
      <c r="A262" s="335" t="str">
        <f t="shared" si="34"/>
        <v/>
      </c>
      <c r="B262" s="335" t="str">
        <f>IF(F262="","",IFERROR(INDEX(RAW!$F:$F,MAX(2,F262)),""))</f>
        <v/>
      </c>
      <c r="C262" s="344"/>
      <c r="D262" s="346" t="str">
        <f>IF(F262="","",IFERROR(INDEX(RAW!$A:$A,MAX(2,F262)),""))</f>
        <v/>
      </c>
      <c r="E262" s="347" t="str">
        <f>IF(F262="","",IFERROR(INDEX(RAW!$K:$K,MAX(2,F262)),0))</f>
        <v/>
      </c>
      <c r="F262" s="344"/>
      <c r="G262" s="335" t="s">
        <v>2476</v>
      </c>
      <c r="O262" s="333" t="str">
        <f t="shared" si="28"/>
        <v/>
      </c>
      <c r="R262" s="335" t="str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  <v/>
      </c>
      <c r="S262" s="335">
        <f t="shared" si="29"/>
        <v>0</v>
      </c>
      <c r="T262" s="348">
        <f t="shared" si="30"/>
        <v>0</v>
      </c>
      <c r="U262" s="348">
        <f t="shared" si="31"/>
        <v>0</v>
      </c>
      <c r="V262" s="348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348">
        <f>IF(V262&gt;0,ROUNDUP(INDEX(RAW!$K:$K,MAX(2,F262))/1000,0)*1000-ROUNDUP((INDEX(RAW!$K:$K,MAX(2,F262))-V262)/1000,0)*1000,0)</f>
        <v>0</v>
      </c>
      <c r="X262" s="335">
        <f t="shared" si="32"/>
        <v>0</v>
      </c>
      <c r="Y262" s="335">
        <f>IF(X262=1,COUNTIF($X$100:X262,1),0)</f>
        <v>0</v>
      </c>
      <c r="Z262" s="348">
        <f t="shared" si="33"/>
        <v>0</v>
      </c>
    </row>
    <row r="263" spans="1:26" ht="16" hidden="1" outlineLevel="1">
      <c r="A263" s="335" t="str">
        <f t="shared" si="34"/>
        <v/>
      </c>
      <c r="B263" s="335" t="str">
        <f>IF(F263="","",IFERROR(INDEX(RAW!$F:$F,MAX(2,F263)),""))</f>
        <v/>
      </c>
      <c r="C263" s="344"/>
      <c r="D263" s="346" t="str">
        <f>IF(F263="","",IFERROR(INDEX(RAW!$A:$A,MAX(2,F263)),""))</f>
        <v/>
      </c>
      <c r="E263" s="347" t="str">
        <f>IF(F263="","",IFERROR(INDEX(RAW!$K:$K,MAX(2,F263)),0))</f>
        <v/>
      </c>
      <c r="F263" s="344"/>
      <c r="G263" s="335" t="s">
        <v>2476</v>
      </c>
      <c r="O263" s="333" t="str">
        <f t="shared" si="28"/>
        <v/>
      </c>
      <c r="R263" s="335" t="str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  <v/>
      </c>
      <c r="S263" s="335">
        <f t="shared" si="29"/>
        <v>0</v>
      </c>
      <c r="T263" s="348">
        <f t="shared" si="30"/>
        <v>0</v>
      </c>
      <c r="U263" s="348">
        <f t="shared" si="31"/>
        <v>0</v>
      </c>
      <c r="V263" s="348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348">
        <f>IF(V263&gt;0,ROUNDUP(INDEX(RAW!$K:$K,MAX(2,F263))/1000,0)*1000-ROUNDUP((INDEX(RAW!$K:$K,MAX(2,F263))-V263)/1000,0)*1000,0)</f>
        <v>0</v>
      </c>
      <c r="X263" s="335">
        <f t="shared" si="32"/>
        <v>0</v>
      </c>
      <c r="Y263" s="335">
        <f>IF(X263=1,COUNTIF($X$100:X263,1),0)</f>
        <v>0</v>
      </c>
      <c r="Z263" s="348">
        <f t="shared" si="33"/>
        <v>0</v>
      </c>
    </row>
    <row r="264" spans="1:26" ht="16" hidden="1" outlineLevel="1">
      <c r="A264" s="335" t="str">
        <f t="shared" si="34"/>
        <v/>
      </c>
      <c r="B264" s="335" t="str">
        <f>IF(F264="","",IFERROR(INDEX(RAW!$F:$F,MAX(2,F264)),""))</f>
        <v/>
      </c>
      <c r="C264" s="344"/>
      <c r="D264" s="346" t="str">
        <f>IF(F264="","",IFERROR(INDEX(RAW!$A:$A,MAX(2,F264)),""))</f>
        <v/>
      </c>
      <c r="E264" s="347" t="str">
        <f>IF(F264="","",IFERROR(INDEX(RAW!$K:$K,MAX(2,F264)),0))</f>
        <v/>
      </c>
      <c r="F264" s="344"/>
      <c r="G264" s="335" t="s">
        <v>2476</v>
      </c>
      <c r="O264" s="333" t="str">
        <f t="shared" si="28"/>
        <v/>
      </c>
      <c r="R264" s="335" t="str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  <v/>
      </c>
      <c r="S264" s="335">
        <f t="shared" si="29"/>
        <v>0</v>
      </c>
      <c r="T264" s="348">
        <f t="shared" si="30"/>
        <v>0</v>
      </c>
      <c r="U264" s="348">
        <f t="shared" si="31"/>
        <v>0</v>
      </c>
      <c r="V264" s="348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348">
        <f>IF(V264&gt;0,ROUNDUP(INDEX(RAW!$K:$K,MAX(2,F264))/1000,0)*1000-ROUNDUP((INDEX(RAW!$K:$K,MAX(2,F264))-V264)/1000,0)*1000,0)</f>
        <v>0</v>
      </c>
      <c r="X264" s="335">
        <f t="shared" si="32"/>
        <v>0</v>
      </c>
      <c r="Y264" s="335">
        <f>IF(X264=1,COUNTIF($X$100:X264,1),0)</f>
        <v>0</v>
      </c>
      <c r="Z264" s="348">
        <f t="shared" si="33"/>
        <v>0</v>
      </c>
    </row>
    <row r="265" spans="1:26" ht="16" hidden="1" outlineLevel="1">
      <c r="A265" s="335" t="str">
        <f t="shared" si="34"/>
        <v/>
      </c>
      <c r="B265" s="335" t="str">
        <f>IF(F265="","",IFERROR(INDEX(RAW!$F:$F,MAX(2,F265)),""))</f>
        <v/>
      </c>
      <c r="C265" s="344"/>
      <c r="D265" s="346" t="str">
        <f>IF(F265="","",IFERROR(INDEX(RAW!$A:$A,MAX(2,F265)),""))</f>
        <v/>
      </c>
      <c r="E265" s="347" t="str">
        <f>IF(F265="","",IFERROR(INDEX(RAW!$K:$K,MAX(2,F265)),0))</f>
        <v/>
      </c>
      <c r="F265" s="344"/>
      <c r="G265" s="335" t="s">
        <v>2476</v>
      </c>
      <c r="O265" s="333" t="str">
        <f t="shared" si="28"/>
        <v/>
      </c>
      <c r="R265" s="335" t="str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  <v/>
      </c>
      <c r="S265" s="335">
        <f t="shared" si="29"/>
        <v>0</v>
      </c>
      <c r="T265" s="348">
        <f t="shared" si="30"/>
        <v>0</v>
      </c>
      <c r="U265" s="348">
        <f t="shared" si="31"/>
        <v>0</v>
      </c>
      <c r="V265" s="348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348">
        <f>IF(V265&gt;0,ROUNDUP(INDEX(RAW!$K:$K,MAX(2,F265))/1000,0)*1000-ROUNDUP((INDEX(RAW!$K:$K,MAX(2,F265))-V265)/1000,0)*1000,0)</f>
        <v>0</v>
      </c>
      <c r="X265" s="335">
        <f t="shared" si="32"/>
        <v>0</v>
      </c>
      <c r="Y265" s="335">
        <f>IF(X265=1,COUNTIF($X$100:X265,1),0)</f>
        <v>0</v>
      </c>
      <c r="Z265" s="348">
        <f t="shared" si="33"/>
        <v>0</v>
      </c>
    </row>
    <row r="266" spans="1:26" ht="16" hidden="1" outlineLevel="1">
      <c r="A266" s="335" t="str">
        <f t="shared" si="34"/>
        <v/>
      </c>
      <c r="B266" s="335" t="str">
        <f>IF(F266="","",IFERROR(INDEX(RAW!$F:$F,MAX(2,F266)),""))</f>
        <v/>
      </c>
      <c r="C266" s="344"/>
      <c r="D266" s="346" t="str">
        <f>IF(F266="","",IFERROR(INDEX(RAW!$A:$A,MAX(2,F266)),""))</f>
        <v/>
      </c>
      <c r="E266" s="347" t="str">
        <f>IF(F266="","",IFERROR(INDEX(RAW!$K:$K,MAX(2,F266)),0))</f>
        <v/>
      </c>
      <c r="F266" s="344"/>
      <c r="G266" s="335" t="s">
        <v>2476</v>
      </c>
      <c r="O266" s="333" t="str">
        <f t="shared" si="28"/>
        <v/>
      </c>
      <c r="R266" s="335" t="str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  <v/>
      </c>
      <c r="S266" s="335">
        <f t="shared" si="29"/>
        <v>0</v>
      </c>
      <c r="T266" s="348">
        <f t="shared" si="30"/>
        <v>0</v>
      </c>
      <c r="U266" s="348">
        <f t="shared" si="31"/>
        <v>0</v>
      </c>
      <c r="V266" s="348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348">
        <f>IF(V266&gt;0,ROUNDUP(INDEX(RAW!$K:$K,MAX(2,F266))/1000,0)*1000-ROUNDUP((INDEX(RAW!$K:$K,MAX(2,F266))-V266)/1000,0)*1000,0)</f>
        <v>0</v>
      </c>
      <c r="X266" s="335">
        <f t="shared" si="32"/>
        <v>0</v>
      </c>
      <c r="Y266" s="335">
        <f>IF(X266=1,COUNTIF($X$100:X266,1),0)</f>
        <v>0</v>
      </c>
      <c r="Z266" s="348">
        <f t="shared" si="33"/>
        <v>0</v>
      </c>
    </row>
    <row r="267" spans="1:26" ht="16" hidden="1" outlineLevel="1">
      <c r="A267" s="335" t="str">
        <f t="shared" si="34"/>
        <v/>
      </c>
      <c r="B267" s="335" t="str">
        <f>IF(F267="","",IFERROR(INDEX(RAW!$F:$F,MAX(2,F267)),""))</f>
        <v/>
      </c>
      <c r="C267" s="344"/>
      <c r="D267" s="346" t="str">
        <f>IF(F267="","",IFERROR(INDEX(RAW!$A:$A,MAX(2,F267)),""))</f>
        <v/>
      </c>
      <c r="E267" s="347" t="str">
        <f>IF(F267="","",IFERROR(INDEX(RAW!$K:$K,MAX(2,F267)),0))</f>
        <v/>
      </c>
      <c r="F267" s="344"/>
      <c r="G267" s="335" t="s">
        <v>2476</v>
      </c>
      <c r="O267" s="333" t="str">
        <f t="shared" si="28"/>
        <v/>
      </c>
      <c r="R267" s="335" t="str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  <v/>
      </c>
      <c r="S267" s="335">
        <f t="shared" si="29"/>
        <v>0</v>
      </c>
      <c r="T267" s="348">
        <f t="shared" si="30"/>
        <v>0</v>
      </c>
      <c r="U267" s="348">
        <f t="shared" si="31"/>
        <v>0</v>
      </c>
      <c r="V267" s="348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348">
        <f>IF(V267&gt;0,ROUNDUP(INDEX(RAW!$K:$K,MAX(2,F267))/1000,0)*1000-ROUNDUP((INDEX(RAW!$K:$K,MAX(2,F267))-V267)/1000,0)*1000,0)</f>
        <v>0</v>
      </c>
      <c r="X267" s="335">
        <f t="shared" si="32"/>
        <v>0</v>
      </c>
      <c r="Y267" s="335">
        <f>IF(X267=1,COUNTIF($X$100:X267,1),0)</f>
        <v>0</v>
      </c>
      <c r="Z267" s="348">
        <f t="shared" si="33"/>
        <v>0</v>
      </c>
    </row>
    <row r="268" spans="1:26" ht="16" hidden="1" outlineLevel="1">
      <c r="A268" s="335" t="str">
        <f t="shared" si="34"/>
        <v/>
      </c>
      <c r="B268" s="335" t="str">
        <f>IF(F268="","",IFERROR(INDEX(RAW!$F:$F,MAX(2,F268)),""))</f>
        <v/>
      </c>
      <c r="C268" s="344"/>
      <c r="D268" s="346" t="str">
        <f>IF(F268="","",IFERROR(INDEX(RAW!$A:$A,MAX(2,F268)),""))</f>
        <v/>
      </c>
      <c r="E268" s="347" t="str">
        <f>IF(F268="","",IFERROR(INDEX(RAW!$K:$K,MAX(2,F268)),0))</f>
        <v/>
      </c>
      <c r="F268" s="344"/>
      <c r="G268" s="335" t="s">
        <v>2476</v>
      </c>
      <c r="O268" s="333" t="str">
        <f t="shared" si="28"/>
        <v/>
      </c>
      <c r="R268" s="335" t="str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  <v/>
      </c>
      <c r="S268" s="335">
        <f t="shared" si="29"/>
        <v>0</v>
      </c>
      <c r="T268" s="348">
        <f t="shared" si="30"/>
        <v>0</v>
      </c>
      <c r="U268" s="348">
        <f t="shared" si="31"/>
        <v>0</v>
      </c>
      <c r="V268" s="348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348">
        <f>IF(V268&gt;0,ROUNDUP(INDEX(RAW!$K:$K,MAX(2,F268))/1000,0)*1000-ROUNDUP((INDEX(RAW!$K:$K,MAX(2,F268))-V268)/1000,0)*1000,0)</f>
        <v>0</v>
      </c>
      <c r="X268" s="335">
        <f t="shared" si="32"/>
        <v>0</v>
      </c>
      <c r="Y268" s="335">
        <f>IF(X268=1,COUNTIF($X$100:X268,1),0)</f>
        <v>0</v>
      </c>
      <c r="Z268" s="348">
        <f t="shared" si="33"/>
        <v>0</v>
      </c>
    </row>
    <row r="269" spans="1:26" ht="16" hidden="1" outlineLevel="1">
      <c r="A269" s="335" t="str">
        <f t="shared" si="34"/>
        <v/>
      </c>
      <c r="B269" s="335" t="str">
        <f>IF(F269="","",IFERROR(INDEX(RAW!$F:$F,MAX(2,F269)),""))</f>
        <v/>
      </c>
      <c r="C269" s="344"/>
      <c r="D269" s="346" t="str">
        <f>IF(F269="","",IFERROR(INDEX(RAW!$A:$A,MAX(2,F269)),""))</f>
        <v/>
      </c>
      <c r="E269" s="347" t="str">
        <f>IF(F269="","",IFERROR(INDEX(RAW!$K:$K,MAX(2,F269)),0))</f>
        <v/>
      </c>
      <c r="F269" s="344"/>
      <c r="G269" s="335" t="s">
        <v>2476</v>
      </c>
      <c r="O269" s="333" t="str">
        <f t="shared" si="28"/>
        <v/>
      </c>
      <c r="R269" s="335" t="str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  <v/>
      </c>
      <c r="S269" s="335">
        <f t="shared" si="29"/>
        <v>0</v>
      </c>
      <c r="T269" s="348">
        <f t="shared" si="30"/>
        <v>0</v>
      </c>
      <c r="U269" s="348">
        <f t="shared" si="31"/>
        <v>0</v>
      </c>
      <c r="V269" s="348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348">
        <f>IF(V269&gt;0,ROUNDUP(INDEX(RAW!$K:$K,MAX(2,F269))/1000,0)*1000-ROUNDUP((INDEX(RAW!$K:$K,MAX(2,F269))-V269)/1000,0)*1000,0)</f>
        <v>0</v>
      </c>
      <c r="X269" s="335">
        <f t="shared" si="32"/>
        <v>0</v>
      </c>
      <c r="Y269" s="335">
        <f>IF(X269=1,COUNTIF($X$100:X269,1),0)</f>
        <v>0</v>
      </c>
      <c r="Z269" s="348">
        <f t="shared" si="33"/>
        <v>0</v>
      </c>
    </row>
    <row r="270" spans="1:26" ht="16" hidden="1" outlineLevel="1">
      <c r="A270" s="335" t="str">
        <f t="shared" si="34"/>
        <v/>
      </c>
      <c r="B270" s="335" t="str">
        <f>IF(F270="","",IFERROR(INDEX(RAW!$F:$F,MAX(2,F270)),""))</f>
        <v/>
      </c>
      <c r="C270" s="344"/>
      <c r="D270" s="346" t="str">
        <f>IF(F270="","",IFERROR(INDEX(RAW!$A:$A,MAX(2,F270)),""))</f>
        <v/>
      </c>
      <c r="E270" s="347" t="str">
        <f>IF(F270="","",IFERROR(INDEX(RAW!$K:$K,MAX(2,F270)),0))</f>
        <v/>
      </c>
      <c r="F270" s="344"/>
      <c r="G270" s="335" t="s">
        <v>2476</v>
      </c>
      <c r="O270" s="333" t="str">
        <f t="shared" si="28"/>
        <v/>
      </c>
      <c r="R270" s="335" t="str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  <v/>
      </c>
      <c r="S270" s="335">
        <f t="shared" si="29"/>
        <v>0</v>
      </c>
      <c r="T270" s="348">
        <f t="shared" si="30"/>
        <v>0</v>
      </c>
      <c r="U270" s="348">
        <f t="shared" si="31"/>
        <v>0</v>
      </c>
      <c r="V270" s="348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348">
        <f>IF(V270&gt;0,ROUNDUP(INDEX(RAW!$K:$K,MAX(2,F270))/1000,0)*1000-ROUNDUP((INDEX(RAW!$K:$K,MAX(2,F270))-V270)/1000,0)*1000,0)</f>
        <v>0</v>
      </c>
      <c r="X270" s="335">
        <f t="shared" si="32"/>
        <v>0</v>
      </c>
      <c r="Y270" s="335">
        <f>IF(X270=1,COUNTIF($X$100:X270,1),0)</f>
        <v>0</v>
      </c>
      <c r="Z270" s="348">
        <f t="shared" si="33"/>
        <v>0</v>
      </c>
    </row>
    <row r="271" spans="1:26" ht="16" hidden="1" outlineLevel="1">
      <c r="A271" s="335" t="str">
        <f t="shared" si="34"/>
        <v/>
      </c>
      <c r="B271" s="335" t="str">
        <f>IF(F271="","",IFERROR(INDEX(RAW!$F:$F,MAX(2,F271)),""))</f>
        <v/>
      </c>
      <c r="C271" s="344"/>
      <c r="D271" s="346" t="str">
        <f>IF(F271="","",IFERROR(INDEX(RAW!$A:$A,MAX(2,F271)),""))</f>
        <v/>
      </c>
      <c r="E271" s="347" t="str">
        <f>IF(F271="","",IFERROR(INDEX(RAW!$K:$K,MAX(2,F271)),0))</f>
        <v/>
      </c>
      <c r="F271" s="344"/>
      <c r="G271" s="335" t="s">
        <v>2476</v>
      </c>
      <c r="O271" s="333" t="str">
        <f t="shared" si="28"/>
        <v/>
      </c>
      <c r="R271" s="335" t="str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  <v/>
      </c>
      <c r="S271" s="335">
        <f t="shared" si="29"/>
        <v>0</v>
      </c>
      <c r="T271" s="348">
        <f t="shared" si="30"/>
        <v>0</v>
      </c>
      <c r="U271" s="348">
        <f t="shared" si="31"/>
        <v>0</v>
      </c>
      <c r="V271" s="348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348">
        <f>IF(V271&gt;0,ROUNDUP(INDEX(RAW!$K:$K,MAX(2,F271))/1000,0)*1000-ROUNDUP((INDEX(RAW!$K:$K,MAX(2,F271))-V271)/1000,0)*1000,0)</f>
        <v>0</v>
      </c>
      <c r="X271" s="335">
        <f t="shared" si="32"/>
        <v>0</v>
      </c>
      <c r="Y271" s="335">
        <f>IF(X271=1,COUNTIF($X$100:X271,1),0)</f>
        <v>0</v>
      </c>
      <c r="Z271" s="348">
        <f t="shared" si="33"/>
        <v>0</v>
      </c>
    </row>
    <row r="272" spans="1:26" ht="16" hidden="1" outlineLevel="1">
      <c r="A272" s="335" t="str">
        <f t="shared" si="34"/>
        <v/>
      </c>
      <c r="B272" s="335" t="str">
        <f>IF(F272="","",IFERROR(INDEX(RAW!$F:$F,MAX(2,F272)),""))</f>
        <v/>
      </c>
      <c r="C272" s="344"/>
      <c r="D272" s="346" t="str">
        <f>IF(F272="","",IFERROR(INDEX(RAW!$A:$A,MAX(2,F272)),""))</f>
        <v/>
      </c>
      <c r="E272" s="347" t="str">
        <f>IF(F272="","",IFERROR(INDEX(RAW!$K:$K,MAX(2,F272)),0))</f>
        <v/>
      </c>
      <c r="F272" s="344"/>
      <c r="G272" s="335" t="s">
        <v>2476</v>
      </c>
      <c r="O272" s="333" t="str">
        <f t="shared" si="28"/>
        <v/>
      </c>
      <c r="R272" s="335" t="str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  <v/>
      </c>
      <c r="S272" s="335">
        <f t="shared" si="29"/>
        <v>0</v>
      </c>
      <c r="T272" s="348">
        <f t="shared" si="30"/>
        <v>0</v>
      </c>
      <c r="U272" s="348">
        <f t="shared" si="31"/>
        <v>0</v>
      </c>
      <c r="V272" s="348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348">
        <f>IF(V272&gt;0,ROUNDUP(INDEX(RAW!$K:$K,MAX(2,F272))/1000,0)*1000-ROUNDUP((INDEX(RAW!$K:$K,MAX(2,F272))-V272)/1000,0)*1000,0)</f>
        <v>0</v>
      </c>
      <c r="X272" s="335">
        <f t="shared" si="32"/>
        <v>0</v>
      </c>
      <c r="Y272" s="335">
        <f>IF(X272=1,COUNTIF($X$100:X272,1),0)</f>
        <v>0</v>
      </c>
      <c r="Z272" s="348">
        <f t="shared" si="33"/>
        <v>0</v>
      </c>
    </row>
    <row r="273" spans="1:26" ht="16" hidden="1" outlineLevel="1">
      <c r="A273" s="335" t="str">
        <f t="shared" si="34"/>
        <v/>
      </c>
      <c r="B273" s="335" t="str">
        <f>IF(F273="","",IFERROR(INDEX(RAW!$F:$F,MAX(2,F273)),""))</f>
        <v/>
      </c>
      <c r="C273" s="344"/>
      <c r="D273" s="346" t="str">
        <f>IF(F273="","",IFERROR(INDEX(RAW!$A:$A,MAX(2,F273)),""))</f>
        <v/>
      </c>
      <c r="E273" s="347" t="str">
        <f>IF(F273="","",IFERROR(INDEX(RAW!$K:$K,MAX(2,F273)),0))</f>
        <v/>
      </c>
      <c r="F273" s="344"/>
      <c r="G273" s="335" t="s">
        <v>2476</v>
      </c>
      <c r="O273" s="333" t="str">
        <f t="shared" si="28"/>
        <v/>
      </c>
      <c r="R273" s="335" t="str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  <v/>
      </c>
      <c r="S273" s="335">
        <f t="shared" si="29"/>
        <v>0</v>
      </c>
      <c r="T273" s="348">
        <f t="shared" si="30"/>
        <v>0</v>
      </c>
      <c r="U273" s="348">
        <f t="shared" si="31"/>
        <v>0</v>
      </c>
      <c r="V273" s="348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348">
        <f>IF(V273&gt;0,ROUNDUP(INDEX(RAW!$K:$K,MAX(2,F273))/1000,0)*1000-ROUNDUP((INDEX(RAW!$K:$K,MAX(2,F273))-V273)/1000,0)*1000,0)</f>
        <v>0</v>
      </c>
      <c r="X273" s="335">
        <f t="shared" si="32"/>
        <v>0</v>
      </c>
      <c r="Y273" s="335">
        <f>IF(X273=1,COUNTIF($X$100:X273,1),0)</f>
        <v>0</v>
      </c>
      <c r="Z273" s="348">
        <f t="shared" si="33"/>
        <v>0</v>
      </c>
    </row>
    <row r="274" spans="1:26" ht="16" hidden="1" outlineLevel="1">
      <c r="A274" s="335" t="str">
        <f t="shared" si="34"/>
        <v/>
      </c>
      <c r="B274" s="335" t="str">
        <f>IF(F274="","",IFERROR(INDEX(RAW!$F:$F,MAX(2,F274)),""))</f>
        <v/>
      </c>
      <c r="C274" s="344"/>
      <c r="D274" s="346" t="str">
        <f>IF(F274="","",IFERROR(INDEX(RAW!$A:$A,MAX(2,F274)),""))</f>
        <v/>
      </c>
      <c r="E274" s="347" t="str">
        <f>IF(F274="","",IFERROR(INDEX(RAW!$K:$K,MAX(2,F274)),0))</f>
        <v/>
      </c>
      <c r="F274" s="344"/>
      <c r="G274" s="335" t="s">
        <v>2476</v>
      </c>
      <c r="O274" s="333" t="str">
        <f t="shared" si="28"/>
        <v/>
      </c>
      <c r="R274" s="335" t="str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  <v/>
      </c>
      <c r="S274" s="335">
        <f t="shared" si="29"/>
        <v>0</v>
      </c>
      <c r="T274" s="348">
        <f t="shared" si="30"/>
        <v>0</v>
      </c>
      <c r="U274" s="348">
        <f t="shared" si="31"/>
        <v>0</v>
      </c>
      <c r="V274" s="348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348">
        <f>IF(V274&gt;0,ROUNDUP(INDEX(RAW!$K:$K,MAX(2,F274))/1000,0)*1000-ROUNDUP((INDEX(RAW!$K:$K,MAX(2,F274))-V274)/1000,0)*1000,0)</f>
        <v>0</v>
      </c>
      <c r="X274" s="335">
        <f t="shared" si="32"/>
        <v>0</v>
      </c>
      <c r="Y274" s="335">
        <f>IF(X274=1,COUNTIF($X$100:X274,1),0)</f>
        <v>0</v>
      </c>
      <c r="Z274" s="348">
        <f t="shared" si="33"/>
        <v>0</v>
      </c>
    </row>
    <row r="275" spans="1:26" ht="16" hidden="1" outlineLevel="1">
      <c r="A275" s="335" t="str">
        <f t="shared" si="34"/>
        <v/>
      </c>
      <c r="B275" s="335" t="str">
        <f>IF(F275="","",IFERROR(INDEX(RAW!$F:$F,MAX(2,F275)),""))</f>
        <v/>
      </c>
      <c r="C275" s="344"/>
      <c r="D275" s="346" t="str">
        <f>IF(F275="","",IFERROR(INDEX(RAW!$A:$A,MAX(2,F275)),""))</f>
        <v/>
      </c>
      <c r="E275" s="347" t="str">
        <f>IF(F275="","",IFERROR(INDEX(RAW!$K:$K,MAX(2,F275)),0))</f>
        <v/>
      </c>
      <c r="F275" s="344"/>
      <c r="G275" s="335" t="s">
        <v>2476</v>
      </c>
      <c r="O275" s="333" t="str">
        <f t="shared" si="28"/>
        <v/>
      </c>
      <c r="R275" s="335" t="str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  <v/>
      </c>
      <c r="S275" s="335">
        <f t="shared" si="29"/>
        <v>0</v>
      </c>
      <c r="T275" s="348">
        <f t="shared" si="30"/>
        <v>0</v>
      </c>
      <c r="U275" s="348">
        <f t="shared" si="31"/>
        <v>0</v>
      </c>
      <c r="V275" s="348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348">
        <f>IF(V275&gt;0,ROUNDUP(INDEX(RAW!$K:$K,MAX(2,F275))/1000,0)*1000-ROUNDUP((INDEX(RAW!$K:$K,MAX(2,F275))-V275)/1000,0)*1000,0)</f>
        <v>0</v>
      </c>
      <c r="X275" s="335">
        <f t="shared" si="32"/>
        <v>0</v>
      </c>
      <c r="Y275" s="335">
        <f>IF(X275=1,COUNTIF($X$100:X275,1),0)</f>
        <v>0</v>
      </c>
      <c r="Z275" s="348">
        <f t="shared" si="33"/>
        <v>0</v>
      </c>
    </row>
    <row r="276" spans="1:26" ht="16" hidden="1" outlineLevel="1">
      <c r="A276" s="335" t="str">
        <f t="shared" si="34"/>
        <v/>
      </c>
      <c r="B276" s="335" t="str">
        <f>IF(F276="","",IFERROR(INDEX(RAW!$F:$F,MAX(2,F276)),""))</f>
        <v/>
      </c>
      <c r="C276" s="344"/>
      <c r="D276" s="346" t="str">
        <f>IF(F276="","",IFERROR(INDEX(RAW!$A:$A,MAX(2,F276)),""))</f>
        <v/>
      </c>
      <c r="E276" s="347" t="str">
        <f>IF(F276="","",IFERROR(INDEX(RAW!$K:$K,MAX(2,F276)),0))</f>
        <v/>
      </c>
      <c r="F276" s="344"/>
      <c r="G276" s="335" t="s">
        <v>2476</v>
      </c>
      <c r="O276" s="333" t="str">
        <f t="shared" si="28"/>
        <v/>
      </c>
      <c r="R276" s="335" t="str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  <v/>
      </c>
      <c r="S276" s="335">
        <f t="shared" si="29"/>
        <v>0</v>
      </c>
      <c r="T276" s="348">
        <f t="shared" si="30"/>
        <v>0</v>
      </c>
      <c r="U276" s="348">
        <f t="shared" si="31"/>
        <v>0</v>
      </c>
      <c r="V276" s="348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348">
        <f>IF(V276&gt;0,ROUNDUP(INDEX(RAW!$K:$K,MAX(2,F276))/1000,0)*1000-ROUNDUP((INDEX(RAW!$K:$K,MAX(2,F276))-V276)/1000,0)*1000,0)</f>
        <v>0</v>
      </c>
      <c r="X276" s="335">
        <f t="shared" si="32"/>
        <v>0</v>
      </c>
      <c r="Y276" s="335">
        <f>IF(X276=1,COUNTIF($X$100:X276,1),0)</f>
        <v>0</v>
      </c>
      <c r="Z276" s="348">
        <f t="shared" si="33"/>
        <v>0</v>
      </c>
    </row>
    <row r="277" spans="1:26" ht="16" hidden="1" outlineLevel="1">
      <c r="A277" s="335" t="str">
        <f t="shared" si="34"/>
        <v/>
      </c>
      <c r="B277" s="335" t="str">
        <f>IF(F277="","",IFERROR(INDEX(RAW!$F:$F,MAX(2,F277)),""))</f>
        <v/>
      </c>
      <c r="C277" s="344"/>
      <c r="D277" s="346" t="str">
        <f>IF(F277="","",IFERROR(INDEX(RAW!$A:$A,MAX(2,F277)),""))</f>
        <v/>
      </c>
      <c r="E277" s="347" t="str">
        <f>IF(F277="","",IFERROR(INDEX(RAW!$K:$K,MAX(2,F277)),0))</f>
        <v/>
      </c>
      <c r="F277" s="344"/>
      <c r="G277" s="335" t="s">
        <v>2476</v>
      </c>
      <c r="O277" s="333" t="str">
        <f t="shared" si="28"/>
        <v/>
      </c>
      <c r="R277" s="335" t="str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  <v/>
      </c>
      <c r="S277" s="335">
        <f t="shared" si="29"/>
        <v>0</v>
      </c>
      <c r="T277" s="348">
        <f t="shared" si="30"/>
        <v>0</v>
      </c>
      <c r="U277" s="348">
        <f t="shared" si="31"/>
        <v>0</v>
      </c>
      <c r="V277" s="348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348">
        <f>IF(V277&gt;0,ROUNDUP(INDEX(RAW!$K:$K,MAX(2,F277))/1000,0)*1000-ROUNDUP((INDEX(RAW!$K:$K,MAX(2,F277))-V277)/1000,0)*1000,0)</f>
        <v>0</v>
      </c>
      <c r="X277" s="335">
        <f t="shared" si="32"/>
        <v>0</v>
      </c>
      <c r="Y277" s="335">
        <f>IF(X277=1,COUNTIF($X$100:X277,1),0)</f>
        <v>0</v>
      </c>
      <c r="Z277" s="348">
        <f t="shared" si="33"/>
        <v>0</v>
      </c>
    </row>
    <row r="278" spans="1:26" ht="16" hidden="1" outlineLevel="1">
      <c r="A278" s="335" t="str">
        <f t="shared" si="34"/>
        <v/>
      </c>
      <c r="B278" s="335" t="str">
        <f>IF(F278="","",IFERROR(INDEX(RAW!$F:$F,MAX(2,F278)),""))</f>
        <v/>
      </c>
      <c r="C278" s="344"/>
      <c r="D278" s="346" t="str">
        <f>IF(F278="","",IFERROR(INDEX(RAW!$A:$A,MAX(2,F278)),""))</f>
        <v/>
      </c>
      <c r="E278" s="347" t="str">
        <f>IF(F278="","",IFERROR(INDEX(RAW!$K:$K,MAX(2,F278)),0))</f>
        <v/>
      </c>
      <c r="F278" s="344"/>
      <c r="G278" s="335" t="s">
        <v>2476</v>
      </c>
      <c r="O278" s="333" t="str">
        <f t="shared" si="28"/>
        <v/>
      </c>
      <c r="R278" s="335" t="str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  <v/>
      </c>
      <c r="S278" s="335">
        <f t="shared" si="29"/>
        <v>0</v>
      </c>
      <c r="T278" s="348">
        <f t="shared" si="30"/>
        <v>0</v>
      </c>
      <c r="U278" s="348">
        <f t="shared" si="31"/>
        <v>0</v>
      </c>
      <c r="V278" s="348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348">
        <f>IF(V278&gt;0,ROUNDUP(INDEX(RAW!$K:$K,MAX(2,F278))/1000,0)*1000-ROUNDUP((INDEX(RAW!$K:$K,MAX(2,F278))-V278)/1000,0)*1000,0)</f>
        <v>0</v>
      </c>
      <c r="X278" s="335">
        <f t="shared" si="32"/>
        <v>0</v>
      </c>
      <c r="Y278" s="335">
        <f>IF(X278=1,COUNTIF($X$100:X278,1),0)</f>
        <v>0</v>
      </c>
      <c r="Z278" s="348">
        <f t="shared" si="33"/>
        <v>0</v>
      </c>
    </row>
    <row r="279" spans="1:26" ht="16" hidden="1" outlineLevel="1">
      <c r="A279" s="335" t="str">
        <f t="shared" si="34"/>
        <v/>
      </c>
      <c r="B279" s="335" t="str">
        <f>IF(F279="","",IFERROR(INDEX(RAW!$F:$F,MAX(2,F279)),""))</f>
        <v/>
      </c>
      <c r="C279" s="344"/>
      <c r="D279" s="346" t="str">
        <f>IF(F279="","",IFERROR(INDEX(RAW!$A:$A,MAX(2,F279)),""))</f>
        <v/>
      </c>
      <c r="E279" s="347" t="str">
        <f>IF(F279="","",IFERROR(INDEX(RAW!$K:$K,MAX(2,F279)),0))</f>
        <v/>
      </c>
      <c r="F279" s="344"/>
      <c r="G279" s="335" t="s">
        <v>2476</v>
      </c>
      <c r="O279" s="333" t="str">
        <f t="shared" si="28"/>
        <v/>
      </c>
      <c r="R279" s="335" t="str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  <v/>
      </c>
      <c r="S279" s="335">
        <f t="shared" si="29"/>
        <v>0</v>
      </c>
      <c r="T279" s="348">
        <f t="shared" si="30"/>
        <v>0</v>
      </c>
      <c r="U279" s="348">
        <f t="shared" si="31"/>
        <v>0</v>
      </c>
      <c r="V279" s="348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348">
        <f>IF(V279&gt;0,ROUNDUP(INDEX(RAW!$K:$K,MAX(2,F279))/1000,0)*1000-ROUNDUP((INDEX(RAW!$K:$K,MAX(2,F279))-V279)/1000,0)*1000,0)</f>
        <v>0</v>
      </c>
      <c r="X279" s="335">
        <f t="shared" si="32"/>
        <v>0</v>
      </c>
      <c r="Y279" s="335">
        <f>IF(X279=1,COUNTIF($X$100:X279,1),0)</f>
        <v>0</v>
      </c>
      <c r="Z279" s="348">
        <f t="shared" si="33"/>
        <v>0</v>
      </c>
    </row>
    <row r="280" spans="1:26" ht="16" hidden="1" outlineLevel="1">
      <c r="A280" s="335" t="str">
        <f t="shared" si="34"/>
        <v/>
      </c>
      <c r="B280" s="335" t="str">
        <f>IF(F280="","",IFERROR(INDEX(RAW!$F:$F,MAX(2,F280)),""))</f>
        <v/>
      </c>
      <c r="C280" s="344"/>
      <c r="D280" s="346" t="str">
        <f>IF(F280="","",IFERROR(INDEX(RAW!$A:$A,MAX(2,F280)),""))</f>
        <v/>
      </c>
      <c r="E280" s="347" t="str">
        <f>IF(F280="","",IFERROR(INDEX(RAW!$K:$K,MAX(2,F280)),0))</f>
        <v/>
      </c>
      <c r="F280" s="344"/>
      <c r="G280" s="335" t="s">
        <v>2476</v>
      </c>
      <c r="O280" s="333" t="str">
        <f t="shared" si="28"/>
        <v/>
      </c>
      <c r="R280" s="335" t="str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  <v/>
      </c>
      <c r="S280" s="335">
        <f t="shared" si="29"/>
        <v>0</v>
      </c>
      <c r="T280" s="348">
        <f t="shared" si="30"/>
        <v>0</v>
      </c>
      <c r="U280" s="348">
        <f t="shared" si="31"/>
        <v>0</v>
      </c>
      <c r="V280" s="348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348">
        <f>IF(V280&gt;0,ROUNDUP(INDEX(RAW!$K:$K,MAX(2,F280))/1000,0)*1000-ROUNDUP((INDEX(RAW!$K:$K,MAX(2,F280))-V280)/1000,0)*1000,0)</f>
        <v>0</v>
      </c>
      <c r="X280" s="335">
        <f t="shared" si="32"/>
        <v>0</v>
      </c>
      <c r="Y280" s="335">
        <f>IF(X280=1,COUNTIF($X$100:X280,1),0)</f>
        <v>0</v>
      </c>
      <c r="Z280" s="348">
        <f t="shared" si="33"/>
        <v>0</v>
      </c>
    </row>
    <row r="281" spans="1:26" ht="16" hidden="1" outlineLevel="1">
      <c r="A281" s="335" t="str">
        <f t="shared" si="34"/>
        <v/>
      </c>
      <c r="B281" s="335" t="str">
        <f>IF(F281="","",IFERROR(INDEX(RAW!$F:$F,MAX(2,F281)),""))</f>
        <v/>
      </c>
      <c r="C281" s="344"/>
      <c r="D281" s="346" t="str">
        <f>IF(F281="","",IFERROR(INDEX(RAW!$A:$A,MAX(2,F281)),""))</f>
        <v/>
      </c>
      <c r="E281" s="347" t="str">
        <f>IF(F281="","",IFERROR(INDEX(RAW!$K:$K,MAX(2,F281)),0))</f>
        <v/>
      </c>
      <c r="F281" s="344"/>
      <c r="G281" s="335" t="s">
        <v>2476</v>
      </c>
      <c r="O281" s="333" t="str">
        <f t="shared" si="28"/>
        <v/>
      </c>
      <c r="R281" s="335" t="str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  <v/>
      </c>
      <c r="S281" s="335">
        <f t="shared" si="29"/>
        <v>0</v>
      </c>
      <c r="T281" s="348">
        <f t="shared" si="30"/>
        <v>0</v>
      </c>
      <c r="U281" s="348">
        <f t="shared" si="31"/>
        <v>0</v>
      </c>
      <c r="V281" s="348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348">
        <f>IF(V281&gt;0,ROUNDUP(INDEX(RAW!$K:$K,MAX(2,F281))/1000,0)*1000-ROUNDUP((INDEX(RAW!$K:$K,MAX(2,F281))-V281)/1000,0)*1000,0)</f>
        <v>0</v>
      </c>
      <c r="X281" s="335">
        <f t="shared" si="32"/>
        <v>0</v>
      </c>
      <c r="Y281" s="335">
        <f>IF(X281=1,COUNTIF($X$100:X281,1),0)</f>
        <v>0</v>
      </c>
      <c r="Z281" s="348">
        <f t="shared" si="33"/>
        <v>0</v>
      </c>
    </row>
    <row r="282" spans="1:26" ht="16" hidden="1" outlineLevel="1">
      <c r="A282" s="335" t="str">
        <f t="shared" si="34"/>
        <v/>
      </c>
      <c r="B282" s="335" t="str">
        <f>IF(F282="","",IFERROR(INDEX(RAW!$F:$F,MAX(2,F282)),""))</f>
        <v/>
      </c>
      <c r="C282" s="344"/>
      <c r="D282" s="346" t="str">
        <f>IF(F282="","",IFERROR(INDEX(RAW!$A:$A,MAX(2,F282)),""))</f>
        <v/>
      </c>
      <c r="E282" s="347" t="str">
        <f>IF(F282="","",IFERROR(INDEX(RAW!$K:$K,MAX(2,F282)),0))</f>
        <v/>
      </c>
      <c r="F282" s="344"/>
      <c r="G282" s="335" t="s">
        <v>2476</v>
      </c>
      <c r="O282" s="333" t="str">
        <f t="shared" si="28"/>
        <v/>
      </c>
      <c r="R282" s="335" t="str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  <v/>
      </c>
      <c r="S282" s="335">
        <f t="shared" si="29"/>
        <v>0</v>
      </c>
      <c r="T282" s="348">
        <f t="shared" si="30"/>
        <v>0</v>
      </c>
      <c r="U282" s="348">
        <f t="shared" si="31"/>
        <v>0</v>
      </c>
      <c r="V282" s="348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348">
        <f>IF(V282&gt;0,ROUNDUP(INDEX(RAW!$K:$K,MAX(2,F282))/1000,0)*1000-ROUNDUP((INDEX(RAW!$K:$K,MAX(2,F282))-V282)/1000,0)*1000,0)</f>
        <v>0</v>
      </c>
      <c r="X282" s="335">
        <f t="shared" si="32"/>
        <v>0</v>
      </c>
      <c r="Y282" s="335">
        <f>IF(X282=1,COUNTIF($X$100:X282,1),0)</f>
        <v>0</v>
      </c>
      <c r="Z282" s="348">
        <f t="shared" si="33"/>
        <v>0</v>
      </c>
    </row>
    <row r="283" spans="1:26" ht="16" hidden="1" outlineLevel="1">
      <c r="A283" s="335" t="str">
        <f t="shared" si="34"/>
        <v/>
      </c>
      <c r="B283" s="335" t="str">
        <f>IF(F283="","",IFERROR(INDEX(RAW!$F:$F,MAX(2,F283)),""))</f>
        <v/>
      </c>
      <c r="C283" s="344"/>
      <c r="D283" s="346" t="str">
        <f>IF(F283="","",IFERROR(INDEX(RAW!$A:$A,MAX(2,F283)),""))</f>
        <v/>
      </c>
      <c r="E283" s="347" t="str">
        <f>IF(F283="","",IFERROR(INDEX(RAW!$K:$K,MAX(2,F283)),0))</f>
        <v/>
      </c>
      <c r="F283" s="344"/>
      <c r="G283" s="335" t="s">
        <v>2476</v>
      </c>
      <c r="O283" s="333" t="str">
        <f t="shared" si="28"/>
        <v/>
      </c>
      <c r="R283" s="335" t="str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  <v/>
      </c>
      <c r="S283" s="335">
        <f t="shared" si="29"/>
        <v>0</v>
      </c>
      <c r="T283" s="348">
        <f t="shared" si="30"/>
        <v>0</v>
      </c>
      <c r="U283" s="348">
        <f t="shared" si="31"/>
        <v>0</v>
      </c>
      <c r="V283" s="348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348">
        <f>IF(V283&gt;0,ROUNDUP(INDEX(RAW!$K:$K,MAX(2,F283))/1000,0)*1000-ROUNDUP((INDEX(RAW!$K:$K,MAX(2,F283))-V283)/1000,0)*1000,0)</f>
        <v>0</v>
      </c>
      <c r="X283" s="335">
        <f t="shared" si="32"/>
        <v>0</v>
      </c>
      <c r="Y283" s="335">
        <f>IF(X283=1,COUNTIF($X$100:X283,1),0)</f>
        <v>0</v>
      </c>
      <c r="Z283" s="348">
        <f t="shared" si="33"/>
        <v>0</v>
      </c>
    </row>
    <row r="284" spans="1:26" ht="16" hidden="1" outlineLevel="1">
      <c r="A284" s="335" t="str">
        <f t="shared" si="34"/>
        <v/>
      </c>
      <c r="B284" s="335" t="str">
        <f>IF(F284="","",IFERROR(INDEX(RAW!$F:$F,MAX(2,F284)),""))</f>
        <v/>
      </c>
      <c r="C284" s="344"/>
      <c r="D284" s="346" t="str">
        <f>IF(F284="","",IFERROR(INDEX(RAW!$A:$A,MAX(2,F284)),""))</f>
        <v/>
      </c>
      <c r="E284" s="347" t="str">
        <f>IF(F284="","",IFERROR(INDEX(RAW!$K:$K,MAX(2,F284)),0))</f>
        <v/>
      </c>
      <c r="F284" s="344"/>
      <c r="G284" s="335" t="s">
        <v>2476</v>
      </c>
      <c r="O284" s="333" t="str">
        <f t="shared" si="28"/>
        <v/>
      </c>
      <c r="R284" s="335" t="str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  <v/>
      </c>
      <c r="S284" s="335">
        <f t="shared" si="29"/>
        <v>0</v>
      </c>
      <c r="T284" s="348">
        <f t="shared" si="30"/>
        <v>0</v>
      </c>
      <c r="U284" s="348">
        <f t="shared" si="31"/>
        <v>0</v>
      </c>
      <c r="V284" s="348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348">
        <f>IF(V284&gt;0,ROUNDUP(INDEX(RAW!$K:$K,MAX(2,F284))/1000,0)*1000-ROUNDUP((INDEX(RAW!$K:$K,MAX(2,F284))-V284)/1000,0)*1000,0)</f>
        <v>0</v>
      </c>
      <c r="X284" s="335">
        <f t="shared" si="32"/>
        <v>0</v>
      </c>
      <c r="Y284" s="335">
        <f>IF(X284=1,COUNTIF($X$100:X284,1),0)</f>
        <v>0</v>
      </c>
      <c r="Z284" s="348">
        <f t="shared" si="33"/>
        <v>0</v>
      </c>
    </row>
    <row r="285" spans="1:26" ht="16" hidden="1" outlineLevel="1">
      <c r="A285" s="335" t="str">
        <f t="shared" si="34"/>
        <v/>
      </c>
      <c r="B285" s="335" t="str">
        <f>IF(F285="","",IFERROR(INDEX(RAW!$F:$F,MAX(2,F285)),""))</f>
        <v/>
      </c>
      <c r="C285" s="344"/>
      <c r="D285" s="346" t="str">
        <f>IF(F285="","",IFERROR(INDEX(RAW!$A:$A,MAX(2,F285)),""))</f>
        <v/>
      </c>
      <c r="E285" s="347" t="str">
        <f>IF(F285="","",IFERROR(INDEX(RAW!$K:$K,MAX(2,F285)),0))</f>
        <v/>
      </c>
      <c r="F285" s="344"/>
      <c r="G285" s="335" t="s">
        <v>2476</v>
      </c>
      <c r="O285" s="333" t="str">
        <f t="shared" si="28"/>
        <v/>
      </c>
      <c r="R285" s="335" t="str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  <v/>
      </c>
      <c r="S285" s="335">
        <f t="shared" si="29"/>
        <v>0</v>
      </c>
      <c r="T285" s="348">
        <f t="shared" si="30"/>
        <v>0</v>
      </c>
      <c r="U285" s="348">
        <f t="shared" si="31"/>
        <v>0</v>
      </c>
      <c r="V285" s="348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348">
        <f>IF(V285&gt;0,ROUNDUP(INDEX(RAW!$K:$K,MAX(2,F285))/1000,0)*1000-ROUNDUP((INDEX(RAW!$K:$K,MAX(2,F285))-V285)/1000,0)*1000,0)</f>
        <v>0</v>
      </c>
      <c r="X285" s="335">
        <f t="shared" si="32"/>
        <v>0</v>
      </c>
      <c r="Y285" s="335">
        <f>IF(X285=1,COUNTIF($X$100:X285,1),0)</f>
        <v>0</v>
      </c>
      <c r="Z285" s="348">
        <f t="shared" si="33"/>
        <v>0</v>
      </c>
    </row>
    <row r="286" spans="1:26" ht="16" hidden="1" outlineLevel="1">
      <c r="A286" s="335" t="str">
        <f t="shared" si="34"/>
        <v/>
      </c>
      <c r="B286" s="335" t="str">
        <f>IF(F286="","",IFERROR(INDEX(RAW!$F:$F,MAX(2,F286)),""))</f>
        <v/>
      </c>
      <c r="C286" s="344"/>
      <c r="D286" s="346" t="str">
        <f>IF(F286="","",IFERROR(INDEX(RAW!$A:$A,MAX(2,F286)),""))</f>
        <v/>
      </c>
      <c r="E286" s="347" t="str">
        <f>IF(F286="","",IFERROR(INDEX(RAW!$K:$K,MAX(2,F286)),0))</f>
        <v/>
      </c>
      <c r="F286" s="344"/>
      <c r="G286" s="335" t="s">
        <v>2476</v>
      </c>
      <c r="O286" s="333" t="str">
        <f t="shared" si="28"/>
        <v/>
      </c>
      <c r="R286" s="335" t="str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  <v/>
      </c>
      <c r="S286" s="335">
        <f t="shared" si="29"/>
        <v>0</v>
      </c>
      <c r="T286" s="348">
        <f t="shared" si="30"/>
        <v>0</v>
      </c>
      <c r="U286" s="348">
        <f t="shared" si="31"/>
        <v>0</v>
      </c>
      <c r="V286" s="348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348">
        <f>IF(V286&gt;0,ROUNDUP(INDEX(RAW!$K:$K,MAX(2,F286))/1000,0)*1000-ROUNDUP((INDEX(RAW!$K:$K,MAX(2,F286))-V286)/1000,0)*1000,0)</f>
        <v>0</v>
      </c>
      <c r="X286" s="335">
        <f t="shared" si="32"/>
        <v>0</v>
      </c>
      <c r="Y286" s="335">
        <f>IF(X286=1,COUNTIF($X$100:X286,1),0)</f>
        <v>0</v>
      </c>
      <c r="Z286" s="348">
        <f t="shared" si="33"/>
        <v>0</v>
      </c>
    </row>
    <row r="287" spans="1:26" ht="16" hidden="1" outlineLevel="1">
      <c r="A287" s="335" t="str">
        <f t="shared" si="34"/>
        <v/>
      </c>
      <c r="B287" s="335" t="str">
        <f>IF(F287="","",IFERROR(INDEX(RAW!$F:$F,MAX(2,F287)),""))</f>
        <v/>
      </c>
      <c r="C287" s="344"/>
      <c r="D287" s="346" t="str">
        <f>IF(F287="","",IFERROR(INDEX(RAW!$A:$A,MAX(2,F287)),""))</f>
        <v/>
      </c>
      <c r="E287" s="347" t="str">
        <f>IF(F287="","",IFERROR(INDEX(RAW!$K:$K,MAX(2,F287)),0))</f>
        <v/>
      </c>
      <c r="F287" s="344"/>
      <c r="G287" s="335" t="s">
        <v>2476</v>
      </c>
      <c r="O287" s="333" t="str">
        <f t="shared" si="28"/>
        <v/>
      </c>
      <c r="R287" s="335" t="str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  <v/>
      </c>
      <c r="S287" s="335">
        <f t="shared" si="29"/>
        <v>0</v>
      </c>
      <c r="T287" s="348">
        <f t="shared" si="30"/>
        <v>0</v>
      </c>
      <c r="U287" s="348">
        <f t="shared" si="31"/>
        <v>0</v>
      </c>
      <c r="V287" s="348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348">
        <f>IF(V287&gt;0,ROUNDUP(INDEX(RAW!$K:$K,MAX(2,F287))/1000,0)*1000-ROUNDUP((INDEX(RAW!$K:$K,MAX(2,F287))-V287)/1000,0)*1000,0)</f>
        <v>0</v>
      </c>
      <c r="X287" s="335">
        <f t="shared" si="32"/>
        <v>0</v>
      </c>
      <c r="Y287" s="335">
        <f>IF(X287=1,COUNTIF($X$100:X287,1),0)</f>
        <v>0</v>
      </c>
      <c r="Z287" s="348">
        <f t="shared" si="33"/>
        <v>0</v>
      </c>
    </row>
    <row r="288" spans="1:26" ht="16" hidden="1" outlineLevel="1">
      <c r="A288" s="335" t="str">
        <f t="shared" si="34"/>
        <v/>
      </c>
      <c r="B288" s="335" t="str">
        <f>IF(F288="","",IFERROR(INDEX(RAW!$F:$F,MAX(2,F288)),""))</f>
        <v/>
      </c>
      <c r="C288" s="344"/>
      <c r="D288" s="346" t="str">
        <f>IF(F288="","",IFERROR(INDEX(RAW!$A:$A,MAX(2,F288)),""))</f>
        <v/>
      </c>
      <c r="E288" s="347" t="str">
        <f>IF(F288="","",IFERROR(INDEX(RAW!$K:$K,MAX(2,F288)),0))</f>
        <v/>
      </c>
      <c r="F288" s="344"/>
      <c r="G288" s="335" t="s">
        <v>2476</v>
      </c>
      <c r="O288" s="333" t="str">
        <f t="shared" si="28"/>
        <v/>
      </c>
      <c r="R288" s="335" t="str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  <v/>
      </c>
      <c r="S288" s="335">
        <f t="shared" si="29"/>
        <v>0</v>
      </c>
      <c r="T288" s="348">
        <f t="shared" si="30"/>
        <v>0</v>
      </c>
      <c r="U288" s="348">
        <f t="shared" si="31"/>
        <v>0</v>
      </c>
      <c r="V288" s="348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348">
        <f>IF(V288&gt;0,ROUNDUP(INDEX(RAW!$K:$K,MAX(2,F288))/1000,0)*1000-ROUNDUP((INDEX(RAW!$K:$K,MAX(2,F288))-V288)/1000,0)*1000,0)</f>
        <v>0</v>
      </c>
      <c r="X288" s="335">
        <f t="shared" si="32"/>
        <v>0</v>
      </c>
      <c r="Y288" s="335">
        <f>IF(X288=1,COUNTIF($X$100:X288,1),0)</f>
        <v>0</v>
      </c>
      <c r="Z288" s="348">
        <f t="shared" si="33"/>
        <v>0</v>
      </c>
    </row>
    <row r="289" spans="1:26" ht="16" hidden="1" outlineLevel="1">
      <c r="A289" s="335" t="str">
        <f t="shared" si="34"/>
        <v/>
      </c>
      <c r="B289" s="335" t="str">
        <f>IF(F289="","",IFERROR(INDEX(RAW!$F:$F,MAX(2,F289)),""))</f>
        <v/>
      </c>
      <c r="C289" s="344"/>
      <c r="D289" s="346" t="str">
        <f>IF(F289="","",IFERROR(INDEX(RAW!$A:$A,MAX(2,F289)),""))</f>
        <v/>
      </c>
      <c r="E289" s="347" t="str">
        <f>IF(F289="","",IFERROR(INDEX(RAW!$K:$K,MAX(2,F289)),0))</f>
        <v/>
      </c>
      <c r="F289" s="344"/>
      <c r="G289" s="335" t="s">
        <v>2476</v>
      </c>
      <c r="O289" s="333" t="str">
        <f t="shared" si="28"/>
        <v/>
      </c>
      <c r="R289" s="335" t="str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  <v/>
      </c>
      <c r="S289" s="335">
        <f t="shared" si="29"/>
        <v>0</v>
      </c>
      <c r="T289" s="348">
        <f t="shared" si="30"/>
        <v>0</v>
      </c>
      <c r="U289" s="348">
        <f t="shared" si="31"/>
        <v>0</v>
      </c>
      <c r="V289" s="348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348">
        <f>IF(V289&gt;0,ROUNDUP(INDEX(RAW!$K:$K,MAX(2,F289))/1000,0)*1000-ROUNDUP((INDEX(RAW!$K:$K,MAX(2,F289))-V289)/1000,0)*1000,0)</f>
        <v>0</v>
      </c>
      <c r="X289" s="335">
        <f t="shared" si="32"/>
        <v>0</v>
      </c>
      <c r="Y289" s="335">
        <f>IF(X289=1,COUNTIF($X$100:X289,1),0)</f>
        <v>0</v>
      </c>
      <c r="Z289" s="348">
        <f t="shared" si="33"/>
        <v>0</v>
      </c>
    </row>
    <row r="290" spans="1:26" ht="16" hidden="1" outlineLevel="1">
      <c r="A290" s="335" t="str">
        <f t="shared" si="34"/>
        <v/>
      </c>
      <c r="B290" s="335" t="str">
        <f>IF(F290="","",IFERROR(INDEX(RAW!$F:$F,MAX(2,F290)),""))</f>
        <v/>
      </c>
      <c r="C290" s="344"/>
      <c r="D290" s="346" t="str">
        <f>IF(F290="","",IFERROR(INDEX(RAW!$A:$A,MAX(2,F290)),""))</f>
        <v/>
      </c>
      <c r="E290" s="347" t="str">
        <f>IF(F290="","",IFERROR(INDEX(RAW!$K:$K,MAX(2,F290)),0))</f>
        <v/>
      </c>
      <c r="F290" s="344"/>
      <c r="G290" s="335" t="s">
        <v>2476</v>
      </c>
      <c r="O290" s="333" t="str">
        <f t="shared" si="28"/>
        <v/>
      </c>
      <c r="R290" s="335" t="str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  <v/>
      </c>
      <c r="S290" s="335">
        <f t="shared" si="29"/>
        <v>0</v>
      </c>
      <c r="T290" s="348">
        <f t="shared" si="30"/>
        <v>0</v>
      </c>
      <c r="U290" s="348">
        <f t="shared" si="31"/>
        <v>0</v>
      </c>
      <c r="V290" s="348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348">
        <f>IF(V290&gt;0,ROUNDUP(INDEX(RAW!$K:$K,MAX(2,F290))/1000,0)*1000-ROUNDUP((INDEX(RAW!$K:$K,MAX(2,F290))-V290)/1000,0)*1000,0)</f>
        <v>0</v>
      </c>
      <c r="X290" s="335">
        <f t="shared" si="32"/>
        <v>0</v>
      </c>
      <c r="Y290" s="335">
        <f>IF(X290=1,COUNTIF($X$100:X290,1),0)</f>
        <v>0</v>
      </c>
      <c r="Z290" s="348">
        <f t="shared" si="33"/>
        <v>0</v>
      </c>
    </row>
    <row r="291" spans="1:26" ht="16" hidden="1" outlineLevel="1">
      <c r="A291" s="335" t="str">
        <f t="shared" si="34"/>
        <v/>
      </c>
      <c r="B291" s="335" t="str">
        <f>IF(F291="","",IFERROR(INDEX(RAW!$F:$F,MAX(2,F291)),""))</f>
        <v/>
      </c>
      <c r="C291" s="344"/>
      <c r="D291" s="346" t="str">
        <f>IF(F291="","",IFERROR(INDEX(RAW!$A:$A,MAX(2,F291)),""))</f>
        <v/>
      </c>
      <c r="E291" s="347" t="str">
        <f>IF(F291="","",IFERROR(INDEX(RAW!$K:$K,MAX(2,F291)),0))</f>
        <v/>
      </c>
      <c r="F291" s="344"/>
      <c r="G291" s="335" t="s">
        <v>2476</v>
      </c>
      <c r="O291" s="333" t="str">
        <f t="shared" si="28"/>
        <v/>
      </c>
      <c r="R291" s="335" t="str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  <v/>
      </c>
      <c r="S291" s="335">
        <f t="shared" si="29"/>
        <v>0</v>
      </c>
      <c r="T291" s="348">
        <f t="shared" si="30"/>
        <v>0</v>
      </c>
      <c r="U291" s="348">
        <f t="shared" si="31"/>
        <v>0</v>
      </c>
      <c r="V291" s="348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348">
        <f>IF(V291&gt;0,ROUNDUP(INDEX(RAW!$K:$K,MAX(2,F291))/1000,0)*1000-ROUNDUP((INDEX(RAW!$K:$K,MAX(2,F291))-V291)/1000,0)*1000,0)</f>
        <v>0</v>
      </c>
      <c r="X291" s="335">
        <f t="shared" si="32"/>
        <v>0</v>
      </c>
      <c r="Y291" s="335">
        <f>IF(X291=1,COUNTIF($X$100:X291,1),0)</f>
        <v>0</v>
      </c>
      <c r="Z291" s="348">
        <f t="shared" si="33"/>
        <v>0</v>
      </c>
    </row>
    <row r="292" spans="1:26" ht="16" hidden="1" outlineLevel="1">
      <c r="A292" s="335" t="str">
        <f t="shared" si="34"/>
        <v/>
      </c>
      <c r="B292" s="335" t="str">
        <f>IF(F292="","",IFERROR(INDEX(RAW!$F:$F,MAX(2,F292)),""))</f>
        <v/>
      </c>
      <c r="C292" s="344"/>
      <c r="D292" s="346" t="str">
        <f>IF(F292="","",IFERROR(INDEX(RAW!$A:$A,MAX(2,F292)),""))</f>
        <v/>
      </c>
      <c r="E292" s="347" t="str">
        <f>IF(F292="","",IFERROR(INDEX(RAW!$K:$K,MAX(2,F292)),0))</f>
        <v/>
      </c>
      <c r="F292" s="344"/>
      <c r="G292" s="335" t="s">
        <v>2476</v>
      </c>
      <c r="O292" s="333" t="str">
        <f t="shared" ref="O292:O355" si="35">IF(LEFT(R292,2)="확인",R292,"")</f>
        <v/>
      </c>
      <c r="R292" s="335" t="str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  <v/>
      </c>
      <c r="S292" s="335">
        <f t="shared" ref="S292:S355" si="36">IF(ISNUMBER(D292),DATE(YEAR(D292),MONTH(D292),1),0)</f>
        <v>0</v>
      </c>
      <c r="T292" s="348">
        <f t="shared" ref="T292:T355" si="37">IF(R292="OK",SUMIFS($O$430:$O$729,$B$430:$B$729,A292,$E$430:$E$729,"&lt;"&amp;EDATE($B$3,1)),0)</f>
        <v>0</v>
      </c>
      <c r="U292" s="348">
        <f t="shared" ref="U292:U355" si="38">IF(AND(R292="OK",D292&lt;EDATE($B$3,1),$B$3&gt;=DATE(2026,3,1)),MAX(0,E292-T292),0)</f>
        <v>0</v>
      </c>
      <c r="V292" s="348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348">
        <f>IF(V292&gt;0,ROUNDUP(INDEX(RAW!$K:$K,MAX(2,F292))/1000,0)*1000-ROUNDUP((INDEX(RAW!$K:$K,MAX(2,F292))-V292)/1000,0)*1000,0)</f>
        <v>0</v>
      </c>
      <c r="X292" s="335">
        <f t="shared" ref="X292:X355" si="39">IF(AND(R292="OK",IF($B$43="전체",D292&lt;EDATE($B$3,1),IF($B$43="미정산",U292&gt;0,OR(S292=$B$3,Z292&gt;0,U292&gt;0)))),1,0)</f>
        <v>0</v>
      </c>
      <c r="Y292" s="335">
        <f>IF(X292=1,COUNTIF($X$100:X292,1),0)</f>
        <v>0</v>
      </c>
      <c r="Z292" s="348">
        <f t="shared" ref="Z292:Z355" si="40">IF(R292="OK",SUMIFS($O$430:$O$729,$B$430:$B$729,A292,$E$430:$E$729,"&gt;="&amp;$B$3,$E$430:$E$729,"&lt;"&amp;EDATE($B$3,1)),0)</f>
        <v>0</v>
      </c>
    </row>
    <row r="293" spans="1:26" ht="16" hidden="1" outlineLevel="1">
      <c r="A293" s="335" t="str">
        <f t="shared" si="34"/>
        <v/>
      </c>
      <c r="B293" s="335" t="str">
        <f>IF(F293="","",IFERROR(INDEX(RAW!$F:$F,MAX(2,F293)),""))</f>
        <v/>
      </c>
      <c r="C293" s="344"/>
      <c r="D293" s="346" t="str">
        <f>IF(F293="","",IFERROR(INDEX(RAW!$A:$A,MAX(2,F293)),""))</f>
        <v/>
      </c>
      <c r="E293" s="347" t="str">
        <f>IF(F293="","",IFERROR(INDEX(RAW!$K:$K,MAX(2,F293)),0))</f>
        <v/>
      </c>
      <c r="F293" s="344"/>
      <c r="G293" s="335" t="s">
        <v>2476</v>
      </c>
      <c r="O293" s="333" t="str">
        <f t="shared" si="35"/>
        <v/>
      </c>
      <c r="R293" s="335" t="str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  <v/>
      </c>
      <c r="S293" s="335">
        <f t="shared" si="36"/>
        <v>0</v>
      </c>
      <c r="T293" s="348">
        <f t="shared" si="37"/>
        <v>0</v>
      </c>
      <c r="U293" s="348">
        <f t="shared" si="38"/>
        <v>0</v>
      </c>
      <c r="V293" s="348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348">
        <f>IF(V293&gt;0,ROUNDUP(INDEX(RAW!$K:$K,MAX(2,F293))/1000,0)*1000-ROUNDUP((INDEX(RAW!$K:$K,MAX(2,F293))-V293)/1000,0)*1000,0)</f>
        <v>0</v>
      </c>
      <c r="X293" s="335">
        <f t="shared" si="39"/>
        <v>0</v>
      </c>
      <c r="Y293" s="335">
        <f>IF(X293=1,COUNTIF($X$100:X293,1),0)</f>
        <v>0</v>
      </c>
      <c r="Z293" s="348">
        <f t="shared" si="40"/>
        <v>0</v>
      </c>
    </row>
    <row r="294" spans="1:26" ht="16" hidden="1" outlineLevel="1">
      <c r="A294" s="335" t="str">
        <f t="shared" si="34"/>
        <v/>
      </c>
      <c r="B294" s="335" t="str">
        <f>IF(F294="","",IFERROR(INDEX(RAW!$F:$F,MAX(2,F294)),""))</f>
        <v/>
      </c>
      <c r="C294" s="344"/>
      <c r="D294" s="346" t="str">
        <f>IF(F294="","",IFERROR(INDEX(RAW!$A:$A,MAX(2,F294)),""))</f>
        <v/>
      </c>
      <c r="E294" s="347" t="str">
        <f>IF(F294="","",IFERROR(INDEX(RAW!$K:$K,MAX(2,F294)),0))</f>
        <v/>
      </c>
      <c r="F294" s="344"/>
      <c r="G294" s="335" t="s">
        <v>2476</v>
      </c>
      <c r="O294" s="333" t="str">
        <f t="shared" si="35"/>
        <v/>
      </c>
      <c r="R294" s="335" t="str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  <v/>
      </c>
      <c r="S294" s="335">
        <f t="shared" si="36"/>
        <v>0</v>
      </c>
      <c r="T294" s="348">
        <f t="shared" si="37"/>
        <v>0</v>
      </c>
      <c r="U294" s="348">
        <f t="shared" si="38"/>
        <v>0</v>
      </c>
      <c r="V294" s="348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348">
        <f>IF(V294&gt;0,ROUNDUP(INDEX(RAW!$K:$K,MAX(2,F294))/1000,0)*1000-ROUNDUP((INDEX(RAW!$K:$K,MAX(2,F294))-V294)/1000,0)*1000,0)</f>
        <v>0</v>
      </c>
      <c r="X294" s="335">
        <f t="shared" si="39"/>
        <v>0</v>
      </c>
      <c r="Y294" s="335">
        <f>IF(X294=1,COUNTIF($X$100:X294,1),0)</f>
        <v>0</v>
      </c>
      <c r="Z294" s="348">
        <f t="shared" si="40"/>
        <v>0</v>
      </c>
    </row>
    <row r="295" spans="1:26" ht="16" hidden="1" outlineLevel="1">
      <c r="A295" s="335" t="str">
        <f t="shared" si="34"/>
        <v/>
      </c>
      <c r="B295" s="335" t="str">
        <f>IF(F295="","",IFERROR(INDEX(RAW!$F:$F,MAX(2,F295)),""))</f>
        <v/>
      </c>
      <c r="C295" s="344"/>
      <c r="D295" s="346" t="str">
        <f>IF(F295="","",IFERROR(INDEX(RAW!$A:$A,MAX(2,F295)),""))</f>
        <v/>
      </c>
      <c r="E295" s="347" t="str">
        <f>IF(F295="","",IFERROR(INDEX(RAW!$K:$K,MAX(2,F295)),0))</f>
        <v/>
      </c>
      <c r="F295" s="344"/>
      <c r="G295" s="335" t="s">
        <v>2476</v>
      </c>
      <c r="O295" s="333" t="str">
        <f t="shared" si="35"/>
        <v/>
      </c>
      <c r="R295" s="335" t="str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  <v/>
      </c>
      <c r="S295" s="335">
        <f t="shared" si="36"/>
        <v>0</v>
      </c>
      <c r="T295" s="348">
        <f t="shared" si="37"/>
        <v>0</v>
      </c>
      <c r="U295" s="348">
        <f t="shared" si="38"/>
        <v>0</v>
      </c>
      <c r="V295" s="348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348">
        <f>IF(V295&gt;0,ROUNDUP(INDEX(RAW!$K:$K,MAX(2,F295))/1000,0)*1000-ROUNDUP((INDEX(RAW!$K:$K,MAX(2,F295))-V295)/1000,0)*1000,0)</f>
        <v>0</v>
      </c>
      <c r="X295" s="335">
        <f t="shared" si="39"/>
        <v>0</v>
      </c>
      <c r="Y295" s="335">
        <f>IF(X295=1,COUNTIF($X$100:X295,1),0)</f>
        <v>0</v>
      </c>
      <c r="Z295" s="348">
        <f t="shared" si="40"/>
        <v>0</v>
      </c>
    </row>
    <row r="296" spans="1:26" ht="16" hidden="1" outlineLevel="1">
      <c r="A296" s="335" t="str">
        <f t="shared" si="34"/>
        <v/>
      </c>
      <c r="B296" s="335" t="str">
        <f>IF(F296="","",IFERROR(INDEX(RAW!$F:$F,MAX(2,F296)),""))</f>
        <v/>
      </c>
      <c r="C296" s="344"/>
      <c r="D296" s="346" t="str">
        <f>IF(F296="","",IFERROR(INDEX(RAW!$A:$A,MAX(2,F296)),""))</f>
        <v/>
      </c>
      <c r="E296" s="347" t="str">
        <f>IF(F296="","",IFERROR(INDEX(RAW!$K:$K,MAX(2,F296)),0))</f>
        <v/>
      </c>
      <c r="F296" s="344"/>
      <c r="G296" s="335" t="s">
        <v>2476</v>
      </c>
      <c r="O296" s="333" t="str">
        <f t="shared" si="35"/>
        <v/>
      </c>
      <c r="R296" s="335" t="str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  <v/>
      </c>
      <c r="S296" s="335">
        <f t="shared" si="36"/>
        <v>0</v>
      </c>
      <c r="T296" s="348">
        <f t="shared" si="37"/>
        <v>0</v>
      </c>
      <c r="U296" s="348">
        <f t="shared" si="38"/>
        <v>0</v>
      </c>
      <c r="V296" s="348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348">
        <f>IF(V296&gt;0,ROUNDUP(INDEX(RAW!$K:$K,MAX(2,F296))/1000,0)*1000-ROUNDUP((INDEX(RAW!$K:$K,MAX(2,F296))-V296)/1000,0)*1000,0)</f>
        <v>0</v>
      </c>
      <c r="X296" s="335">
        <f t="shared" si="39"/>
        <v>0</v>
      </c>
      <c r="Y296" s="335">
        <f>IF(X296=1,COUNTIF($X$100:X296,1),0)</f>
        <v>0</v>
      </c>
      <c r="Z296" s="348">
        <f t="shared" si="40"/>
        <v>0</v>
      </c>
    </row>
    <row r="297" spans="1:26" ht="16" hidden="1" outlineLevel="1">
      <c r="A297" s="335" t="str">
        <f t="shared" si="34"/>
        <v/>
      </c>
      <c r="B297" s="335" t="str">
        <f>IF(F297="","",IFERROR(INDEX(RAW!$F:$F,MAX(2,F297)),""))</f>
        <v/>
      </c>
      <c r="C297" s="344"/>
      <c r="D297" s="346" t="str">
        <f>IF(F297="","",IFERROR(INDEX(RAW!$A:$A,MAX(2,F297)),""))</f>
        <v/>
      </c>
      <c r="E297" s="347" t="str">
        <f>IF(F297="","",IFERROR(INDEX(RAW!$K:$K,MAX(2,F297)),0))</f>
        <v/>
      </c>
      <c r="F297" s="344"/>
      <c r="G297" s="335" t="s">
        <v>2476</v>
      </c>
      <c r="O297" s="333" t="str">
        <f t="shared" si="35"/>
        <v/>
      </c>
      <c r="R297" s="335" t="str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  <v/>
      </c>
      <c r="S297" s="335">
        <f t="shared" si="36"/>
        <v>0</v>
      </c>
      <c r="T297" s="348">
        <f t="shared" si="37"/>
        <v>0</v>
      </c>
      <c r="U297" s="348">
        <f t="shared" si="38"/>
        <v>0</v>
      </c>
      <c r="V297" s="348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348">
        <f>IF(V297&gt;0,ROUNDUP(INDEX(RAW!$K:$K,MAX(2,F297))/1000,0)*1000-ROUNDUP((INDEX(RAW!$K:$K,MAX(2,F297))-V297)/1000,0)*1000,0)</f>
        <v>0</v>
      </c>
      <c r="X297" s="335">
        <f t="shared" si="39"/>
        <v>0</v>
      </c>
      <c r="Y297" s="335">
        <f>IF(X297=1,COUNTIF($X$100:X297,1),0)</f>
        <v>0</v>
      </c>
      <c r="Z297" s="348">
        <f t="shared" si="40"/>
        <v>0</v>
      </c>
    </row>
    <row r="298" spans="1:26" ht="16" hidden="1" outlineLevel="1">
      <c r="A298" s="335" t="str">
        <f t="shared" si="34"/>
        <v/>
      </c>
      <c r="B298" s="335" t="str">
        <f>IF(F298="","",IFERROR(INDEX(RAW!$F:$F,MAX(2,F298)),""))</f>
        <v/>
      </c>
      <c r="C298" s="344"/>
      <c r="D298" s="346" t="str">
        <f>IF(F298="","",IFERROR(INDEX(RAW!$A:$A,MAX(2,F298)),""))</f>
        <v/>
      </c>
      <c r="E298" s="347" t="str">
        <f>IF(F298="","",IFERROR(INDEX(RAW!$K:$K,MAX(2,F298)),0))</f>
        <v/>
      </c>
      <c r="F298" s="344"/>
      <c r="G298" s="335" t="s">
        <v>2476</v>
      </c>
      <c r="O298" s="333" t="str">
        <f t="shared" si="35"/>
        <v/>
      </c>
      <c r="R298" s="335" t="str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  <v/>
      </c>
      <c r="S298" s="335">
        <f t="shared" si="36"/>
        <v>0</v>
      </c>
      <c r="T298" s="348">
        <f t="shared" si="37"/>
        <v>0</v>
      </c>
      <c r="U298" s="348">
        <f t="shared" si="38"/>
        <v>0</v>
      </c>
      <c r="V298" s="348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348">
        <f>IF(V298&gt;0,ROUNDUP(INDEX(RAW!$K:$K,MAX(2,F298))/1000,0)*1000-ROUNDUP((INDEX(RAW!$K:$K,MAX(2,F298))-V298)/1000,0)*1000,0)</f>
        <v>0</v>
      </c>
      <c r="X298" s="335">
        <f t="shared" si="39"/>
        <v>0</v>
      </c>
      <c r="Y298" s="335">
        <f>IF(X298=1,COUNTIF($X$100:X298,1),0)</f>
        <v>0</v>
      </c>
      <c r="Z298" s="348">
        <f t="shared" si="40"/>
        <v>0</v>
      </c>
    </row>
    <row r="299" spans="1:26" ht="16" hidden="1" outlineLevel="1">
      <c r="A299" s="335" t="str">
        <f t="shared" si="34"/>
        <v/>
      </c>
      <c r="B299" s="335" t="str">
        <f>IF(F299="","",IFERROR(INDEX(RAW!$F:$F,MAX(2,F299)),""))</f>
        <v/>
      </c>
      <c r="C299" s="344"/>
      <c r="D299" s="346" t="str">
        <f>IF(F299="","",IFERROR(INDEX(RAW!$A:$A,MAX(2,F299)),""))</f>
        <v/>
      </c>
      <c r="E299" s="347" t="str">
        <f>IF(F299="","",IFERROR(INDEX(RAW!$K:$K,MAX(2,F299)),0))</f>
        <v/>
      </c>
      <c r="F299" s="344"/>
      <c r="G299" s="335" t="s">
        <v>2476</v>
      </c>
      <c r="O299" s="333" t="str">
        <f t="shared" si="35"/>
        <v/>
      </c>
      <c r="R299" s="335" t="str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  <v/>
      </c>
      <c r="S299" s="335">
        <f t="shared" si="36"/>
        <v>0</v>
      </c>
      <c r="T299" s="348">
        <f t="shared" si="37"/>
        <v>0</v>
      </c>
      <c r="U299" s="348">
        <f t="shared" si="38"/>
        <v>0</v>
      </c>
      <c r="V299" s="348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348">
        <f>IF(V299&gt;0,ROUNDUP(INDEX(RAW!$K:$K,MAX(2,F299))/1000,0)*1000-ROUNDUP((INDEX(RAW!$K:$K,MAX(2,F299))-V299)/1000,0)*1000,0)</f>
        <v>0</v>
      </c>
      <c r="X299" s="335">
        <f t="shared" si="39"/>
        <v>0</v>
      </c>
      <c r="Y299" s="335">
        <f>IF(X299=1,COUNTIF($X$100:X299,1),0)</f>
        <v>0</v>
      </c>
      <c r="Z299" s="348">
        <f t="shared" si="40"/>
        <v>0</v>
      </c>
    </row>
    <row r="300" spans="1:26" ht="16" hidden="1" outlineLevel="1">
      <c r="A300" s="335" t="str">
        <f t="shared" si="34"/>
        <v/>
      </c>
      <c r="B300" s="335" t="str">
        <f>IF(F300="","",IFERROR(INDEX(RAW!$F:$F,MAX(2,F300)),""))</f>
        <v/>
      </c>
      <c r="C300" s="344"/>
      <c r="D300" s="346" t="str">
        <f>IF(F300="","",IFERROR(INDEX(RAW!$A:$A,MAX(2,F300)),""))</f>
        <v/>
      </c>
      <c r="E300" s="347" t="str">
        <f>IF(F300="","",IFERROR(INDEX(RAW!$K:$K,MAX(2,F300)),0))</f>
        <v/>
      </c>
      <c r="F300" s="344"/>
      <c r="G300" s="335" t="s">
        <v>2476</v>
      </c>
      <c r="O300" s="333" t="str">
        <f t="shared" si="35"/>
        <v/>
      </c>
      <c r="R300" s="335" t="str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  <v/>
      </c>
      <c r="S300" s="335">
        <f t="shared" si="36"/>
        <v>0</v>
      </c>
      <c r="T300" s="348">
        <f t="shared" si="37"/>
        <v>0</v>
      </c>
      <c r="U300" s="348">
        <f t="shared" si="38"/>
        <v>0</v>
      </c>
      <c r="V300" s="348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348">
        <f>IF(V300&gt;0,ROUNDUP(INDEX(RAW!$K:$K,MAX(2,F300))/1000,0)*1000-ROUNDUP((INDEX(RAW!$K:$K,MAX(2,F300))-V300)/1000,0)*1000,0)</f>
        <v>0</v>
      </c>
      <c r="X300" s="335">
        <f t="shared" si="39"/>
        <v>0</v>
      </c>
      <c r="Y300" s="335">
        <f>IF(X300=1,COUNTIF($X$100:X300,1),0)</f>
        <v>0</v>
      </c>
      <c r="Z300" s="348">
        <f t="shared" si="40"/>
        <v>0</v>
      </c>
    </row>
    <row r="301" spans="1:26" ht="16" hidden="1" outlineLevel="1">
      <c r="A301" s="335" t="str">
        <f t="shared" si="34"/>
        <v/>
      </c>
      <c r="B301" s="335" t="str">
        <f>IF(F301="","",IFERROR(INDEX(RAW!$F:$F,MAX(2,F301)),""))</f>
        <v/>
      </c>
      <c r="C301" s="344"/>
      <c r="D301" s="346" t="str">
        <f>IF(F301="","",IFERROR(INDEX(RAW!$A:$A,MAX(2,F301)),""))</f>
        <v/>
      </c>
      <c r="E301" s="347" t="str">
        <f>IF(F301="","",IFERROR(INDEX(RAW!$K:$K,MAX(2,F301)),0))</f>
        <v/>
      </c>
      <c r="F301" s="344"/>
      <c r="G301" s="335" t="s">
        <v>2476</v>
      </c>
      <c r="O301" s="333" t="str">
        <f t="shared" si="35"/>
        <v/>
      </c>
      <c r="R301" s="335" t="str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  <v/>
      </c>
      <c r="S301" s="335">
        <f t="shared" si="36"/>
        <v>0</v>
      </c>
      <c r="T301" s="348">
        <f t="shared" si="37"/>
        <v>0</v>
      </c>
      <c r="U301" s="348">
        <f t="shared" si="38"/>
        <v>0</v>
      </c>
      <c r="V301" s="348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348">
        <f>IF(V301&gt;0,ROUNDUP(INDEX(RAW!$K:$K,MAX(2,F301))/1000,0)*1000-ROUNDUP((INDEX(RAW!$K:$K,MAX(2,F301))-V301)/1000,0)*1000,0)</f>
        <v>0</v>
      </c>
      <c r="X301" s="335">
        <f t="shared" si="39"/>
        <v>0</v>
      </c>
      <c r="Y301" s="335">
        <f>IF(X301=1,COUNTIF($X$100:X301,1),0)</f>
        <v>0</v>
      </c>
      <c r="Z301" s="348">
        <f t="shared" si="40"/>
        <v>0</v>
      </c>
    </row>
    <row r="302" spans="1:26" ht="16" hidden="1" outlineLevel="1">
      <c r="A302" s="335" t="str">
        <f t="shared" si="34"/>
        <v/>
      </c>
      <c r="B302" s="335" t="str">
        <f>IF(F302="","",IFERROR(INDEX(RAW!$F:$F,MAX(2,F302)),""))</f>
        <v/>
      </c>
      <c r="C302" s="344"/>
      <c r="D302" s="346" t="str">
        <f>IF(F302="","",IFERROR(INDEX(RAW!$A:$A,MAX(2,F302)),""))</f>
        <v/>
      </c>
      <c r="E302" s="347" t="str">
        <f>IF(F302="","",IFERROR(INDEX(RAW!$K:$K,MAX(2,F302)),0))</f>
        <v/>
      </c>
      <c r="F302" s="344"/>
      <c r="G302" s="335" t="s">
        <v>2476</v>
      </c>
      <c r="O302" s="333" t="str">
        <f t="shared" si="35"/>
        <v/>
      </c>
      <c r="R302" s="335" t="str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  <v/>
      </c>
      <c r="S302" s="335">
        <f t="shared" si="36"/>
        <v>0</v>
      </c>
      <c r="T302" s="348">
        <f t="shared" si="37"/>
        <v>0</v>
      </c>
      <c r="U302" s="348">
        <f t="shared" si="38"/>
        <v>0</v>
      </c>
      <c r="V302" s="348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348">
        <f>IF(V302&gt;0,ROUNDUP(INDEX(RAW!$K:$K,MAX(2,F302))/1000,0)*1000-ROUNDUP((INDEX(RAW!$K:$K,MAX(2,F302))-V302)/1000,0)*1000,0)</f>
        <v>0</v>
      </c>
      <c r="X302" s="335">
        <f t="shared" si="39"/>
        <v>0</v>
      </c>
      <c r="Y302" s="335">
        <f>IF(X302=1,COUNTIF($X$100:X302,1),0)</f>
        <v>0</v>
      </c>
      <c r="Z302" s="348">
        <f t="shared" si="40"/>
        <v>0</v>
      </c>
    </row>
    <row r="303" spans="1:26" ht="16" hidden="1" outlineLevel="1">
      <c r="A303" s="335" t="str">
        <f t="shared" si="34"/>
        <v/>
      </c>
      <c r="B303" s="335" t="str">
        <f>IF(F303="","",IFERROR(INDEX(RAW!$F:$F,MAX(2,F303)),""))</f>
        <v/>
      </c>
      <c r="C303" s="344"/>
      <c r="D303" s="346" t="str">
        <f>IF(F303="","",IFERROR(INDEX(RAW!$A:$A,MAX(2,F303)),""))</f>
        <v/>
      </c>
      <c r="E303" s="347" t="str">
        <f>IF(F303="","",IFERROR(INDEX(RAW!$K:$K,MAX(2,F303)),0))</f>
        <v/>
      </c>
      <c r="F303" s="344"/>
      <c r="G303" s="335" t="s">
        <v>2476</v>
      </c>
      <c r="O303" s="333" t="str">
        <f t="shared" si="35"/>
        <v/>
      </c>
      <c r="R303" s="335" t="str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  <v/>
      </c>
      <c r="S303" s="335">
        <f t="shared" si="36"/>
        <v>0</v>
      </c>
      <c r="T303" s="348">
        <f t="shared" si="37"/>
        <v>0</v>
      </c>
      <c r="U303" s="348">
        <f t="shared" si="38"/>
        <v>0</v>
      </c>
      <c r="V303" s="348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348">
        <f>IF(V303&gt;0,ROUNDUP(INDEX(RAW!$K:$K,MAX(2,F303))/1000,0)*1000-ROUNDUP((INDEX(RAW!$K:$K,MAX(2,F303))-V303)/1000,0)*1000,0)</f>
        <v>0</v>
      </c>
      <c r="X303" s="335">
        <f t="shared" si="39"/>
        <v>0</v>
      </c>
      <c r="Y303" s="335">
        <f>IF(X303=1,COUNTIF($X$100:X303,1),0)</f>
        <v>0</v>
      </c>
      <c r="Z303" s="348">
        <f t="shared" si="40"/>
        <v>0</v>
      </c>
    </row>
    <row r="304" spans="1:26" ht="16" hidden="1" outlineLevel="1">
      <c r="A304" s="335" t="str">
        <f t="shared" si="34"/>
        <v/>
      </c>
      <c r="B304" s="335" t="str">
        <f>IF(F304="","",IFERROR(INDEX(RAW!$F:$F,MAX(2,F304)),""))</f>
        <v/>
      </c>
      <c r="C304" s="344"/>
      <c r="D304" s="346" t="str">
        <f>IF(F304="","",IFERROR(INDEX(RAW!$A:$A,MAX(2,F304)),""))</f>
        <v/>
      </c>
      <c r="E304" s="347" t="str">
        <f>IF(F304="","",IFERROR(INDEX(RAW!$K:$K,MAX(2,F304)),0))</f>
        <v/>
      </c>
      <c r="F304" s="344"/>
      <c r="G304" s="335" t="s">
        <v>2476</v>
      </c>
      <c r="O304" s="333" t="str">
        <f t="shared" si="35"/>
        <v/>
      </c>
      <c r="R304" s="335" t="str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  <v/>
      </c>
      <c r="S304" s="335">
        <f t="shared" si="36"/>
        <v>0</v>
      </c>
      <c r="T304" s="348">
        <f t="shared" si="37"/>
        <v>0</v>
      </c>
      <c r="U304" s="348">
        <f t="shared" si="38"/>
        <v>0</v>
      </c>
      <c r="V304" s="348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348">
        <f>IF(V304&gt;0,ROUNDUP(INDEX(RAW!$K:$K,MAX(2,F304))/1000,0)*1000-ROUNDUP((INDEX(RAW!$K:$K,MAX(2,F304))-V304)/1000,0)*1000,0)</f>
        <v>0</v>
      </c>
      <c r="X304" s="335">
        <f t="shared" si="39"/>
        <v>0</v>
      </c>
      <c r="Y304" s="335">
        <f>IF(X304=1,COUNTIF($X$100:X304,1),0)</f>
        <v>0</v>
      </c>
      <c r="Z304" s="348">
        <f t="shared" si="40"/>
        <v>0</v>
      </c>
    </row>
    <row r="305" spans="1:26" ht="16" hidden="1" outlineLevel="1">
      <c r="A305" s="335" t="str">
        <f t="shared" si="34"/>
        <v/>
      </c>
      <c r="B305" s="335" t="str">
        <f>IF(F305="","",IFERROR(INDEX(RAW!$F:$F,MAX(2,F305)),""))</f>
        <v/>
      </c>
      <c r="C305" s="344"/>
      <c r="D305" s="346" t="str">
        <f>IF(F305="","",IFERROR(INDEX(RAW!$A:$A,MAX(2,F305)),""))</f>
        <v/>
      </c>
      <c r="E305" s="347" t="str">
        <f>IF(F305="","",IFERROR(INDEX(RAW!$K:$K,MAX(2,F305)),0))</f>
        <v/>
      </c>
      <c r="F305" s="344"/>
      <c r="G305" s="335" t="s">
        <v>2476</v>
      </c>
      <c r="O305" s="333" t="str">
        <f t="shared" si="35"/>
        <v/>
      </c>
      <c r="R305" s="335" t="str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  <v/>
      </c>
      <c r="S305" s="335">
        <f t="shared" si="36"/>
        <v>0</v>
      </c>
      <c r="T305" s="348">
        <f t="shared" si="37"/>
        <v>0</v>
      </c>
      <c r="U305" s="348">
        <f t="shared" si="38"/>
        <v>0</v>
      </c>
      <c r="V305" s="348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348">
        <f>IF(V305&gt;0,ROUNDUP(INDEX(RAW!$K:$K,MAX(2,F305))/1000,0)*1000-ROUNDUP((INDEX(RAW!$K:$K,MAX(2,F305))-V305)/1000,0)*1000,0)</f>
        <v>0</v>
      </c>
      <c r="X305" s="335">
        <f t="shared" si="39"/>
        <v>0</v>
      </c>
      <c r="Y305" s="335">
        <f>IF(X305=1,COUNTIF($X$100:X305,1),0)</f>
        <v>0</v>
      </c>
      <c r="Z305" s="348">
        <f t="shared" si="40"/>
        <v>0</v>
      </c>
    </row>
    <row r="306" spans="1:26" ht="16" hidden="1" outlineLevel="1">
      <c r="A306" s="335" t="str">
        <f t="shared" ref="A306:A369" si="41">IF(F306="","",IF(F306&gt;0,"R"&amp;F306,""))</f>
        <v/>
      </c>
      <c r="B306" s="335" t="str">
        <f>IF(F306="","",IFERROR(INDEX(RAW!$F:$F,MAX(2,F306)),""))</f>
        <v/>
      </c>
      <c r="C306" s="344"/>
      <c r="D306" s="346" t="str">
        <f>IF(F306="","",IFERROR(INDEX(RAW!$A:$A,MAX(2,F306)),""))</f>
        <v/>
      </c>
      <c r="E306" s="347" t="str">
        <f>IF(F306="","",IFERROR(INDEX(RAW!$K:$K,MAX(2,F306)),0))</f>
        <v/>
      </c>
      <c r="F306" s="344"/>
      <c r="G306" s="335" t="s">
        <v>2476</v>
      </c>
      <c r="O306" s="333" t="str">
        <f t="shared" si="35"/>
        <v/>
      </c>
      <c r="R306" s="335" t="str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  <v/>
      </c>
      <c r="S306" s="335">
        <f t="shared" si="36"/>
        <v>0</v>
      </c>
      <c r="T306" s="348">
        <f t="shared" si="37"/>
        <v>0</v>
      </c>
      <c r="U306" s="348">
        <f t="shared" si="38"/>
        <v>0</v>
      </c>
      <c r="V306" s="348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348">
        <f>IF(V306&gt;0,ROUNDUP(INDEX(RAW!$K:$K,MAX(2,F306))/1000,0)*1000-ROUNDUP((INDEX(RAW!$K:$K,MAX(2,F306))-V306)/1000,0)*1000,0)</f>
        <v>0</v>
      </c>
      <c r="X306" s="335">
        <f t="shared" si="39"/>
        <v>0</v>
      </c>
      <c r="Y306" s="335">
        <f>IF(X306=1,COUNTIF($X$100:X306,1),0)</f>
        <v>0</v>
      </c>
      <c r="Z306" s="348">
        <f t="shared" si="40"/>
        <v>0</v>
      </c>
    </row>
    <row r="307" spans="1:26" ht="16" hidden="1" outlineLevel="1">
      <c r="A307" s="335" t="str">
        <f t="shared" si="41"/>
        <v/>
      </c>
      <c r="B307" s="335" t="str">
        <f>IF(F307="","",IFERROR(INDEX(RAW!$F:$F,MAX(2,F307)),""))</f>
        <v/>
      </c>
      <c r="C307" s="344"/>
      <c r="D307" s="346" t="str">
        <f>IF(F307="","",IFERROR(INDEX(RAW!$A:$A,MAX(2,F307)),""))</f>
        <v/>
      </c>
      <c r="E307" s="347" t="str">
        <f>IF(F307="","",IFERROR(INDEX(RAW!$K:$K,MAX(2,F307)),0))</f>
        <v/>
      </c>
      <c r="F307" s="344"/>
      <c r="G307" s="335" t="s">
        <v>2476</v>
      </c>
      <c r="O307" s="333" t="str">
        <f t="shared" si="35"/>
        <v/>
      </c>
      <c r="R307" s="335" t="str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  <v/>
      </c>
      <c r="S307" s="335">
        <f t="shared" si="36"/>
        <v>0</v>
      </c>
      <c r="T307" s="348">
        <f t="shared" si="37"/>
        <v>0</v>
      </c>
      <c r="U307" s="348">
        <f t="shared" si="38"/>
        <v>0</v>
      </c>
      <c r="V307" s="348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348">
        <f>IF(V307&gt;0,ROUNDUP(INDEX(RAW!$K:$K,MAX(2,F307))/1000,0)*1000-ROUNDUP((INDEX(RAW!$K:$K,MAX(2,F307))-V307)/1000,0)*1000,0)</f>
        <v>0</v>
      </c>
      <c r="X307" s="335">
        <f t="shared" si="39"/>
        <v>0</v>
      </c>
      <c r="Y307" s="335">
        <f>IF(X307=1,COUNTIF($X$100:X307,1),0)</f>
        <v>0</v>
      </c>
      <c r="Z307" s="348">
        <f t="shared" si="40"/>
        <v>0</v>
      </c>
    </row>
    <row r="308" spans="1:26" ht="16" hidden="1" outlineLevel="1">
      <c r="A308" s="335" t="str">
        <f t="shared" si="41"/>
        <v/>
      </c>
      <c r="B308" s="335" t="str">
        <f>IF(F308="","",IFERROR(INDEX(RAW!$F:$F,MAX(2,F308)),""))</f>
        <v/>
      </c>
      <c r="C308" s="344"/>
      <c r="D308" s="346" t="str">
        <f>IF(F308="","",IFERROR(INDEX(RAW!$A:$A,MAX(2,F308)),""))</f>
        <v/>
      </c>
      <c r="E308" s="347" t="str">
        <f>IF(F308="","",IFERROR(INDEX(RAW!$K:$K,MAX(2,F308)),0))</f>
        <v/>
      </c>
      <c r="F308" s="344"/>
      <c r="G308" s="335" t="s">
        <v>2476</v>
      </c>
      <c r="O308" s="333" t="str">
        <f t="shared" si="35"/>
        <v/>
      </c>
      <c r="R308" s="335" t="str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  <v/>
      </c>
      <c r="S308" s="335">
        <f t="shared" si="36"/>
        <v>0</v>
      </c>
      <c r="T308" s="348">
        <f t="shared" si="37"/>
        <v>0</v>
      </c>
      <c r="U308" s="348">
        <f t="shared" si="38"/>
        <v>0</v>
      </c>
      <c r="V308" s="348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348">
        <f>IF(V308&gt;0,ROUNDUP(INDEX(RAW!$K:$K,MAX(2,F308))/1000,0)*1000-ROUNDUP((INDEX(RAW!$K:$K,MAX(2,F308))-V308)/1000,0)*1000,0)</f>
        <v>0</v>
      </c>
      <c r="X308" s="335">
        <f t="shared" si="39"/>
        <v>0</v>
      </c>
      <c r="Y308" s="335">
        <f>IF(X308=1,COUNTIF($X$100:X308,1),0)</f>
        <v>0</v>
      </c>
      <c r="Z308" s="348">
        <f t="shared" si="40"/>
        <v>0</v>
      </c>
    </row>
    <row r="309" spans="1:26" ht="16" hidden="1" outlineLevel="1">
      <c r="A309" s="335" t="str">
        <f t="shared" si="41"/>
        <v/>
      </c>
      <c r="B309" s="335" t="str">
        <f>IF(F309="","",IFERROR(INDEX(RAW!$F:$F,MAX(2,F309)),""))</f>
        <v/>
      </c>
      <c r="C309" s="344"/>
      <c r="D309" s="346" t="str">
        <f>IF(F309="","",IFERROR(INDEX(RAW!$A:$A,MAX(2,F309)),""))</f>
        <v/>
      </c>
      <c r="E309" s="347" t="str">
        <f>IF(F309="","",IFERROR(INDEX(RAW!$K:$K,MAX(2,F309)),0))</f>
        <v/>
      </c>
      <c r="F309" s="344"/>
      <c r="G309" s="335" t="s">
        <v>2476</v>
      </c>
      <c r="O309" s="333" t="str">
        <f t="shared" si="35"/>
        <v/>
      </c>
      <c r="R309" s="335" t="str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  <v/>
      </c>
      <c r="S309" s="335">
        <f t="shared" si="36"/>
        <v>0</v>
      </c>
      <c r="T309" s="348">
        <f t="shared" si="37"/>
        <v>0</v>
      </c>
      <c r="U309" s="348">
        <f t="shared" si="38"/>
        <v>0</v>
      </c>
      <c r="V309" s="348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348">
        <f>IF(V309&gt;0,ROUNDUP(INDEX(RAW!$K:$K,MAX(2,F309))/1000,0)*1000-ROUNDUP((INDEX(RAW!$K:$K,MAX(2,F309))-V309)/1000,0)*1000,0)</f>
        <v>0</v>
      </c>
      <c r="X309" s="335">
        <f t="shared" si="39"/>
        <v>0</v>
      </c>
      <c r="Y309" s="335">
        <f>IF(X309=1,COUNTIF($X$100:X309,1),0)</f>
        <v>0</v>
      </c>
      <c r="Z309" s="348">
        <f t="shared" si="40"/>
        <v>0</v>
      </c>
    </row>
    <row r="310" spans="1:26" ht="16" hidden="1" outlineLevel="1">
      <c r="A310" s="335" t="str">
        <f t="shared" si="41"/>
        <v/>
      </c>
      <c r="B310" s="335" t="str">
        <f>IF(F310="","",IFERROR(INDEX(RAW!$F:$F,MAX(2,F310)),""))</f>
        <v/>
      </c>
      <c r="C310" s="344"/>
      <c r="D310" s="346" t="str">
        <f>IF(F310="","",IFERROR(INDEX(RAW!$A:$A,MAX(2,F310)),""))</f>
        <v/>
      </c>
      <c r="E310" s="347" t="str">
        <f>IF(F310="","",IFERROR(INDEX(RAW!$K:$K,MAX(2,F310)),0))</f>
        <v/>
      </c>
      <c r="F310" s="344"/>
      <c r="G310" s="335" t="s">
        <v>2476</v>
      </c>
      <c r="O310" s="333" t="str">
        <f t="shared" si="35"/>
        <v/>
      </c>
      <c r="R310" s="335" t="str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  <v/>
      </c>
      <c r="S310" s="335">
        <f t="shared" si="36"/>
        <v>0</v>
      </c>
      <c r="T310" s="348">
        <f t="shared" si="37"/>
        <v>0</v>
      </c>
      <c r="U310" s="348">
        <f t="shared" si="38"/>
        <v>0</v>
      </c>
      <c r="V310" s="348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348">
        <f>IF(V310&gt;0,ROUNDUP(INDEX(RAW!$K:$K,MAX(2,F310))/1000,0)*1000-ROUNDUP((INDEX(RAW!$K:$K,MAX(2,F310))-V310)/1000,0)*1000,0)</f>
        <v>0</v>
      </c>
      <c r="X310" s="335">
        <f t="shared" si="39"/>
        <v>0</v>
      </c>
      <c r="Y310" s="335">
        <f>IF(X310=1,COUNTIF($X$100:X310,1),0)</f>
        <v>0</v>
      </c>
      <c r="Z310" s="348">
        <f t="shared" si="40"/>
        <v>0</v>
      </c>
    </row>
    <row r="311" spans="1:26" ht="16" hidden="1" outlineLevel="1">
      <c r="A311" s="335" t="str">
        <f t="shared" si="41"/>
        <v/>
      </c>
      <c r="B311" s="335" t="str">
        <f>IF(F311="","",IFERROR(INDEX(RAW!$F:$F,MAX(2,F311)),""))</f>
        <v/>
      </c>
      <c r="C311" s="344"/>
      <c r="D311" s="346" t="str">
        <f>IF(F311="","",IFERROR(INDEX(RAW!$A:$A,MAX(2,F311)),""))</f>
        <v/>
      </c>
      <c r="E311" s="347" t="str">
        <f>IF(F311="","",IFERROR(INDEX(RAW!$K:$K,MAX(2,F311)),0))</f>
        <v/>
      </c>
      <c r="F311" s="344"/>
      <c r="G311" s="335" t="s">
        <v>2476</v>
      </c>
      <c r="O311" s="333" t="str">
        <f t="shared" si="35"/>
        <v/>
      </c>
      <c r="R311" s="335" t="str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  <v/>
      </c>
      <c r="S311" s="335">
        <f t="shared" si="36"/>
        <v>0</v>
      </c>
      <c r="T311" s="348">
        <f t="shared" si="37"/>
        <v>0</v>
      </c>
      <c r="U311" s="348">
        <f t="shared" si="38"/>
        <v>0</v>
      </c>
      <c r="V311" s="348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348">
        <f>IF(V311&gt;0,ROUNDUP(INDEX(RAW!$K:$K,MAX(2,F311))/1000,0)*1000-ROUNDUP((INDEX(RAW!$K:$K,MAX(2,F311))-V311)/1000,0)*1000,0)</f>
        <v>0</v>
      </c>
      <c r="X311" s="335">
        <f t="shared" si="39"/>
        <v>0</v>
      </c>
      <c r="Y311" s="335">
        <f>IF(X311=1,COUNTIF($X$100:X311,1),0)</f>
        <v>0</v>
      </c>
      <c r="Z311" s="348">
        <f t="shared" si="40"/>
        <v>0</v>
      </c>
    </row>
    <row r="312" spans="1:26" ht="16" hidden="1" outlineLevel="1">
      <c r="A312" s="335" t="str">
        <f t="shared" si="41"/>
        <v/>
      </c>
      <c r="B312" s="335" t="str">
        <f>IF(F312="","",IFERROR(INDEX(RAW!$F:$F,MAX(2,F312)),""))</f>
        <v/>
      </c>
      <c r="C312" s="344"/>
      <c r="D312" s="346" t="str">
        <f>IF(F312="","",IFERROR(INDEX(RAW!$A:$A,MAX(2,F312)),""))</f>
        <v/>
      </c>
      <c r="E312" s="347" t="str">
        <f>IF(F312="","",IFERROR(INDEX(RAW!$K:$K,MAX(2,F312)),0))</f>
        <v/>
      </c>
      <c r="F312" s="344"/>
      <c r="G312" s="335" t="s">
        <v>2476</v>
      </c>
      <c r="O312" s="333" t="str">
        <f t="shared" si="35"/>
        <v/>
      </c>
      <c r="R312" s="335" t="str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  <v/>
      </c>
      <c r="S312" s="335">
        <f t="shared" si="36"/>
        <v>0</v>
      </c>
      <c r="T312" s="348">
        <f t="shared" si="37"/>
        <v>0</v>
      </c>
      <c r="U312" s="348">
        <f t="shared" si="38"/>
        <v>0</v>
      </c>
      <c r="V312" s="348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348">
        <f>IF(V312&gt;0,ROUNDUP(INDEX(RAW!$K:$K,MAX(2,F312))/1000,0)*1000-ROUNDUP((INDEX(RAW!$K:$K,MAX(2,F312))-V312)/1000,0)*1000,0)</f>
        <v>0</v>
      </c>
      <c r="X312" s="335">
        <f t="shared" si="39"/>
        <v>0</v>
      </c>
      <c r="Y312" s="335">
        <f>IF(X312=1,COUNTIF($X$100:X312,1),0)</f>
        <v>0</v>
      </c>
      <c r="Z312" s="348">
        <f t="shared" si="40"/>
        <v>0</v>
      </c>
    </row>
    <row r="313" spans="1:26" ht="16" hidden="1" outlineLevel="1">
      <c r="A313" s="335" t="str">
        <f t="shared" si="41"/>
        <v/>
      </c>
      <c r="B313" s="335" t="str">
        <f>IF(F313="","",IFERROR(INDEX(RAW!$F:$F,MAX(2,F313)),""))</f>
        <v/>
      </c>
      <c r="C313" s="344"/>
      <c r="D313" s="346" t="str">
        <f>IF(F313="","",IFERROR(INDEX(RAW!$A:$A,MAX(2,F313)),""))</f>
        <v/>
      </c>
      <c r="E313" s="347" t="str">
        <f>IF(F313="","",IFERROR(INDEX(RAW!$K:$K,MAX(2,F313)),0))</f>
        <v/>
      </c>
      <c r="F313" s="344"/>
      <c r="G313" s="335" t="s">
        <v>2476</v>
      </c>
      <c r="O313" s="333" t="str">
        <f t="shared" si="35"/>
        <v/>
      </c>
      <c r="R313" s="335" t="str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  <v/>
      </c>
      <c r="S313" s="335">
        <f t="shared" si="36"/>
        <v>0</v>
      </c>
      <c r="T313" s="348">
        <f t="shared" si="37"/>
        <v>0</v>
      </c>
      <c r="U313" s="348">
        <f t="shared" si="38"/>
        <v>0</v>
      </c>
      <c r="V313" s="348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348">
        <f>IF(V313&gt;0,ROUNDUP(INDEX(RAW!$K:$K,MAX(2,F313))/1000,0)*1000-ROUNDUP((INDEX(RAW!$K:$K,MAX(2,F313))-V313)/1000,0)*1000,0)</f>
        <v>0</v>
      </c>
      <c r="X313" s="335">
        <f t="shared" si="39"/>
        <v>0</v>
      </c>
      <c r="Y313" s="335">
        <f>IF(X313=1,COUNTIF($X$100:X313,1),0)</f>
        <v>0</v>
      </c>
      <c r="Z313" s="348">
        <f t="shared" si="40"/>
        <v>0</v>
      </c>
    </row>
    <row r="314" spans="1:26" ht="16" hidden="1" outlineLevel="1">
      <c r="A314" s="335" t="str">
        <f t="shared" si="41"/>
        <v/>
      </c>
      <c r="B314" s="335" t="str">
        <f>IF(F314="","",IFERROR(INDEX(RAW!$F:$F,MAX(2,F314)),""))</f>
        <v/>
      </c>
      <c r="C314" s="344"/>
      <c r="D314" s="346" t="str">
        <f>IF(F314="","",IFERROR(INDEX(RAW!$A:$A,MAX(2,F314)),""))</f>
        <v/>
      </c>
      <c r="E314" s="347" t="str">
        <f>IF(F314="","",IFERROR(INDEX(RAW!$K:$K,MAX(2,F314)),0))</f>
        <v/>
      </c>
      <c r="F314" s="344"/>
      <c r="G314" s="335" t="s">
        <v>2476</v>
      </c>
      <c r="O314" s="333" t="str">
        <f t="shared" si="35"/>
        <v/>
      </c>
      <c r="R314" s="335" t="str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  <v/>
      </c>
      <c r="S314" s="335">
        <f t="shared" si="36"/>
        <v>0</v>
      </c>
      <c r="T314" s="348">
        <f t="shared" si="37"/>
        <v>0</v>
      </c>
      <c r="U314" s="348">
        <f t="shared" si="38"/>
        <v>0</v>
      </c>
      <c r="V314" s="348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348">
        <f>IF(V314&gt;0,ROUNDUP(INDEX(RAW!$K:$K,MAX(2,F314))/1000,0)*1000-ROUNDUP((INDEX(RAW!$K:$K,MAX(2,F314))-V314)/1000,0)*1000,0)</f>
        <v>0</v>
      </c>
      <c r="X314" s="335">
        <f t="shared" si="39"/>
        <v>0</v>
      </c>
      <c r="Y314" s="335">
        <f>IF(X314=1,COUNTIF($X$100:X314,1),0)</f>
        <v>0</v>
      </c>
      <c r="Z314" s="348">
        <f t="shared" si="40"/>
        <v>0</v>
      </c>
    </row>
    <row r="315" spans="1:26" ht="16" hidden="1" outlineLevel="1">
      <c r="A315" s="335" t="str">
        <f t="shared" si="41"/>
        <v/>
      </c>
      <c r="B315" s="335" t="str">
        <f>IF(F315="","",IFERROR(INDEX(RAW!$F:$F,MAX(2,F315)),""))</f>
        <v/>
      </c>
      <c r="C315" s="344"/>
      <c r="D315" s="346" t="str">
        <f>IF(F315="","",IFERROR(INDEX(RAW!$A:$A,MAX(2,F315)),""))</f>
        <v/>
      </c>
      <c r="E315" s="347" t="str">
        <f>IF(F315="","",IFERROR(INDEX(RAW!$K:$K,MAX(2,F315)),0))</f>
        <v/>
      </c>
      <c r="F315" s="344"/>
      <c r="G315" s="335" t="s">
        <v>2476</v>
      </c>
      <c r="O315" s="333" t="str">
        <f t="shared" si="35"/>
        <v/>
      </c>
      <c r="R315" s="335" t="str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  <v/>
      </c>
      <c r="S315" s="335">
        <f t="shared" si="36"/>
        <v>0</v>
      </c>
      <c r="T315" s="348">
        <f t="shared" si="37"/>
        <v>0</v>
      </c>
      <c r="U315" s="348">
        <f t="shared" si="38"/>
        <v>0</v>
      </c>
      <c r="V315" s="348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348">
        <f>IF(V315&gt;0,ROUNDUP(INDEX(RAW!$K:$K,MAX(2,F315))/1000,0)*1000-ROUNDUP((INDEX(RAW!$K:$K,MAX(2,F315))-V315)/1000,0)*1000,0)</f>
        <v>0</v>
      </c>
      <c r="X315" s="335">
        <f t="shared" si="39"/>
        <v>0</v>
      </c>
      <c r="Y315" s="335">
        <f>IF(X315=1,COUNTIF($X$100:X315,1),0)</f>
        <v>0</v>
      </c>
      <c r="Z315" s="348">
        <f t="shared" si="40"/>
        <v>0</v>
      </c>
    </row>
    <row r="316" spans="1:26" ht="16" hidden="1" outlineLevel="1">
      <c r="A316" s="335" t="str">
        <f t="shared" si="41"/>
        <v/>
      </c>
      <c r="B316" s="335" t="str">
        <f>IF(F316="","",IFERROR(INDEX(RAW!$F:$F,MAX(2,F316)),""))</f>
        <v/>
      </c>
      <c r="C316" s="344"/>
      <c r="D316" s="346" t="str">
        <f>IF(F316="","",IFERROR(INDEX(RAW!$A:$A,MAX(2,F316)),""))</f>
        <v/>
      </c>
      <c r="E316" s="347" t="str">
        <f>IF(F316="","",IFERROR(INDEX(RAW!$K:$K,MAX(2,F316)),0))</f>
        <v/>
      </c>
      <c r="F316" s="344"/>
      <c r="G316" s="335" t="s">
        <v>2476</v>
      </c>
      <c r="O316" s="333" t="str">
        <f t="shared" si="35"/>
        <v/>
      </c>
      <c r="R316" s="335" t="str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  <v/>
      </c>
      <c r="S316" s="335">
        <f t="shared" si="36"/>
        <v>0</v>
      </c>
      <c r="T316" s="348">
        <f t="shared" si="37"/>
        <v>0</v>
      </c>
      <c r="U316" s="348">
        <f t="shared" si="38"/>
        <v>0</v>
      </c>
      <c r="V316" s="348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348">
        <f>IF(V316&gt;0,ROUNDUP(INDEX(RAW!$K:$K,MAX(2,F316))/1000,0)*1000-ROUNDUP((INDEX(RAW!$K:$K,MAX(2,F316))-V316)/1000,0)*1000,0)</f>
        <v>0</v>
      </c>
      <c r="X316" s="335">
        <f t="shared" si="39"/>
        <v>0</v>
      </c>
      <c r="Y316" s="335">
        <f>IF(X316=1,COUNTIF($X$100:X316,1),0)</f>
        <v>0</v>
      </c>
      <c r="Z316" s="348">
        <f t="shared" si="40"/>
        <v>0</v>
      </c>
    </row>
    <row r="317" spans="1:26" ht="16" hidden="1" outlineLevel="1">
      <c r="A317" s="335" t="str">
        <f t="shared" si="41"/>
        <v/>
      </c>
      <c r="B317" s="335" t="str">
        <f>IF(F317="","",IFERROR(INDEX(RAW!$F:$F,MAX(2,F317)),""))</f>
        <v/>
      </c>
      <c r="C317" s="344"/>
      <c r="D317" s="346" t="str">
        <f>IF(F317="","",IFERROR(INDEX(RAW!$A:$A,MAX(2,F317)),""))</f>
        <v/>
      </c>
      <c r="E317" s="347" t="str">
        <f>IF(F317="","",IFERROR(INDEX(RAW!$K:$K,MAX(2,F317)),0))</f>
        <v/>
      </c>
      <c r="F317" s="344"/>
      <c r="G317" s="335" t="s">
        <v>2476</v>
      </c>
      <c r="O317" s="333" t="str">
        <f t="shared" si="35"/>
        <v/>
      </c>
      <c r="R317" s="335" t="str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  <v/>
      </c>
      <c r="S317" s="335">
        <f t="shared" si="36"/>
        <v>0</v>
      </c>
      <c r="T317" s="348">
        <f t="shared" si="37"/>
        <v>0</v>
      </c>
      <c r="U317" s="348">
        <f t="shared" si="38"/>
        <v>0</v>
      </c>
      <c r="V317" s="348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348">
        <f>IF(V317&gt;0,ROUNDUP(INDEX(RAW!$K:$K,MAX(2,F317))/1000,0)*1000-ROUNDUP((INDEX(RAW!$K:$K,MAX(2,F317))-V317)/1000,0)*1000,0)</f>
        <v>0</v>
      </c>
      <c r="X317" s="335">
        <f t="shared" si="39"/>
        <v>0</v>
      </c>
      <c r="Y317" s="335">
        <f>IF(X317=1,COUNTIF($X$100:X317,1),0)</f>
        <v>0</v>
      </c>
      <c r="Z317" s="348">
        <f t="shared" si="40"/>
        <v>0</v>
      </c>
    </row>
    <row r="318" spans="1:26" ht="16" hidden="1" outlineLevel="1">
      <c r="A318" s="335" t="str">
        <f t="shared" si="41"/>
        <v/>
      </c>
      <c r="B318" s="335" t="str">
        <f>IF(F318="","",IFERROR(INDEX(RAW!$F:$F,MAX(2,F318)),""))</f>
        <v/>
      </c>
      <c r="C318" s="344"/>
      <c r="D318" s="346" t="str">
        <f>IF(F318="","",IFERROR(INDEX(RAW!$A:$A,MAX(2,F318)),""))</f>
        <v/>
      </c>
      <c r="E318" s="347" t="str">
        <f>IF(F318="","",IFERROR(INDEX(RAW!$K:$K,MAX(2,F318)),0))</f>
        <v/>
      </c>
      <c r="F318" s="344"/>
      <c r="G318" s="335" t="s">
        <v>2476</v>
      </c>
      <c r="O318" s="333" t="str">
        <f t="shared" si="35"/>
        <v/>
      </c>
      <c r="R318" s="335" t="str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  <v/>
      </c>
      <c r="S318" s="335">
        <f t="shared" si="36"/>
        <v>0</v>
      </c>
      <c r="T318" s="348">
        <f t="shared" si="37"/>
        <v>0</v>
      </c>
      <c r="U318" s="348">
        <f t="shared" si="38"/>
        <v>0</v>
      </c>
      <c r="V318" s="348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348">
        <f>IF(V318&gt;0,ROUNDUP(INDEX(RAW!$K:$K,MAX(2,F318))/1000,0)*1000-ROUNDUP((INDEX(RAW!$K:$K,MAX(2,F318))-V318)/1000,0)*1000,0)</f>
        <v>0</v>
      </c>
      <c r="X318" s="335">
        <f t="shared" si="39"/>
        <v>0</v>
      </c>
      <c r="Y318" s="335">
        <f>IF(X318=1,COUNTIF($X$100:X318,1),0)</f>
        <v>0</v>
      </c>
      <c r="Z318" s="348">
        <f t="shared" si="40"/>
        <v>0</v>
      </c>
    </row>
    <row r="319" spans="1:26" ht="16" hidden="1" outlineLevel="1">
      <c r="A319" s="335" t="str">
        <f t="shared" si="41"/>
        <v/>
      </c>
      <c r="B319" s="335" t="str">
        <f>IF(F319="","",IFERROR(INDEX(RAW!$F:$F,MAX(2,F319)),""))</f>
        <v/>
      </c>
      <c r="C319" s="344"/>
      <c r="D319" s="346" t="str">
        <f>IF(F319="","",IFERROR(INDEX(RAW!$A:$A,MAX(2,F319)),""))</f>
        <v/>
      </c>
      <c r="E319" s="347" t="str">
        <f>IF(F319="","",IFERROR(INDEX(RAW!$K:$K,MAX(2,F319)),0))</f>
        <v/>
      </c>
      <c r="F319" s="344"/>
      <c r="G319" s="335" t="s">
        <v>2476</v>
      </c>
      <c r="O319" s="333" t="str">
        <f t="shared" si="35"/>
        <v/>
      </c>
      <c r="R319" s="335" t="str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  <v/>
      </c>
      <c r="S319" s="335">
        <f t="shared" si="36"/>
        <v>0</v>
      </c>
      <c r="T319" s="348">
        <f t="shared" si="37"/>
        <v>0</v>
      </c>
      <c r="U319" s="348">
        <f t="shared" si="38"/>
        <v>0</v>
      </c>
      <c r="V319" s="348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348">
        <f>IF(V319&gt;0,ROUNDUP(INDEX(RAW!$K:$K,MAX(2,F319))/1000,0)*1000-ROUNDUP((INDEX(RAW!$K:$K,MAX(2,F319))-V319)/1000,0)*1000,0)</f>
        <v>0</v>
      </c>
      <c r="X319" s="335">
        <f t="shared" si="39"/>
        <v>0</v>
      </c>
      <c r="Y319" s="335">
        <f>IF(X319=1,COUNTIF($X$100:X319,1),0)</f>
        <v>0</v>
      </c>
      <c r="Z319" s="348">
        <f t="shared" si="40"/>
        <v>0</v>
      </c>
    </row>
    <row r="320" spans="1:26" ht="16" hidden="1" outlineLevel="1">
      <c r="A320" s="335" t="str">
        <f t="shared" si="41"/>
        <v/>
      </c>
      <c r="B320" s="335" t="str">
        <f>IF(F320="","",IFERROR(INDEX(RAW!$F:$F,MAX(2,F320)),""))</f>
        <v/>
      </c>
      <c r="C320" s="344"/>
      <c r="D320" s="346" t="str">
        <f>IF(F320="","",IFERROR(INDEX(RAW!$A:$A,MAX(2,F320)),""))</f>
        <v/>
      </c>
      <c r="E320" s="347" t="str">
        <f>IF(F320="","",IFERROR(INDEX(RAW!$K:$K,MAX(2,F320)),0))</f>
        <v/>
      </c>
      <c r="F320" s="344"/>
      <c r="G320" s="335" t="s">
        <v>2476</v>
      </c>
      <c r="O320" s="333" t="str">
        <f t="shared" si="35"/>
        <v/>
      </c>
      <c r="R320" s="335" t="str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  <v/>
      </c>
      <c r="S320" s="335">
        <f t="shared" si="36"/>
        <v>0</v>
      </c>
      <c r="T320" s="348">
        <f t="shared" si="37"/>
        <v>0</v>
      </c>
      <c r="U320" s="348">
        <f t="shared" si="38"/>
        <v>0</v>
      </c>
      <c r="V320" s="348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348">
        <f>IF(V320&gt;0,ROUNDUP(INDEX(RAW!$K:$K,MAX(2,F320))/1000,0)*1000-ROUNDUP((INDEX(RAW!$K:$K,MAX(2,F320))-V320)/1000,0)*1000,0)</f>
        <v>0</v>
      </c>
      <c r="X320" s="335">
        <f t="shared" si="39"/>
        <v>0</v>
      </c>
      <c r="Y320" s="335">
        <f>IF(X320=1,COUNTIF($X$100:X320,1),0)</f>
        <v>0</v>
      </c>
      <c r="Z320" s="348">
        <f t="shared" si="40"/>
        <v>0</v>
      </c>
    </row>
    <row r="321" spans="1:26" ht="16" hidden="1" outlineLevel="1">
      <c r="A321" s="335" t="str">
        <f t="shared" si="41"/>
        <v/>
      </c>
      <c r="B321" s="335" t="str">
        <f>IF(F321="","",IFERROR(INDEX(RAW!$F:$F,MAX(2,F321)),""))</f>
        <v/>
      </c>
      <c r="C321" s="344"/>
      <c r="D321" s="346" t="str">
        <f>IF(F321="","",IFERROR(INDEX(RAW!$A:$A,MAX(2,F321)),""))</f>
        <v/>
      </c>
      <c r="E321" s="347" t="str">
        <f>IF(F321="","",IFERROR(INDEX(RAW!$K:$K,MAX(2,F321)),0))</f>
        <v/>
      </c>
      <c r="F321" s="344"/>
      <c r="G321" s="335" t="s">
        <v>2476</v>
      </c>
      <c r="O321" s="333" t="str">
        <f t="shared" si="35"/>
        <v/>
      </c>
      <c r="R321" s="335" t="str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  <v/>
      </c>
      <c r="S321" s="335">
        <f t="shared" si="36"/>
        <v>0</v>
      </c>
      <c r="T321" s="348">
        <f t="shared" si="37"/>
        <v>0</v>
      </c>
      <c r="U321" s="348">
        <f t="shared" si="38"/>
        <v>0</v>
      </c>
      <c r="V321" s="348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348">
        <f>IF(V321&gt;0,ROUNDUP(INDEX(RAW!$K:$K,MAX(2,F321))/1000,0)*1000-ROUNDUP((INDEX(RAW!$K:$K,MAX(2,F321))-V321)/1000,0)*1000,0)</f>
        <v>0</v>
      </c>
      <c r="X321" s="335">
        <f t="shared" si="39"/>
        <v>0</v>
      </c>
      <c r="Y321" s="335">
        <f>IF(X321=1,COUNTIF($X$100:X321,1),0)</f>
        <v>0</v>
      </c>
      <c r="Z321" s="348">
        <f t="shared" si="40"/>
        <v>0</v>
      </c>
    </row>
    <row r="322" spans="1:26" ht="16" hidden="1" outlineLevel="1">
      <c r="A322" s="335" t="str">
        <f t="shared" si="41"/>
        <v/>
      </c>
      <c r="B322" s="335" t="str">
        <f>IF(F322="","",IFERROR(INDEX(RAW!$F:$F,MAX(2,F322)),""))</f>
        <v/>
      </c>
      <c r="C322" s="344"/>
      <c r="D322" s="346" t="str">
        <f>IF(F322="","",IFERROR(INDEX(RAW!$A:$A,MAX(2,F322)),""))</f>
        <v/>
      </c>
      <c r="E322" s="347" t="str">
        <f>IF(F322="","",IFERROR(INDEX(RAW!$K:$K,MAX(2,F322)),0))</f>
        <v/>
      </c>
      <c r="F322" s="344"/>
      <c r="G322" s="335" t="s">
        <v>2476</v>
      </c>
      <c r="O322" s="333" t="str">
        <f t="shared" si="35"/>
        <v/>
      </c>
      <c r="R322" s="335" t="str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  <v/>
      </c>
      <c r="S322" s="335">
        <f t="shared" si="36"/>
        <v>0</v>
      </c>
      <c r="T322" s="348">
        <f t="shared" si="37"/>
        <v>0</v>
      </c>
      <c r="U322" s="348">
        <f t="shared" si="38"/>
        <v>0</v>
      </c>
      <c r="V322" s="348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348">
        <f>IF(V322&gt;0,ROUNDUP(INDEX(RAW!$K:$K,MAX(2,F322))/1000,0)*1000-ROUNDUP((INDEX(RAW!$K:$K,MAX(2,F322))-V322)/1000,0)*1000,0)</f>
        <v>0</v>
      </c>
      <c r="X322" s="335">
        <f t="shared" si="39"/>
        <v>0</v>
      </c>
      <c r="Y322" s="335">
        <f>IF(X322=1,COUNTIF($X$100:X322,1),0)</f>
        <v>0</v>
      </c>
      <c r="Z322" s="348">
        <f t="shared" si="40"/>
        <v>0</v>
      </c>
    </row>
    <row r="323" spans="1:26" ht="16" hidden="1" outlineLevel="1">
      <c r="A323" s="335" t="str">
        <f t="shared" si="41"/>
        <v/>
      </c>
      <c r="B323" s="335" t="str">
        <f>IF(F323="","",IFERROR(INDEX(RAW!$F:$F,MAX(2,F323)),""))</f>
        <v/>
      </c>
      <c r="C323" s="344"/>
      <c r="D323" s="346" t="str">
        <f>IF(F323="","",IFERROR(INDEX(RAW!$A:$A,MAX(2,F323)),""))</f>
        <v/>
      </c>
      <c r="E323" s="347" t="str">
        <f>IF(F323="","",IFERROR(INDEX(RAW!$K:$K,MAX(2,F323)),0))</f>
        <v/>
      </c>
      <c r="F323" s="344"/>
      <c r="G323" s="335" t="s">
        <v>2476</v>
      </c>
      <c r="O323" s="333" t="str">
        <f t="shared" si="35"/>
        <v/>
      </c>
      <c r="R323" s="335" t="str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  <v/>
      </c>
      <c r="S323" s="335">
        <f t="shared" si="36"/>
        <v>0</v>
      </c>
      <c r="T323" s="348">
        <f t="shared" si="37"/>
        <v>0</v>
      </c>
      <c r="U323" s="348">
        <f t="shared" si="38"/>
        <v>0</v>
      </c>
      <c r="V323" s="348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348">
        <f>IF(V323&gt;0,ROUNDUP(INDEX(RAW!$K:$K,MAX(2,F323))/1000,0)*1000-ROUNDUP((INDEX(RAW!$K:$K,MAX(2,F323))-V323)/1000,0)*1000,0)</f>
        <v>0</v>
      </c>
      <c r="X323" s="335">
        <f t="shared" si="39"/>
        <v>0</v>
      </c>
      <c r="Y323" s="335">
        <f>IF(X323=1,COUNTIF($X$100:X323,1),0)</f>
        <v>0</v>
      </c>
      <c r="Z323" s="348">
        <f t="shared" si="40"/>
        <v>0</v>
      </c>
    </row>
    <row r="324" spans="1:26" ht="16" hidden="1" outlineLevel="1">
      <c r="A324" s="335" t="str">
        <f t="shared" si="41"/>
        <v/>
      </c>
      <c r="B324" s="335" t="str">
        <f>IF(F324="","",IFERROR(INDEX(RAW!$F:$F,MAX(2,F324)),""))</f>
        <v/>
      </c>
      <c r="C324" s="344"/>
      <c r="D324" s="346" t="str">
        <f>IF(F324="","",IFERROR(INDEX(RAW!$A:$A,MAX(2,F324)),""))</f>
        <v/>
      </c>
      <c r="E324" s="347" t="str">
        <f>IF(F324="","",IFERROR(INDEX(RAW!$K:$K,MAX(2,F324)),0))</f>
        <v/>
      </c>
      <c r="F324" s="344"/>
      <c r="G324" s="335" t="s">
        <v>2476</v>
      </c>
      <c r="O324" s="333" t="str">
        <f t="shared" si="35"/>
        <v/>
      </c>
      <c r="R324" s="335" t="str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  <v/>
      </c>
      <c r="S324" s="335">
        <f t="shared" si="36"/>
        <v>0</v>
      </c>
      <c r="T324" s="348">
        <f t="shared" si="37"/>
        <v>0</v>
      </c>
      <c r="U324" s="348">
        <f t="shared" si="38"/>
        <v>0</v>
      </c>
      <c r="V324" s="348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348">
        <f>IF(V324&gt;0,ROUNDUP(INDEX(RAW!$K:$K,MAX(2,F324))/1000,0)*1000-ROUNDUP((INDEX(RAW!$K:$K,MAX(2,F324))-V324)/1000,0)*1000,0)</f>
        <v>0</v>
      </c>
      <c r="X324" s="335">
        <f t="shared" si="39"/>
        <v>0</v>
      </c>
      <c r="Y324" s="335">
        <f>IF(X324=1,COUNTIF($X$100:X324,1),0)</f>
        <v>0</v>
      </c>
      <c r="Z324" s="348">
        <f t="shared" si="40"/>
        <v>0</v>
      </c>
    </row>
    <row r="325" spans="1:26" ht="16" hidden="1" outlineLevel="1">
      <c r="A325" s="335" t="str">
        <f t="shared" si="41"/>
        <v/>
      </c>
      <c r="B325" s="335" t="str">
        <f>IF(F325="","",IFERROR(INDEX(RAW!$F:$F,MAX(2,F325)),""))</f>
        <v/>
      </c>
      <c r="C325" s="344"/>
      <c r="D325" s="346" t="str">
        <f>IF(F325="","",IFERROR(INDEX(RAW!$A:$A,MAX(2,F325)),""))</f>
        <v/>
      </c>
      <c r="E325" s="347" t="str">
        <f>IF(F325="","",IFERROR(INDEX(RAW!$K:$K,MAX(2,F325)),0))</f>
        <v/>
      </c>
      <c r="F325" s="344"/>
      <c r="G325" s="335" t="s">
        <v>2476</v>
      </c>
      <c r="O325" s="333" t="str">
        <f t="shared" si="35"/>
        <v/>
      </c>
      <c r="R325" s="335" t="str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  <v/>
      </c>
      <c r="S325" s="335">
        <f t="shared" si="36"/>
        <v>0</v>
      </c>
      <c r="T325" s="348">
        <f t="shared" si="37"/>
        <v>0</v>
      </c>
      <c r="U325" s="348">
        <f t="shared" si="38"/>
        <v>0</v>
      </c>
      <c r="V325" s="348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348">
        <f>IF(V325&gt;0,ROUNDUP(INDEX(RAW!$K:$K,MAX(2,F325))/1000,0)*1000-ROUNDUP((INDEX(RAW!$K:$K,MAX(2,F325))-V325)/1000,0)*1000,0)</f>
        <v>0</v>
      </c>
      <c r="X325" s="335">
        <f t="shared" si="39"/>
        <v>0</v>
      </c>
      <c r="Y325" s="335">
        <f>IF(X325=1,COUNTIF($X$100:X325,1),0)</f>
        <v>0</v>
      </c>
      <c r="Z325" s="348">
        <f t="shared" si="40"/>
        <v>0</v>
      </c>
    </row>
    <row r="326" spans="1:26" ht="16" hidden="1" outlineLevel="1">
      <c r="A326" s="335" t="str">
        <f t="shared" si="41"/>
        <v/>
      </c>
      <c r="B326" s="335" t="str">
        <f>IF(F326="","",IFERROR(INDEX(RAW!$F:$F,MAX(2,F326)),""))</f>
        <v/>
      </c>
      <c r="C326" s="344"/>
      <c r="D326" s="346" t="str">
        <f>IF(F326="","",IFERROR(INDEX(RAW!$A:$A,MAX(2,F326)),""))</f>
        <v/>
      </c>
      <c r="E326" s="347" t="str">
        <f>IF(F326="","",IFERROR(INDEX(RAW!$K:$K,MAX(2,F326)),0))</f>
        <v/>
      </c>
      <c r="F326" s="344"/>
      <c r="G326" s="335" t="s">
        <v>2476</v>
      </c>
      <c r="O326" s="333" t="str">
        <f t="shared" si="35"/>
        <v/>
      </c>
      <c r="R326" s="335" t="str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  <v/>
      </c>
      <c r="S326" s="335">
        <f t="shared" si="36"/>
        <v>0</v>
      </c>
      <c r="T326" s="348">
        <f t="shared" si="37"/>
        <v>0</v>
      </c>
      <c r="U326" s="348">
        <f t="shared" si="38"/>
        <v>0</v>
      </c>
      <c r="V326" s="348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348">
        <f>IF(V326&gt;0,ROUNDUP(INDEX(RAW!$K:$K,MAX(2,F326))/1000,0)*1000-ROUNDUP((INDEX(RAW!$K:$K,MAX(2,F326))-V326)/1000,0)*1000,0)</f>
        <v>0</v>
      </c>
      <c r="X326" s="335">
        <f t="shared" si="39"/>
        <v>0</v>
      </c>
      <c r="Y326" s="335">
        <f>IF(X326=1,COUNTIF($X$100:X326,1),0)</f>
        <v>0</v>
      </c>
      <c r="Z326" s="348">
        <f t="shared" si="40"/>
        <v>0</v>
      </c>
    </row>
    <row r="327" spans="1:26" ht="16" hidden="1" outlineLevel="1">
      <c r="A327" s="335" t="str">
        <f t="shared" si="41"/>
        <v/>
      </c>
      <c r="B327" s="335" t="str">
        <f>IF(F327="","",IFERROR(INDEX(RAW!$F:$F,MAX(2,F327)),""))</f>
        <v/>
      </c>
      <c r="C327" s="344"/>
      <c r="D327" s="346" t="str">
        <f>IF(F327="","",IFERROR(INDEX(RAW!$A:$A,MAX(2,F327)),""))</f>
        <v/>
      </c>
      <c r="E327" s="347" t="str">
        <f>IF(F327="","",IFERROR(INDEX(RAW!$K:$K,MAX(2,F327)),0))</f>
        <v/>
      </c>
      <c r="F327" s="344"/>
      <c r="G327" s="335" t="s">
        <v>2476</v>
      </c>
      <c r="O327" s="333" t="str">
        <f t="shared" si="35"/>
        <v/>
      </c>
      <c r="R327" s="335" t="str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  <v/>
      </c>
      <c r="S327" s="335">
        <f t="shared" si="36"/>
        <v>0</v>
      </c>
      <c r="T327" s="348">
        <f t="shared" si="37"/>
        <v>0</v>
      </c>
      <c r="U327" s="348">
        <f t="shared" si="38"/>
        <v>0</v>
      </c>
      <c r="V327" s="348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348">
        <f>IF(V327&gt;0,ROUNDUP(INDEX(RAW!$K:$K,MAX(2,F327))/1000,0)*1000-ROUNDUP((INDEX(RAW!$K:$K,MAX(2,F327))-V327)/1000,0)*1000,0)</f>
        <v>0</v>
      </c>
      <c r="X327" s="335">
        <f t="shared" si="39"/>
        <v>0</v>
      </c>
      <c r="Y327" s="335">
        <f>IF(X327=1,COUNTIF($X$100:X327,1),0)</f>
        <v>0</v>
      </c>
      <c r="Z327" s="348">
        <f t="shared" si="40"/>
        <v>0</v>
      </c>
    </row>
    <row r="328" spans="1:26" ht="16" hidden="1" outlineLevel="1">
      <c r="A328" s="335" t="str">
        <f t="shared" si="41"/>
        <v/>
      </c>
      <c r="B328" s="335" t="str">
        <f>IF(F328="","",IFERROR(INDEX(RAW!$F:$F,MAX(2,F328)),""))</f>
        <v/>
      </c>
      <c r="C328" s="344"/>
      <c r="D328" s="346" t="str">
        <f>IF(F328="","",IFERROR(INDEX(RAW!$A:$A,MAX(2,F328)),""))</f>
        <v/>
      </c>
      <c r="E328" s="347" t="str">
        <f>IF(F328="","",IFERROR(INDEX(RAW!$K:$K,MAX(2,F328)),0))</f>
        <v/>
      </c>
      <c r="F328" s="344"/>
      <c r="G328" s="335" t="s">
        <v>2476</v>
      </c>
      <c r="O328" s="333" t="str">
        <f t="shared" si="35"/>
        <v/>
      </c>
      <c r="R328" s="335" t="str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  <v/>
      </c>
      <c r="S328" s="335">
        <f t="shared" si="36"/>
        <v>0</v>
      </c>
      <c r="T328" s="348">
        <f t="shared" si="37"/>
        <v>0</v>
      </c>
      <c r="U328" s="348">
        <f t="shared" si="38"/>
        <v>0</v>
      </c>
      <c r="V328" s="348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348">
        <f>IF(V328&gt;0,ROUNDUP(INDEX(RAW!$K:$K,MAX(2,F328))/1000,0)*1000-ROUNDUP((INDEX(RAW!$K:$K,MAX(2,F328))-V328)/1000,0)*1000,0)</f>
        <v>0</v>
      </c>
      <c r="X328" s="335">
        <f t="shared" si="39"/>
        <v>0</v>
      </c>
      <c r="Y328" s="335">
        <f>IF(X328=1,COUNTIF($X$100:X328,1),0)</f>
        <v>0</v>
      </c>
      <c r="Z328" s="348">
        <f t="shared" si="40"/>
        <v>0</v>
      </c>
    </row>
    <row r="329" spans="1:26" ht="16" hidden="1" outlineLevel="1">
      <c r="A329" s="335" t="str">
        <f t="shared" si="41"/>
        <v/>
      </c>
      <c r="B329" s="335" t="str">
        <f>IF(F329="","",IFERROR(INDEX(RAW!$F:$F,MAX(2,F329)),""))</f>
        <v/>
      </c>
      <c r="C329" s="344"/>
      <c r="D329" s="346" t="str">
        <f>IF(F329="","",IFERROR(INDEX(RAW!$A:$A,MAX(2,F329)),""))</f>
        <v/>
      </c>
      <c r="E329" s="347" t="str">
        <f>IF(F329="","",IFERROR(INDEX(RAW!$K:$K,MAX(2,F329)),0))</f>
        <v/>
      </c>
      <c r="F329" s="344"/>
      <c r="G329" s="335" t="s">
        <v>2476</v>
      </c>
      <c r="O329" s="333" t="str">
        <f t="shared" si="35"/>
        <v/>
      </c>
      <c r="R329" s="335" t="str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  <v/>
      </c>
      <c r="S329" s="335">
        <f t="shared" si="36"/>
        <v>0</v>
      </c>
      <c r="T329" s="348">
        <f t="shared" si="37"/>
        <v>0</v>
      </c>
      <c r="U329" s="348">
        <f t="shared" si="38"/>
        <v>0</v>
      </c>
      <c r="V329" s="348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348">
        <f>IF(V329&gt;0,ROUNDUP(INDEX(RAW!$K:$K,MAX(2,F329))/1000,0)*1000-ROUNDUP((INDEX(RAW!$K:$K,MAX(2,F329))-V329)/1000,0)*1000,0)</f>
        <v>0</v>
      </c>
      <c r="X329" s="335">
        <f t="shared" si="39"/>
        <v>0</v>
      </c>
      <c r="Y329" s="335">
        <f>IF(X329=1,COUNTIF($X$100:X329,1),0)</f>
        <v>0</v>
      </c>
      <c r="Z329" s="348">
        <f t="shared" si="40"/>
        <v>0</v>
      </c>
    </row>
    <row r="330" spans="1:26" ht="16" hidden="1" outlineLevel="1">
      <c r="A330" s="335" t="str">
        <f t="shared" si="41"/>
        <v/>
      </c>
      <c r="B330" s="335" t="str">
        <f>IF(F330="","",IFERROR(INDEX(RAW!$F:$F,MAX(2,F330)),""))</f>
        <v/>
      </c>
      <c r="C330" s="344"/>
      <c r="D330" s="346" t="str">
        <f>IF(F330="","",IFERROR(INDEX(RAW!$A:$A,MAX(2,F330)),""))</f>
        <v/>
      </c>
      <c r="E330" s="347" t="str">
        <f>IF(F330="","",IFERROR(INDEX(RAW!$K:$K,MAX(2,F330)),0))</f>
        <v/>
      </c>
      <c r="F330" s="344"/>
      <c r="G330" s="335" t="s">
        <v>2476</v>
      </c>
      <c r="O330" s="333" t="str">
        <f t="shared" si="35"/>
        <v/>
      </c>
      <c r="R330" s="335" t="str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  <v/>
      </c>
      <c r="S330" s="335">
        <f t="shared" si="36"/>
        <v>0</v>
      </c>
      <c r="T330" s="348">
        <f t="shared" si="37"/>
        <v>0</v>
      </c>
      <c r="U330" s="348">
        <f t="shared" si="38"/>
        <v>0</v>
      </c>
      <c r="V330" s="348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348">
        <f>IF(V330&gt;0,ROUNDUP(INDEX(RAW!$K:$K,MAX(2,F330))/1000,0)*1000-ROUNDUP((INDEX(RAW!$K:$K,MAX(2,F330))-V330)/1000,0)*1000,0)</f>
        <v>0</v>
      </c>
      <c r="X330" s="335">
        <f t="shared" si="39"/>
        <v>0</v>
      </c>
      <c r="Y330" s="335">
        <f>IF(X330=1,COUNTIF($X$100:X330,1),0)</f>
        <v>0</v>
      </c>
      <c r="Z330" s="348">
        <f t="shared" si="40"/>
        <v>0</v>
      </c>
    </row>
    <row r="331" spans="1:26" ht="16" hidden="1" outlineLevel="1">
      <c r="A331" s="335" t="str">
        <f t="shared" si="41"/>
        <v/>
      </c>
      <c r="B331" s="335" t="str">
        <f>IF(F331="","",IFERROR(INDEX(RAW!$F:$F,MAX(2,F331)),""))</f>
        <v/>
      </c>
      <c r="C331" s="344"/>
      <c r="D331" s="346" t="str">
        <f>IF(F331="","",IFERROR(INDEX(RAW!$A:$A,MAX(2,F331)),""))</f>
        <v/>
      </c>
      <c r="E331" s="347" t="str">
        <f>IF(F331="","",IFERROR(INDEX(RAW!$K:$K,MAX(2,F331)),0))</f>
        <v/>
      </c>
      <c r="F331" s="344"/>
      <c r="G331" s="335" t="s">
        <v>2476</v>
      </c>
      <c r="O331" s="333" t="str">
        <f t="shared" si="35"/>
        <v/>
      </c>
      <c r="R331" s="335" t="str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  <v/>
      </c>
      <c r="S331" s="335">
        <f t="shared" si="36"/>
        <v>0</v>
      </c>
      <c r="T331" s="348">
        <f t="shared" si="37"/>
        <v>0</v>
      </c>
      <c r="U331" s="348">
        <f t="shared" si="38"/>
        <v>0</v>
      </c>
      <c r="V331" s="348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348">
        <f>IF(V331&gt;0,ROUNDUP(INDEX(RAW!$K:$K,MAX(2,F331))/1000,0)*1000-ROUNDUP((INDEX(RAW!$K:$K,MAX(2,F331))-V331)/1000,0)*1000,0)</f>
        <v>0</v>
      </c>
      <c r="X331" s="335">
        <f t="shared" si="39"/>
        <v>0</v>
      </c>
      <c r="Y331" s="335">
        <f>IF(X331=1,COUNTIF($X$100:X331,1),0)</f>
        <v>0</v>
      </c>
      <c r="Z331" s="348">
        <f t="shared" si="40"/>
        <v>0</v>
      </c>
    </row>
    <row r="332" spans="1:26" ht="16" hidden="1" outlineLevel="1">
      <c r="A332" s="335" t="str">
        <f t="shared" si="41"/>
        <v/>
      </c>
      <c r="B332" s="335" t="str">
        <f>IF(F332="","",IFERROR(INDEX(RAW!$F:$F,MAX(2,F332)),""))</f>
        <v/>
      </c>
      <c r="C332" s="344"/>
      <c r="D332" s="346" t="str">
        <f>IF(F332="","",IFERROR(INDEX(RAW!$A:$A,MAX(2,F332)),""))</f>
        <v/>
      </c>
      <c r="E332" s="347" t="str">
        <f>IF(F332="","",IFERROR(INDEX(RAW!$K:$K,MAX(2,F332)),0))</f>
        <v/>
      </c>
      <c r="F332" s="344"/>
      <c r="G332" s="335" t="s">
        <v>2476</v>
      </c>
      <c r="O332" s="333" t="str">
        <f t="shared" si="35"/>
        <v/>
      </c>
      <c r="R332" s="335" t="str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  <v/>
      </c>
      <c r="S332" s="335">
        <f t="shared" si="36"/>
        <v>0</v>
      </c>
      <c r="T332" s="348">
        <f t="shared" si="37"/>
        <v>0</v>
      </c>
      <c r="U332" s="348">
        <f t="shared" si="38"/>
        <v>0</v>
      </c>
      <c r="V332" s="348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348">
        <f>IF(V332&gt;0,ROUNDUP(INDEX(RAW!$K:$K,MAX(2,F332))/1000,0)*1000-ROUNDUP((INDEX(RAW!$K:$K,MAX(2,F332))-V332)/1000,0)*1000,0)</f>
        <v>0</v>
      </c>
      <c r="X332" s="335">
        <f t="shared" si="39"/>
        <v>0</v>
      </c>
      <c r="Y332" s="335">
        <f>IF(X332=1,COUNTIF($X$100:X332,1),0)</f>
        <v>0</v>
      </c>
      <c r="Z332" s="348">
        <f t="shared" si="40"/>
        <v>0</v>
      </c>
    </row>
    <row r="333" spans="1:26" ht="16" hidden="1" outlineLevel="1">
      <c r="A333" s="335" t="str">
        <f t="shared" si="41"/>
        <v/>
      </c>
      <c r="B333" s="335" t="str">
        <f>IF(F333="","",IFERROR(INDEX(RAW!$F:$F,MAX(2,F333)),""))</f>
        <v/>
      </c>
      <c r="C333" s="344"/>
      <c r="D333" s="346" t="str">
        <f>IF(F333="","",IFERROR(INDEX(RAW!$A:$A,MAX(2,F333)),""))</f>
        <v/>
      </c>
      <c r="E333" s="347" t="str">
        <f>IF(F333="","",IFERROR(INDEX(RAW!$K:$K,MAX(2,F333)),0))</f>
        <v/>
      </c>
      <c r="F333" s="344"/>
      <c r="G333" s="335" t="s">
        <v>2476</v>
      </c>
      <c r="O333" s="333" t="str">
        <f t="shared" si="35"/>
        <v/>
      </c>
      <c r="R333" s="335" t="str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  <v/>
      </c>
      <c r="S333" s="335">
        <f t="shared" si="36"/>
        <v>0</v>
      </c>
      <c r="T333" s="348">
        <f t="shared" si="37"/>
        <v>0</v>
      </c>
      <c r="U333" s="348">
        <f t="shared" si="38"/>
        <v>0</v>
      </c>
      <c r="V333" s="348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348">
        <f>IF(V333&gt;0,ROUNDUP(INDEX(RAW!$K:$K,MAX(2,F333))/1000,0)*1000-ROUNDUP((INDEX(RAW!$K:$K,MAX(2,F333))-V333)/1000,0)*1000,0)</f>
        <v>0</v>
      </c>
      <c r="X333" s="335">
        <f t="shared" si="39"/>
        <v>0</v>
      </c>
      <c r="Y333" s="335">
        <f>IF(X333=1,COUNTIF($X$100:X333,1),0)</f>
        <v>0</v>
      </c>
      <c r="Z333" s="348">
        <f t="shared" si="40"/>
        <v>0</v>
      </c>
    </row>
    <row r="334" spans="1:26" ht="16" hidden="1" outlineLevel="1">
      <c r="A334" s="335" t="str">
        <f t="shared" si="41"/>
        <v/>
      </c>
      <c r="B334" s="335" t="str">
        <f>IF(F334="","",IFERROR(INDEX(RAW!$F:$F,MAX(2,F334)),""))</f>
        <v/>
      </c>
      <c r="C334" s="344"/>
      <c r="D334" s="346" t="str">
        <f>IF(F334="","",IFERROR(INDEX(RAW!$A:$A,MAX(2,F334)),""))</f>
        <v/>
      </c>
      <c r="E334" s="347" t="str">
        <f>IF(F334="","",IFERROR(INDEX(RAW!$K:$K,MAX(2,F334)),0))</f>
        <v/>
      </c>
      <c r="F334" s="344"/>
      <c r="G334" s="335" t="s">
        <v>2476</v>
      </c>
      <c r="O334" s="333" t="str">
        <f t="shared" si="35"/>
        <v/>
      </c>
      <c r="R334" s="335" t="str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  <v/>
      </c>
      <c r="S334" s="335">
        <f t="shared" si="36"/>
        <v>0</v>
      </c>
      <c r="T334" s="348">
        <f t="shared" si="37"/>
        <v>0</v>
      </c>
      <c r="U334" s="348">
        <f t="shared" si="38"/>
        <v>0</v>
      </c>
      <c r="V334" s="348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348">
        <f>IF(V334&gt;0,ROUNDUP(INDEX(RAW!$K:$K,MAX(2,F334))/1000,0)*1000-ROUNDUP((INDEX(RAW!$K:$K,MAX(2,F334))-V334)/1000,0)*1000,0)</f>
        <v>0</v>
      </c>
      <c r="X334" s="335">
        <f t="shared" si="39"/>
        <v>0</v>
      </c>
      <c r="Y334" s="335">
        <f>IF(X334=1,COUNTIF($X$100:X334,1),0)</f>
        <v>0</v>
      </c>
      <c r="Z334" s="348">
        <f t="shared" si="40"/>
        <v>0</v>
      </c>
    </row>
    <row r="335" spans="1:26" ht="16" hidden="1" outlineLevel="1">
      <c r="A335" s="335" t="str">
        <f t="shared" si="41"/>
        <v/>
      </c>
      <c r="B335" s="335" t="str">
        <f>IF(F335="","",IFERROR(INDEX(RAW!$F:$F,MAX(2,F335)),""))</f>
        <v/>
      </c>
      <c r="C335" s="344"/>
      <c r="D335" s="346" t="str">
        <f>IF(F335="","",IFERROR(INDEX(RAW!$A:$A,MAX(2,F335)),""))</f>
        <v/>
      </c>
      <c r="E335" s="347" t="str">
        <f>IF(F335="","",IFERROR(INDEX(RAW!$K:$K,MAX(2,F335)),0))</f>
        <v/>
      </c>
      <c r="F335" s="344"/>
      <c r="G335" s="335" t="s">
        <v>2476</v>
      </c>
      <c r="O335" s="333" t="str">
        <f t="shared" si="35"/>
        <v/>
      </c>
      <c r="R335" s="335" t="str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  <v/>
      </c>
      <c r="S335" s="335">
        <f t="shared" si="36"/>
        <v>0</v>
      </c>
      <c r="T335" s="348">
        <f t="shared" si="37"/>
        <v>0</v>
      </c>
      <c r="U335" s="348">
        <f t="shared" si="38"/>
        <v>0</v>
      </c>
      <c r="V335" s="348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348">
        <f>IF(V335&gt;0,ROUNDUP(INDEX(RAW!$K:$K,MAX(2,F335))/1000,0)*1000-ROUNDUP((INDEX(RAW!$K:$K,MAX(2,F335))-V335)/1000,0)*1000,0)</f>
        <v>0</v>
      </c>
      <c r="X335" s="335">
        <f t="shared" si="39"/>
        <v>0</v>
      </c>
      <c r="Y335" s="335">
        <f>IF(X335=1,COUNTIF($X$100:X335,1),0)</f>
        <v>0</v>
      </c>
      <c r="Z335" s="348">
        <f t="shared" si="40"/>
        <v>0</v>
      </c>
    </row>
    <row r="336" spans="1:26" ht="16" hidden="1" outlineLevel="1">
      <c r="A336" s="335" t="str">
        <f t="shared" si="41"/>
        <v/>
      </c>
      <c r="B336" s="335" t="str">
        <f>IF(F336="","",IFERROR(INDEX(RAW!$F:$F,MAX(2,F336)),""))</f>
        <v/>
      </c>
      <c r="C336" s="344"/>
      <c r="D336" s="346" t="str">
        <f>IF(F336="","",IFERROR(INDEX(RAW!$A:$A,MAX(2,F336)),""))</f>
        <v/>
      </c>
      <c r="E336" s="347" t="str">
        <f>IF(F336="","",IFERROR(INDEX(RAW!$K:$K,MAX(2,F336)),0))</f>
        <v/>
      </c>
      <c r="F336" s="344"/>
      <c r="G336" s="335" t="s">
        <v>2476</v>
      </c>
      <c r="O336" s="333" t="str">
        <f t="shared" si="35"/>
        <v/>
      </c>
      <c r="R336" s="335" t="str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  <v/>
      </c>
      <c r="S336" s="335">
        <f t="shared" si="36"/>
        <v>0</v>
      </c>
      <c r="T336" s="348">
        <f t="shared" si="37"/>
        <v>0</v>
      </c>
      <c r="U336" s="348">
        <f t="shared" si="38"/>
        <v>0</v>
      </c>
      <c r="V336" s="348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348">
        <f>IF(V336&gt;0,ROUNDUP(INDEX(RAW!$K:$K,MAX(2,F336))/1000,0)*1000-ROUNDUP((INDEX(RAW!$K:$K,MAX(2,F336))-V336)/1000,0)*1000,0)</f>
        <v>0</v>
      </c>
      <c r="X336" s="335">
        <f t="shared" si="39"/>
        <v>0</v>
      </c>
      <c r="Y336" s="335">
        <f>IF(X336=1,COUNTIF($X$100:X336,1),0)</f>
        <v>0</v>
      </c>
      <c r="Z336" s="348">
        <f t="shared" si="40"/>
        <v>0</v>
      </c>
    </row>
    <row r="337" spans="1:26" ht="16" hidden="1" outlineLevel="1">
      <c r="A337" s="335" t="str">
        <f t="shared" si="41"/>
        <v/>
      </c>
      <c r="B337" s="335" t="str">
        <f>IF(F337="","",IFERROR(INDEX(RAW!$F:$F,MAX(2,F337)),""))</f>
        <v/>
      </c>
      <c r="C337" s="344"/>
      <c r="D337" s="346" t="str">
        <f>IF(F337="","",IFERROR(INDEX(RAW!$A:$A,MAX(2,F337)),""))</f>
        <v/>
      </c>
      <c r="E337" s="347" t="str">
        <f>IF(F337="","",IFERROR(INDEX(RAW!$K:$K,MAX(2,F337)),0))</f>
        <v/>
      </c>
      <c r="F337" s="344"/>
      <c r="G337" s="335" t="s">
        <v>2476</v>
      </c>
      <c r="O337" s="333" t="str">
        <f t="shared" si="35"/>
        <v/>
      </c>
      <c r="R337" s="335" t="str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  <v/>
      </c>
      <c r="S337" s="335">
        <f t="shared" si="36"/>
        <v>0</v>
      </c>
      <c r="T337" s="348">
        <f t="shared" si="37"/>
        <v>0</v>
      </c>
      <c r="U337" s="348">
        <f t="shared" si="38"/>
        <v>0</v>
      </c>
      <c r="V337" s="348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348">
        <f>IF(V337&gt;0,ROUNDUP(INDEX(RAW!$K:$K,MAX(2,F337))/1000,0)*1000-ROUNDUP((INDEX(RAW!$K:$K,MAX(2,F337))-V337)/1000,0)*1000,0)</f>
        <v>0</v>
      </c>
      <c r="X337" s="335">
        <f t="shared" si="39"/>
        <v>0</v>
      </c>
      <c r="Y337" s="335">
        <f>IF(X337=1,COUNTIF($X$100:X337,1),0)</f>
        <v>0</v>
      </c>
      <c r="Z337" s="348">
        <f t="shared" si="40"/>
        <v>0</v>
      </c>
    </row>
    <row r="338" spans="1:26" ht="16" hidden="1" outlineLevel="1">
      <c r="A338" s="335" t="str">
        <f t="shared" si="41"/>
        <v/>
      </c>
      <c r="B338" s="335" t="str">
        <f>IF(F338="","",IFERROR(INDEX(RAW!$F:$F,MAX(2,F338)),""))</f>
        <v/>
      </c>
      <c r="C338" s="344"/>
      <c r="D338" s="346" t="str">
        <f>IF(F338="","",IFERROR(INDEX(RAW!$A:$A,MAX(2,F338)),""))</f>
        <v/>
      </c>
      <c r="E338" s="347" t="str">
        <f>IF(F338="","",IFERROR(INDEX(RAW!$K:$K,MAX(2,F338)),0))</f>
        <v/>
      </c>
      <c r="F338" s="344"/>
      <c r="G338" s="335" t="s">
        <v>2476</v>
      </c>
      <c r="O338" s="333" t="str">
        <f t="shared" si="35"/>
        <v/>
      </c>
      <c r="R338" s="335" t="str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  <v/>
      </c>
      <c r="S338" s="335">
        <f t="shared" si="36"/>
        <v>0</v>
      </c>
      <c r="T338" s="348">
        <f t="shared" si="37"/>
        <v>0</v>
      </c>
      <c r="U338" s="348">
        <f t="shared" si="38"/>
        <v>0</v>
      </c>
      <c r="V338" s="348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348">
        <f>IF(V338&gt;0,ROUNDUP(INDEX(RAW!$K:$K,MAX(2,F338))/1000,0)*1000-ROUNDUP((INDEX(RAW!$K:$K,MAX(2,F338))-V338)/1000,0)*1000,0)</f>
        <v>0</v>
      </c>
      <c r="X338" s="335">
        <f t="shared" si="39"/>
        <v>0</v>
      </c>
      <c r="Y338" s="335">
        <f>IF(X338=1,COUNTIF($X$100:X338,1),0)</f>
        <v>0</v>
      </c>
      <c r="Z338" s="348">
        <f t="shared" si="40"/>
        <v>0</v>
      </c>
    </row>
    <row r="339" spans="1:26" ht="16" hidden="1" outlineLevel="1">
      <c r="A339" s="335" t="str">
        <f t="shared" si="41"/>
        <v/>
      </c>
      <c r="B339" s="335" t="str">
        <f>IF(F339="","",IFERROR(INDEX(RAW!$F:$F,MAX(2,F339)),""))</f>
        <v/>
      </c>
      <c r="C339" s="344"/>
      <c r="D339" s="346" t="str">
        <f>IF(F339="","",IFERROR(INDEX(RAW!$A:$A,MAX(2,F339)),""))</f>
        <v/>
      </c>
      <c r="E339" s="347" t="str">
        <f>IF(F339="","",IFERROR(INDEX(RAW!$K:$K,MAX(2,F339)),0))</f>
        <v/>
      </c>
      <c r="F339" s="344"/>
      <c r="G339" s="335" t="s">
        <v>2476</v>
      </c>
      <c r="O339" s="333" t="str">
        <f t="shared" si="35"/>
        <v/>
      </c>
      <c r="R339" s="335" t="str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  <v/>
      </c>
      <c r="S339" s="335">
        <f t="shared" si="36"/>
        <v>0</v>
      </c>
      <c r="T339" s="348">
        <f t="shared" si="37"/>
        <v>0</v>
      </c>
      <c r="U339" s="348">
        <f t="shared" si="38"/>
        <v>0</v>
      </c>
      <c r="V339" s="348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348">
        <f>IF(V339&gt;0,ROUNDUP(INDEX(RAW!$K:$K,MAX(2,F339))/1000,0)*1000-ROUNDUP((INDEX(RAW!$K:$K,MAX(2,F339))-V339)/1000,0)*1000,0)</f>
        <v>0</v>
      </c>
      <c r="X339" s="335">
        <f t="shared" si="39"/>
        <v>0</v>
      </c>
      <c r="Y339" s="335">
        <f>IF(X339=1,COUNTIF($X$100:X339,1),0)</f>
        <v>0</v>
      </c>
      <c r="Z339" s="348">
        <f t="shared" si="40"/>
        <v>0</v>
      </c>
    </row>
    <row r="340" spans="1:26" ht="16" hidden="1" outlineLevel="1">
      <c r="A340" s="335" t="str">
        <f t="shared" si="41"/>
        <v/>
      </c>
      <c r="B340" s="335" t="str">
        <f>IF(F340="","",IFERROR(INDEX(RAW!$F:$F,MAX(2,F340)),""))</f>
        <v/>
      </c>
      <c r="C340" s="344"/>
      <c r="D340" s="346" t="str">
        <f>IF(F340="","",IFERROR(INDEX(RAW!$A:$A,MAX(2,F340)),""))</f>
        <v/>
      </c>
      <c r="E340" s="347" t="str">
        <f>IF(F340="","",IFERROR(INDEX(RAW!$K:$K,MAX(2,F340)),0))</f>
        <v/>
      </c>
      <c r="F340" s="344"/>
      <c r="G340" s="335" t="s">
        <v>2476</v>
      </c>
      <c r="O340" s="333" t="str">
        <f t="shared" si="35"/>
        <v/>
      </c>
      <c r="R340" s="335" t="str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  <v/>
      </c>
      <c r="S340" s="335">
        <f t="shared" si="36"/>
        <v>0</v>
      </c>
      <c r="T340" s="348">
        <f t="shared" si="37"/>
        <v>0</v>
      </c>
      <c r="U340" s="348">
        <f t="shared" si="38"/>
        <v>0</v>
      </c>
      <c r="V340" s="348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348">
        <f>IF(V340&gt;0,ROUNDUP(INDEX(RAW!$K:$K,MAX(2,F340))/1000,0)*1000-ROUNDUP((INDEX(RAW!$K:$K,MAX(2,F340))-V340)/1000,0)*1000,0)</f>
        <v>0</v>
      </c>
      <c r="X340" s="335">
        <f t="shared" si="39"/>
        <v>0</v>
      </c>
      <c r="Y340" s="335">
        <f>IF(X340=1,COUNTIF($X$100:X340,1),0)</f>
        <v>0</v>
      </c>
      <c r="Z340" s="348">
        <f t="shared" si="40"/>
        <v>0</v>
      </c>
    </row>
    <row r="341" spans="1:26" ht="16" hidden="1" outlineLevel="1">
      <c r="A341" s="335" t="str">
        <f t="shared" si="41"/>
        <v/>
      </c>
      <c r="B341" s="335" t="str">
        <f>IF(F341="","",IFERROR(INDEX(RAW!$F:$F,MAX(2,F341)),""))</f>
        <v/>
      </c>
      <c r="C341" s="344"/>
      <c r="D341" s="346" t="str">
        <f>IF(F341="","",IFERROR(INDEX(RAW!$A:$A,MAX(2,F341)),""))</f>
        <v/>
      </c>
      <c r="E341" s="347" t="str">
        <f>IF(F341="","",IFERROR(INDEX(RAW!$K:$K,MAX(2,F341)),0))</f>
        <v/>
      </c>
      <c r="F341" s="344"/>
      <c r="G341" s="335" t="s">
        <v>2476</v>
      </c>
      <c r="O341" s="333" t="str">
        <f t="shared" si="35"/>
        <v/>
      </c>
      <c r="R341" s="335" t="str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  <v/>
      </c>
      <c r="S341" s="335">
        <f t="shared" si="36"/>
        <v>0</v>
      </c>
      <c r="T341" s="348">
        <f t="shared" si="37"/>
        <v>0</v>
      </c>
      <c r="U341" s="348">
        <f t="shared" si="38"/>
        <v>0</v>
      </c>
      <c r="V341" s="348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348">
        <f>IF(V341&gt;0,ROUNDUP(INDEX(RAW!$K:$K,MAX(2,F341))/1000,0)*1000-ROUNDUP((INDEX(RAW!$K:$K,MAX(2,F341))-V341)/1000,0)*1000,0)</f>
        <v>0</v>
      </c>
      <c r="X341" s="335">
        <f t="shared" si="39"/>
        <v>0</v>
      </c>
      <c r="Y341" s="335">
        <f>IF(X341=1,COUNTIF($X$100:X341,1),0)</f>
        <v>0</v>
      </c>
      <c r="Z341" s="348">
        <f t="shared" si="40"/>
        <v>0</v>
      </c>
    </row>
    <row r="342" spans="1:26" ht="16" hidden="1" outlineLevel="1">
      <c r="A342" s="335" t="str">
        <f t="shared" si="41"/>
        <v/>
      </c>
      <c r="B342" s="335" t="str">
        <f>IF(F342="","",IFERROR(INDEX(RAW!$F:$F,MAX(2,F342)),""))</f>
        <v/>
      </c>
      <c r="C342" s="344"/>
      <c r="D342" s="346" t="str">
        <f>IF(F342="","",IFERROR(INDEX(RAW!$A:$A,MAX(2,F342)),""))</f>
        <v/>
      </c>
      <c r="E342" s="347" t="str">
        <f>IF(F342="","",IFERROR(INDEX(RAW!$K:$K,MAX(2,F342)),0))</f>
        <v/>
      </c>
      <c r="F342" s="344"/>
      <c r="G342" s="335" t="s">
        <v>2476</v>
      </c>
      <c r="O342" s="333" t="str">
        <f t="shared" si="35"/>
        <v/>
      </c>
      <c r="R342" s="335" t="str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  <v/>
      </c>
      <c r="S342" s="335">
        <f t="shared" si="36"/>
        <v>0</v>
      </c>
      <c r="T342" s="348">
        <f t="shared" si="37"/>
        <v>0</v>
      </c>
      <c r="U342" s="348">
        <f t="shared" si="38"/>
        <v>0</v>
      </c>
      <c r="V342" s="348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348">
        <f>IF(V342&gt;0,ROUNDUP(INDEX(RAW!$K:$K,MAX(2,F342))/1000,0)*1000-ROUNDUP((INDEX(RAW!$K:$K,MAX(2,F342))-V342)/1000,0)*1000,0)</f>
        <v>0</v>
      </c>
      <c r="X342" s="335">
        <f t="shared" si="39"/>
        <v>0</v>
      </c>
      <c r="Y342" s="335">
        <f>IF(X342=1,COUNTIF($X$100:X342,1),0)</f>
        <v>0</v>
      </c>
      <c r="Z342" s="348">
        <f t="shared" si="40"/>
        <v>0</v>
      </c>
    </row>
    <row r="343" spans="1:26" ht="16" hidden="1" outlineLevel="1">
      <c r="A343" s="335" t="str">
        <f t="shared" si="41"/>
        <v/>
      </c>
      <c r="B343" s="335" t="str">
        <f>IF(F343="","",IFERROR(INDEX(RAW!$F:$F,MAX(2,F343)),""))</f>
        <v/>
      </c>
      <c r="C343" s="344"/>
      <c r="D343" s="346" t="str">
        <f>IF(F343="","",IFERROR(INDEX(RAW!$A:$A,MAX(2,F343)),""))</f>
        <v/>
      </c>
      <c r="E343" s="347" t="str">
        <f>IF(F343="","",IFERROR(INDEX(RAW!$K:$K,MAX(2,F343)),0))</f>
        <v/>
      </c>
      <c r="F343" s="344"/>
      <c r="G343" s="335" t="s">
        <v>2476</v>
      </c>
      <c r="O343" s="333" t="str">
        <f t="shared" si="35"/>
        <v/>
      </c>
      <c r="R343" s="335" t="str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  <v/>
      </c>
      <c r="S343" s="335">
        <f t="shared" si="36"/>
        <v>0</v>
      </c>
      <c r="T343" s="348">
        <f t="shared" si="37"/>
        <v>0</v>
      </c>
      <c r="U343" s="348">
        <f t="shared" si="38"/>
        <v>0</v>
      </c>
      <c r="V343" s="348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348">
        <f>IF(V343&gt;0,ROUNDUP(INDEX(RAW!$K:$K,MAX(2,F343))/1000,0)*1000-ROUNDUP((INDEX(RAW!$K:$K,MAX(2,F343))-V343)/1000,0)*1000,0)</f>
        <v>0</v>
      </c>
      <c r="X343" s="335">
        <f t="shared" si="39"/>
        <v>0</v>
      </c>
      <c r="Y343" s="335">
        <f>IF(X343=1,COUNTIF($X$100:X343,1),0)</f>
        <v>0</v>
      </c>
      <c r="Z343" s="348">
        <f t="shared" si="40"/>
        <v>0</v>
      </c>
    </row>
    <row r="344" spans="1:26" ht="16" hidden="1" outlineLevel="1">
      <c r="A344" s="335" t="str">
        <f t="shared" si="41"/>
        <v/>
      </c>
      <c r="B344" s="335" t="str">
        <f>IF(F344="","",IFERROR(INDEX(RAW!$F:$F,MAX(2,F344)),""))</f>
        <v/>
      </c>
      <c r="C344" s="344"/>
      <c r="D344" s="346" t="str">
        <f>IF(F344="","",IFERROR(INDEX(RAW!$A:$A,MAX(2,F344)),""))</f>
        <v/>
      </c>
      <c r="E344" s="347" t="str">
        <f>IF(F344="","",IFERROR(INDEX(RAW!$K:$K,MAX(2,F344)),0))</f>
        <v/>
      </c>
      <c r="F344" s="344"/>
      <c r="G344" s="335" t="s">
        <v>2476</v>
      </c>
      <c r="O344" s="333" t="str">
        <f t="shared" si="35"/>
        <v/>
      </c>
      <c r="R344" s="335" t="str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  <v/>
      </c>
      <c r="S344" s="335">
        <f t="shared" si="36"/>
        <v>0</v>
      </c>
      <c r="T344" s="348">
        <f t="shared" si="37"/>
        <v>0</v>
      </c>
      <c r="U344" s="348">
        <f t="shared" si="38"/>
        <v>0</v>
      </c>
      <c r="V344" s="348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348">
        <f>IF(V344&gt;0,ROUNDUP(INDEX(RAW!$K:$K,MAX(2,F344))/1000,0)*1000-ROUNDUP((INDEX(RAW!$K:$K,MAX(2,F344))-V344)/1000,0)*1000,0)</f>
        <v>0</v>
      </c>
      <c r="X344" s="335">
        <f t="shared" si="39"/>
        <v>0</v>
      </c>
      <c r="Y344" s="335">
        <f>IF(X344=1,COUNTIF($X$100:X344,1),0)</f>
        <v>0</v>
      </c>
      <c r="Z344" s="348">
        <f t="shared" si="40"/>
        <v>0</v>
      </c>
    </row>
    <row r="345" spans="1:26" ht="16" hidden="1" outlineLevel="1">
      <c r="A345" s="335" t="str">
        <f t="shared" si="41"/>
        <v/>
      </c>
      <c r="B345" s="335" t="str">
        <f>IF(F345="","",IFERROR(INDEX(RAW!$F:$F,MAX(2,F345)),""))</f>
        <v/>
      </c>
      <c r="C345" s="344"/>
      <c r="D345" s="346" t="str">
        <f>IF(F345="","",IFERROR(INDEX(RAW!$A:$A,MAX(2,F345)),""))</f>
        <v/>
      </c>
      <c r="E345" s="347" t="str">
        <f>IF(F345="","",IFERROR(INDEX(RAW!$K:$K,MAX(2,F345)),0))</f>
        <v/>
      </c>
      <c r="F345" s="344"/>
      <c r="G345" s="335" t="s">
        <v>2476</v>
      </c>
      <c r="O345" s="333" t="str">
        <f t="shared" si="35"/>
        <v/>
      </c>
      <c r="R345" s="335" t="str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  <v/>
      </c>
      <c r="S345" s="335">
        <f t="shared" si="36"/>
        <v>0</v>
      </c>
      <c r="T345" s="348">
        <f t="shared" si="37"/>
        <v>0</v>
      </c>
      <c r="U345" s="348">
        <f t="shared" si="38"/>
        <v>0</v>
      </c>
      <c r="V345" s="348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348">
        <f>IF(V345&gt;0,ROUNDUP(INDEX(RAW!$K:$K,MAX(2,F345))/1000,0)*1000-ROUNDUP((INDEX(RAW!$K:$K,MAX(2,F345))-V345)/1000,0)*1000,0)</f>
        <v>0</v>
      </c>
      <c r="X345" s="335">
        <f t="shared" si="39"/>
        <v>0</v>
      </c>
      <c r="Y345" s="335">
        <f>IF(X345=1,COUNTIF($X$100:X345,1),0)</f>
        <v>0</v>
      </c>
      <c r="Z345" s="348">
        <f t="shared" si="40"/>
        <v>0</v>
      </c>
    </row>
    <row r="346" spans="1:26" ht="16" hidden="1" outlineLevel="1">
      <c r="A346" s="335" t="str">
        <f t="shared" si="41"/>
        <v/>
      </c>
      <c r="B346" s="335" t="str">
        <f>IF(F346="","",IFERROR(INDEX(RAW!$F:$F,MAX(2,F346)),""))</f>
        <v/>
      </c>
      <c r="C346" s="344"/>
      <c r="D346" s="346" t="str">
        <f>IF(F346="","",IFERROR(INDEX(RAW!$A:$A,MAX(2,F346)),""))</f>
        <v/>
      </c>
      <c r="E346" s="347" t="str">
        <f>IF(F346="","",IFERROR(INDEX(RAW!$K:$K,MAX(2,F346)),0))</f>
        <v/>
      </c>
      <c r="F346" s="344"/>
      <c r="G346" s="335" t="s">
        <v>2476</v>
      </c>
      <c r="O346" s="333" t="str">
        <f t="shared" si="35"/>
        <v/>
      </c>
      <c r="R346" s="335" t="str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  <v/>
      </c>
      <c r="S346" s="335">
        <f t="shared" si="36"/>
        <v>0</v>
      </c>
      <c r="T346" s="348">
        <f t="shared" si="37"/>
        <v>0</v>
      </c>
      <c r="U346" s="348">
        <f t="shared" si="38"/>
        <v>0</v>
      </c>
      <c r="V346" s="348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348">
        <f>IF(V346&gt;0,ROUNDUP(INDEX(RAW!$K:$K,MAX(2,F346))/1000,0)*1000-ROUNDUP((INDEX(RAW!$K:$K,MAX(2,F346))-V346)/1000,0)*1000,0)</f>
        <v>0</v>
      </c>
      <c r="X346" s="335">
        <f t="shared" si="39"/>
        <v>0</v>
      </c>
      <c r="Y346" s="335">
        <f>IF(X346=1,COUNTIF($X$100:X346,1),0)</f>
        <v>0</v>
      </c>
      <c r="Z346" s="348">
        <f t="shared" si="40"/>
        <v>0</v>
      </c>
    </row>
    <row r="347" spans="1:26" ht="16" hidden="1" outlineLevel="1">
      <c r="A347" s="335" t="str">
        <f t="shared" si="41"/>
        <v/>
      </c>
      <c r="B347" s="335" t="str">
        <f>IF(F347="","",IFERROR(INDEX(RAW!$F:$F,MAX(2,F347)),""))</f>
        <v/>
      </c>
      <c r="C347" s="344"/>
      <c r="D347" s="346" t="str">
        <f>IF(F347="","",IFERROR(INDEX(RAW!$A:$A,MAX(2,F347)),""))</f>
        <v/>
      </c>
      <c r="E347" s="347" t="str">
        <f>IF(F347="","",IFERROR(INDEX(RAW!$K:$K,MAX(2,F347)),0))</f>
        <v/>
      </c>
      <c r="F347" s="344"/>
      <c r="G347" s="335" t="s">
        <v>2476</v>
      </c>
      <c r="O347" s="333" t="str">
        <f t="shared" si="35"/>
        <v/>
      </c>
      <c r="R347" s="335" t="str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  <v/>
      </c>
      <c r="S347" s="335">
        <f t="shared" si="36"/>
        <v>0</v>
      </c>
      <c r="T347" s="348">
        <f t="shared" si="37"/>
        <v>0</v>
      </c>
      <c r="U347" s="348">
        <f t="shared" si="38"/>
        <v>0</v>
      </c>
      <c r="V347" s="348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348">
        <f>IF(V347&gt;0,ROUNDUP(INDEX(RAW!$K:$K,MAX(2,F347))/1000,0)*1000-ROUNDUP((INDEX(RAW!$K:$K,MAX(2,F347))-V347)/1000,0)*1000,0)</f>
        <v>0</v>
      </c>
      <c r="X347" s="335">
        <f t="shared" si="39"/>
        <v>0</v>
      </c>
      <c r="Y347" s="335">
        <f>IF(X347=1,COUNTIF($X$100:X347,1),0)</f>
        <v>0</v>
      </c>
      <c r="Z347" s="348">
        <f t="shared" si="40"/>
        <v>0</v>
      </c>
    </row>
    <row r="348" spans="1:26" ht="16" hidden="1" outlineLevel="1">
      <c r="A348" s="335" t="str">
        <f t="shared" si="41"/>
        <v/>
      </c>
      <c r="B348" s="335" t="str">
        <f>IF(F348="","",IFERROR(INDEX(RAW!$F:$F,MAX(2,F348)),""))</f>
        <v/>
      </c>
      <c r="C348" s="344"/>
      <c r="D348" s="346" t="str">
        <f>IF(F348="","",IFERROR(INDEX(RAW!$A:$A,MAX(2,F348)),""))</f>
        <v/>
      </c>
      <c r="E348" s="347" t="str">
        <f>IF(F348="","",IFERROR(INDEX(RAW!$K:$K,MAX(2,F348)),0))</f>
        <v/>
      </c>
      <c r="F348" s="344"/>
      <c r="G348" s="335" t="s">
        <v>2476</v>
      </c>
      <c r="O348" s="333" t="str">
        <f t="shared" si="35"/>
        <v/>
      </c>
      <c r="R348" s="335" t="str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  <v/>
      </c>
      <c r="S348" s="335">
        <f t="shared" si="36"/>
        <v>0</v>
      </c>
      <c r="T348" s="348">
        <f t="shared" si="37"/>
        <v>0</v>
      </c>
      <c r="U348" s="348">
        <f t="shared" si="38"/>
        <v>0</v>
      </c>
      <c r="V348" s="348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348">
        <f>IF(V348&gt;0,ROUNDUP(INDEX(RAW!$K:$K,MAX(2,F348))/1000,0)*1000-ROUNDUP((INDEX(RAW!$K:$K,MAX(2,F348))-V348)/1000,0)*1000,0)</f>
        <v>0</v>
      </c>
      <c r="X348" s="335">
        <f t="shared" si="39"/>
        <v>0</v>
      </c>
      <c r="Y348" s="335">
        <f>IF(X348=1,COUNTIF($X$100:X348,1),0)</f>
        <v>0</v>
      </c>
      <c r="Z348" s="348">
        <f t="shared" si="40"/>
        <v>0</v>
      </c>
    </row>
    <row r="349" spans="1:26" ht="16" hidden="1" outlineLevel="1">
      <c r="A349" s="335" t="str">
        <f t="shared" si="41"/>
        <v/>
      </c>
      <c r="B349" s="335" t="str">
        <f>IF(F349="","",IFERROR(INDEX(RAW!$F:$F,MAX(2,F349)),""))</f>
        <v/>
      </c>
      <c r="C349" s="344"/>
      <c r="D349" s="346" t="str">
        <f>IF(F349="","",IFERROR(INDEX(RAW!$A:$A,MAX(2,F349)),""))</f>
        <v/>
      </c>
      <c r="E349" s="347" t="str">
        <f>IF(F349="","",IFERROR(INDEX(RAW!$K:$K,MAX(2,F349)),0))</f>
        <v/>
      </c>
      <c r="F349" s="344"/>
      <c r="G349" s="335" t="s">
        <v>2476</v>
      </c>
      <c r="O349" s="333" t="str">
        <f t="shared" si="35"/>
        <v/>
      </c>
      <c r="R349" s="335" t="str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  <v/>
      </c>
      <c r="S349" s="335">
        <f t="shared" si="36"/>
        <v>0</v>
      </c>
      <c r="T349" s="348">
        <f t="shared" si="37"/>
        <v>0</v>
      </c>
      <c r="U349" s="348">
        <f t="shared" si="38"/>
        <v>0</v>
      </c>
      <c r="V349" s="348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348">
        <f>IF(V349&gt;0,ROUNDUP(INDEX(RAW!$K:$K,MAX(2,F349))/1000,0)*1000-ROUNDUP((INDEX(RAW!$K:$K,MAX(2,F349))-V349)/1000,0)*1000,0)</f>
        <v>0</v>
      </c>
      <c r="X349" s="335">
        <f t="shared" si="39"/>
        <v>0</v>
      </c>
      <c r="Y349" s="335">
        <f>IF(X349=1,COUNTIF($X$100:X349,1),0)</f>
        <v>0</v>
      </c>
      <c r="Z349" s="348">
        <f t="shared" si="40"/>
        <v>0</v>
      </c>
    </row>
    <row r="350" spans="1:26" ht="16" hidden="1" outlineLevel="1">
      <c r="A350" s="335" t="str">
        <f t="shared" si="41"/>
        <v/>
      </c>
      <c r="B350" s="335" t="str">
        <f>IF(F350="","",IFERROR(INDEX(RAW!$F:$F,MAX(2,F350)),""))</f>
        <v/>
      </c>
      <c r="C350" s="344"/>
      <c r="D350" s="346" t="str">
        <f>IF(F350="","",IFERROR(INDEX(RAW!$A:$A,MAX(2,F350)),""))</f>
        <v/>
      </c>
      <c r="E350" s="347" t="str">
        <f>IF(F350="","",IFERROR(INDEX(RAW!$K:$K,MAX(2,F350)),0))</f>
        <v/>
      </c>
      <c r="F350" s="344"/>
      <c r="G350" s="335" t="s">
        <v>2476</v>
      </c>
      <c r="O350" s="333" t="str">
        <f t="shared" si="35"/>
        <v/>
      </c>
      <c r="R350" s="335" t="str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  <v/>
      </c>
      <c r="S350" s="335">
        <f t="shared" si="36"/>
        <v>0</v>
      </c>
      <c r="T350" s="348">
        <f t="shared" si="37"/>
        <v>0</v>
      </c>
      <c r="U350" s="348">
        <f t="shared" si="38"/>
        <v>0</v>
      </c>
      <c r="V350" s="348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348">
        <f>IF(V350&gt;0,ROUNDUP(INDEX(RAW!$K:$K,MAX(2,F350))/1000,0)*1000-ROUNDUP((INDEX(RAW!$K:$K,MAX(2,F350))-V350)/1000,0)*1000,0)</f>
        <v>0</v>
      </c>
      <c r="X350" s="335">
        <f t="shared" si="39"/>
        <v>0</v>
      </c>
      <c r="Y350" s="335">
        <f>IF(X350=1,COUNTIF($X$100:X350,1),0)</f>
        <v>0</v>
      </c>
      <c r="Z350" s="348">
        <f t="shared" si="40"/>
        <v>0</v>
      </c>
    </row>
    <row r="351" spans="1:26" ht="16" hidden="1" outlineLevel="1">
      <c r="A351" s="335" t="str">
        <f t="shared" si="41"/>
        <v/>
      </c>
      <c r="B351" s="335" t="str">
        <f>IF(F351="","",IFERROR(INDEX(RAW!$F:$F,MAX(2,F351)),""))</f>
        <v/>
      </c>
      <c r="C351" s="344"/>
      <c r="D351" s="346" t="str">
        <f>IF(F351="","",IFERROR(INDEX(RAW!$A:$A,MAX(2,F351)),""))</f>
        <v/>
      </c>
      <c r="E351" s="347" t="str">
        <f>IF(F351="","",IFERROR(INDEX(RAW!$K:$K,MAX(2,F351)),0))</f>
        <v/>
      </c>
      <c r="F351" s="344"/>
      <c r="G351" s="335" t="s">
        <v>2476</v>
      </c>
      <c r="O351" s="333" t="str">
        <f t="shared" si="35"/>
        <v/>
      </c>
      <c r="R351" s="335" t="str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  <v/>
      </c>
      <c r="S351" s="335">
        <f t="shared" si="36"/>
        <v>0</v>
      </c>
      <c r="T351" s="348">
        <f t="shared" si="37"/>
        <v>0</v>
      </c>
      <c r="U351" s="348">
        <f t="shared" si="38"/>
        <v>0</v>
      </c>
      <c r="V351" s="348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348">
        <f>IF(V351&gt;0,ROUNDUP(INDEX(RAW!$K:$K,MAX(2,F351))/1000,0)*1000-ROUNDUP((INDEX(RAW!$K:$K,MAX(2,F351))-V351)/1000,0)*1000,0)</f>
        <v>0</v>
      </c>
      <c r="X351" s="335">
        <f t="shared" si="39"/>
        <v>0</v>
      </c>
      <c r="Y351" s="335">
        <f>IF(X351=1,COUNTIF($X$100:X351,1),0)</f>
        <v>0</v>
      </c>
      <c r="Z351" s="348">
        <f t="shared" si="40"/>
        <v>0</v>
      </c>
    </row>
    <row r="352" spans="1:26" ht="16" hidden="1" outlineLevel="1">
      <c r="A352" s="335" t="str">
        <f t="shared" si="41"/>
        <v/>
      </c>
      <c r="B352" s="335" t="str">
        <f>IF(F352="","",IFERROR(INDEX(RAW!$F:$F,MAX(2,F352)),""))</f>
        <v/>
      </c>
      <c r="C352" s="344"/>
      <c r="D352" s="346" t="str">
        <f>IF(F352="","",IFERROR(INDEX(RAW!$A:$A,MAX(2,F352)),""))</f>
        <v/>
      </c>
      <c r="E352" s="347" t="str">
        <f>IF(F352="","",IFERROR(INDEX(RAW!$K:$K,MAX(2,F352)),0))</f>
        <v/>
      </c>
      <c r="F352" s="344"/>
      <c r="G352" s="335" t="s">
        <v>2476</v>
      </c>
      <c r="O352" s="333" t="str">
        <f t="shared" si="35"/>
        <v/>
      </c>
      <c r="R352" s="335" t="str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  <v/>
      </c>
      <c r="S352" s="335">
        <f t="shared" si="36"/>
        <v>0</v>
      </c>
      <c r="T352" s="348">
        <f t="shared" si="37"/>
        <v>0</v>
      </c>
      <c r="U352" s="348">
        <f t="shared" si="38"/>
        <v>0</v>
      </c>
      <c r="V352" s="348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348">
        <f>IF(V352&gt;0,ROUNDUP(INDEX(RAW!$K:$K,MAX(2,F352))/1000,0)*1000-ROUNDUP((INDEX(RAW!$K:$K,MAX(2,F352))-V352)/1000,0)*1000,0)</f>
        <v>0</v>
      </c>
      <c r="X352" s="335">
        <f t="shared" si="39"/>
        <v>0</v>
      </c>
      <c r="Y352" s="335">
        <f>IF(X352=1,COUNTIF($X$100:X352,1),0)</f>
        <v>0</v>
      </c>
      <c r="Z352" s="348">
        <f t="shared" si="40"/>
        <v>0</v>
      </c>
    </row>
    <row r="353" spans="1:26" ht="16" hidden="1" outlineLevel="1">
      <c r="A353" s="335" t="str">
        <f t="shared" si="41"/>
        <v/>
      </c>
      <c r="B353" s="335" t="str">
        <f>IF(F353="","",IFERROR(INDEX(RAW!$F:$F,MAX(2,F353)),""))</f>
        <v/>
      </c>
      <c r="C353" s="344"/>
      <c r="D353" s="346" t="str">
        <f>IF(F353="","",IFERROR(INDEX(RAW!$A:$A,MAX(2,F353)),""))</f>
        <v/>
      </c>
      <c r="E353" s="347" t="str">
        <f>IF(F353="","",IFERROR(INDEX(RAW!$K:$K,MAX(2,F353)),0))</f>
        <v/>
      </c>
      <c r="F353" s="344"/>
      <c r="G353" s="335" t="s">
        <v>2476</v>
      </c>
      <c r="O353" s="333" t="str">
        <f t="shared" si="35"/>
        <v/>
      </c>
      <c r="R353" s="335" t="str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  <v/>
      </c>
      <c r="S353" s="335">
        <f t="shared" si="36"/>
        <v>0</v>
      </c>
      <c r="T353" s="348">
        <f t="shared" si="37"/>
        <v>0</v>
      </c>
      <c r="U353" s="348">
        <f t="shared" si="38"/>
        <v>0</v>
      </c>
      <c r="V353" s="348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348">
        <f>IF(V353&gt;0,ROUNDUP(INDEX(RAW!$K:$K,MAX(2,F353))/1000,0)*1000-ROUNDUP((INDEX(RAW!$K:$K,MAX(2,F353))-V353)/1000,0)*1000,0)</f>
        <v>0</v>
      </c>
      <c r="X353" s="335">
        <f t="shared" si="39"/>
        <v>0</v>
      </c>
      <c r="Y353" s="335">
        <f>IF(X353=1,COUNTIF($X$100:X353,1),0)</f>
        <v>0</v>
      </c>
      <c r="Z353" s="348">
        <f t="shared" si="40"/>
        <v>0</v>
      </c>
    </row>
    <row r="354" spans="1:26" ht="16" hidden="1" outlineLevel="1">
      <c r="A354" s="335" t="str">
        <f t="shared" si="41"/>
        <v/>
      </c>
      <c r="B354" s="335" t="str">
        <f>IF(F354="","",IFERROR(INDEX(RAW!$F:$F,MAX(2,F354)),""))</f>
        <v/>
      </c>
      <c r="C354" s="344"/>
      <c r="D354" s="346" t="str">
        <f>IF(F354="","",IFERROR(INDEX(RAW!$A:$A,MAX(2,F354)),""))</f>
        <v/>
      </c>
      <c r="E354" s="347" t="str">
        <f>IF(F354="","",IFERROR(INDEX(RAW!$K:$K,MAX(2,F354)),0))</f>
        <v/>
      </c>
      <c r="F354" s="344"/>
      <c r="G354" s="335" t="s">
        <v>2476</v>
      </c>
      <c r="O354" s="333" t="str">
        <f t="shared" si="35"/>
        <v/>
      </c>
      <c r="R354" s="335" t="str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  <v/>
      </c>
      <c r="S354" s="335">
        <f t="shared" si="36"/>
        <v>0</v>
      </c>
      <c r="T354" s="348">
        <f t="shared" si="37"/>
        <v>0</v>
      </c>
      <c r="U354" s="348">
        <f t="shared" si="38"/>
        <v>0</v>
      </c>
      <c r="V354" s="348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348">
        <f>IF(V354&gt;0,ROUNDUP(INDEX(RAW!$K:$K,MAX(2,F354))/1000,0)*1000-ROUNDUP((INDEX(RAW!$K:$K,MAX(2,F354))-V354)/1000,0)*1000,0)</f>
        <v>0</v>
      </c>
      <c r="X354" s="335">
        <f t="shared" si="39"/>
        <v>0</v>
      </c>
      <c r="Y354" s="335">
        <f>IF(X354=1,COUNTIF($X$100:X354,1),0)</f>
        <v>0</v>
      </c>
      <c r="Z354" s="348">
        <f t="shared" si="40"/>
        <v>0</v>
      </c>
    </row>
    <row r="355" spans="1:26" ht="16" hidden="1" outlineLevel="1">
      <c r="A355" s="335" t="str">
        <f t="shared" si="41"/>
        <v/>
      </c>
      <c r="B355" s="335" t="str">
        <f>IF(F355="","",IFERROR(INDEX(RAW!$F:$F,MAX(2,F355)),""))</f>
        <v/>
      </c>
      <c r="C355" s="344"/>
      <c r="D355" s="346" t="str">
        <f>IF(F355="","",IFERROR(INDEX(RAW!$A:$A,MAX(2,F355)),""))</f>
        <v/>
      </c>
      <c r="E355" s="347" t="str">
        <f>IF(F355="","",IFERROR(INDEX(RAW!$K:$K,MAX(2,F355)),0))</f>
        <v/>
      </c>
      <c r="F355" s="344"/>
      <c r="G355" s="335" t="s">
        <v>2476</v>
      </c>
      <c r="O355" s="333" t="str">
        <f t="shared" si="35"/>
        <v/>
      </c>
      <c r="R355" s="335" t="str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  <v/>
      </c>
      <c r="S355" s="335">
        <f t="shared" si="36"/>
        <v>0</v>
      </c>
      <c r="T355" s="348">
        <f t="shared" si="37"/>
        <v>0</v>
      </c>
      <c r="U355" s="348">
        <f t="shared" si="38"/>
        <v>0</v>
      </c>
      <c r="V355" s="348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348">
        <f>IF(V355&gt;0,ROUNDUP(INDEX(RAW!$K:$K,MAX(2,F355))/1000,0)*1000-ROUNDUP((INDEX(RAW!$K:$K,MAX(2,F355))-V355)/1000,0)*1000,0)</f>
        <v>0</v>
      </c>
      <c r="X355" s="335">
        <f t="shared" si="39"/>
        <v>0</v>
      </c>
      <c r="Y355" s="335">
        <f>IF(X355=1,COUNTIF($X$100:X355,1),0)</f>
        <v>0</v>
      </c>
      <c r="Z355" s="348">
        <f t="shared" si="40"/>
        <v>0</v>
      </c>
    </row>
    <row r="356" spans="1:26" ht="16" hidden="1" outlineLevel="1">
      <c r="A356" s="335" t="str">
        <f t="shared" si="41"/>
        <v/>
      </c>
      <c r="B356" s="335" t="str">
        <f>IF(F356="","",IFERROR(INDEX(RAW!$F:$F,MAX(2,F356)),""))</f>
        <v/>
      </c>
      <c r="C356" s="344"/>
      <c r="D356" s="346" t="str">
        <f>IF(F356="","",IFERROR(INDEX(RAW!$A:$A,MAX(2,F356)),""))</f>
        <v/>
      </c>
      <c r="E356" s="347" t="str">
        <f>IF(F356="","",IFERROR(INDEX(RAW!$K:$K,MAX(2,F356)),0))</f>
        <v/>
      </c>
      <c r="F356" s="344"/>
      <c r="G356" s="335" t="s">
        <v>2476</v>
      </c>
      <c r="O356" s="333" t="str">
        <f t="shared" ref="O356:O399" si="42">IF(LEFT(R356,2)="확인",R356,"")</f>
        <v/>
      </c>
      <c r="R356" s="335" t="str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  <v/>
      </c>
      <c r="S356" s="335">
        <f t="shared" ref="S356:S399" si="43">IF(ISNUMBER(D356),DATE(YEAR(D356),MONTH(D356),1),0)</f>
        <v>0</v>
      </c>
      <c r="T356" s="348">
        <f t="shared" ref="T356:T399" si="44">IF(R356="OK",SUMIFS($O$430:$O$729,$B$430:$B$729,A356,$E$430:$E$729,"&lt;"&amp;EDATE($B$3,1)),0)</f>
        <v>0</v>
      </c>
      <c r="U356" s="348">
        <f t="shared" ref="U356:U399" si="45">IF(AND(R356="OK",D356&lt;EDATE($B$3,1),$B$3&gt;=DATE(2026,3,1)),MAX(0,E356-T356),0)</f>
        <v>0</v>
      </c>
      <c r="V356" s="348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348">
        <f>IF(V356&gt;0,ROUNDUP(INDEX(RAW!$K:$K,MAX(2,F356))/1000,0)*1000-ROUNDUP((INDEX(RAW!$K:$K,MAX(2,F356))-V356)/1000,0)*1000,0)</f>
        <v>0</v>
      </c>
      <c r="X356" s="335">
        <f t="shared" ref="X356:X399" si="46">IF(AND(R356="OK",IF($B$43="전체",D356&lt;EDATE($B$3,1),IF($B$43="미정산",U356&gt;0,OR(S356=$B$3,Z356&gt;0,U356&gt;0)))),1,0)</f>
        <v>0</v>
      </c>
      <c r="Y356" s="335">
        <f>IF(X356=1,COUNTIF($X$100:X356,1),0)</f>
        <v>0</v>
      </c>
      <c r="Z356" s="348">
        <f t="shared" ref="Z356:Z399" si="47">IF(R356="OK",SUMIFS($O$430:$O$729,$B$430:$B$729,A356,$E$430:$E$729,"&gt;="&amp;$B$3,$E$430:$E$729,"&lt;"&amp;EDATE($B$3,1)),0)</f>
        <v>0</v>
      </c>
    </row>
    <row r="357" spans="1:26" ht="16" hidden="1" outlineLevel="1">
      <c r="A357" s="335" t="str">
        <f t="shared" si="41"/>
        <v/>
      </c>
      <c r="B357" s="335" t="str">
        <f>IF(F357="","",IFERROR(INDEX(RAW!$F:$F,MAX(2,F357)),""))</f>
        <v/>
      </c>
      <c r="C357" s="344"/>
      <c r="D357" s="346" t="str">
        <f>IF(F357="","",IFERROR(INDEX(RAW!$A:$A,MAX(2,F357)),""))</f>
        <v/>
      </c>
      <c r="E357" s="347" t="str">
        <f>IF(F357="","",IFERROR(INDEX(RAW!$K:$K,MAX(2,F357)),0))</f>
        <v/>
      </c>
      <c r="F357" s="344"/>
      <c r="G357" s="335" t="s">
        <v>2476</v>
      </c>
      <c r="O357" s="333" t="str">
        <f t="shared" si="42"/>
        <v/>
      </c>
      <c r="R357" s="335" t="str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  <v/>
      </c>
      <c r="S357" s="335">
        <f t="shared" si="43"/>
        <v>0</v>
      </c>
      <c r="T357" s="348">
        <f t="shared" si="44"/>
        <v>0</v>
      </c>
      <c r="U357" s="348">
        <f t="shared" si="45"/>
        <v>0</v>
      </c>
      <c r="V357" s="348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348">
        <f>IF(V357&gt;0,ROUNDUP(INDEX(RAW!$K:$K,MAX(2,F357))/1000,0)*1000-ROUNDUP((INDEX(RAW!$K:$K,MAX(2,F357))-V357)/1000,0)*1000,0)</f>
        <v>0</v>
      </c>
      <c r="X357" s="335">
        <f t="shared" si="46"/>
        <v>0</v>
      </c>
      <c r="Y357" s="335">
        <f>IF(X357=1,COUNTIF($X$100:X357,1),0)</f>
        <v>0</v>
      </c>
      <c r="Z357" s="348">
        <f t="shared" si="47"/>
        <v>0</v>
      </c>
    </row>
    <row r="358" spans="1:26" ht="16" hidden="1" outlineLevel="1">
      <c r="A358" s="335" t="str">
        <f t="shared" si="41"/>
        <v/>
      </c>
      <c r="B358" s="335" t="str">
        <f>IF(F358="","",IFERROR(INDEX(RAW!$F:$F,MAX(2,F358)),""))</f>
        <v/>
      </c>
      <c r="C358" s="344"/>
      <c r="D358" s="346" t="str">
        <f>IF(F358="","",IFERROR(INDEX(RAW!$A:$A,MAX(2,F358)),""))</f>
        <v/>
      </c>
      <c r="E358" s="347" t="str">
        <f>IF(F358="","",IFERROR(INDEX(RAW!$K:$K,MAX(2,F358)),0))</f>
        <v/>
      </c>
      <c r="F358" s="344"/>
      <c r="G358" s="335" t="s">
        <v>2476</v>
      </c>
      <c r="O358" s="333" t="str">
        <f t="shared" si="42"/>
        <v/>
      </c>
      <c r="R358" s="335" t="str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  <v/>
      </c>
      <c r="S358" s="335">
        <f t="shared" si="43"/>
        <v>0</v>
      </c>
      <c r="T358" s="348">
        <f t="shared" si="44"/>
        <v>0</v>
      </c>
      <c r="U358" s="348">
        <f t="shared" si="45"/>
        <v>0</v>
      </c>
      <c r="V358" s="348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348">
        <f>IF(V358&gt;0,ROUNDUP(INDEX(RAW!$K:$K,MAX(2,F358))/1000,0)*1000-ROUNDUP((INDEX(RAW!$K:$K,MAX(2,F358))-V358)/1000,0)*1000,0)</f>
        <v>0</v>
      </c>
      <c r="X358" s="335">
        <f t="shared" si="46"/>
        <v>0</v>
      </c>
      <c r="Y358" s="335">
        <f>IF(X358=1,COUNTIF($X$100:X358,1),0)</f>
        <v>0</v>
      </c>
      <c r="Z358" s="348">
        <f t="shared" si="47"/>
        <v>0</v>
      </c>
    </row>
    <row r="359" spans="1:26" ht="16" hidden="1" outlineLevel="1">
      <c r="A359" s="335" t="str">
        <f t="shared" si="41"/>
        <v/>
      </c>
      <c r="B359" s="335" t="str">
        <f>IF(F359="","",IFERROR(INDEX(RAW!$F:$F,MAX(2,F359)),""))</f>
        <v/>
      </c>
      <c r="C359" s="344"/>
      <c r="D359" s="346" t="str">
        <f>IF(F359="","",IFERROR(INDEX(RAW!$A:$A,MAX(2,F359)),""))</f>
        <v/>
      </c>
      <c r="E359" s="347" t="str">
        <f>IF(F359="","",IFERROR(INDEX(RAW!$K:$K,MAX(2,F359)),0))</f>
        <v/>
      </c>
      <c r="F359" s="344"/>
      <c r="G359" s="335" t="s">
        <v>2476</v>
      </c>
      <c r="O359" s="333" t="str">
        <f t="shared" si="42"/>
        <v/>
      </c>
      <c r="R359" s="335" t="str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  <v/>
      </c>
      <c r="S359" s="335">
        <f t="shared" si="43"/>
        <v>0</v>
      </c>
      <c r="T359" s="348">
        <f t="shared" si="44"/>
        <v>0</v>
      </c>
      <c r="U359" s="348">
        <f t="shared" si="45"/>
        <v>0</v>
      </c>
      <c r="V359" s="348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348">
        <f>IF(V359&gt;0,ROUNDUP(INDEX(RAW!$K:$K,MAX(2,F359))/1000,0)*1000-ROUNDUP((INDEX(RAW!$K:$K,MAX(2,F359))-V359)/1000,0)*1000,0)</f>
        <v>0</v>
      </c>
      <c r="X359" s="335">
        <f t="shared" si="46"/>
        <v>0</v>
      </c>
      <c r="Y359" s="335">
        <f>IF(X359=1,COUNTIF($X$100:X359,1),0)</f>
        <v>0</v>
      </c>
      <c r="Z359" s="348">
        <f t="shared" si="47"/>
        <v>0</v>
      </c>
    </row>
    <row r="360" spans="1:26" ht="16" hidden="1" outlineLevel="1">
      <c r="A360" s="335" t="str">
        <f t="shared" si="41"/>
        <v/>
      </c>
      <c r="B360" s="335" t="str">
        <f>IF(F360="","",IFERROR(INDEX(RAW!$F:$F,MAX(2,F360)),""))</f>
        <v/>
      </c>
      <c r="C360" s="344"/>
      <c r="D360" s="346" t="str">
        <f>IF(F360="","",IFERROR(INDEX(RAW!$A:$A,MAX(2,F360)),""))</f>
        <v/>
      </c>
      <c r="E360" s="347" t="str">
        <f>IF(F360="","",IFERROR(INDEX(RAW!$K:$K,MAX(2,F360)),0))</f>
        <v/>
      </c>
      <c r="F360" s="344"/>
      <c r="G360" s="335" t="s">
        <v>2476</v>
      </c>
      <c r="O360" s="333" t="str">
        <f t="shared" si="42"/>
        <v/>
      </c>
      <c r="R360" s="335" t="str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  <v/>
      </c>
      <c r="S360" s="335">
        <f t="shared" si="43"/>
        <v>0</v>
      </c>
      <c r="T360" s="348">
        <f t="shared" si="44"/>
        <v>0</v>
      </c>
      <c r="U360" s="348">
        <f t="shared" si="45"/>
        <v>0</v>
      </c>
      <c r="V360" s="348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348">
        <f>IF(V360&gt;0,ROUNDUP(INDEX(RAW!$K:$K,MAX(2,F360))/1000,0)*1000-ROUNDUP((INDEX(RAW!$K:$K,MAX(2,F360))-V360)/1000,0)*1000,0)</f>
        <v>0</v>
      </c>
      <c r="X360" s="335">
        <f t="shared" si="46"/>
        <v>0</v>
      </c>
      <c r="Y360" s="335">
        <f>IF(X360=1,COUNTIF($X$100:X360,1),0)</f>
        <v>0</v>
      </c>
      <c r="Z360" s="348">
        <f t="shared" si="47"/>
        <v>0</v>
      </c>
    </row>
    <row r="361" spans="1:26" ht="16" hidden="1" outlineLevel="1">
      <c r="A361" s="335" t="str">
        <f t="shared" si="41"/>
        <v/>
      </c>
      <c r="B361" s="335" t="str">
        <f>IF(F361="","",IFERROR(INDEX(RAW!$F:$F,MAX(2,F361)),""))</f>
        <v/>
      </c>
      <c r="C361" s="344"/>
      <c r="D361" s="346" t="str">
        <f>IF(F361="","",IFERROR(INDEX(RAW!$A:$A,MAX(2,F361)),""))</f>
        <v/>
      </c>
      <c r="E361" s="347" t="str">
        <f>IF(F361="","",IFERROR(INDEX(RAW!$K:$K,MAX(2,F361)),0))</f>
        <v/>
      </c>
      <c r="F361" s="344"/>
      <c r="G361" s="335" t="s">
        <v>2476</v>
      </c>
      <c r="O361" s="333" t="str">
        <f t="shared" si="42"/>
        <v/>
      </c>
      <c r="R361" s="335" t="str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  <v/>
      </c>
      <c r="S361" s="335">
        <f t="shared" si="43"/>
        <v>0</v>
      </c>
      <c r="T361" s="348">
        <f t="shared" si="44"/>
        <v>0</v>
      </c>
      <c r="U361" s="348">
        <f t="shared" si="45"/>
        <v>0</v>
      </c>
      <c r="V361" s="348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348">
        <f>IF(V361&gt;0,ROUNDUP(INDEX(RAW!$K:$K,MAX(2,F361))/1000,0)*1000-ROUNDUP((INDEX(RAW!$K:$K,MAX(2,F361))-V361)/1000,0)*1000,0)</f>
        <v>0</v>
      </c>
      <c r="X361" s="335">
        <f t="shared" si="46"/>
        <v>0</v>
      </c>
      <c r="Y361" s="335">
        <f>IF(X361=1,COUNTIF($X$100:X361,1),0)</f>
        <v>0</v>
      </c>
      <c r="Z361" s="348">
        <f t="shared" si="47"/>
        <v>0</v>
      </c>
    </row>
    <row r="362" spans="1:26" ht="16" hidden="1" outlineLevel="1">
      <c r="A362" s="335" t="str">
        <f t="shared" si="41"/>
        <v/>
      </c>
      <c r="B362" s="335" t="str">
        <f>IF(F362="","",IFERROR(INDEX(RAW!$F:$F,MAX(2,F362)),""))</f>
        <v/>
      </c>
      <c r="C362" s="344"/>
      <c r="D362" s="346" t="str">
        <f>IF(F362="","",IFERROR(INDEX(RAW!$A:$A,MAX(2,F362)),""))</f>
        <v/>
      </c>
      <c r="E362" s="347" t="str">
        <f>IF(F362="","",IFERROR(INDEX(RAW!$K:$K,MAX(2,F362)),0))</f>
        <v/>
      </c>
      <c r="F362" s="344"/>
      <c r="G362" s="335" t="s">
        <v>2476</v>
      </c>
      <c r="O362" s="333" t="str">
        <f t="shared" si="42"/>
        <v/>
      </c>
      <c r="R362" s="335" t="str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  <v/>
      </c>
      <c r="S362" s="335">
        <f t="shared" si="43"/>
        <v>0</v>
      </c>
      <c r="T362" s="348">
        <f t="shared" si="44"/>
        <v>0</v>
      </c>
      <c r="U362" s="348">
        <f t="shared" si="45"/>
        <v>0</v>
      </c>
      <c r="V362" s="348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348">
        <f>IF(V362&gt;0,ROUNDUP(INDEX(RAW!$K:$K,MAX(2,F362))/1000,0)*1000-ROUNDUP((INDEX(RAW!$K:$K,MAX(2,F362))-V362)/1000,0)*1000,0)</f>
        <v>0</v>
      </c>
      <c r="X362" s="335">
        <f t="shared" si="46"/>
        <v>0</v>
      </c>
      <c r="Y362" s="335">
        <f>IF(X362=1,COUNTIF($X$100:X362,1),0)</f>
        <v>0</v>
      </c>
      <c r="Z362" s="348">
        <f t="shared" si="47"/>
        <v>0</v>
      </c>
    </row>
    <row r="363" spans="1:26" ht="16" hidden="1" outlineLevel="1">
      <c r="A363" s="335" t="str">
        <f t="shared" si="41"/>
        <v/>
      </c>
      <c r="B363" s="335" t="str">
        <f>IF(F363="","",IFERROR(INDEX(RAW!$F:$F,MAX(2,F363)),""))</f>
        <v/>
      </c>
      <c r="C363" s="344"/>
      <c r="D363" s="346" t="str">
        <f>IF(F363="","",IFERROR(INDEX(RAW!$A:$A,MAX(2,F363)),""))</f>
        <v/>
      </c>
      <c r="E363" s="347" t="str">
        <f>IF(F363="","",IFERROR(INDEX(RAW!$K:$K,MAX(2,F363)),0))</f>
        <v/>
      </c>
      <c r="F363" s="344"/>
      <c r="G363" s="335" t="s">
        <v>2476</v>
      </c>
      <c r="O363" s="333" t="str">
        <f t="shared" si="42"/>
        <v/>
      </c>
      <c r="R363" s="335" t="str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  <v/>
      </c>
      <c r="S363" s="335">
        <f t="shared" si="43"/>
        <v>0</v>
      </c>
      <c r="T363" s="348">
        <f t="shared" si="44"/>
        <v>0</v>
      </c>
      <c r="U363" s="348">
        <f t="shared" si="45"/>
        <v>0</v>
      </c>
      <c r="V363" s="348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348">
        <f>IF(V363&gt;0,ROUNDUP(INDEX(RAW!$K:$K,MAX(2,F363))/1000,0)*1000-ROUNDUP((INDEX(RAW!$K:$K,MAX(2,F363))-V363)/1000,0)*1000,0)</f>
        <v>0</v>
      </c>
      <c r="X363" s="335">
        <f t="shared" si="46"/>
        <v>0</v>
      </c>
      <c r="Y363" s="335">
        <f>IF(X363=1,COUNTIF($X$100:X363,1),0)</f>
        <v>0</v>
      </c>
      <c r="Z363" s="348">
        <f t="shared" si="47"/>
        <v>0</v>
      </c>
    </row>
    <row r="364" spans="1:26" ht="16" hidden="1" outlineLevel="1">
      <c r="A364" s="335" t="str">
        <f t="shared" si="41"/>
        <v/>
      </c>
      <c r="B364" s="335" t="str">
        <f>IF(F364="","",IFERROR(INDEX(RAW!$F:$F,MAX(2,F364)),""))</f>
        <v/>
      </c>
      <c r="C364" s="344"/>
      <c r="D364" s="346" t="str">
        <f>IF(F364="","",IFERROR(INDEX(RAW!$A:$A,MAX(2,F364)),""))</f>
        <v/>
      </c>
      <c r="E364" s="347" t="str">
        <f>IF(F364="","",IFERROR(INDEX(RAW!$K:$K,MAX(2,F364)),0))</f>
        <v/>
      </c>
      <c r="F364" s="344"/>
      <c r="G364" s="335" t="s">
        <v>2476</v>
      </c>
      <c r="O364" s="333" t="str">
        <f t="shared" si="42"/>
        <v/>
      </c>
      <c r="R364" s="335" t="str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  <v/>
      </c>
      <c r="S364" s="335">
        <f t="shared" si="43"/>
        <v>0</v>
      </c>
      <c r="T364" s="348">
        <f t="shared" si="44"/>
        <v>0</v>
      </c>
      <c r="U364" s="348">
        <f t="shared" si="45"/>
        <v>0</v>
      </c>
      <c r="V364" s="348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348">
        <f>IF(V364&gt;0,ROUNDUP(INDEX(RAW!$K:$K,MAX(2,F364))/1000,0)*1000-ROUNDUP((INDEX(RAW!$K:$K,MAX(2,F364))-V364)/1000,0)*1000,0)</f>
        <v>0</v>
      </c>
      <c r="X364" s="335">
        <f t="shared" si="46"/>
        <v>0</v>
      </c>
      <c r="Y364" s="335">
        <f>IF(X364=1,COUNTIF($X$100:X364,1),0)</f>
        <v>0</v>
      </c>
      <c r="Z364" s="348">
        <f t="shared" si="47"/>
        <v>0</v>
      </c>
    </row>
    <row r="365" spans="1:26" ht="16" hidden="1" outlineLevel="1">
      <c r="A365" s="335" t="str">
        <f t="shared" si="41"/>
        <v/>
      </c>
      <c r="B365" s="335" t="str">
        <f>IF(F365="","",IFERROR(INDEX(RAW!$F:$F,MAX(2,F365)),""))</f>
        <v/>
      </c>
      <c r="C365" s="344"/>
      <c r="D365" s="346" t="str">
        <f>IF(F365="","",IFERROR(INDEX(RAW!$A:$A,MAX(2,F365)),""))</f>
        <v/>
      </c>
      <c r="E365" s="347" t="str">
        <f>IF(F365="","",IFERROR(INDEX(RAW!$K:$K,MAX(2,F365)),0))</f>
        <v/>
      </c>
      <c r="F365" s="344"/>
      <c r="G365" s="335" t="s">
        <v>2476</v>
      </c>
      <c r="O365" s="333" t="str">
        <f t="shared" si="42"/>
        <v/>
      </c>
      <c r="R365" s="335" t="str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  <v/>
      </c>
      <c r="S365" s="335">
        <f t="shared" si="43"/>
        <v>0</v>
      </c>
      <c r="T365" s="348">
        <f t="shared" si="44"/>
        <v>0</v>
      </c>
      <c r="U365" s="348">
        <f t="shared" si="45"/>
        <v>0</v>
      </c>
      <c r="V365" s="348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348">
        <f>IF(V365&gt;0,ROUNDUP(INDEX(RAW!$K:$K,MAX(2,F365))/1000,0)*1000-ROUNDUP((INDEX(RAW!$K:$K,MAX(2,F365))-V365)/1000,0)*1000,0)</f>
        <v>0</v>
      </c>
      <c r="X365" s="335">
        <f t="shared" si="46"/>
        <v>0</v>
      </c>
      <c r="Y365" s="335">
        <f>IF(X365=1,COUNTIF($X$100:X365,1),0)</f>
        <v>0</v>
      </c>
      <c r="Z365" s="348">
        <f t="shared" si="47"/>
        <v>0</v>
      </c>
    </row>
    <row r="366" spans="1:26" ht="16" hidden="1" outlineLevel="1">
      <c r="A366" s="335" t="str">
        <f t="shared" si="41"/>
        <v/>
      </c>
      <c r="B366" s="335" t="str">
        <f>IF(F366="","",IFERROR(INDEX(RAW!$F:$F,MAX(2,F366)),""))</f>
        <v/>
      </c>
      <c r="C366" s="344"/>
      <c r="D366" s="346" t="str">
        <f>IF(F366="","",IFERROR(INDEX(RAW!$A:$A,MAX(2,F366)),""))</f>
        <v/>
      </c>
      <c r="E366" s="347" t="str">
        <f>IF(F366="","",IFERROR(INDEX(RAW!$K:$K,MAX(2,F366)),0))</f>
        <v/>
      </c>
      <c r="F366" s="344"/>
      <c r="G366" s="335" t="s">
        <v>2476</v>
      </c>
      <c r="O366" s="333" t="str">
        <f t="shared" si="42"/>
        <v/>
      </c>
      <c r="R366" s="335" t="str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  <v/>
      </c>
      <c r="S366" s="335">
        <f t="shared" si="43"/>
        <v>0</v>
      </c>
      <c r="T366" s="348">
        <f t="shared" si="44"/>
        <v>0</v>
      </c>
      <c r="U366" s="348">
        <f t="shared" si="45"/>
        <v>0</v>
      </c>
      <c r="V366" s="348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348">
        <f>IF(V366&gt;0,ROUNDUP(INDEX(RAW!$K:$K,MAX(2,F366))/1000,0)*1000-ROUNDUP((INDEX(RAW!$K:$K,MAX(2,F366))-V366)/1000,0)*1000,0)</f>
        <v>0</v>
      </c>
      <c r="X366" s="335">
        <f t="shared" si="46"/>
        <v>0</v>
      </c>
      <c r="Y366" s="335">
        <f>IF(X366=1,COUNTIF($X$100:X366,1),0)</f>
        <v>0</v>
      </c>
      <c r="Z366" s="348">
        <f t="shared" si="47"/>
        <v>0</v>
      </c>
    </row>
    <row r="367" spans="1:26" ht="16" hidden="1" outlineLevel="1">
      <c r="A367" s="335" t="str">
        <f t="shared" si="41"/>
        <v/>
      </c>
      <c r="B367" s="335" t="str">
        <f>IF(F367="","",IFERROR(INDEX(RAW!$F:$F,MAX(2,F367)),""))</f>
        <v/>
      </c>
      <c r="C367" s="344"/>
      <c r="D367" s="346" t="str">
        <f>IF(F367="","",IFERROR(INDEX(RAW!$A:$A,MAX(2,F367)),""))</f>
        <v/>
      </c>
      <c r="E367" s="347" t="str">
        <f>IF(F367="","",IFERROR(INDEX(RAW!$K:$K,MAX(2,F367)),0))</f>
        <v/>
      </c>
      <c r="F367" s="344"/>
      <c r="G367" s="335" t="s">
        <v>2476</v>
      </c>
      <c r="O367" s="333" t="str">
        <f t="shared" si="42"/>
        <v/>
      </c>
      <c r="R367" s="335" t="str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  <v/>
      </c>
      <c r="S367" s="335">
        <f t="shared" si="43"/>
        <v>0</v>
      </c>
      <c r="T367" s="348">
        <f t="shared" si="44"/>
        <v>0</v>
      </c>
      <c r="U367" s="348">
        <f t="shared" si="45"/>
        <v>0</v>
      </c>
      <c r="V367" s="348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348">
        <f>IF(V367&gt;0,ROUNDUP(INDEX(RAW!$K:$K,MAX(2,F367))/1000,0)*1000-ROUNDUP((INDEX(RAW!$K:$K,MAX(2,F367))-V367)/1000,0)*1000,0)</f>
        <v>0</v>
      </c>
      <c r="X367" s="335">
        <f t="shared" si="46"/>
        <v>0</v>
      </c>
      <c r="Y367" s="335">
        <f>IF(X367=1,COUNTIF($X$100:X367,1),0)</f>
        <v>0</v>
      </c>
      <c r="Z367" s="348">
        <f t="shared" si="47"/>
        <v>0</v>
      </c>
    </row>
    <row r="368" spans="1:26" ht="16" hidden="1" outlineLevel="1">
      <c r="A368" s="335" t="str">
        <f t="shared" si="41"/>
        <v/>
      </c>
      <c r="B368" s="335" t="str">
        <f>IF(F368="","",IFERROR(INDEX(RAW!$F:$F,MAX(2,F368)),""))</f>
        <v/>
      </c>
      <c r="C368" s="344"/>
      <c r="D368" s="346" t="str">
        <f>IF(F368="","",IFERROR(INDEX(RAW!$A:$A,MAX(2,F368)),""))</f>
        <v/>
      </c>
      <c r="E368" s="347" t="str">
        <f>IF(F368="","",IFERROR(INDEX(RAW!$K:$K,MAX(2,F368)),0))</f>
        <v/>
      </c>
      <c r="F368" s="344"/>
      <c r="G368" s="335" t="s">
        <v>2476</v>
      </c>
      <c r="O368" s="333" t="str">
        <f t="shared" si="42"/>
        <v/>
      </c>
      <c r="R368" s="335" t="str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  <v/>
      </c>
      <c r="S368" s="335">
        <f t="shared" si="43"/>
        <v>0</v>
      </c>
      <c r="T368" s="348">
        <f t="shared" si="44"/>
        <v>0</v>
      </c>
      <c r="U368" s="348">
        <f t="shared" si="45"/>
        <v>0</v>
      </c>
      <c r="V368" s="348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348">
        <f>IF(V368&gt;0,ROUNDUP(INDEX(RAW!$K:$K,MAX(2,F368))/1000,0)*1000-ROUNDUP((INDEX(RAW!$K:$K,MAX(2,F368))-V368)/1000,0)*1000,0)</f>
        <v>0</v>
      </c>
      <c r="X368" s="335">
        <f t="shared" si="46"/>
        <v>0</v>
      </c>
      <c r="Y368" s="335">
        <f>IF(X368=1,COUNTIF($X$100:X368,1),0)</f>
        <v>0</v>
      </c>
      <c r="Z368" s="348">
        <f t="shared" si="47"/>
        <v>0</v>
      </c>
    </row>
    <row r="369" spans="1:26" ht="16" hidden="1" outlineLevel="1">
      <c r="A369" s="335" t="str">
        <f t="shared" si="41"/>
        <v/>
      </c>
      <c r="B369" s="335" t="str">
        <f>IF(F369="","",IFERROR(INDEX(RAW!$F:$F,MAX(2,F369)),""))</f>
        <v/>
      </c>
      <c r="C369" s="344"/>
      <c r="D369" s="346" t="str">
        <f>IF(F369="","",IFERROR(INDEX(RAW!$A:$A,MAX(2,F369)),""))</f>
        <v/>
      </c>
      <c r="E369" s="347" t="str">
        <f>IF(F369="","",IFERROR(INDEX(RAW!$K:$K,MAX(2,F369)),0))</f>
        <v/>
      </c>
      <c r="F369" s="344"/>
      <c r="G369" s="335" t="s">
        <v>2476</v>
      </c>
      <c r="O369" s="333" t="str">
        <f t="shared" si="42"/>
        <v/>
      </c>
      <c r="R369" s="335" t="str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  <v/>
      </c>
      <c r="S369" s="335">
        <f t="shared" si="43"/>
        <v>0</v>
      </c>
      <c r="T369" s="348">
        <f t="shared" si="44"/>
        <v>0</v>
      </c>
      <c r="U369" s="348">
        <f t="shared" si="45"/>
        <v>0</v>
      </c>
      <c r="V369" s="348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348">
        <f>IF(V369&gt;0,ROUNDUP(INDEX(RAW!$K:$K,MAX(2,F369))/1000,0)*1000-ROUNDUP((INDEX(RAW!$K:$K,MAX(2,F369))-V369)/1000,0)*1000,0)</f>
        <v>0</v>
      </c>
      <c r="X369" s="335">
        <f t="shared" si="46"/>
        <v>0</v>
      </c>
      <c r="Y369" s="335">
        <f>IF(X369=1,COUNTIF($X$100:X369,1),0)</f>
        <v>0</v>
      </c>
      <c r="Z369" s="348">
        <f t="shared" si="47"/>
        <v>0</v>
      </c>
    </row>
    <row r="370" spans="1:26" ht="16" hidden="1" outlineLevel="1">
      <c r="A370" s="335" t="str">
        <f t="shared" ref="A370:A399" si="48">IF(F370="","",IF(F370&gt;0,"R"&amp;F370,""))</f>
        <v/>
      </c>
      <c r="B370" s="335" t="str">
        <f>IF(F370="","",IFERROR(INDEX(RAW!$F:$F,MAX(2,F370)),""))</f>
        <v/>
      </c>
      <c r="C370" s="344"/>
      <c r="D370" s="346" t="str">
        <f>IF(F370="","",IFERROR(INDEX(RAW!$A:$A,MAX(2,F370)),""))</f>
        <v/>
      </c>
      <c r="E370" s="347" t="str">
        <f>IF(F370="","",IFERROR(INDEX(RAW!$K:$K,MAX(2,F370)),0))</f>
        <v/>
      </c>
      <c r="F370" s="344"/>
      <c r="G370" s="335" t="s">
        <v>2476</v>
      </c>
      <c r="O370" s="333" t="str">
        <f t="shared" si="42"/>
        <v/>
      </c>
      <c r="R370" s="335" t="str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  <v/>
      </c>
      <c r="S370" s="335">
        <f t="shared" si="43"/>
        <v>0</v>
      </c>
      <c r="T370" s="348">
        <f t="shared" si="44"/>
        <v>0</v>
      </c>
      <c r="U370" s="348">
        <f t="shared" si="45"/>
        <v>0</v>
      </c>
      <c r="V370" s="348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348">
        <f>IF(V370&gt;0,ROUNDUP(INDEX(RAW!$K:$K,MAX(2,F370))/1000,0)*1000-ROUNDUP((INDEX(RAW!$K:$K,MAX(2,F370))-V370)/1000,0)*1000,0)</f>
        <v>0</v>
      </c>
      <c r="X370" s="335">
        <f t="shared" si="46"/>
        <v>0</v>
      </c>
      <c r="Y370" s="335">
        <f>IF(X370=1,COUNTIF($X$100:X370,1),0)</f>
        <v>0</v>
      </c>
      <c r="Z370" s="348">
        <f t="shared" si="47"/>
        <v>0</v>
      </c>
    </row>
    <row r="371" spans="1:26" ht="16" hidden="1" outlineLevel="1">
      <c r="A371" s="335" t="str">
        <f t="shared" si="48"/>
        <v/>
      </c>
      <c r="B371" s="335" t="str">
        <f>IF(F371="","",IFERROR(INDEX(RAW!$F:$F,MAX(2,F371)),""))</f>
        <v/>
      </c>
      <c r="C371" s="344"/>
      <c r="D371" s="346" t="str">
        <f>IF(F371="","",IFERROR(INDEX(RAW!$A:$A,MAX(2,F371)),""))</f>
        <v/>
      </c>
      <c r="E371" s="347" t="str">
        <f>IF(F371="","",IFERROR(INDEX(RAW!$K:$K,MAX(2,F371)),0))</f>
        <v/>
      </c>
      <c r="F371" s="344"/>
      <c r="G371" s="335" t="s">
        <v>2476</v>
      </c>
      <c r="O371" s="333" t="str">
        <f t="shared" si="42"/>
        <v/>
      </c>
      <c r="R371" s="335" t="str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  <v/>
      </c>
      <c r="S371" s="335">
        <f t="shared" si="43"/>
        <v>0</v>
      </c>
      <c r="T371" s="348">
        <f t="shared" si="44"/>
        <v>0</v>
      </c>
      <c r="U371" s="348">
        <f t="shared" si="45"/>
        <v>0</v>
      </c>
      <c r="V371" s="348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348">
        <f>IF(V371&gt;0,ROUNDUP(INDEX(RAW!$K:$K,MAX(2,F371))/1000,0)*1000-ROUNDUP((INDEX(RAW!$K:$K,MAX(2,F371))-V371)/1000,0)*1000,0)</f>
        <v>0</v>
      </c>
      <c r="X371" s="335">
        <f t="shared" si="46"/>
        <v>0</v>
      </c>
      <c r="Y371" s="335">
        <f>IF(X371=1,COUNTIF($X$100:X371,1),0)</f>
        <v>0</v>
      </c>
      <c r="Z371" s="348">
        <f t="shared" si="47"/>
        <v>0</v>
      </c>
    </row>
    <row r="372" spans="1:26" ht="16" hidden="1" outlineLevel="1">
      <c r="A372" s="335" t="str">
        <f t="shared" si="48"/>
        <v/>
      </c>
      <c r="B372" s="335" t="str">
        <f>IF(F372="","",IFERROR(INDEX(RAW!$F:$F,MAX(2,F372)),""))</f>
        <v/>
      </c>
      <c r="C372" s="344"/>
      <c r="D372" s="346" t="str">
        <f>IF(F372="","",IFERROR(INDEX(RAW!$A:$A,MAX(2,F372)),""))</f>
        <v/>
      </c>
      <c r="E372" s="347" t="str">
        <f>IF(F372="","",IFERROR(INDEX(RAW!$K:$K,MAX(2,F372)),0))</f>
        <v/>
      </c>
      <c r="F372" s="344"/>
      <c r="G372" s="335" t="s">
        <v>2476</v>
      </c>
      <c r="O372" s="333" t="str">
        <f t="shared" si="42"/>
        <v/>
      </c>
      <c r="R372" s="335" t="str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  <v/>
      </c>
      <c r="S372" s="335">
        <f t="shared" si="43"/>
        <v>0</v>
      </c>
      <c r="T372" s="348">
        <f t="shared" si="44"/>
        <v>0</v>
      </c>
      <c r="U372" s="348">
        <f t="shared" si="45"/>
        <v>0</v>
      </c>
      <c r="V372" s="348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348">
        <f>IF(V372&gt;0,ROUNDUP(INDEX(RAW!$K:$K,MAX(2,F372))/1000,0)*1000-ROUNDUP((INDEX(RAW!$K:$K,MAX(2,F372))-V372)/1000,0)*1000,0)</f>
        <v>0</v>
      </c>
      <c r="X372" s="335">
        <f t="shared" si="46"/>
        <v>0</v>
      </c>
      <c r="Y372" s="335">
        <f>IF(X372=1,COUNTIF($X$100:X372,1),0)</f>
        <v>0</v>
      </c>
      <c r="Z372" s="348">
        <f t="shared" si="47"/>
        <v>0</v>
      </c>
    </row>
    <row r="373" spans="1:26" ht="16" hidden="1" outlineLevel="1">
      <c r="A373" s="335" t="str">
        <f t="shared" si="48"/>
        <v/>
      </c>
      <c r="B373" s="335" t="str">
        <f>IF(F373="","",IFERROR(INDEX(RAW!$F:$F,MAX(2,F373)),""))</f>
        <v/>
      </c>
      <c r="C373" s="344"/>
      <c r="D373" s="346" t="str">
        <f>IF(F373="","",IFERROR(INDEX(RAW!$A:$A,MAX(2,F373)),""))</f>
        <v/>
      </c>
      <c r="E373" s="347" t="str">
        <f>IF(F373="","",IFERROR(INDEX(RAW!$K:$K,MAX(2,F373)),0))</f>
        <v/>
      </c>
      <c r="F373" s="344"/>
      <c r="G373" s="335" t="s">
        <v>2476</v>
      </c>
      <c r="O373" s="333" t="str">
        <f t="shared" si="42"/>
        <v/>
      </c>
      <c r="R373" s="335" t="str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  <v/>
      </c>
      <c r="S373" s="335">
        <f t="shared" si="43"/>
        <v>0</v>
      </c>
      <c r="T373" s="348">
        <f t="shared" si="44"/>
        <v>0</v>
      </c>
      <c r="U373" s="348">
        <f t="shared" si="45"/>
        <v>0</v>
      </c>
      <c r="V373" s="348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348">
        <f>IF(V373&gt;0,ROUNDUP(INDEX(RAW!$K:$K,MAX(2,F373))/1000,0)*1000-ROUNDUP((INDEX(RAW!$K:$K,MAX(2,F373))-V373)/1000,0)*1000,0)</f>
        <v>0</v>
      </c>
      <c r="X373" s="335">
        <f t="shared" si="46"/>
        <v>0</v>
      </c>
      <c r="Y373" s="335">
        <f>IF(X373=1,COUNTIF($X$100:X373,1),0)</f>
        <v>0</v>
      </c>
      <c r="Z373" s="348">
        <f t="shared" si="47"/>
        <v>0</v>
      </c>
    </row>
    <row r="374" spans="1:26" ht="16" hidden="1" outlineLevel="1">
      <c r="A374" s="335" t="str">
        <f t="shared" si="48"/>
        <v/>
      </c>
      <c r="B374" s="335" t="str">
        <f>IF(F374="","",IFERROR(INDEX(RAW!$F:$F,MAX(2,F374)),""))</f>
        <v/>
      </c>
      <c r="C374" s="344"/>
      <c r="D374" s="346" t="str">
        <f>IF(F374="","",IFERROR(INDEX(RAW!$A:$A,MAX(2,F374)),""))</f>
        <v/>
      </c>
      <c r="E374" s="347" t="str">
        <f>IF(F374="","",IFERROR(INDEX(RAW!$K:$K,MAX(2,F374)),0))</f>
        <v/>
      </c>
      <c r="F374" s="344"/>
      <c r="G374" s="335" t="s">
        <v>2476</v>
      </c>
      <c r="O374" s="333" t="str">
        <f t="shared" si="42"/>
        <v/>
      </c>
      <c r="R374" s="335" t="str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  <v/>
      </c>
      <c r="S374" s="335">
        <f t="shared" si="43"/>
        <v>0</v>
      </c>
      <c r="T374" s="348">
        <f t="shared" si="44"/>
        <v>0</v>
      </c>
      <c r="U374" s="348">
        <f t="shared" si="45"/>
        <v>0</v>
      </c>
      <c r="V374" s="348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348">
        <f>IF(V374&gt;0,ROUNDUP(INDEX(RAW!$K:$K,MAX(2,F374))/1000,0)*1000-ROUNDUP((INDEX(RAW!$K:$K,MAX(2,F374))-V374)/1000,0)*1000,0)</f>
        <v>0</v>
      </c>
      <c r="X374" s="335">
        <f t="shared" si="46"/>
        <v>0</v>
      </c>
      <c r="Y374" s="335">
        <f>IF(X374=1,COUNTIF($X$100:X374,1),0)</f>
        <v>0</v>
      </c>
      <c r="Z374" s="348">
        <f t="shared" si="47"/>
        <v>0</v>
      </c>
    </row>
    <row r="375" spans="1:26" ht="16" hidden="1" outlineLevel="1">
      <c r="A375" s="335" t="str">
        <f t="shared" si="48"/>
        <v/>
      </c>
      <c r="B375" s="335" t="str">
        <f>IF(F375="","",IFERROR(INDEX(RAW!$F:$F,MAX(2,F375)),""))</f>
        <v/>
      </c>
      <c r="C375" s="344"/>
      <c r="D375" s="346" t="str">
        <f>IF(F375="","",IFERROR(INDEX(RAW!$A:$A,MAX(2,F375)),""))</f>
        <v/>
      </c>
      <c r="E375" s="347" t="str">
        <f>IF(F375="","",IFERROR(INDEX(RAW!$K:$K,MAX(2,F375)),0))</f>
        <v/>
      </c>
      <c r="F375" s="344"/>
      <c r="G375" s="335" t="s">
        <v>2476</v>
      </c>
      <c r="O375" s="333" t="str">
        <f t="shared" si="42"/>
        <v/>
      </c>
      <c r="R375" s="335" t="str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  <v/>
      </c>
      <c r="S375" s="335">
        <f t="shared" si="43"/>
        <v>0</v>
      </c>
      <c r="T375" s="348">
        <f t="shared" si="44"/>
        <v>0</v>
      </c>
      <c r="U375" s="348">
        <f t="shared" si="45"/>
        <v>0</v>
      </c>
      <c r="V375" s="348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348">
        <f>IF(V375&gt;0,ROUNDUP(INDEX(RAW!$K:$K,MAX(2,F375))/1000,0)*1000-ROUNDUP((INDEX(RAW!$K:$K,MAX(2,F375))-V375)/1000,0)*1000,0)</f>
        <v>0</v>
      </c>
      <c r="X375" s="335">
        <f t="shared" si="46"/>
        <v>0</v>
      </c>
      <c r="Y375" s="335">
        <f>IF(X375=1,COUNTIF($X$100:X375,1),0)</f>
        <v>0</v>
      </c>
      <c r="Z375" s="348">
        <f t="shared" si="47"/>
        <v>0</v>
      </c>
    </row>
    <row r="376" spans="1:26" ht="16" hidden="1" outlineLevel="1">
      <c r="A376" s="335" t="str">
        <f t="shared" si="48"/>
        <v/>
      </c>
      <c r="B376" s="335" t="str">
        <f>IF(F376="","",IFERROR(INDEX(RAW!$F:$F,MAX(2,F376)),""))</f>
        <v/>
      </c>
      <c r="C376" s="344"/>
      <c r="D376" s="346" t="str">
        <f>IF(F376="","",IFERROR(INDEX(RAW!$A:$A,MAX(2,F376)),""))</f>
        <v/>
      </c>
      <c r="E376" s="347" t="str">
        <f>IF(F376="","",IFERROR(INDEX(RAW!$K:$K,MAX(2,F376)),0))</f>
        <v/>
      </c>
      <c r="F376" s="344"/>
      <c r="G376" s="335" t="s">
        <v>2476</v>
      </c>
      <c r="O376" s="333" t="str">
        <f t="shared" si="42"/>
        <v/>
      </c>
      <c r="R376" s="335" t="str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  <v/>
      </c>
      <c r="S376" s="335">
        <f t="shared" si="43"/>
        <v>0</v>
      </c>
      <c r="T376" s="348">
        <f t="shared" si="44"/>
        <v>0</v>
      </c>
      <c r="U376" s="348">
        <f t="shared" si="45"/>
        <v>0</v>
      </c>
      <c r="V376" s="348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348">
        <f>IF(V376&gt;0,ROUNDUP(INDEX(RAW!$K:$K,MAX(2,F376))/1000,0)*1000-ROUNDUP((INDEX(RAW!$K:$K,MAX(2,F376))-V376)/1000,0)*1000,0)</f>
        <v>0</v>
      </c>
      <c r="X376" s="335">
        <f t="shared" si="46"/>
        <v>0</v>
      </c>
      <c r="Y376" s="335">
        <f>IF(X376=1,COUNTIF($X$100:X376,1),0)</f>
        <v>0</v>
      </c>
      <c r="Z376" s="348">
        <f t="shared" si="47"/>
        <v>0</v>
      </c>
    </row>
    <row r="377" spans="1:26" ht="16" hidden="1" outlineLevel="1">
      <c r="A377" s="335" t="str">
        <f t="shared" si="48"/>
        <v/>
      </c>
      <c r="B377" s="335" t="str">
        <f>IF(F377="","",IFERROR(INDEX(RAW!$F:$F,MAX(2,F377)),""))</f>
        <v/>
      </c>
      <c r="C377" s="344"/>
      <c r="D377" s="346" t="str">
        <f>IF(F377="","",IFERROR(INDEX(RAW!$A:$A,MAX(2,F377)),""))</f>
        <v/>
      </c>
      <c r="E377" s="347" t="str">
        <f>IF(F377="","",IFERROR(INDEX(RAW!$K:$K,MAX(2,F377)),0))</f>
        <v/>
      </c>
      <c r="F377" s="344"/>
      <c r="G377" s="335" t="s">
        <v>2476</v>
      </c>
      <c r="O377" s="333" t="str">
        <f t="shared" si="42"/>
        <v/>
      </c>
      <c r="R377" s="335" t="str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  <v/>
      </c>
      <c r="S377" s="335">
        <f t="shared" si="43"/>
        <v>0</v>
      </c>
      <c r="T377" s="348">
        <f t="shared" si="44"/>
        <v>0</v>
      </c>
      <c r="U377" s="348">
        <f t="shared" si="45"/>
        <v>0</v>
      </c>
      <c r="V377" s="348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348">
        <f>IF(V377&gt;0,ROUNDUP(INDEX(RAW!$K:$K,MAX(2,F377))/1000,0)*1000-ROUNDUP((INDEX(RAW!$K:$K,MAX(2,F377))-V377)/1000,0)*1000,0)</f>
        <v>0</v>
      </c>
      <c r="X377" s="335">
        <f t="shared" si="46"/>
        <v>0</v>
      </c>
      <c r="Y377" s="335">
        <f>IF(X377=1,COUNTIF($X$100:X377,1),0)</f>
        <v>0</v>
      </c>
      <c r="Z377" s="348">
        <f t="shared" si="47"/>
        <v>0</v>
      </c>
    </row>
    <row r="378" spans="1:26" ht="16" hidden="1" outlineLevel="1">
      <c r="A378" s="335" t="str">
        <f t="shared" si="48"/>
        <v/>
      </c>
      <c r="B378" s="335" t="str">
        <f>IF(F378="","",IFERROR(INDEX(RAW!$F:$F,MAX(2,F378)),""))</f>
        <v/>
      </c>
      <c r="C378" s="344"/>
      <c r="D378" s="346" t="str">
        <f>IF(F378="","",IFERROR(INDEX(RAW!$A:$A,MAX(2,F378)),""))</f>
        <v/>
      </c>
      <c r="E378" s="347" t="str">
        <f>IF(F378="","",IFERROR(INDEX(RAW!$K:$K,MAX(2,F378)),0))</f>
        <v/>
      </c>
      <c r="F378" s="344"/>
      <c r="G378" s="335" t="s">
        <v>2476</v>
      </c>
      <c r="O378" s="333" t="str">
        <f t="shared" si="42"/>
        <v/>
      </c>
      <c r="R378" s="335" t="str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  <v/>
      </c>
      <c r="S378" s="335">
        <f t="shared" si="43"/>
        <v>0</v>
      </c>
      <c r="T378" s="348">
        <f t="shared" si="44"/>
        <v>0</v>
      </c>
      <c r="U378" s="348">
        <f t="shared" si="45"/>
        <v>0</v>
      </c>
      <c r="V378" s="348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348">
        <f>IF(V378&gt;0,ROUNDUP(INDEX(RAW!$K:$K,MAX(2,F378))/1000,0)*1000-ROUNDUP((INDEX(RAW!$K:$K,MAX(2,F378))-V378)/1000,0)*1000,0)</f>
        <v>0</v>
      </c>
      <c r="X378" s="335">
        <f t="shared" si="46"/>
        <v>0</v>
      </c>
      <c r="Y378" s="335">
        <f>IF(X378=1,COUNTIF($X$100:X378,1),0)</f>
        <v>0</v>
      </c>
      <c r="Z378" s="348">
        <f t="shared" si="47"/>
        <v>0</v>
      </c>
    </row>
    <row r="379" spans="1:26" ht="16" hidden="1" outlineLevel="1">
      <c r="A379" s="335" t="str">
        <f t="shared" si="48"/>
        <v/>
      </c>
      <c r="B379" s="335" t="str">
        <f>IF(F379="","",IFERROR(INDEX(RAW!$F:$F,MAX(2,F379)),""))</f>
        <v/>
      </c>
      <c r="C379" s="344"/>
      <c r="D379" s="346" t="str">
        <f>IF(F379="","",IFERROR(INDEX(RAW!$A:$A,MAX(2,F379)),""))</f>
        <v/>
      </c>
      <c r="E379" s="347" t="str">
        <f>IF(F379="","",IFERROR(INDEX(RAW!$K:$K,MAX(2,F379)),0))</f>
        <v/>
      </c>
      <c r="F379" s="344"/>
      <c r="G379" s="335" t="s">
        <v>2476</v>
      </c>
      <c r="O379" s="333" t="str">
        <f t="shared" si="42"/>
        <v/>
      </c>
      <c r="R379" s="335" t="str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  <v/>
      </c>
      <c r="S379" s="335">
        <f t="shared" si="43"/>
        <v>0</v>
      </c>
      <c r="T379" s="348">
        <f t="shared" si="44"/>
        <v>0</v>
      </c>
      <c r="U379" s="348">
        <f t="shared" si="45"/>
        <v>0</v>
      </c>
      <c r="V379" s="348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348">
        <f>IF(V379&gt;0,ROUNDUP(INDEX(RAW!$K:$K,MAX(2,F379))/1000,0)*1000-ROUNDUP((INDEX(RAW!$K:$K,MAX(2,F379))-V379)/1000,0)*1000,0)</f>
        <v>0</v>
      </c>
      <c r="X379" s="335">
        <f t="shared" si="46"/>
        <v>0</v>
      </c>
      <c r="Y379" s="335">
        <f>IF(X379=1,COUNTIF($X$100:X379,1),0)</f>
        <v>0</v>
      </c>
      <c r="Z379" s="348">
        <f t="shared" si="47"/>
        <v>0</v>
      </c>
    </row>
    <row r="380" spans="1:26" ht="16" hidden="1" outlineLevel="1">
      <c r="A380" s="335" t="str">
        <f t="shared" si="48"/>
        <v/>
      </c>
      <c r="B380" s="335" t="str">
        <f>IF(F380="","",IFERROR(INDEX(RAW!$F:$F,MAX(2,F380)),""))</f>
        <v/>
      </c>
      <c r="C380" s="344"/>
      <c r="D380" s="346" t="str">
        <f>IF(F380="","",IFERROR(INDEX(RAW!$A:$A,MAX(2,F380)),""))</f>
        <v/>
      </c>
      <c r="E380" s="347" t="str">
        <f>IF(F380="","",IFERROR(INDEX(RAW!$K:$K,MAX(2,F380)),0))</f>
        <v/>
      </c>
      <c r="F380" s="344"/>
      <c r="G380" s="335" t="s">
        <v>2476</v>
      </c>
      <c r="O380" s="333" t="str">
        <f t="shared" si="42"/>
        <v/>
      </c>
      <c r="R380" s="335" t="str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  <v/>
      </c>
      <c r="S380" s="335">
        <f t="shared" si="43"/>
        <v>0</v>
      </c>
      <c r="T380" s="348">
        <f t="shared" si="44"/>
        <v>0</v>
      </c>
      <c r="U380" s="348">
        <f t="shared" si="45"/>
        <v>0</v>
      </c>
      <c r="V380" s="348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348">
        <f>IF(V380&gt;0,ROUNDUP(INDEX(RAW!$K:$K,MAX(2,F380))/1000,0)*1000-ROUNDUP((INDEX(RAW!$K:$K,MAX(2,F380))-V380)/1000,0)*1000,0)</f>
        <v>0</v>
      </c>
      <c r="X380" s="335">
        <f t="shared" si="46"/>
        <v>0</v>
      </c>
      <c r="Y380" s="335">
        <f>IF(X380=1,COUNTIF($X$100:X380,1),0)</f>
        <v>0</v>
      </c>
      <c r="Z380" s="348">
        <f t="shared" si="47"/>
        <v>0</v>
      </c>
    </row>
    <row r="381" spans="1:26" ht="16" hidden="1" outlineLevel="1">
      <c r="A381" s="335" t="str">
        <f t="shared" si="48"/>
        <v/>
      </c>
      <c r="B381" s="335" t="str">
        <f>IF(F381="","",IFERROR(INDEX(RAW!$F:$F,MAX(2,F381)),""))</f>
        <v/>
      </c>
      <c r="C381" s="344"/>
      <c r="D381" s="346" t="str">
        <f>IF(F381="","",IFERROR(INDEX(RAW!$A:$A,MAX(2,F381)),""))</f>
        <v/>
      </c>
      <c r="E381" s="347" t="str">
        <f>IF(F381="","",IFERROR(INDEX(RAW!$K:$K,MAX(2,F381)),0))</f>
        <v/>
      </c>
      <c r="F381" s="344"/>
      <c r="G381" s="335" t="s">
        <v>2476</v>
      </c>
      <c r="O381" s="333" t="str">
        <f t="shared" si="42"/>
        <v/>
      </c>
      <c r="R381" s="335" t="str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  <v/>
      </c>
      <c r="S381" s="335">
        <f t="shared" si="43"/>
        <v>0</v>
      </c>
      <c r="T381" s="348">
        <f t="shared" si="44"/>
        <v>0</v>
      </c>
      <c r="U381" s="348">
        <f t="shared" si="45"/>
        <v>0</v>
      </c>
      <c r="V381" s="348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348">
        <f>IF(V381&gt;0,ROUNDUP(INDEX(RAW!$K:$K,MAX(2,F381))/1000,0)*1000-ROUNDUP((INDEX(RAW!$K:$K,MAX(2,F381))-V381)/1000,0)*1000,0)</f>
        <v>0</v>
      </c>
      <c r="X381" s="335">
        <f t="shared" si="46"/>
        <v>0</v>
      </c>
      <c r="Y381" s="335">
        <f>IF(X381=1,COUNTIF($X$100:X381,1),0)</f>
        <v>0</v>
      </c>
      <c r="Z381" s="348">
        <f t="shared" si="47"/>
        <v>0</v>
      </c>
    </row>
    <row r="382" spans="1:26" ht="16" hidden="1" outlineLevel="1">
      <c r="A382" s="335" t="str">
        <f t="shared" si="48"/>
        <v/>
      </c>
      <c r="B382" s="335" t="str">
        <f>IF(F382="","",IFERROR(INDEX(RAW!$F:$F,MAX(2,F382)),""))</f>
        <v/>
      </c>
      <c r="C382" s="344"/>
      <c r="D382" s="346" t="str">
        <f>IF(F382="","",IFERROR(INDEX(RAW!$A:$A,MAX(2,F382)),""))</f>
        <v/>
      </c>
      <c r="E382" s="347" t="str">
        <f>IF(F382="","",IFERROR(INDEX(RAW!$K:$K,MAX(2,F382)),0))</f>
        <v/>
      </c>
      <c r="F382" s="344"/>
      <c r="G382" s="335" t="s">
        <v>2476</v>
      </c>
      <c r="O382" s="333" t="str">
        <f t="shared" si="42"/>
        <v/>
      </c>
      <c r="R382" s="335" t="str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  <v/>
      </c>
      <c r="S382" s="335">
        <f t="shared" si="43"/>
        <v>0</v>
      </c>
      <c r="T382" s="348">
        <f t="shared" si="44"/>
        <v>0</v>
      </c>
      <c r="U382" s="348">
        <f t="shared" si="45"/>
        <v>0</v>
      </c>
      <c r="V382" s="348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348">
        <f>IF(V382&gt;0,ROUNDUP(INDEX(RAW!$K:$K,MAX(2,F382))/1000,0)*1000-ROUNDUP((INDEX(RAW!$K:$K,MAX(2,F382))-V382)/1000,0)*1000,0)</f>
        <v>0</v>
      </c>
      <c r="X382" s="335">
        <f t="shared" si="46"/>
        <v>0</v>
      </c>
      <c r="Y382" s="335">
        <f>IF(X382=1,COUNTIF($X$100:X382,1),0)</f>
        <v>0</v>
      </c>
      <c r="Z382" s="348">
        <f t="shared" si="47"/>
        <v>0</v>
      </c>
    </row>
    <row r="383" spans="1:26" ht="16" hidden="1" outlineLevel="1">
      <c r="A383" s="335" t="str">
        <f t="shared" si="48"/>
        <v/>
      </c>
      <c r="B383" s="335" t="str">
        <f>IF(F383="","",IFERROR(INDEX(RAW!$F:$F,MAX(2,F383)),""))</f>
        <v/>
      </c>
      <c r="C383" s="344"/>
      <c r="D383" s="346" t="str">
        <f>IF(F383="","",IFERROR(INDEX(RAW!$A:$A,MAX(2,F383)),""))</f>
        <v/>
      </c>
      <c r="E383" s="347" t="str">
        <f>IF(F383="","",IFERROR(INDEX(RAW!$K:$K,MAX(2,F383)),0))</f>
        <v/>
      </c>
      <c r="F383" s="344"/>
      <c r="G383" s="335" t="s">
        <v>2476</v>
      </c>
      <c r="O383" s="333" t="str">
        <f t="shared" si="42"/>
        <v/>
      </c>
      <c r="R383" s="335" t="str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  <v/>
      </c>
      <c r="S383" s="335">
        <f t="shared" si="43"/>
        <v>0</v>
      </c>
      <c r="T383" s="348">
        <f t="shared" si="44"/>
        <v>0</v>
      </c>
      <c r="U383" s="348">
        <f t="shared" si="45"/>
        <v>0</v>
      </c>
      <c r="V383" s="348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348">
        <f>IF(V383&gt;0,ROUNDUP(INDEX(RAW!$K:$K,MAX(2,F383))/1000,0)*1000-ROUNDUP((INDEX(RAW!$K:$K,MAX(2,F383))-V383)/1000,0)*1000,0)</f>
        <v>0</v>
      </c>
      <c r="X383" s="335">
        <f t="shared" si="46"/>
        <v>0</v>
      </c>
      <c r="Y383" s="335">
        <f>IF(X383=1,COUNTIF($X$100:X383,1),0)</f>
        <v>0</v>
      </c>
      <c r="Z383" s="348">
        <f t="shared" si="47"/>
        <v>0</v>
      </c>
    </row>
    <row r="384" spans="1:26" ht="16" hidden="1" outlineLevel="1">
      <c r="A384" s="335" t="str">
        <f t="shared" si="48"/>
        <v/>
      </c>
      <c r="B384" s="335" t="str">
        <f>IF(F384="","",IFERROR(INDEX(RAW!$F:$F,MAX(2,F384)),""))</f>
        <v/>
      </c>
      <c r="C384" s="344"/>
      <c r="D384" s="346" t="str">
        <f>IF(F384="","",IFERROR(INDEX(RAW!$A:$A,MAX(2,F384)),""))</f>
        <v/>
      </c>
      <c r="E384" s="347" t="str">
        <f>IF(F384="","",IFERROR(INDEX(RAW!$K:$K,MAX(2,F384)),0))</f>
        <v/>
      </c>
      <c r="F384" s="344"/>
      <c r="G384" s="335" t="s">
        <v>2476</v>
      </c>
      <c r="O384" s="333" t="str">
        <f t="shared" si="42"/>
        <v/>
      </c>
      <c r="R384" s="335" t="str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  <v/>
      </c>
      <c r="S384" s="335">
        <f t="shared" si="43"/>
        <v>0</v>
      </c>
      <c r="T384" s="348">
        <f t="shared" si="44"/>
        <v>0</v>
      </c>
      <c r="U384" s="348">
        <f t="shared" si="45"/>
        <v>0</v>
      </c>
      <c r="V384" s="348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348">
        <f>IF(V384&gt;0,ROUNDUP(INDEX(RAW!$K:$K,MAX(2,F384))/1000,0)*1000-ROUNDUP((INDEX(RAW!$K:$K,MAX(2,F384))-V384)/1000,0)*1000,0)</f>
        <v>0</v>
      </c>
      <c r="X384" s="335">
        <f t="shared" si="46"/>
        <v>0</v>
      </c>
      <c r="Y384" s="335">
        <f>IF(X384=1,COUNTIF($X$100:X384,1),0)</f>
        <v>0</v>
      </c>
      <c r="Z384" s="348">
        <f t="shared" si="47"/>
        <v>0</v>
      </c>
    </row>
    <row r="385" spans="1:26" ht="16" hidden="1" outlineLevel="1">
      <c r="A385" s="335" t="str">
        <f t="shared" si="48"/>
        <v/>
      </c>
      <c r="B385" s="335" t="str">
        <f>IF(F385="","",IFERROR(INDEX(RAW!$F:$F,MAX(2,F385)),""))</f>
        <v/>
      </c>
      <c r="C385" s="344"/>
      <c r="D385" s="346" t="str">
        <f>IF(F385="","",IFERROR(INDEX(RAW!$A:$A,MAX(2,F385)),""))</f>
        <v/>
      </c>
      <c r="E385" s="347" t="str">
        <f>IF(F385="","",IFERROR(INDEX(RAW!$K:$K,MAX(2,F385)),0))</f>
        <v/>
      </c>
      <c r="F385" s="344"/>
      <c r="G385" s="335" t="s">
        <v>2476</v>
      </c>
      <c r="O385" s="333" t="str">
        <f t="shared" si="42"/>
        <v/>
      </c>
      <c r="R385" s="335" t="str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  <v/>
      </c>
      <c r="S385" s="335">
        <f t="shared" si="43"/>
        <v>0</v>
      </c>
      <c r="T385" s="348">
        <f t="shared" si="44"/>
        <v>0</v>
      </c>
      <c r="U385" s="348">
        <f t="shared" si="45"/>
        <v>0</v>
      </c>
      <c r="V385" s="348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348">
        <f>IF(V385&gt;0,ROUNDUP(INDEX(RAW!$K:$K,MAX(2,F385))/1000,0)*1000-ROUNDUP((INDEX(RAW!$K:$K,MAX(2,F385))-V385)/1000,0)*1000,0)</f>
        <v>0</v>
      </c>
      <c r="X385" s="335">
        <f t="shared" si="46"/>
        <v>0</v>
      </c>
      <c r="Y385" s="335">
        <f>IF(X385=1,COUNTIF($X$100:X385,1),0)</f>
        <v>0</v>
      </c>
      <c r="Z385" s="348">
        <f t="shared" si="47"/>
        <v>0</v>
      </c>
    </row>
    <row r="386" spans="1:26" ht="16" hidden="1" outlineLevel="1">
      <c r="A386" s="335" t="str">
        <f t="shared" si="48"/>
        <v/>
      </c>
      <c r="B386" s="335" t="str">
        <f>IF(F386="","",IFERROR(INDEX(RAW!$F:$F,MAX(2,F386)),""))</f>
        <v/>
      </c>
      <c r="C386" s="344"/>
      <c r="D386" s="346" t="str">
        <f>IF(F386="","",IFERROR(INDEX(RAW!$A:$A,MAX(2,F386)),""))</f>
        <v/>
      </c>
      <c r="E386" s="347" t="str">
        <f>IF(F386="","",IFERROR(INDEX(RAW!$K:$K,MAX(2,F386)),0))</f>
        <v/>
      </c>
      <c r="F386" s="344"/>
      <c r="G386" s="335" t="s">
        <v>2476</v>
      </c>
      <c r="O386" s="333" t="str">
        <f t="shared" si="42"/>
        <v/>
      </c>
      <c r="R386" s="335" t="str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  <v/>
      </c>
      <c r="S386" s="335">
        <f t="shared" si="43"/>
        <v>0</v>
      </c>
      <c r="T386" s="348">
        <f t="shared" si="44"/>
        <v>0</v>
      </c>
      <c r="U386" s="348">
        <f t="shared" si="45"/>
        <v>0</v>
      </c>
      <c r="V386" s="348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348">
        <f>IF(V386&gt;0,ROUNDUP(INDEX(RAW!$K:$K,MAX(2,F386))/1000,0)*1000-ROUNDUP((INDEX(RAW!$K:$K,MAX(2,F386))-V386)/1000,0)*1000,0)</f>
        <v>0</v>
      </c>
      <c r="X386" s="335">
        <f t="shared" si="46"/>
        <v>0</v>
      </c>
      <c r="Y386" s="335">
        <f>IF(X386=1,COUNTIF($X$100:X386,1),0)</f>
        <v>0</v>
      </c>
      <c r="Z386" s="348">
        <f t="shared" si="47"/>
        <v>0</v>
      </c>
    </row>
    <row r="387" spans="1:26" ht="16" hidden="1" outlineLevel="1">
      <c r="A387" s="335" t="str">
        <f t="shared" si="48"/>
        <v/>
      </c>
      <c r="B387" s="335" t="str">
        <f>IF(F387="","",IFERROR(INDEX(RAW!$F:$F,MAX(2,F387)),""))</f>
        <v/>
      </c>
      <c r="C387" s="344"/>
      <c r="D387" s="346" t="str">
        <f>IF(F387="","",IFERROR(INDEX(RAW!$A:$A,MAX(2,F387)),""))</f>
        <v/>
      </c>
      <c r="E387" s="347" t="str">
        <f>IF(F387="","",IFERROR(INDEX(RAW!$K:$K,MAX(2,F387)),0))</f>
        <v/>
      </c>
      <c r="F387" s="344"/>
      <c r="G387" s="335" t="s">
        <v>2476</v>
      </c>
      <c r="O387" s="333" t="str">
        <f t="shared" si="42"/>
        <v/>
      </c>
      <c r="R387" s="335" t="str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  <v/>
      </c>
      <c r="S387" s="335">
        <f t="shared" si="43"/>
        <v>0</v>
      </c>
      <c r="T387" s="348">
        <f t="shared" si="44"/>
        <v>0</v>
      </c>
      <c r="U387" s="348">
        <f t="shared" si="45"/>
        <v>0</v>
      </c>
      <c r="V387" s="348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348">
        <f>IF(V387&gt;0,ROUNDUP(INDEX(RAW!$K:$K,MAX(2,F387))/1000,0)*1000-ROUNDUP((INDEX(RAW!$K:$K,MAX(2,F387))-V387)/1000,0)*1000,0)</f>
        <v>0</v>
      </c>
      <c r="X387" s="335">
        <f t="shared" si="46"/>
        <v>0</v>
      </c>
      <c r="Y387" s="335">
        <f>IF(X387=1,COUNTIF($X$100:X387,1),0)</f>
        <v>0</v>
      </c>
      <c r="Z387" s="348">
        <f t="shared" si="47"/>
        <v>0</v>
      </c>
    </row>
    <row r="388" spans="1:26" ht="16" hidden="1" outlineLevel="1">
      <c r="A388" s="335" t="str">
        <f t="shared" si="48"/>
        <v/>
      </c>
      <c r="B388" s="335" t="str">
        <f>IF(F388="","",IFERROR(INDEX(RAW!$F:$F,MAX(2,F388)),""))</f>
        <v/>
      </c>
      <c r="C388" s="344"/>
      <c r="D388" s="346" t="str">
        <f>IF(F388="","",IFERROR(INDEX(RAW!$A:$A,MAX(2,F388)),""))</f>
        <v/>
      </c>
      <c r="E388" s="347" t="str">
        <f>IF(F388="","",IFERROR(INDEX(RAW!$K:$K,MAX(2,F388)),0))</f>
        <v/>
      </c>
      <c r="F388" s="344"/>
      <c r="G388" s="335" t="s">
        <v>2476</v>
      </c>
      <c r="O388" s="333" t="str">
        <f t="shared" si="42"/>
        <v/>
      </c>
      <c r="R388" s="335" t="str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  <v/>
      </c>
      <c r="S388" s="335">
        <f t="shared" si="43"/>
        <v>0</v>
      </c>
      <c r="T388" s="348">
        <f t="shared" si="44"/>
        <v>0</v>
      </c>
      <c r="U388" s="348">
        <f t="shared" si="45"/>
        <v>0</v>
      </c>
      <c r="V388" s="348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348">
        <f>IF(V388&gt;0,ROUNDUP(INDEX(RAW!$K:$K,MAX(2,F388))/1000,0)*1000-ROUNDUP((INDEX(RAW!$K:$K,MAX(2,F388))-V388)/1000,0)*1000,0)</f>
        <v>0</v>
      </c>
      <c r="X388" s="335">
        <f t="shared" si="46"/>
        <v>0</v>
      </c>
      <c r="Y388" s="335">
        <f>IF(X388=1,COUNTIF($X$100:X388,1),0)</f>
        <v>0</v>
      </c>
      <c r="Z388" s="348">
        <f t="shared" si="47"/>
        <v>0</v>
      </c>
    </row>
    <row r="389" spans="1:26" ht="16" hidden="1" outlineLevel="1">
      <c r="A389" s="335" t="str">
        <f t="shared" si="48"/>
        <v/>
      </c>
      <c r="B389" s="335" t="str">
        <f>IF(F389="","",IFERROR(INDEX(RAW!$F:$F,MAX(2,F389)),""))</f>
        <v/>
      </c>
      <c r="C389" s="344"/>
      <c r="D389" s="346" t="str">
        <f>IF(F389="","",IFERROR(INDEX(RAW!$A:$A,MAX(2,F389)),""))</f>
        <v/>
      </c>
      <c r="E389" s="347" t="str">
        <f>IF(F389="","",IFERROR(INDEX(RAW!$K:$K,MAX(2,F389)),0))</f>
        <v/>
      </c>
      <c r="F389" s="344"/>
      <c r="G389" s="335" t="s">
        <v>2476</v>
      </c>
      <c r="O389" s="333" t="str">
        <f t="shared" si="42"/>
        <v/>
      </c>
      <c r="R389" s="335" t="str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  <v/>
      </c>
      <c r="S389" s="335">
        <f t="shared" si="43"/>
        <v>0</v>
      </c>
      <c r="T389" s="348">
        <f t="shared" si="44"/>
        <v>0</v>
      </c>
      <c r="U389" s="348">
        <f t="shared" si="45"/>
        <v>0</v>
      </c>
      <c r="V389" s="348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348">
        <f>IF(V389&gt;0,ROUNDUP(INDEX(RAW!$K:$K,MAX(2,F389))/1000,0)*1000-ROUNDUP((INDEX(RAW!$K:$K,MAX(2,F389))-V389)/1000,0)*1000,0)</f>
        <v>0</v>
      </c>
      <c r="X389" s="335">
        <f t="shared" si="46"/>
        <v>0</v>
      </c>
      <c r="Y389" s="335">
        <f>IF(X389=1,COUNTIF($X$100:X389,1),0)</f>
        <v>0</v>
      </c>
      <c r="Z389" s="348">
        <f t="shared" si="47"/>
        <v>0</v>
      </c>
    </row>
    <row r="390" spans="1:26" ht="16" hidden="1" outlineLevel="1">
      <c r="A390" s="335" t="str">
        <f t="shared" si="48"/>
        <v/>
      </c>
      <c r="B390" s="335" t="str">
        <f>IF(F390="","",IFERROR(INDEX(RAW!$F:$F,MAX(2,F390)),""))</f>
        <v/>
      </c>
      <c r="C390" s="344"/>
      <c r="D390" s="346" t="str">
        <f>IF(F390="","",IFERROR(INDEX(RAW!$A:$A,MAX(2,F390)),""))</f>
        <v/>
      </c>
      <c r="E390" s="347" t="str">
        <f>IF(F390="","",IFERROR(INDEX(RAW!$K:$K,MAX(2,F390)),0))</f>
        <v/>
      </c>
      <c r="F390" s="344"/>
      <c r="G390" s="335" t="s">
        <v>2476</v>
      </c>
      <c r="O390" s="333" t="str">
        <f t="shared" si="42"/>
        <v/>
      </c>
      <c r="R390" s="335" t="str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  <v/>
      </c>
      <c r="S390" s="335">
        <f t="shared" si="43"/>
        <v>0</v>
      </c>
      <c r="T390" s="348">
        <f t="shared" si="44"/>
        <v>0</v>
      </c>
      <c r="U390" s="348">
        <f t="shared" si="45"/>
        <v>0</v>
      </c>
      <c r="V390" s="348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348">
        <f>IF(V390&gt;0,ROUNDUP(INDEX(RAW!$K:$K,MAX(2,F390))/1000,0)*1000-ROUNDUP((INDEX(RAW!$K:$K,MAX(2,F390))-V390)/1000,0)*1000,0)</f>
        <v>0</v>
      </c>
      <c r="X390" s="335">
        <f t="shared" si="46"/>
        <v>0</v>
      </c>
      <c r="Y390" s="335">
        <f>IF(X390=1,COUNTIF($X$100:X390,1),0)</f>
        <v>0</v>
      </c>
      <c r="Z390" s="348">
        <f t="shared" si="47"/>
        <v>0</v>
      </c>
    </row>
    <row r="391" spans="1:26" ht="16" hidden="1" outlineLevel="1">
      <c r="A391" s="335" t="str">
        <f t="shared" si="48"/>
        <v/>
      </c>
      <c r="B391" s="335" t="str">
        <f>IF(F391="","",IFERROR(INDEX(RAW!$F:$F,MAX(2,F391)),""))</f>
        <v/>
      </c>
      <c r="C391" s="344"/>
      <c r="D391" s="346" t="str">
        <f>IF(F391="","",IFERROR(INDEX(RAW!$A:$A,MAX(2,F391)),""))</f>
        <v/>
      </c>
      <c r="E391" s="347" t="str">
        <f>IF(F391="","",IFERROR(INDEX(RAW!$K:$K,MAX(2,F391)),0))</f>
        <v/>
      </c>
      <c r="F391" s="344"/>
      <c r="G391" s="335" t="s">
        <v>2476</v>
      </c>
      <c r="O391" s="333" t="str">
        <f t="shared" si="42"/>
        <v/>
      </c>
      <c r="R391" s="335" t="str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  <v/>
      </c>
      <c r="S391" s="335">
        <f t="shared" si="43"/>
        <v>0</v>
      </c>
      <c r="T391" s="348">
        <f t="shared" si="44"/>
        <v>0</v>
      </c>
      <c r="U391" s="348">
        <f t="shared" si="45"/>
        <v>0</v>
      </c>
      <c r="V391" s="348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348">
        <f>IF(V391&gt;0,ROUNDUP(INDEX(RAW!$K:$K,MAX(2,F391))/1000,0)*1000-ROUNDUP((INDEX(RAW!$K:$K,MAX(2,F391))-V391)/1000,0)*1000,0)</f>
        <v>0</v>
      </c>
      <c r="X391" s="335">
        <f t="shared" si="46"/>
        <v>0</v>
      </c>
      <c r="Y391" s="335">
        <f>IF(X391=1,COUNTIF($X$100:X391,1),0)</f>
        <v>0</v>
      </c>
      <c r="Z391" s="348">
        <f t="shared" si="47"/>
        <v>0</v>
      </c>
    </row>
    <row r="392" spans="1:26" ht="16" hidden="1" outlineLevel="1">
      <c r="A392" s="335" t="str">
        <f t="shared" si="48"/>
        <v/>
      </c>
      <c r="B392" s="335" t="str">
        <f>IF(F392="","",IFERROR(INDEX(RAW!$F:$F,MAX(2,F392)),""))</f>
        <v/>
      </c>
      <c r="C392" s="344"/>
      <c r="D392" s="346" t="str">
        <f>IF(F392="","",IFERROR(INDEX(RAW!$A:$A,MAX(2,F392)),""))</f>
        <v/>
      </c>
      <c r="E392" s="347" t="str">
        <f>IF(F392="","",IFERROR(INDEX(RAW!$K:$K,MAX(2,F392)),0))</f>
        <v/>
      </c>
      <c r="F392" s="344"/>
      <c r="G392" s="335" t="s">
        <v>2476</v>
      </c>
      <c r="O392" s="333" t="str">
        <f t="shared" si="42"/>
        <v/>
      </c>
      <c r="R392" s="335" t="str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  <v/>
      </c>
      <c r="S392" s="335">
        <f t="shared" si="43"/>
        <v>0</v>
      </c>
      <c r="T392" s="348">
        <f t="shared" si="44"/>
        <v>0</v>
      </c>
      <c r="U392" s="348">
        <f t="shared" si="45"/>
        <v>0</v>
      </c>
      <c r="V392" s="348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348">
        <f>IF(V392&gt;0,ROUNDUP(INDEX(RAW!$K:$K,MAX(2,F392))/1000,0)*1000-ROUNDUP((INDEX(RAW!$K:$K,MAX(2,F392))-V392)/1000,0)*1000,0)</f>
        <v>0</v>
      </c>
      <c r="X392" s="335">
        <f t="shared" si="46"/>
        <v>0</v>
      </c>
      <c r="Y392" s="335">
        <f>IF(X392=1,COUNTIF($X$100:X392,1),0)</f>
        <v>0</v>
      </c>
      <c r="Z392" s="348">
        <f t="shared" si="47"/>
        <v>0</v>
      </c>
    </row>
    <row r="393" spans="1:26" ht="16" hidden="1" outlineLevel="1">
      <c r="A393" s="335" t="str">
        <f t="shared" si="48"/>
        <v/>
      </c>
      <c r="B393" s="335" t="str">
        <f>IF(F393="","",IFERROR(INDEX(RAW!$F:$F,MAX(2,F393)),""))</f>
        <v/>
      </c>
      <c r="C393" s="344"/>
      <c r="D393" s="346" t="str">
        <f>IF(F393="","",IFERROR(INDEX(RAW!$A:$A,MAX(2,F393)),""))</f>
        <v/>
      </c>
      <c r="E393" s="347" t="str">
        <f>IF(F393="","",IFERROR(INDEX(RAW!$K:$K,MAX(2,F393)),0))</f>
        <v/>
      </c>
      <c r="F393" s="344"/>
      <c r="G393" s="335" t="s">
        <v>2476</v>
      </c>
      <c r="O393" s="333" t="str">
        <f t="shared" si="42"/>
        <v/>
      </c>
      <c r="R393" s="335" t="str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  <v/>
      </c>
      <c r="S393" s="335">
        <f t="shared" si="43"/>
        <v>0</v>
      </c>
      <c r="T393" s="348">
        <f t="shared" si="44"/>
        <v>0</v>
      </c>
      <c r="U393" s="348">
        <f t="shared" si="45"/>
        <v>0</v>
      </c>
      <c r="V393" s="348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348">
        <f>IF(V393&gt;0,ROUNDUP(INDEX(RAW!$K:$K,MAX(2,F393))/1000,0)*1000-ROUNDUP((INDEX(RAW!$K:$K,MAX(2,F393))-V393)/1000,0)*1000,0)</f>
        <v>0</v>
      </c>
      <c r="X393" s="335">
        <f t="shared" si="46"/>
        <v>0</v>
      </c>
      <c r="Y393" s="335">
        <f>IF(X393=1,COUNTIF($X$100:X393,1),0)</f>
        <v>0</v>
      </c>
      <c r="Z393" s="348">
        <f t="shared" si="47"/>
        <v>0</v>
      </c>
    </row>
    <row r="394" spans="1:26" ht="16" hidden="1" outlineLevel="1">
      <c r="A394" s="335" t="str">
        <f t="shared" si="48"/>
        <v/>
      </c>
      <c r="B394" s="335" t="str">
        <f>IF(F394="","",IFERROR(INDEX(RAW!$F:$F,MAX(2,F394)),""))</f>
        <v/>
      </c>
      <c r="C394" s="344"/>
      <c r="D394" s="346" t="str">
        <f>IF(F394="","",IFERROR(INDEX(RAW!$A:$A,MAX(2,F394)),""))</f>
        <v/>
      </c>
      <c r="E394" s="347" t="str">
        <f>IF(F394="","",IFERROR(INDEX(RAW!$K:$K,MAX(2,F394)),0))</f>
        <v/>
      </c>
      <c r="F394" s="344"/>
      <c r="G394" s="335" t="s">
        <v>2476</v>
      </c>
      <c r="O394" s="333" t="str">
        <f t="shared" si="42"/>
        <v/>
      </c>
      <c r="R394" s="335" t="str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  <v/>
      </c>
      <c r="S394" s="335">
        <f t="shared" si="43"/>
        <v>0</v>
      </c>
      <c r="T394" s="348">
        <f t="shared" si="44"/>
        <v>0</v>
      </c>
      <c r="U394" s="348">
        <f t="shared" si="45"/>
        <v>0</v>
      </c>
      <c r="V394" s="348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348">
        <f>IF(V394&gt;0,ROUNDUP(INDEX(RAW!$K:$K,MAX(2,F394))/1000,0)*1000-ROUNDUP((INDEX(RAW!$K:$K,MAX(2,F394))-V394)/1000,0)*1000,0)</f>
        <v>0</v>
      </c>
      <c r="X394" s="335">
        <f t="shared" si="46"/>
        <v>0</v>
      </c>
      <c r="Y394" s="335">
        <f>IF(X394=1,COUNTIF($X$100:X394,1),0)</f>
        <v>0</v>
      </c>
      <c r="Z394" s="348">
        <f t="shared" si="47"/>
        <v>0</v>
      </c>
    </row>
    <row r="395" spans="1:26" ht="16" hidden="1" outlineLevel="1">
      <c r="A395" s="335" t="str">
        <f t="shared" si="48"/>
        <v/>
      </c>
      <c r="B395" s="335" t="str">
        <f>IF(F395="","",IFERROR(INDEX(RAW!$F:$F,MAX(2,F395)),""))</f>
        <v/>
      </c>
      <c r="C395" s="344"/>
      <c r="D395" s="346" t="str">
        <f>IF(F395="","",IFERROR(INDEX(RAW!$A:$A,MAX(2,F395)),""))</f>
        <v/>
      </c>
      <c r="E395" s="347" t="str">
        <f>IF(F395="","",IFERROR(INDEX(RAW!$K:$K,MAX(2,F395)),0))</f>
        <v/>
      </c>
      <c r="F395" s="344"/>
      <c r="G395" s="335" t="s">
        <v>2476</v>
      </c>
      <c r="O395" s="333" t="str">
        <f t="shared" si="42"/>
        <v/>
      </c>
      <c r="R395" s="335" t="str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  <v/>
      </c>
      <c r="S395" s="335">
        <f t="shared" si="43"/>
        <v>0</v>
      </c>
      <c r="T395" s="348">
        <f t="shared" si="44"/>
        <v>0</v>
      </c>
      <c r="U395" s="348">
        <f t="shared" si="45"/>
        <v>0</v>
      </c>
      <c r="V395" s="348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348">
        <f>IF(V395&gt;0,ROUNDUP(INDEX(RAW!$K:$K,MAX(2,F395))/1000,0)*1000-ROUNDUP((INDEX(RAW!$K:$K,MAX(2,F395))-V395)/1000,0)*1000,0)</f>
        <v>0</v>
      </c>
      <c r="X395" s="335">
        <f t="shared" si="46"/>
        <v>0</v>
      </c>
      <c r="Y395" s="335">
        <f>IF(X395=1,COUNTIF($X$100:X395,1),0)</f>
        <v>0</v>
      </c>
      <c r="Z395" s="348">
        <f t="shared" si="47"/>
        <v>0</v>
      </c>
    </row>
    <row r="396" spans="1:26" ht="16" hidden="1" outlineLevel="1">
      <c r="A396" s="335" t="str">
        <f t="shared" si="48"/>
        <v/>
      </c>
      <c r="B396" s="335" t="str">
        <f>IF(F396="","",IFERROR(INDEX(RAW!$F:$F,MAX(2,F396)),""))</f>
        <v/>
      </c>
      <c r="C396" s="344"/>
      <c r="D396" s="346" t="str">
        <f>IF(F396="","",IFERROR(INDEX(RAW!$A:$A,MAX(2,F396)),""))</f>
        <v/>
      </c>
      <c r="E396" s="347" t="str">
        <f>IF(F396="","",IFERROR(INDEX(RAW!$K:$K,MAX(2,F396)),0))</f>
        <v/>
      </c>
      <c r="F396" s="344"/>
      <c r="G396" s="335" t="s">
        <v>2476</v>
      </c>
      <c r="O396" s="333" t="str">
        <f t="shared" si="42"/>
        <v/>
      </c>
      <c r="R396" s="335" t="str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  <v/>
      </c>
      <c r="S396" s="335">
        <f t="shared" si="43"/>
        <v>0</v>
      </c>
      <c r="T396" s="348">
        <f t="shared" si="44"/>
        <v>0</v>
      </c>
      <c r="U396" s="348">
        <f t="shared" si="45"/>
        <v>0</v>
      </c>
      <c r="V396" s="348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348">
        <f>IF(V396&gt;0,ROUNDUP(INDEX(RAW!$K:$K,MAX(2,F396))/1000,0)*1000-ROUNDUP((INDEX(RAW!$K:$K,MAX(2,F396))-V396)/1000,0)*1000,0)</f>
        <v>0</v>
      </c>
      <c r="X396" s="335">
        <f t="shared" si="46"/>
        <v>0</v>
      </c>
      <c r="Y396" s="335">
        <f>IF(X396=1,COUNTIF($X$100:X396,1),0)</f>
        <v>0</v>
      </c>
      <c r="Z396" s="348">
        <f t="shared" si="47"/>
        <v>0</v>
      </c>
    </row>
    <row r="397" spans="1:26" ht="16" hidden="1" outlineLevel="1">
      <c r="A397" s="335" t="str">
        <f t="shared" si="48"/>
        <v/>
      </c>
      <c r="B397" s="335" t="str">
        <f>IF(F397="","",IFERROR(INDEX(RAW!$F:$F,MAX(2,F397)),""))</f>
        <v/>
      </c>
      <c r="C397" s="344"/>
      <c r="D397" s="346" t="str">
        <f>IF(F397="","",IFERROR(INDEX(RAW!$A:$A,MAX(2,F397)),""))</f>
        <v/>
      </c>
      <c r="E397" s="347" t="str">
        <f>IF(F397="","",IFERROR(INDEX(RAW!$K:$K,MAX(2,F397)),0))</f>
        <v/>
      </c>
      <c r="F397" s="344"/>
      <c r="G397" s="335" t="s">
        <v>2476</v>
      </c>
      <c r="O397" s="333" t="str">
        <f t="shared" si="42"/>
        <v/>
      </c>
      <c r="R397" s="335" t="str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  <v/>
      </c>
      <c r="S397" s="335">
        <f t="shared" si="43"/>
        <v>0</v>
      </c>
      <c r="T397" s="348">
        <f t="shared" si="44"/>
        <v>0</v>
      </c>
      <c r="U397" s="348">
        <f t="shared" si="45"/>
        <v>0</v>
      </c>
      <c r="V397" s="348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348">
        <f>IF(V397&gt;0,ROUNDUP(INDEX(RAW!$K:$K,MAX(2,F397))/1000,0)*1000-ROUNDUP((INDEX(RAW!$K:$K,MAX(2,F397))-V397)/1000,0)*1000,0)</f>
        <v>0</v>
      </c>
      <c r="X397" s="335">
        <f t="shared" si="46"/>
        <v>0</v>
      </c>
      <c r="Y397" s="335">
        <f>IF(X397=1,COUNTIF($X$100:X397,1),0)</f>
        <v>0</v>
      </c>
      <c r="Z397" s="348">
        <f t="shared" si="47"/>
        <v>0</v>
      </c>
    </row>
    <row r="398" spans="1:26" ht="16" hidden="1" outlineLevel="1">
      <c r="A398" s="335" t="str">
        <f t="shared" si="48"/>
        <v/>
      </c>
      <c r="B398" s="335" t="str">
        <f>IF(F398="","",IFERROR(INDEX(RAW!$F:$F,MAX(2,F398)),""))</f>
        <v/>
      </c>
      <c r="C398" s="344"/>
      <c r="D398" s="346" t="str">
        <f>IF(F398="","",IFERROR(INDEX(RAW!$A:$A,MAX(2,F398)),""))</f>
        <v/>
      </c>
      <c r="E398" s="347" t="str">
        <f>IF(F398="","",IFERROR(INDEX(RAW!$K:$K,MAX(2,F398)),0))</f>
        <v/>
      </c>
      <c r="F398" s="344"/>
      <c r="G398" s="335" t="s">
        <v>2476</v>
      </c>
      <c r="O398" s="333" t="str">
        <f t="shared" si="42"/>
        <v/>
      </c>
      <c r="R398" s="335" t="str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  <v/>
      </c>
      <c r="S398" s="335">
        <f t="shared" si="43"/>
        <v>0</v>
      </c>
      <c r="T398" s="348">
        <f t="shared" si="44"/>
        <v>0</v>
      </c>
      <c r="U398" s="348">
        <f t="shared" si="45"/>
        <v>0</v>
      </c>
      <c r="V398" s="348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348">
        <f>IF(V398&gt;0,ROUNDUP(INDEX(RAW!$K:$K,MAX(2,F398))/1000,0)*1000-ROUNDUP((INDEX(RAW!$K:$K,MAX(2,F398))-V398)/1000,0)*1000,0)</f>
        <v>0</v>
      </c>
      <c r="X398" s="335">
        <f t="shared" si="46"/>
        <v>0</v>
      </c>
      <c r="Y398" s="335">
        <f>IF(X398=1,COUNTIF($X$100:X398,1),0)</f>
        <v>0</v>
      </c>
      <c r="Z398" s="348">
        <f t="shared" si="47"/>
        <v>0</v>
      </c>
    </row>
    <row r="399" spans="1:26" ht="16" hidden="1" outlineLevel="1">
      <c r="A399" s="335" t="str">
        <f t="shared" si="48"/>
        <v/>
      </c>
      <c r="B399" s="335" t="str">
        <f>IF(F399="","",IFERROR(INDEX(RAW!$F:$F,MAX(2,F399)),""))</f>
        <v/>
      </c>
      <c r="C399" s="344"/>
      <c r="D399" s="346" t="str">
        <f>IF(F399="","",IFERROR(INDEX(RAW!$A:$A,MAX(2,F399)),""))</f>
        <v/>
      </c>
      <c r="E399" s="347" t="str">
        <f>IF(F399="","",IFERROR(INDEX(RAW!$K:$K,MAX(2,F399)),0))</f>
        <v/>
      </c>
      <c r="F399" s="344"/>
      <c r="G399" s="335" t="s">
        <v>2476</v>
      </c>
      <c r="O399" s="333" t="str">
        <f t="shared" si="42"/>
        <v/>
      </c>
      <c r="R399" s="335" t="str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  <v/>
      </c>
      <c r="S399" s="335">
        <f t="shared" si="43"/>
        <v>0</v>
      </c>
      <c r="T399" s="348">
        <f t="shared" si="44"/>
        <v>0</v>
      </c>
      <c r="U399" s="348">
        <f t="shared" si="45"/>
        <v>0</v>
      </c>
      <c r="V399" s="348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348">
        <f>IF(V399&gt;0,ROUNDUP(INDEX(RAW!$K:$K,MAX(2,F399))/1000,0)*1000-ROUNDUP((INDEX(RAW!$K:$K,MAX(2,F399))-V399)/1000,0)*1000,0)</f>
        <v>0</v>
      </c>
      <c r="X399" s="335">
        <f t="shared" si="46"/>
        <v>0</v>
      </c>
      <c r="Y399" s="335">
        <f>IF(X399=1,COUNTIF($X$100:X399,1),0)</f>
        <v>0</v>
      </c>
      <c r="Z399" s="348">
        <f t="shared" si="47"/>
        <v>0</v>
      </c>
    </row>
    <row r="400" spans="1:26">
      <c r="A400" s="401" t="str">
        <f>HYPERLINK("#'예비비'!A1","현황으로 돌아가기 ↑")</f>
        <v>현황으로 돌아가기 ↑</v>
      </c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</row>
    <row r="428" spans="1:15">
      <c r="A428" s="398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404"/>
      <c r="C428" s="404"/>
      <c r="D428" s="404"/>
      <c r="E428" s="404"/>
      <c r="F428" s="404"/>
      <c r="G428" s="404"/>
      <c r="H428" s="404"/>
      <c r="I428" s="404"/>
      <c r="J428" s="404"/>
      <c r="K428" s="404"/>
      <c r="L428" s="404"/>
      <c r="M428" s="404"/>
      <c r="N428" s="404"/>
      <c r="O428" s="404"/>
    </row>
    <row r="429" spans="1:15" ht="30" customHeight="1" collapsed="1">
      <c r="A429" s="338" t="s">
        <v>2478</v>
      </c>
      <c r="B429" s="338" t="s">
        <v>2450</v>
      </c>
      <c r="C429" s="338" t="s">
        <v>2479</v>
      </c>
      <c r="D429" s="338" t="s">
        <v>2480</v>
      </c>
      <c r="E429" s="338" t="s">
        <v>2443</v>
      </c>
      <c r="F429" s="338" t="s">
        <v>2481</v>
      </c>
      <c r="G429" s="338" t="s">
        <v>36</v>
      </c>
      <c r="H429" s="338" t="s">
        <v>2482</v>
      </c>
      <c r="I429" s="338" t="s">
        <v>215</v>
      </c>
      <c r="J429" s="338" t="s">
        <v>2483</v>
      </c>
      <c r="K429" s="338" t="s">
        <v>2484</v>
      </c>
      <c r="L429" s="338" t="s">
        <v>2485</v>
      </c>
      <c r="M429" s="338" t="s">
        <v>2486</v>
      </c>
      <c r="N429" s="338" t="s">
        <v>2487</v>
      </c>
      <c r="O429" s="338" t="s">
        <v>2488</v>
      </c>
    </row>
    <row r="430" spans="1:15" ht="64" hidden="1" outlineLevel="1">
      <c r="A430" s="335" t="str">
        <f t="shared" ref="A430:A493" si="49">IF(B430="","","S"&amp;ROW())</f>
        <v>S430</v>
      </c>
      <c r="B430" s="344" t="s">
        <v>2454</v>
      </c>
      <c r="C430" s="344"/>
      <c r="D430" s="347">
        <v>50000</v>
      </c>
      <c r="E430" s="334">
        <v>46082</v>
      </c>
      <c r="F430" s="335" t="s">
        <v>2489</v>
      </c>
      <c r="G430" s="335" t="s">
        <v>2490</v>
      </c>
      <c r="H430" s="335" t="s">
        <v>2491</v>
      </c>
      <c r="I430" s="335" t="s">
        <v>2492</v>
      </c>
      <c r="J430" s="335" t="str">
        <f t="shared" ref="J430:J493" si="50">IFERROR(INDEX($C$100:$C$399,MATCH(B430,$A$100:$A$399,0)),"")</f>
        <v>경조사비</v>
      </c>
      <c r="K430" s="346">
        <f t="shared" ref="K430:K493" si="51">IFERROR(INDEX($D$100:$D$399,MATCH(B430,$A$100:$A$399,0)),"")</f>
        <v>46023</v>
      </c>
      <c r="L430" s="335">
        <f t="shared" ref="L430:L493" si="52">IFERROR(INDEX($S$100:$S$399,MATCH(B430,$A$100:$A$399,0)),"")</f>
        <v>46023</v>
      </c>
      <c r="M430" s="335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335" t="str">
        <f t="shared" ref="N430:N493" si="53"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348">
        <f t="shared" ref="O430:O493" si="54">IF(N430="OK",D430,0)</f>
        <v>50000</v>
      </c>
    </row>
    <row r="431" spans="1:15" ht="80" hidden="1" outlineLevel="1">
      <c r="A431" s="335" t="str">
        <f t="shared" si="49"/>
        <v>S431</v>
      </c>
      <c r="B431" s="344" t="s">
        <v>2457</v>
      </c>
      <c r="C431" s="344"/>
      <c r="D431" s="347">
        <v>100000</v>
      </c>
      <c r="E431" s="334">
        <v>46082</v>
      </c>
      <c r="F431" s="335" t="s">
        <v>2489</v>
      </c>
      <c r="G431" s="335" t="s">
        <v>2490</v>
      </c>
      <c r="H431" s="335" t="s">
        <v>2491</v>
      </c>
      <c r="I431" s="335" t="s">
        <v>2493</v>
      </c>
      <c r="J431" s="335" t="str">
        <f t="shared" si="50"/>
        <v>명절비</v>
      </c>
      <c r="K431" s="346">
        <f t="shared" si="51"/>
        <v>46054</v>
      </c>
      <c r="L431" s="335">
        <f t="shared" si="52"/>
        <v>46054</v>
      </c>
      <c r="M431" s="335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335" t="str">
        <f t="shared" si="53"/>
        <v>OK</v>
      </c>
      <c r="O431" s="348">
        <f t="shared" si="54"/>
        <v>100000</v>
      </c>
    </row>
    <row r="432" spans="1:15" ht="80" hidden="1" outlineLevel="1">
      <c r="A432" s="335" t="str">
        <f t="shared" si="49"/>
        <v>S432</v>
      </c>
      <c r="B432" s="344" t="s">
        <v>2460</v>
      </c>
      <c r="C432" s="344"/>
      <c r="D432" s="347">
        <v>200000</v>
      </c>
      <c r="E432" s="334">
        <v>46082</v>
      </c>
      <c r="F432" s="335" t="s">
        <v>2489</v>
      </c>
      <c r="G432" s="335" t="s">
        <v>2490</v>
      </c>
      <c r="H432" s="335" t="s">
        <v>2491</v>
      </c>
      <c r="I432" s="335" t="s">
        <v>2494</v>
      </c>
      <c r="J432" s="335" t="str">
        <f t="shared" si="50"/>
        <v>예비비</v>
      </c>
      <c r="K432" s="346">
        <f t="shared" si="51"/>
        <v>46072.601226851853</v>
      </c>
      <c r="L432" s="335">
        <f t="shared" si="52"/>
        <v>46054</v>
      </c>
      <c r="M432" s="335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335" t="str">
        <f t="shared" si="53"/>
        <v>OK</v>
      </c>
      <c r="O432" s="348">
        <f t="shared" si="54"/>
        <v>200000</v>
      </c>
    </row>
    <row r="433" spans="1:15" ht="32" hidden="1" outlineLevel="1">
      <c r="A433" s="335" t="str">
        <f t="shared" si="49"/>
        <v>S433</v>
      </c>
      <c r="B433" s="344" t="s">
        <v>2463</v>
      </c>
      <c r="C433" s="344">
        <v>102</v>
      </c>
      <c r="D433" s="347">
        <v>148900</v>
      </c>
      <c r="E433" s="346">
        <f>IF(C433="","",IFERROR(INDEX(잔액!$A:$A,MAX(64,C433)),""))</f>
        <v>46143</v>
      </c>
      <c r="F433" s="335" t="str">
        <f>IF(C433="","",IFERROR(INDEX(잔액!$C:$C,MAX(64,C433)),""))</f>
        <v>명절비</v>
      </c>
      <c r="G433" s="335" t="str">
        <f>IF(C433="","",IF(INDEX(잔액!$K:$K,MAX(64,C433))&lt;&gt;"",INDEX(잔액!$K:$K,MAX(64,C433)),INDEX(잔액!$D:$D,MAX(64,C433))))</f>
        <v>지출</v>
      </c>
      <c r="H433" s="335" t="s">
        <v>1910</v>
      </c>
      <c r="I433" s="335" t="s">
        <v>2495</v>
      </c>
      <c r="J433" s="335" t="str">
        <f t="shared" si="50"/>
        <v>명절비</v>
      </c>
      <c r="K433" s="346">
        <f t="shared" si="51"/>
        <v>46143</v>
      </c>
      <c r="L433" s="335">
        <f t="shared" si="52"/>
        <v>46143</v>
      </c>
      <c r="M433" s="335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335" t="str">
        <f t="shared" si="53"/>
        <v>OK</v>
      </c>
      <c r="O433" s="348">
        <f t="shared" si="54"/>
        <v>148900</v>
      </c>
    </row>
    <row r="434" spans="1:15" ht="32" hidden="1" outlineLevel="1">
      <c r="A434" s="335" t="str">
        <f t="shared" si="49"/>
        <v>S434</v>
      </c>
      <c r="B434" s="344" t="s">
        <v>2465</v>
      </c>
      <c r="C434" s="344">
        <v>106</v>
      </c>
      <c r="D434" s="347">
        <v>313980</v>
      </c>
      <c r="E434" s="346">
        <f>IF(C434="","",IFERROR(INDEX(잔액!$A:$A,MAX(64,C434)),""))</f>
        <v>46143</v>
      </c>
      <c r="F434" s="335" t="str">
        <f>IF(C434="","",IFERROR(INDEX(잔액!$C:$C,MAX(64,C434)),""))</f>
        <v>상환비</v>
      </c>
      <c r="G434" s="335" t="str">
        <f>IF(C434="","",IF(INDEX(잔액!$K:$K,MAX(64,C434))&lt;&gt;"",INDEX(잔액!$K:$K,MAX(64,C434)),INDEX(잔액!$D:$D,MAX(64,C434))))</f>
        <v>지출</v>
      </c>
      <c r="H434" s="335" t="s">
        <v>1910</v>
      </c>
      <c r="I434" s="335" t="s">
        <v>2496</v>
      </c>
      <c r="J434" s="335" t="str">
        <f t="shared" si="50"/>
        <v>상환비</v>
      </c>
      <c r="K434" s="346">
        <f t="shared" si="51"/>
        <v>46143</v>
      </c>
      <c r="L434" s="335">
        <f t="shared" si="52"/>
        <v>46143</v>
      </c>
      <c r="M434" s="335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335" t="str">
        <f t="shared" si="53"/>
        <v>OK</v>
      </c>
      <c r="O434" s="348">
        <f t="shared" si="54"/>
        <v>313980</v>
      </c>
    </row>
    <row r="435" spans="1:15" ht="16" hidden="1" outlineLevel="1">
      <c r="A435" s="335" t="str">
        <f t="shared" si="49"/>
        <v>S435</v>
      </c>
      <c r="B435" s="344" t="s">
        <v>2468</v>
      </c>
      <c r="C435" s="344">
        <v>188</v>
      </c>
      <c r="D435" s="347">
        <v>300000</v>
      </c>
      <c r="E435" s="346">
        <f>IF(C435="","",IFERROR(INDEX(잔액!$A:$A,MAX(64,C435)),""))</f>
        <v>46235</v>
      </c>
      <c r="F435" s="335" t="str">
        <f>IF(C435="","",IFERROR(INDEX(잔액!$C:$C,MAX(64,C435)),""))</f>
        <v>여행비</v>
      </c>
      <c r="G435" s="335" t="str">
        <f>IF(C435="","",IF(INDEX(잔액!$K:$K,MAX(64,C435))&lt;&gt;"",INDEX(잔액!$K:$K,MAX(64,C435)),INDEX(잔액!$D:$D,MAX(64,C435))))</f>
        <v>지출</v>
      </c>
      <c r="H435" s="335" t="s">
        <v>1910</v>
      </c>
      <c r="I435" s="335" t="s">
        <v>2497</v>
      </c>
      <c r="J435" s="335" t="str">
        <f t="shared" si="50"/>
        <v>여행비</v>
      </c>
      <c r="K435" s="346">
        <f t="shared" si="51"/>
        <v>46235</v>
      </c>
      <c r="L435" s="335">
        <f t="shared" si="52"/>
        <v>46235</v>
      </c>
      <c r="M435" s="335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335" t="str">
        <f t="shared" si="53"/>
        <v>OK</v>
      </c>
      <c r="O435" s="348">
        <f t="shared" si="54"/>
        <v>300000</v>
      </c>
    </row>
    <row r="436" spans="1:15" ht="32" hidden="1" outlineLevel="1">
      <c r="A436" s="335" t="str">
        <f t="shared" si="49"/>
        <v>S436</v>
      </c>
      <c r="B436" s="344" t="s">
        <v>2471</v>
      </c>
      <c r="C436" s="344">
        <v>222</v>
      </c>
      <c r="D436" s="347">
        <v>50000</v>
      </c>
      <c r="E436" s="346">
        <f>IF(C436="","",IFERROR(INDEX(잔액!$A:$A,MAX(64,C436)),""))</f>
        <v>46266</v>
      </c>
      <c r="F436" s="335" t="str">
        <f>IF(C436="","",IFERROR(INDEX(잔액!$C:$C,MAX(64,C436)),""))</f>
        <v>경조사비</v>
      </c>
      <c r="G436" s="335" t="str">
        <f>IF(C436="","",IF(INDEX(잔액!$K:$K,MAX(64,C436))&lt;&gt;"",INDEX(잔액!$K:$K,MAX(64,C436)),INDEX(잔액!$D:$D,MAX(64,C436))))</f>
        <v>지출</v>
      </c>
      <c r="H436" s="335" t="s">
        <v>1910</v>
      </c>
      <c r="I436" s="335" t="s">
        <v>2498</v>
      </c>
      <c r="J436" s="335" t="str">
        <f t="shared" si="50"/>
        <v>경조사비</v>
      </c>
      <c r="K436" s="346">
        <f t="shared" si="51"/>
        <v>46280.941672222223</v>
      </c>
      <c r="L436" s="335">
        <f t="shared" si="52"/>
        <v>46266</v>
      </c>
      <c r="M436" s="335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335" t="str">
        <f t="shared" si="53"/>
        <v>OK</v>
      </c>
      <c r="O436" s="348">
        <f t="shared" si="54"/>
        <v>50000</v>
      </c>
    </row>
    <row r="437" spans="1:15" ht="96" hidden="1" outlineLevel="1">
      <c r="A437" s="335" t="str">
        <f t="shared" si="49"/>
        <v>S437</v>
      </c>
      <c r="B437" s="344" t="s">
        <v>2473</v>
      </c>
      <c r="C437" s="344">
        <v>223</v>
      </c>
      <c r="D437" s="347">
        <v>200000</v>
      </c>
      <c r="E437" s="346">
        <f>IF(C437="","",IFERROR(INDEX(잔액!$A:$A,MAX(64,C437)),""))</f>
        <v>46266</v>
      </c>
      <c r="F437" s="335" t="str">
        <f>IF(C437="","",IFERROR(INDEX(잔액!$C:$C,MAX(64,C437)),""))</f>
        <v>명절비</v>
      </c>
      <c r="G437" s="335" t="str">
        <f>IF(C437="","",IF(INDEX(잔액!$K:$K,MAX(64,C437))&lt;&gt;"",INDEX(잔액!$K:$K,MAX(64,C437)),INDEX(잔액!$D:$D,MAX(64,C437))))</f>
        <v>가족통장</v>
      </c>
      <c r="H437" s="335" t="s">
        <v>1910</v>
      </c>
      <c r="I437" s="335" t="s">
        <v>2499</v>
      </c>
      <c r="J437" s="335" t="str">
        <f t="shared" si="50"/>
        <v>경조사비</v>
      </c>
      <c r="K437" s="346">
        <f t="shared" si="51"/>
        <v>46296</v>
      </c>
      <c r="L437" s="335">
        <f t="shared" si="52"/>
        <v>46296</v>
      </c>
      <c r="M437" s="335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335" t="str">
        <f t="shared" si="53"/>
        <v>OK</v>
      </c>
      <c r="O437" s="348">
        <f t="shared" si="54"/>
        <v>200000</v>
      </c>
    </row>
    <row r="438" spans="1:15" ht="16" hidden="1" outlineLevel="1">
      <c r="A438" s="335" t="str">
        <f t="shared" si="49"/>
        <v>S438</v>
      </c>
      <c r="B438" s="344" t="s">
        <v>2473</v>
      </c>
      <c r="C438" s="344">
        <v>208</v>
      </c>
      <c r="D438" s="347">
        <v>39000</v>
      </c>
      <c r="E438" s="346">
        <f>IF(C438="","",IFERROR(INDEX(잔액!$A:$A,MAX(64,C438)),""))</f>
        <v>46235</v>
      </c>
      <c r="F438" s="335" t="str">
        <f>IF(C438="","",IFERROR(INDEX(잔액!$C:$C,MAX(64,C438)),""))</f>
        <v>임시보관</v>
      </c>
      <c r="G438" s="335" t="str">
        <f>IF(C438="","",IF(INDEX(잔액!$K:$K,MAX(64,C438))&lt;&gt;"",INDEX(잔액!$K:$K,MAX(64,C438)),INDEX(잔액!$D:$D,MAX(64,C438))))</f>
        <v>지출</v>
      </c>
      <c r="H438" s="335" t="s">
        <v>1910</v>
      </c>
      <c r="I438" t="s">
        <v>2500</v>
      </c>
      <c r="J438" s="335" t="str">
        <f t="shared" si="50"/>
        <v>경조사비</v>
      </c>
      <c r="K438" s="346">
        <f t="shared" si="51"/>
        <v>46296</v>
      </c>
      <c r="L438" s="335">
        <f t="shared" si="52"/>
        <v>46296</v>
      </c>
      <c r="M438" s="335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335" t="str">
        <f t="shared" si="53"/>
        <v>OK</v>
      </c>
      <c r="O438" s="348">
        <f t="shared" si="54"/>
        <v>39000</v>
      </c>
    </row>
    <row r="439" spans="1:15" ht="16" hidden="1" outlineLevel="1">
      <c r="A439" s="335" t="str">
        <f t="shared" si="49"/>
        <v/>
      </c>
      <c r="B439" s="344"/>
      <c r="C439" s="344"/>
      <c r="D439" s="347" t="str">
        <f>IF(C439="","",IFERROR(INDEX(잔액!$Y:$Y,MAX(64,C439)),0))</f>
        <v/>
      </c>
      <c r="E439" s="346" t="str">
        <f>IF(C439="","",IFERROR(INDEX(잔액!$A:$A,MAX(64,C439)),""))</f>
        <v/>
      </c>
      <c r="F439" s="335" t="str">
        <f>IF(C439="","",IFERROR(INDEX(잔액!$C:$C,MAX(64,C439)),""))</f>
        <v/>
      </c>
      <c r="G439" s="335" t="str">
        <f>IF(C439="","",IF(INDEX(잔액!$K:$K,MAX(64,C439))&lt;&gt;"",INDEX(잔액!$K:$K,MAX(64,C439)),INDEX(잔액!$D:$D,MAX(64,C439))))</f>
        <v/>
      </c>
      <c r="H439" s="335" t="s">
        <v>1910</v>
      </c>
      <c r="J439" s="335" t="str">
        <f t="shared" si="50"/>
        <v/>
      </c>
      <c r="K439" s="346" t="str">
        <f t="shared" si="51"/>
        <v/>
      </c>
      <c r="L439" s="335" t="str">
        <f t="shared" si="52"/>
        <v/>
      </c>
      <c r="M439" s="335" t="str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  <v/>
      </c>
      <c r="N439" s="335" t="str">
        <f t="shared" si="53"/>
        <v/>
      </c>
      <c r="O439" s="348">
        <f t="shared" si="54"/>
        <v>0</v>
      </c>
    </row>
    <row r="440" spans="1:15" ht="16" hidden="1" outlineLevel="1">
      <c r="A440" s="335" t="str">
        <f t="shared" si="49"/>
        <v/>
      </c>
      <c r="B440" s="344"/>
      <c r="C440" s="344"/>
      <c r="D440" s="347" t="str">
        <f>IF(C440="","",IFERROR(INDEX(잔액!$Y:$Y,MAX(64,C440)),0))</f>
        <v/>
      </c>
      <c r="E440" s="346" t="str">
        <f>IF(C440="","",IFERROR(INDEX(잔액!$A:$A,MAX(64,C440)),""))</f>
        <v/>
      </c>
      <c r="F440" s="335" t="str">
        <f>IF(C440="","",IFERROR(INDEX(잔액!$C:$C,MAX(64,C440)),""))</f>
        <v/>
      </c>
      <c r="G440" s="335" t="str">
        <f>IF(C440="","",IF(INDEX(잔액!$K:$K,MAX(64,C440))&lt;&gt;"",INDEX(잔액!$K:$K,MAX(64,C440)),INDEX(잔액!$D:$D,MAX(64,C440))))</f>
        <v/>
      </c>
      <c r="H440" s="335" t="s">
        <v>1910</v>
      </c>
      <c r="J440" s="335" t="str">
        <f t="shared" si="50"/>
        <v/>
      </c>
      <c r="K440" s="346" t="str">
        <f t="shared" si="51"/>
        <v/>
      </c>
      <c r="L440" s="335" t="str">
        <f t="shared" si="52"/>
        <v/>
      </c>
      <c r="M440" s="335" t="str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  <v/>
      </c>
      <c r="N440" s="335" t="str">
        <f t="shared" si="53"/>
        <v/>
      </c>
      <c r="O440" s="348">
        <f t="shared" si="54"/>
        <v>0</v>
      </c>
    </row>
    <row r="441" spans="1:15" ht="16" hidden="1" outlineLevel="1">
      <c r="A441" s="335" t="str">
        <f t="shared" si="49"/>
        <v/>
      </c>
      <c r="B441" s="344"/>
      <c r="C441" s="344"/>
      <c r="D441" s="347" t="str">
        <f>IF(C441="","",IFERROR(INDEX(잔액!$Y:$Y,MAX(64,C441)),0))</f>
        <v/>
      </c>
      <c r="E441" s="346" t="str">
        <f>IF(C441="","",IFERROR(INDEX(잔액!$A:$A,MAX(64,C441)),""))</f>
        <v/>
      </c>
      <c r="F441" s="335" t="str">
        <f>IF(C441="","",IFERROR(INDEX(잔액!$C:$C,MAX(64,C441)),""))</f>
        <v/>
      </c>
      <c r="G441" s="335" t="str">
        <f>IF(C441="","",IF(INDEX(잔액!$K:$K,MAX(64,C441))&lt;&gt;"",INDEX(잔액!$K:$K,MAX(64,C441)),INDEX(잔액!$D:$D,MAX(64,C441))))</f>
        <v/>
      </c>
      <c r="H441" s="335" t="s">
        <v>1910</v>
      </c>
      <c r="J441" s="335" t="str">
        <f t="shared" si="50"/>
        <v/>
      </c>
      <c r="K441" s="346" t="str">
        <f t="shared" si="51"/>
        <v/>
      </c>
      <c r="L441" s="335" t="str">
        <f t="shared" si="52"/>
        <v/>
      </c>
      <c r="M441" s="335" t="str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  <v/>
      </c>
      <c r="N441" s="335" t="str">
        <f t="shared" si="53"/>
        <v/>
      </c>
      <c r="O441" s="348">
        <f t="shared" si="54"/>
        <v>0</v>
      </c>
    </row>
    <row r="442" spans="1:15" ht="16" hidden="1" outlineLevel="1">
      <c r="A442" s="335" t="str">
        <f t="shared" si="49"/>
        <v/>
      </c>
      <c r="B442" s="344"/>
      <c r="C442" s="344"/>
      <c r="D442" s="347" t="str">
        <f>IF(C442="","",IFERROR(INDEX(잔액!$Y:$Y,MAX(64,C442)),0))</f>
        <v/>
      </c>
      <c r="E442" s="346" t="str">
        <f>IF(C442="","",IFERROR(INDEX(잔액!$A:$A,MAX(64,C442)),""))</f>
        <v/>
      </c>
      <c r="F442" s="335" t="str">
        <f>IF(C442="","",IFERROR(INDEX(잔액!$C:$C,MAX(64,C442)),""))</f>
        <v/>
      </c>
      <c r="G442" s="335" t="str">
        <f>IF(C442="","",IF(INDEX(잔액!$K:$K,MAX(64,C442))&lt;&gt;"",INDEX(잔액!$K:$K,MAX(64,C442)),INDEX(잔액!$D:$D,MAX(64,C442))))</f>
        <v/>
      </c>
      <c r="H442" s="335" t="s">
        <v>1910</v>
      </c>
      <c r="J442" s="335" t="str">
        <f t="shared" si="50"/>
        <v/>
      </c>
      <c r="K442" s="346" t="str">
        <f t="shared" si="51"/>
        <v/>
      </c>
      <c r="L442" s="335" t="str">
        <f t="shared" si="52"/>
        <v/>
      </c>
      <c r="M442" s="335" t="str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  <v/>
      </c>
      <c r="N442" s="335" t="str">
        <f t="shared" si="53"/>
        <v/>
      </c>
      <c r="O442" s="348">
        <f t="shared" si="54"/>
        <v>0</v>
      </c>
    </row>
    <row r="443" spans="1:15" ht="16" hidden="1" outlineLevel="1">
      <c r="A443" s="335" t="str">
        <f t="shared" si="49"/>
        <v/>
      </c>
      <c r="B443" s="344"/>
      <c r="C443" s="344"/>
      <c r="D443" s="347" t="str">
        <f>IF(C443="","",IFERROR(INDEX(잔액!$Y:$Y,MAX(64,C443)),0))</f>
        <v/>
      </c>
      <c r="E443" s="346" t="str">
        <f>IF(C443="","",IFERROR(INDEX(잔액!$A:$A,MAX(64,C443)),""))</f>
        <v/>
      </c>
      <c r="F443" s="335" t="str">
        <f>IF(C443="","",IFERROR(INDEX(잔액!$C:$C,MAX(64,C443)),""))</f>
        <v/>
      </c>
      <c r="G443" s="335" t="str">
        <f>IF(C443="","",IF(INDEX(잔액!$K:$K,MAX(64,C443))&lt;&gt;"",INDEX(잔액!$K:$K,MAX(64,C443)),INDEX(잔액!$D:$D,MAX(64,C443))))</f>
        <v/>
      </c>
      <c r="H443" s="335" t="s">
        <v>1910</v>
      </c>
      <c r="J443" s="335" t="str">
        <f t="shared" si="50"/>
        <v/>
      </c>
      <c r="K443" s="346" t="str">
        <f t="shared" si="51"/>
        <v/>
      </c>
      <c r="L443" s="335" t="str">
        <f t="shared" si="52"/>
        <v/>
      </c>
      <c r="M443" s="335" t="str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  <v/>
      </c>
      <c r="N443" s="335" t="str">
        <f t="shared" si="53"/>
        <v/>
      </c>
      <c r="O443" s="348">
        <f t="shared" si="54"/>
        <v>0</v>
      </c>
    </row>
    <row r="444" spans="1:15" ht="16" hidden="1" outlineLevel="1">
      <c r="A444" s="335" t="str">
        <f t="shared" si="49"/>
        <v/>
      </c>
      <c r="B444" s="344"/>
      <c r="C444" s="344"/>
      <c r="D444" s="347" t="str">
        <f>IF(C444="","",IFERROR(INDEX(잔액!$Y:$Y,MAX(64,C444)),0))</f>
        <v/>
      </c>
      <c r="E444" s="346" t="str">
        <f>IF(C444="","",IFERROR(INDEX(잔액!$A:$A,MAX(64,C444)),""))</f>
        <v/>
      </c>
      <c r="F444" s="335" t="str">
        <f>IF(C444="","",IFERROR(INDEX(잔액!$C:$C,MAX(64,C444)),""))</f>
        <v/>
      </c>
      <c r="G444" s="335" t="str">
        <f>IF(C444="","",IF(INDEX(잔액!$K:$K,MAX(64,C444))&lt;&gt;"",INDEX(잔액!$K:$K,MAX(64,C444)),INDEX(잔액!$D:$D,MAX(64,C444))))</f>
        <v/>
      </c>
      <c r="H444" s="335" t="s">
        <v>1910</v>
      </c>
      <c r="J444" s="335" t="str">
        <f t="shared" si="50"/>
        <v/>
      </c>
      <c r="K444" s="346" t="str">
        <f t="shared" si="51"/>
        <v/>
      </c>
      <c r="L444" s="335" t="str">
        <f t="shared" si="52"/>
        <v/>
      </c>
      <c r="M444" s="335" t="str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  <v/>
      </c>
      <c r="N444" s="335" t="str">
        <f t="shared" si="53"/>
        <v/>
      </c>
      <c r="O444" s="348">
        <f t="shared" si="54"/>
        <v>0</v>
      </c>
    </row>
    <row r="445" spans="1:15" ht="16" hidden="1" outlineLevel="1">
      <c r="A445" s="335" t="str">
        <f t="shared" si="49"/>
        <v/>
      </c>
      <c r="B445" s="344"/>
      <c r="C445" s="344"/>
      <c r="D445" s="347" t="str">
        <f>IF(C445="","",IFERROR(INDEX(잔액!$Y:$Y,MAX(64,C445)),0))</f>
        <v/>
      </c>
      <c r="E445" s="346" t="str">
        <f>IF(C445="","",IFERROR(INDEX(잔액!$A:$A,MAX(64,C445)),""))</f>
        <v/>
      </c>
      <c r="F445" s="335" t="str">
        <f>IF(C445="","",IFERROR(INDEX(잔액!$C:$C,MAX(64,C445)),""))</f>
        <v/>
      </c>
      <c r="G445" s="335" t="str">
        <f>IF(C445="","",IF(INDEX(잔액!$K:$K,MAX(64,C445))&lt;&gt;"",INDEX(잔액!$K:$K,MAX(64,C445)),INDEX(잔액!$D:$D,MAX(64,C445))))</f>
        <v/>
      </c>
      <c r="H445" s="335" t="s">
        <v>1910</v>
      </c>
      <c r="J445" s="335" t="str">
        <f t="shared" si="50"/>
        <v/>
      </c>
      <c r="K445" s="346" t="str">
        <f t="shared" si="51"/>
        <v/>
      </c>
      <c r="L445" s="335" t="str">
        <f t="shared" si="52"/>
        <v/>
      </c>
      <c r="M445" s="335" t="str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  <v/>
      </c>
      <c r="N445" s="335" t="str">
        <f t="shared" si="53"/>
        <v/>
      </c>
      <c r="O445" s="348">
        <f t="shared" si="54"/>
        <v>0</v>
      </c>
    </row>
    <row r="446" spans="1:15" ht="16" hidden="1" outlineLevel="1">
      <c r="A446" s="335" t="str">
        <f t="shared" si="49"/>
        <v/>
      </c>
      <c r="B446" s="344"/>
      <c r="C446" s="344"/>
      <c r="D446" s="347" t="str">
        <f>IF(C446="","",IFERROR(INDEX(잔액!$Y:$Y,MAX(64,C446)),0))</f>
        <v/>
      </c>
      <c r="E446" s="346" t="str">
        <f>IF(C446="","",IFERROR(INDEX(잔액!$A:$A,MAX(64,C446)),""))</f>
        <v/>
      </c>
      <c r="F446" s="335" t="str">
        <f>IF(C446="","",IFERROR(INDEX(잔액!$C:$C,MAX(64,C446)),""))</f>
        <v/>
      </c>
      <c r="G446" s="335" t="str">
        <f>IF(C446="","",IF(INDEX(잔액!$K:$K,MAX(64,C446))&lt;&gt;"",INDEX(잔액!$K:$K,MAX(64,C446)),INDEX(잔액!$D:$D,MAX(64,C446))))</f>
        <v/>
      </c>
      <c r="H446" s="335" t="s">
        <v>1910</v>
      </c>
      <c r="J446" s="335" t="str">
        <f t="shared" si="50"/>
        <v/>
      </c>
      <c r="K446" s="346" t="str">
        <f t="shared" si="51"/>
        <v/>
      </c>
      <c r="L446" s="335" t="str">
        <f t="shared" si="52"/>
        <v/>
      </c>
      <c r="M446" s="335" t="str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  <v/>
      </c>
      <c r="N446" s="335" t="str">
        <f t="shared" si="53"/>
        <v/>
      </c>
      <c r="O446" s="348">
        <f t="shared" si="54"/>
        <v>0</v>
      </c>
    </row>
    <row r="447" spans="1:15" ht="16" hidden="1" outlineLevel="1">
      <c r="A447" s="335" t="str">
        <f t="shared" si="49"/>
        <v/>
      </c>
      <c r="B447" s="344"/>
      <c r="C447" s="344"/>
      <c r="D447" s="347" t="str">
        <f>IF(C447="","",IFERROR(INDEX(잔액!$Y:$Y,MAX(64,C447)),0))</f>
        <v/>
      </c>
      <c r="E447" s="346" t="str">
        <f>IF(C447="","",IFERROR(INDEX(잔액!$A:$A,MAX(64,C447)),""))</f>
        <v/>
      </c>
      <c r="F447" s="335" t="str">
        <f>IF(C447="","",IFERROR(INDEX(잔액!$C:$C,MAX(64,C447)),""))</f>
        <v/>
      </c>
      <c r="G447" s="335" t="str">
        <f>IF(C447="","",IF(INDEX(잔액!$K:$K,MAX(64,C447))&lt;&gt;"",INDEX(잔액!$K:$K,MAX(64,C447)),INDEX(잔액!$D:$D,MAX(64,C447))))</f>
        <v/>
      </c>
      <c r="H447" s="335" t="s">
        <v>1910</v>
      </c>
      <c r="J447" s="335" t="str">
        <f t="shared" si="50"/>
        <v/>
      </c>
      <c r="K447" s="346" t="str">
        <f t="shared" si="51"/>
        <v/>
      </c>
      <c r="L447" s="335" t="str">
        <f t="shared" si="52"/>
        <v/>
      </c>
      <c r="M447" s="335" t="str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  <v/>
      </c>
      <c r="N447" s="335" t="str">
        <f t="shared" si="53"/>
        <v/>
      </c>
      <c r="O447" s="348">
        <f t="shared" si="54"/>
        <v>0</v>
      </c>
    </row>
    <row r="448" spans="1:15" ht="16" hidden="1" outlineLevel="1">
      <c r="A448" s="335" t="str">
        <f t="shared" si="49"/>
        <v/>
      </c>
      <c r="B448" s="344"/>
      <c r="C448" s="344"/>
      <c r="D448" s="347" t="str">
        <f>IF(C448="","",IFERROR(INDEX(잔액!$Y:$Y,MAX(64,C448)),0))</f>
        <v/>
      </c>
      <c r="E448" s="346" t="str">
        <f>IF(C448="","",IFERROR(INDEX(잔액!$A:$A,MAX(64,C448)),""))</f>
        <v/>
      </c>
      <c r="F448" s="335" t="str">
        <f>IF(C448="","",IFERROR(INDEX(잔액!$C:$C,MAX(64,C448)),""))</f>
        <v/>
      </c>
      <c r="G448" s="335" t="str">
        <f>IF(C448="","",IF(INDEX(잔액!$K:$K,MAX(64,C448))&lt;&gt;"",INDEX(잔액!$K:$K,MAX(64,C448)),INDEX(잔액!$D:$D,MAX(64,C448))))</f>
        <v/>
      </c>
      <c r="H448" s="335" t="s">
        <v>1910</v>
      </c>
      <c r="J448" s="335" t="str">
        <f t="shared" si="50"/>
        <v/>
      </c>
      <c r="K448" s="346" t="str">
        <f t="shared" si="51"/>
        <v/>
      </c>
      <c r="L448" s="335" t="str">
        <f t="shared" si="52"/>
        <v/>
      </c>
      <c r="M448" s="335" t="str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  <v/>
      </c>
      <c r="N448" s="335" t="str">
        <f t="shared" si="53"/>
        <v/>
      </c>
      <c r="O448" s="348">
        <f t="shared" si="54"/>
        <v>0</v>
      </c>
    </row>
    <row r="449" spans="1:15" ht="16" hidden="1" outlineLevel="1">
      <c r="A449" s="335" t="str">
        <f t="shared" si="49"/>
        <v/>
      </c>
      <c r="B449" s="344"/>
      <c r="C449" s="344"/>
      <c r="D449" s="347" t="str">
        <f>IF(C449="","",IFERROR(INDEX(잔액!$Y:$Y,MAX(64,C449)),0))</f>
        <v/>
      </c>
      <c r="E449" s="346" t="str">
        <f>IF(C449="","",IFERROR(INDEX(잔액!$A:$A,MAX(64,C449)),""))</f>
        <v/>
      </c>
      <c r="F449" s="335" t="str">
        <f>IF(C449="","",IFERROR(INDEX(잔액!$C:$C,MAX(64,C449)),""))</f>
        <v/>
      </c>
      <c r="G449" s="335" t="str">
        <f>IF(C449="","",IF(INDEX(잔액!$K:$K,MAX(64,C449))&lt;&gt;"",INDEX(잔액!$K:$K,MAX(64,C449)),INDEX(잔액!$D:$D,MAX(64,C449))))</f>
        <v/>
      </c>
      <c r="H449" s="335" t="s">
        <v>1910</v>
      </c>
      <c r="J449" s="335" t="str">
        <f t="shared" si="50"/>
        <v/>
      </c>
      <c r="K449" s="346" t="str">
        <f t="shared" si="51"/>
        <v/>
      </c>
      <c r="L449" s="335" t="str">
        <f t="shared" si="52"/>
        <v/>
      </c>
      <c r="M449" s="335" t="str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  <v/>
      </c>
      <c r="N449" s="335" t="str">
        <f t="shared" si="53"/>
        <v/>
      </c>
      <c r="O449" s="348">
        <f t="shared" si="54"/>
        <v>0</v>
      </c>
    </row>
    <row r="450" spans="1:15" ht="16" hidden="1" outlineLevel="1">
      <c r="A450" s="335" t="str">
        <f t="shared" si="49"/>
        <v/>
      </c>
      <c r="B450" s="344"/>
      <c r="C450" s="344"/>
      <c r="D450" s="347" t="str">
        <f>IF(C450="","",IFERROR(INDEX(잔액!$Y:$Y,MAX(64,C450)),0))</f>
        <v/>
      </c>
      <c r="E450" s="346" t="str">
        <f>IF(C450="","",IFERROR(INDEX(잔액!$A:$A,MAX(64,C450)),""))</f>
        <v/>
      </c>
      <c r="F450" s="335" t="str">
        <f>IF(C450="","",IFERROR(INDEX(잔액!$C:$C,MAX(64,C450)),""))</f>
        <v/>
      </c>
      <c r="G450" s="335" t="str">
        <f>IF(C450="","",IF(INDEX(잔액!$K:$K,MAX(64,C450))&lt;&gt;"",INDEX(잔액!$K:$K,MAX(64,C450)),INDEX(잔액!$D:$D,MAX(64,C450))))</f>
        <v/>
      </c>
      <c r="H450" s="335" t="s">
        <v>1910</v>
      </c>
      <c r="J450" s="335" t="str">
        <f t="shared" si="50"/>
        <v/>
      </c>
      <c r="K450" s="346" t="str">
        <f t="shared" si="51"/>
        <v/>
      </c>
      <c r="L450" s="335" t="str">
        <f t="shared" si="52"/>
        <v/>
      </c>
      <c r="M450" s="335" t="str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  <v/>
      </c>
      <c r="N450" s="335" t="str">
        <f t="shared" si="53"/>
        <v/>
      </c>
      <c r="O450" s="348">
        <f t="shared" si="54"/>
        <v>0</v>
      </c>
    </row>
    <row r="451" spans="1:15" ht="16" hidden="1" outlineLevel="1">
      <c r="A451" s="335" t="str">
        <f t="shared" si="49"/>
        <v/>
      </c>
      <c r="B451" s="344"/>
      <c r="C451" s="344"/>
      <c r="D451" s="347" t="str">
        <f>IF(C451="","",IFERROR(INDEX(잔액!$Y:$Y,MAX(64,C451)),0))</f>
        <v/>
      </c>
      <c r="E451" s="346" t="str">
        <f>IF(C451="","",IFERROR(INDEX(잔액!$A:$A,MAX(64,C451)),""))</f>
        <v/>
      </c>
      <c r="F451" s="335" t="str">
        <f>IF(C451="","",IFERROR(INDEX(잔액!$C:$C,MAX(64,C451)),""))</f>
        <v/>
      </c>
      <c r="G451" s="335" t="str">
        <f>IF(C451="","",IF(INDEX(잔액!$K:$K,MAX(64,C451))&lt;&gt;"",INDEX(잔액!$K:$K,MAX(64,C451)),INDEX(잔액!$D:$D,MAX(64,C451))))</f>
        <v/>
      </c>
      <c r="H451" s="335" t="s">
        <v>1910</v>
      </c>
      <c r="J451" s="335" t="str">
        <f t="shared" si="50"/>
        <v/>
      </c>
      <c r="K451" s="346" t="str">
        <f t="shared" si="51"/>
        <v/>
      </c>
      <c r="L451" s="335" t="str">
        <f t="shared" si="52"/>
        <v/>
      </c>
      <c r="M451" s="335" t="str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  <v/>
      </c>
      <c r="N451" s="335" t="str">
        <f t="shared" si="53"/>
        <v/>
      </c>
      <c r="O451" s="348">
        <f t="shared" si="54"/>
        <v>0</v>
      </c>
    </row>
    <row r="452" spans="1:15" ht="16" hidden="1" outlineLevel="1">
      <c r="A452" s="335" t="str">
        <f t="shared" si="49"/>
        <v/>
      </c>
      <c r="B452" s="344"/>
      <c r="C452" s="344"/>
      <c r="D452" s="347" t="str">
        <f>IF(C452="","",IFERROR(INDEX(잔액!$Y:$Y,MAX(64,C452)),0))</f>
        <v/>
      </c>
      <c r="E452" s="346" t="str">
        <f>IF(C452="","",IFERROR(INDEX(잔액!$A:$A,MAX(64,C452)),""))</f>
        <v/>
      </c>
      <c r="F452" s="335" t="str">
        <f>IF(C452="","",IFERROR(INDEX(잔액!$C:$C,MAX(64,C452)),""))</f>
        <v/>
      </c>
      <c r="G452" s="335" t="str">
        <f>IF(C452="","",IF(INDEX(잔액!$K:$K,MAX(64,C452))&lt;&gt;"",INDEX(잔액!$K:$K,MAX(64,C452)),INDEX(잔액!$D:$D,MAX(64,C452))))</f>
        <v/>
      </c>
      <c r="H452" s="335" t="s">
        <v>1910</v>
      </c>
      <c r="J452" s="335" t="str">
        <f t="shared" si="50"/>
        <v/>
      </c>
      <c r="K452" s="346" t="str">
        <f t="shared" si="51"/>
        <v/>
      </c>
      <c r="L452" s="335" t="str">
        <f t="shared" si="52"/>
        <v/>
      </c>
      <c r="M452" s="335" t="str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  <v/>
      </c>
      <c r="N452" s="335" t="str">
        <f t="shared" si="53"/>
        <v/>
      </c>
      <c r="O452" s="348">
        <f t="shared" si="54"/>
        <v>0</v>
      </c>
    </row>
    <row r="453" spans="1:15" ht="16" hidden="1" outlineLevel="1">
      <c r="A453" s="335" t="str">
        <f t="shared" si="49"/>
        <v/>
      </c>
      <c r="B453" s="344"/>
      <c r="C453" s="344"/>
      <c r="D453" s="347" t="str">
        <f>IF(C453="","",IFERROR(INDEX(잔액!$Y:$Y,MAX(64,C453)),0))</f>
        <v/>
      </c>
      <c r="E453" s="346" t="str">
        <f>IF(C453="","",IFERROR(INDEX(잔액!$A:$A,MAX(64,C453)),""))</f>
        <v/>
      </c>
      <c r="F453" s="335" t="str">
        <f>IF(C453="","",IFERROR(INDEX(잔액!$C:$C,MAX(64,C453)),""))</f>
        <v/>
      </c>
      <c r="G453" s="335" t="str">
        <f>IF(C453="","",IF(INDEX(잔액!$K:$K,MAX(64,C453))&lt;&gt;"",INDEX(잔액!$K:$K,MAX(64,C453)),INDEX(잔액!$D:$D,MAX(64,C453))))</f>
        <v/>
      </c>
      <c r="H453" s="335" t="s">
        <v>1910</v>
      </c>
      <c r="J453" s="335" t="str">
        <f t="shared" si="50"/>
        <v/>
      </c>
      <c r="K453" s="346" t="str">
        <f t="shared" si="51"/>
        <v/>
      </c>
      <c r="L453" s="335" t="str">
        <f t="shared" si="52"/>
        <v/>
      </c>
      <c r="M453" s="335" t="str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  <v/>
      </c>
      <c r="N453" s="335" t="str">
        <f t="shared" si="53"/>
        <v/>
      </c>
      <c r="O453" s="348">
        <f t="shared" si="54"/>
        <v>0</v>
      </c>
    </row>
    <row r="454" spans="1:15" ht="16" hidden="1" outlineLevel="1">
      <c r="A454" s="335" t="str">
        <f t="shared" si="49"/>
        <v/>
      </c>
      <c r="B454" s="344"/>
      <c r="C454" s="344"/>
      <c r="D454" s="347" t="str">
        <f>IF(C454="","",IFERROR(INDEX(잔액!$Y:$Y,MAX(64,C454)),0))</f>
        <v/>
      </c>
      <c r="E454" s="346" t="str">
        <f>IF(C454="","",IFERROR(INDEX(잔액!$A:$A,MAX(64,C454)),""))</f>
        <v/>
      </c>
      <c r="F454" s="335" t="str">
        <f>IF(C454="","",IFERROR(INDEX(잔액!$C:$C,MAX(64,C454)),""))</f>
        <v/>
      </c>
      <c r="G454" s="335" t="str">
        <f>IF(C454="","",IF(INDEX(잔액!$K:$K,MAX(64,C454))&lt;&gt;"",INDEX(잔액!$K:$K,MAX(64,C454)),INDEX(잔액!$D:$D,MAX(64,C454))))</f>
        <v/>
      </c>
      <c r="H454" s="335" t="s">
        <v>1910</v>
      </c>
      <c r="J454" s="335" t="str">
        <f t="shared" si="50"/>
        <v/>
      </c>
      <c r="K454" s="346" t="str">
        <f t="shared" si="51"/>
        <v/>
      </c>
      <c r="L454" s="335" t="str">
        <f t="shared" si="52"/>
        <v/>
      </c>
      <c r="M454" s="335" t="str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  <v/>
      </c>
      <c r="N454" s="335" t="str">
        <f t="shared" si="53"/>
        <v/>
      </c>
      <c r="O454" s="348">
        <f t="shared" si="54"/>
        <v>0</v>
      </c>
    </row>
    <row r="455" spans="1:15" ht="16" hidden="1" outlineLevel="1">
      <c r="A455" s="335" t="str">
        <f t="shared" si="49"/>
        <v/>
      </c>
      <c r="B455" s="344"/>
      <c r="C455" s="344"/>
      <c r="D455" s="347" t="str">
        <f>IF(C455="","",IFERROR(INDEX(잔액!$Y:$Y,MAX(64,C455)),0))</f>
        <v/>
      </c>
      <c r="E455" s="346" t="str">
        <f>IF(C455="","",IFERROR(INDEX(잔액!$A:$A,MAX(64,C455)),""))</f>
        <v/>
      </c>
      <c r="F455" s="335" t="str">
        <f>IF(C455="","",IFERROR(INDEX(잔액!$C:$C,MAX(64,C455)),""))</f>
        <v/>
      </c>
      <c r="G455" s="335" t="str">
        <f>IF(C455="","",IF(INDEX(잔액!$K:$K,MAX(64,C455))&lt;&gt;"",INDEX(잔액!$K:$K,MAX(64,C455)),INDEX(잔액!$D:$D,MAX(64,C455))))</f>
        <v/>
      </c>
      <c r="H455" s="335" t="s">
        <v>1910</v>
      </c>
      <c r="J455" s="335" t="str">
        <f t="shared" si="50"/>
        <v/>
      </c>
      <c r="K455" s="346" t="str">
        <f t="shared" si="51"/>
        <v/>
      </c>
      <c r="L455" s="335" t="str">
        <f t="shared" si="52"/>
        <v/>
      </c>
      <c r="M455" s="335" t="str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  <v/>
      </c>
      <c r="N455" s="335" t="str">
        <f t="shared" si="53"/>
        <v/>
      </c>
      <c r="O455" s="348">
        <f t="shared" si="54"/>
        <v>0</v>
      </c>
    </row>
    <row r="456" spans="1:15" ht="16" hidden="1" outlineLevel="1">
      <c r="A456" s="335" t="str">
        <f t="shared" si="49"/>
        <v/>
      </c>
      <c r="B456" s="344"/>
      <c r="C456" s="344"/>
      <c r="D456" s="347" t="str">
        <f>IF(C456="","",IFERROR(INDEX(잔액!$Y:$Y,MAX(64,C456)),0))</f>
        <v/>
      </c>
      <c r="E456" s="346" t="str">
        <f>IF(C456="","",IFERROR(INDEX(잔액!$A:$A,MAX(64,C456)),""))</f>
        <v/>
      </c>
      <c r="F456" s="335" t="str">
        <f>IF(C456="","",IFERROR(INDEX(잔액!$C:$C,MAX(64,C456)),""))</f>
        <v/>
      </c>
      <c r="G456" s="335" t="str">
        <f>IF(C456="","",IF(INDEX(잔액!$K:$K,MAX(64,C456))&lt;&gt;"",INDEX(잔액!$K:$K,MAX(64,C456)),INDEX(잔액!$D:$D,MAX(64,C456))))</f>
        <v/>
      </c>
      <c r="H456" s="335" t="s">
        <v>1910</v>
      </c>
      <c r="J456" s="335" t="str">
        <f t="shared" si="50"/>
        <v/>
      </c>
      <c r="K456" s="346" t="str">
        <f t="shared" si="51"/>
        <v/>
      </c>
      <c r="L456" s="335" t="str">
        <f t="shared" si="52"/>
        <v/>
      </c>
      <c r="M456" s="335" t="str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  <v/>
      </c>
      <c r="N456" s="335" t="str">
        <f t="shared" si="53"/>
        <v/>
      </c>
      <c r="O456" s="348">
        <f t="shared" si="54"/>
        <v>0</v>
      </c>
    </row>
    <row r="457" spans="1:15" ht="16" hidden="1" outlineLevel="1">
      <c r="A457" s="335" t="str">
        <f t="shared" si="49"/>
        <v/>
      </c>
      <c r="B457" s="344"/>
      <c r="C457" s="344"/>
      <c r="D457" s="347" t="str">
        <f>IF(C457="","",IFERROR(INDEX(잔액!$Y:$Y,MAX(64,C457)),0))</f>
        <v/>
      </c>
      <c r="E457" s="346" t="str">
        <f>IF(C457="","",IFERROR(INDEX(잔액!$A:$A,MAX(64,C457)),""))</f>
        <v/>
      </c>
      <c r="F457" s="335" t="str">
        <f>IF(C457="","",IFERROR(INDEX(잔액!$C:$C,MAX(64,C457)),""))</f>
        <v/>
      </c>
      <c r="G457" s="335" t="str">
        <f>IF(C457="","",IF(INDEX(잔액!$K:$K,MAX(64,C457))&lt;&gt;"",INDEX(잔액!$K:$K,MAX(64,C457)),INDEX(잔액!$D:$D,MAX(64,C457))))</f>
        <v/>
      </c>
      <c r="H457" s="335" t="s">
        <v>1910</v>
      </c>
      <c r="J457" s="335" t="str">
        <f t="shared" si="50"/>
        <v/>
      </c>
      <c r="K457" s="346" t="str">
        <f t="shared" si="51"/>
        <v/>
      </c>
      <c r="L457" s="335" t="str">
        <f t="shared" si="52"/>
        <v/>
      </c>
      <c r="M457" s="335" t="str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  <v/>
      </c>
      <c r="N457" s="335" t="str">
        <f t="shared" si="53"/>
        <v/>
      </c>
      <c r="O457" s="348">
        <f t="shared" si="54"/>
        <v>0</v>
      </c>
    </row>
    <row r="458" spans="1:15" ht="16" hidden="1" outlineLevel="1">
      <c r="A458" s="335" t="str">
        <f t="shared" si="49"/>
        <v/>
      </c>
      <c r="B458" s="344"/>
      <c r="C458" s="344"/>
      <c r="D458" s="347" t="str">
        <f>IF(C458="","",IFERROR(INDEX(잔액!$Y:$Y,MAX(64,C458)),0))</f>
        <v/>
      </c>
      <c r="E458" s="346" t="str">
        <f>IF(C458="","",IFERROR(INDEX(잔액!$A:$A,MAX(64,C458)),""))</f>
        <v/>
      </c>
      <c r="F458" s="335" t="str">
        <f>IF(C458="","",IFERROR(INDEX(잔액!$C:$C,MAX(64,C458)),""))</f>
        <v/>
      </c>
      <c r="G458" s="335" t="str">
        <f>IF(C458="","",IF(INDEX(잔액!$K:$K,MAX(64,C458))&lt;&gt;"",INDEX(잔액!$K:$K,MAX(64,C458)),INDEX(잔액!$D:$D,MAX(64,C458))))</f>
        <v/>
      </c>
      <c r="H458" s="335" t="s">
        <v>1910</v>
      </c>
      <c r="J458" s="335" t="str">
        <f t="shared" si="50"/>
        <v/>
      </c>
      <c r="K458" s="346" t="str">
        <f t="shared" si="51"/>
        <v/>
      </c>
      <c r="L458" s="335" t="str">
        <f t="shared" si="52"/>
        <v/>
      </c>
      <c r="M458" s="335" t="str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  <v/>
      </c>
      <c r="N458" s="335" t="str">
        <f t="shared" si="53"/>
        <v/>
      </c>
      <c r="O458" s="348">
        <f t="shared" si="54"/>
        <v>0</v>
      </c>
    </row>
    <row r="459" spans="1:15" ht="16" hidden="1" outlineLevel="1">
      <c r="A459" s="335" t="str">
        <f t="shared" si="49"/>
        <v/>
      </c>
      <c r="B459" s="344"/>
      <c r="C459" s="344"/>
      <c r="D459" s="347" t="str">
        <f>IF(C459="","",IFERROR(INDEX(잔액!$Y:$Y,MAX(64,C459)),0))</f>
        <v/>
      </c>
      <c r="E459" s="346" t="str">
        <f>IF(C459="","",IFERROR(INDEX(잔액!$A:$A,MAX(64,C459)),""))</f>
        <v/>
      </c>
      <c r="F459" s="335" t="str">
        <f>IF(C459="","",IFERROR(INDEX(잔액!$C:$C,MAX(64,C459)),""))</f>
        <v/>
      </c>
      <c r="G459" s="335" t="str">
        <f>IF(C459="","",IF(INDEX(잔액!$K:$K,MAX(64,C459))&lt;&gt;"",INDEX(잔액!$K:$K,MAX(64,C459)),INDEX(잔액!$D:$D,MAX(64,C459))))</f>
        <v/>
      </c>
      <c r="H459" s="335" t="s">
        <v>1910</v>
      </c>
      <c r="J459" s="335" t="str">
        <f t="shared" si="50"/>
        <v/>
      </c>
      <c r="K459" s="346" t="str">
        <f t="shared" si="51"/>
        <v/>
      </c>
      <c r="L459" s="335" t="str">
        <f t="shared" si="52"/>
        <v/>
      </c>
      <c r="M459" s="335" t="str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  <v/>
      </c>
      <c r="N459" s="335" t="str">
        <f t="shared" si="53"/>
        <v/>
      </c>
      <c r="O459" s="348">
        <f t="shared" si="54"/>
        <v>0</v>
      </c>
    </row>
    <row r="460" spans="1:15" ht="16" hidden="1" outlineLevel="1">
      <c r="A460" s="335" t="str">
        <f t="shared" si="49"/>
        <v/>
      </c>
      <c r="B460" s="344"/>
      <c r="C460" s="344"/>
      <c r="D460" s="347" t="str">
        <f>IF(C460="","",IFERROR(INDEX(잔액!$Y:$Y,MAX(64,C460)),0))</f>
        <v/>
      </c>
      <c r="E460" s="346" t="str">
        <f>IF(C460="","",IFERROR(INDEX(잔액!$A:$A,MAX(64,C460)),""))</f>
        <v/>
      </c>
      <c r="F460" s="335" t="str">
        <f>IF(C460="","",IFERROR(INDEX(잔액!$C:$C,MAX(64,C460)),""))</f>
        <v/>
      </c>
      <c r="G460" s="335" t="str">
        <f>IF(C460="","",IF(INDEX(잔액!$K:$K,MAX(64,C460))&lt;&gt;"",INDEX(잔액!$K:$K,MAX(64,C460)),INDEX(잔액!$D:$D,MAX(64,C460))))</f>
        <v/>
      </c>
      <c r="H460" s="335" t="s">
        <v>1910</v>
      </c>
      <c r="J460" s="335" t="str">
        <f t="shared" si="50"/>
        <v/>
      </c>
      <c r="K460" s="346" t="str">
        <f t="shared" si="51"/>
        <v/>
      </c>
      <c r="L460" s="335" t="str">
        <f t="shared" si="52"/>
        <v/>
      </c>
      <c r="M460" s="335" t="str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  <v/>
      </c>
      <c r="N460" s="335" t="str">
        <f t="shared" si="53"/>
        <v/>
      </c>
      <c r="O460" s="348">
        <f t="shared" si="54"/>
        <v>0</v>
      </c>
    </row>
    <row r="461" spans="1:15" ht="16" hidden="1" outlineLevel="1">
      <c r="A461" s="335" t="str">
        <f t="shared" si="49"/>
        <v/>
      </c>
      <c r="B461" s="344"/>
      <c r="C461" s="344"/>
      <c r="D461" s="347" t="str">
        <f>IF(C461="","",IFERROR(INDEX(잔액!$Y:$Y,MAX(64,C461)),0))</f>
        <v/>
      </c>
      <c r="E461" s="346" t="str">
        <f>IF(C461="","",IFERROR(INDEX(잔액!$A:$A,MAX(64,C461)),""))</f>
        <v/>
      </c>
      <c r="F461" s="335" t="str">
        <f>IF(C461="","",IFERROR(INDEX(잔액!$C:$C,MAX(64,C461)),""))</f>
        <v/>
      </c>
      <c r="G461" s="335" t="str">
        <f>IF(C461="","",IF(INDEX(잔액!$K:$K,MAX(64,C461))&lt;&gt;"",INDEX(잔액!$K:$K,MAX(64,C461)),INDEX(잔액!$D:$D,MAX(64,C461))))</f>
        <v/>
      </c>
      <c r="H461" s="335" t="s">
        <v>1910</v>
      </c>
      <c r="J461" s="335" t="str">
        <f t="shared" si="50"/>
        <v/>
      </c>
      <c r="K461" s="346" t="str">
        <f t="shared" si="51"/>
        <v/>
      </c>
      <c r="L461" s="335" t="str">
        <f t="shared" si="52"/>
        <v/>
      </c>
      <c r="M461" s="335" t="str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  <v/>
      </c>
      <c r="N461" s="335" t="str">
        <f t="shared" si="53"/>
        <v/>
      </c>
      <c r="O461" s="348">
        <f t="shared" si="54"/>
        <v>0</v>
      </c>
    </row>
    <row r="462" spans="1:15" ht="16" hidden="1" outlineLevel="1">
      <c r="A462" s="335" t="str">
        <f t="shared" si="49"/>
        <v/>
      </c>
      <c r="B462" s="344"/>
      <c r="C462" s="344"/>
      <c r="D462" s="347" t="str">
        <f>IF(C462="","",IFERROR(INDEX(잔액!$Y:$Y,MAX(64,C462)),0))</f>
        <v/>
      </c>
      <c r="E462" s="346" t="str">
        <f>IF(C462="","",IFERROR(INDEX(잔액!$A:$A,MAX(64,C462)),""))</f>
        <v/>
      </c>
      <c r="F462" s="335" t="str">
        <f>IF(C462="","",IFERROR(INDEX(잔액!$C:$C,MAX(64,C462)),""))</f>
        <v/>
      </c>
      <c r="G462" s="335" t="str">
        <f>IF(C462="","",IF(INDEX(잔액!$K:$K,MAX(64,C462))&lt;&gt;"",INDEX(잔액!$K:$K,MAX(64,C462)),INDEX(잔액!$D:$D,MAX(64,C462))))</f>
        <v/>
      </c>
      <c r="H462" s="335" t="s">
        <v>1910</v>
      </c>
      <c r="J462" s="335" t="str">
        <f t="shared" si="50"/>
        <v/>
      </c>
      <c r="K462" s="346" t="str">
        <f t="shared" si="51"/>
        <v/>
      </c>
      <c r="L462" s="335" t="str">
        <f t="shared" si="52"/>
        <v/>
      </c>
      <c r="M462" s="335" t="str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  <v/>
      </c>
      <c r="N462" s="335" t="str">
        <f t="shared" si="53"/>
        <v/>
      </c>
      <c r="O462" s="348">
        <f t="shared" si="54"/>
        <v>0</v>
      </c>
    </row>
    <row r="463" spans="1:15" ht="16" hidden="1" outlineLevel="1">
      <c r="A463" s="335" t="str">
        <f t="shared" si="49"/>
        <v/>
      </c>
      <c r="B463" s="344"/>
      <c r="C463" s="344"/>
      <c r="D463" s="347" t="str">
        <f>IF(C463="","",IFERROR(INDEX(잔액!$Y:$Y,MAX(64,C463)),0))</f>
        <v/>
      </c>
      <c r="E463" s="346" t="str">
        <f>IF(C463="","",IFERROR(INDEX(잔액!$A:$A,MAX(64,C463)),""))</f>
        <v/>
      </c>
      <c r="F463" s="335" t="str">
        <f>IF(C463="","",IFERROR(INDEX(잔액!$C:$C,MAX(64,C463)),""))</f>
        <v/>
      </c>
      <c r="G463" s="335" t="str">
        <f>IF(C463="","",IF(INDEX(잔액!$K:$K,MAX(64,C463))&lt;&gt;"",INDEX(잔액!$K:$K,MAX(64,C463)),INDEX(잔액!$D:$D,MAX(64,C463))))</f>
        <v/>
      </c>
      <c r="H463" s="335" t="s">
        <v>1910</v>
      </c>
      <c r="J463" s="335" t="str">
        <f t="shared" si="50"/>
        <v/>
      </c>
      <c r="K463" s="346" t="str">
        <f t="shared" si="51"/>
        <v/>
      </c>
      <c r="L463" s="335" t="str">
        <f t="shared" si="52"/>
        <v/>
      </c>
      <c r="M463" s="335" t="str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  <v/>
      </c>
      <c r="N463" s="335" t="str">
        <f t="shared" si="53"/>
        <v/>
      </c>
      <c r="O463" s="348">
        <f t="shared" si="54"/>
        <v>0</v>
      </c>
    </row>
    <row r="464" spans="1:15" ht="16" hidden="1" outlineLevel="1">
      <c r="A464" s="335" t="str">
        <f t="shared" si="49"/>
        <v/>
      </c>
      <c r="B464" s="344"/>
      <c r="C464" s="344"/>
      <c r="D464" s="347" t="str">
        <f>IF(C464="","",IFERROR(INDEX(잔액!$Y:$Y,MAX(64,C464)),0))</f>
        <v/>
      </c>
      <c r="E464" s="346" t="str">
        <f>IF(C464="","",IFERROR(INDEX(잔액!$A:$A,MAX(64,C464)),""))</f>
        <v/>
      </c>
      <c r="F464" s="335" t="str">
        <f>IF(C464="","",IFERROR(INDEX(잔액!$C:$C,MAX(64,C464)),""))</f>
        <v/>
      </c>
      <c r="G464" s="335" t="str">
        <f>IF(C464="","",IF(INDEX(잔액!$K:$K,MAX(64,C464))&lt;&gt;"",INDEX(잔액!$K:$K,MAX(64,C464)),INDEX(잔액!$D:$D,MAX(64,C464))))</f>
        <v/>
      </c>
      <c r="H464" s="335" t="s">
        <v>1910</v>
      </c>
      <c r="J464" s="335" t="str">
        <f t="shared" si="50"/>
        <v/>
      </c>
      <c r="K464" s="346" t="str">
        <f t="shared" si="51"/>
        <v/>
      </c>
      <c r="L464" s="335" t="str">
        <f t="shared" si="52"/>
        <v/>
      </c>
      <c r="M464" s="335" t="str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  <v/>
      </c>
      <c r="N464" s="335" t="str">
        <f t="shared" si="53"/>
        <v/>
      </c>
      <c r="O464" s="348">
        <f t="shared" si="54"/>
        <v>0</v>
      </c>
    </row>
    <row r="465" spans="1:15" ht="16" hidden="1" outlineLevel="1">
      <c r="A465" s="335" t="str">
        <f t="shared" si="49"/>
        <v/>
      </c>
      <c r="B465" s="344"/>
      <c r="C465" s="344"/>
      <c r="D465" s="347" t="str">
        <f>IF(C465="","",IFERROR(INDEX(잔액!$Y:$Y,MAX(64,C465)),0))</f>
        <v/>
      </c>
      <c r="E465" s="346" t="str">
        <f>IF(C465="","",IFERROR(INDEX(잔액!$A:$A,MAX(64,C465)),""))</f>
        <v/>
      </c>
      <c r="F465" s="335" t="str">
        <f>IF(C465="","",IFERROR(INDEX(잔액!$C:$C,MAX(64,C465)),""))</f>
        <v/>
      </c>
      <c r="G465" s="335" t="str">
        <f>IF(C465="","",IF(INDEX(잔액!$K:$K,MAX(64,C465))&lt;&gt;"",INDEX(잔액!$K:$K,MAX(64,C465)),INDEX(잔액!$D:$D,MAX(64,C465))))</f>
        <v/>
      </c>
      <c r="H465" s="335" t="s">
        <v>1910</v>
      </c>
      <c r="J465" s="335" t="str">
        <f t="shared" si="50"/>
        <v/>
      </c>
      <c r="K465" s="346" t="str">
        <f t="shared" si="51"/>
        <v/>
      </c>
      <c r="L465" s="335" t="str">
        <f t="shared" si="52"/>
        <v/>
      </c>
      <c r="M465" s="335" t="str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  <v/>
      </c>
      <c r="N465" s="335" t="str">
        <f t="shared" si="53"/>
        <v/>
      </c>
      <c r="O465" s="348">
        <f t="shared" si="54"/>
        <v>0</v>
      </c>
    </row>
    <row r="466" spans="1:15" ht="16" hidden="1" outlineLevel="1">
      <c r="A466" s="335" t="str">
        <f t="shared" si="49"/>
        <v/>
      </c>
      <c r="B466" s="344"/>
      <c r="C466" s="344"/>
      <c r="D466" s="347" t="str">
        <f>IF(C466="","",IFERROR(INDEX(잔액!$Y:$Y,MAX(64,C466)),0))</f>
        <v/>
      </c>
      <c r="E466" s="346" t="str">
        <f>IF(C466="","",IFERROR(INDEX(잔액!$A:$A,MAX(64,C466)),""))</f>
        <v/>
      </c>
      <c r="F466" s="335" t="str">
        <f>IF(C466="","",IFERROR(INDEX(잔액!$C:$C,MAX(64,C466)),""))</f>
        <v/>
      </c>
      <c r="G466" s="335" t="str">
        <f>IF(C466="","",IF(INDEX(잔액!$K:$K,MAX(64,C466))&lt;&gt;"",INDEX(잔액!$K:$K,MAX(64,C466)),INDEX(잔액!$D:$D,MAX(64,C466))))</f>
        <v/>
      </c>
      <c r="H466" s="335" t="s">
        <v>1910</v>
      </c>
      <c r="J466" s="335" t="str">
        <f t="shared" si="50"/>
        <v/>
      </c>
      <c r="K466" s="346" t="str">
        <f t="shared" si="51"/>
        <v/>
      </c>
      <c r="L466" s="335" t="str">
        <f t="shared" si="52"/>
        <v/>
      </c>
      <c r="M466" s="335" t="str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  <v/>
      </c>
      <c r="N466" s="335" t="str">
        <f t="shared" si="53"/>
        <v/>
      </c>
      <c r="O466" s="348">
        <f t="shared" si="54"/>
        <v>0</v>
      </c>
    </row>
    <row r="467" spans="1:15" ht="16" hidden="1" outlineLevel="1">
      <c r="A467" s="335" t="str">
        <f t="shared" si="49"/>
        <v/>
      </c>
      <c r="B467" s="344"/>
      <c r="C467" s="344"/>
      <c r="D467" s="347" t="str">
        <f>IF(C467="","",IFERROR(INDEX(잔액!$Y:$Y,MAX(64,C467)),0))</f>
        <v/>
      </c>
      <c r="E467" s="346" t="str">
        <f>IF(C467="","",IFERROR(INDEX(잔액!$A:$A,MAX(64,C467)),""))</f>
        <v/>
      </c>
      <c r="F467" s="335" t="str">
        <f>IF(C467="","",IFERROR(INDEX(잔액!$C:$C,MAX(64,C467)),""))</f>
        <v/>
      </c>
      <c r="G467" s="335" t="str">
        <f>IF(C467="","",IF(INDEX(잔액!$K:$K,MAX(64,C467))&lt;&gt;"",INDEX(잔액!$K:$K,MAX(64,C467)),INDEX(잔액!$D:$D,MAX(64,C467))))</f>
        <v/>
      </c>
      <c r="H467" s="335" t="s">
        <v>1910</v>
      </c>
      <c r="J467" s="335" t="str">
        <f t="shared" si="50"/>
        <v/>
      </c>
      <c r="K467" s="346" t="str">
        <f t="shared" si="51"/>
        <v/>
      </c>
      <c r="L467" s="335" t="str">
        <f t="shared" si="52"/>
        <v/>
      </c>
      <c r="M467" s="335" t="str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  <v/>
      </c>
      <c r="N467" s="335" t="str">
        <f t="shared" si="53"/>
        <v/>
      </c>
      <c r="O467" s="348">
        <f t="shared" si="54"/>
        <v>0</v>
      </c>
    </row>
    <row r="468" spans="1:15" ht="16" hidden="1" outlineLevel="1">
      <c r="A468" s="335" t="str">
        <f t="shared" si="49"/>
        <v/>
      </c>
      <c r="B468" s="344"/>
      <c r="C468" s="344"/>
      <c r="D468" s="347" t="str">
        <f>IF(C468="","",IFERROR(INDEX(잔액!$Y:$Y,MAX(64,C468)),0))</f>
        <v/>
      </c>
      <c r="E468" s="346" t="str">
        <f>IF(C468="","",IFERROR(INDEX(잔액!$A:$A,MAX(64,C468)),""))</f>
        <v/>
      </c>
      <c r="F468" s="335" t="str">
        <f>IF(C468="","",IFERROR(INDEX(잔액!$C:$C,MAX(64,C468)),""))</f>
        <v/>
      </c>
      <c r="G468" s="335" t="str">
        <f>IF(C468="","",IF(INDEX(잔액!$K:$K,MAX(64,C468))&lt;&gt;"",INDEX(잔액!$K:$K,MAX(64,C468)),INDEX(잔액!$D:$D,MAX(64,C468))))</f>
        <v/>
      </c>
      <c r="H468" s="335" t="s">
        <v>1910</v>
      </c>
      <c r="J468" s="335" t="str">
        <f t="shared" si="50"/>
        <v/>
      </c>
      <c r="K468" s="346" t="str">
        <f t="shared" si="51"/>
        <v/>
      </c>
      <c r="L468" s="335" t="str">
        <f t="shared" si="52"/>
        <v/>
      </c>
      <c r="M468" s="335" t="str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  <v/>
      </c>
      <c r="N468" s="335" t="str">
        <f t="shared" si="53"/>
        <v/>
      </c>
      <c r="O468" s="348">
        <f t="shared" si="54"/>
        <v>0</v>
      </c>
    </row>
    <row r="469" spans="1:15" ht="16" hidden="1" outlineLevel="1">
      <c r="A469" s="335" t="str">
        <f t="shared" si="49"/>
        <v/>
      </c>
      <c r="B469" s="344"/>
      <c r="C469" s="344"/>
      <c r="D469" s="347" t="str">
        <f>IF(C469="","",IFERROR(INDEX(잔액!$Y:$Y,MAX(64,C469)),0))</f>
        <v/>
      </c>
      <c r="E469" s="346" t="str">
        <f>IF(C469="","",IFERROR(INDEX(잔액!$A:$A,MAX(64,C469)),""))</f>
        <v/>
      </c>
      <c r="F469" s="335" t="str">
        <f>IF(C469="","",IFERROR(INDEX(잔액!$C:$C,MAX(64,C469)),""))</f>
        <v/>
      </c>
      <c r="G469" s="335" t="str">
        <f>IF(C469="","",IF(INDEX(잔액!$K:$K,MAX(64,C469))&lt;&gt;"",INDEX(잔액!$K:$K,MAX(64,C469)),INDEX(잔액!$D:$D,MAX(64,C469))))</f>
        <v/>
      </c>
      <c r="H469" s="335" t="s">
        <v>1910</v>
      </c>
      <c r="J469" s="335" t="str">
        <f t="shared" si="50"/>
        <v/>
      </c>
      <c r="K469" s="346" t="str">
        <f t="shared" si="51"/>
        <v/>
      </c>
      <c r="L469" s="335" t="str">
        <f t="shared" si="52"/>
        <v/>
      </c>
      <c r="M469" s="335" t="str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  <v/>
      </c>
      <c r="N469" s="335" t="str">
        <f t="shared" si="53"/>
        <v/>
      </c>
      <c r="O469" s="348">
        <f t="shared" si="54"/>
        <v>0</v>
      </c>
    </row>
    <row r="470" spans="1:15" ht="16" hidden="1" outlineLevel="1">
      <c r="A470" s="335" t="str">
        <f t="shared" si="49"/>
        <v/>
      </c>
      <c r="B470" s="344"/>
      <c r="C470" s="344"/>
      <c r="D470" s="347" t="str">
        <f>IF(C470="","",IFERROR(INDEX(잔액!$Y:$Y,MAX(64,C470)),0))</f>
        <v/>
      </c>
      <c r="E470" s="346" t="str">
        <f>IF(C470="","",IFERROR(INDEX(잔액!$A:$A,MAX(64,C470)),""))</f>
        <v/>
      </c>
      <c r="F470" s="335" t="str">
        <f>IF(C470="","",IFERROR(INDEX(잔액!$C:$C,MAX(64,C470)),""))</f>
        <v/>
      </c>
      <c r="G470" s="335" t="str">
        <f>IF(C470="","",IF(INDEX(잔액!$K:$K,MAX(64,C470))&lt;&gt;"",INDEX(잔액!$K:$K,MAX(64,C470)),INDEX(잔액!$D:$D,MAX(64,C470))))</f>
        <v/>
      </c>
      <c r="H470" s="335" t="s">
        <v>1910</v>
      </c>
      <c r="J470" s="335" t="str">
        <f t="shared" si="50"/>
        <v/>
      </c>
      <c r="K470" s="346" t="str">
        <f t="shared" si="51"/>
        <v/>
      </c>
      <c r="L470" s="335" t="str">
        <f t="shared" si="52"/>
        <v/>
      </c>
      <c r="M470" s="335" t="str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  <v/>
      </c>
      <c r="N470" s="335" t="str">
        <f t="shared" si="53"/>
        <v/>
      </c>
      <c r="O470" s="348">
        <f t="shared" si="54"/>
        <v>0</v>
      </c>
    </row>
    <row r="471" spans="1:15" ht="16" hidden="1" outlineLevel="1">
      <c r="A471" s="335" t="str">
        <f t="shared" si="49"/>
        <v/>
      </c>
      <c r="B471" s="344"/>
      <c r="C471" s="344"/>
      <c r="D471" s="347" t="str">
        <f>IF(C471="","",IFERROR(INDEX(잔액!$Y:$Y,MAX(64,C471)),0))</f>
        <v/>
      </c>
      <c r="E471" s="346" t="str">
        <f>IF(C471="","",IFERROR(INDEX(잔액!$A:$A,MAX(64,C471)),""))</f>
        <v/>
      </c>
      <c r="F471" s="335" t="str">
        <f>IF(C471="","",IFERROR(INDEX(잔액!$C:$C,MAX(64,C471)),""))</f>
        <v/>
      </c>
      <c r="G471" s="335" t="str">
        <f>IF(C471="","",IF(INDEX(잔액!$K:$K,MAX(64,C471))&lt;&gt;"",INDEX(잔액!$K:$K,MAX(64,C471)),INDEX(잔액!$D:$D,MAX(64,C471))))</f>
        <v/>
      </c>
      <c r="H471" s="335" t="s">
        <v>1910</v>
      </c>
      <c r="J471" s="335" t="str">
        <f t="shared" si="50"/>
        <v/>
      </c>
      <c r="K471" s="346" t="str">
        <f t="shared" si="51"/>
        <v/>
      </c>
      <c r="L471" s="335" t="str">
        <f t="shared" si="52"/>
        <v/>
      </c>
      <c r="M471" s="335" t="str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  <v/>
      </c>
      <c r="N471" s="335" t="str">
        <f t="shared" si="53"/>
        <v/>
      </c>
      <c r="O471" s="348">
        <f t="shared" si="54"/>
        <v>0</v>
      </c>
    </row>
    <row r="472" spans="1:15" ht="16" hidden="1" outlineLevel="1">
      <c r="A472" s="335" t="str">
        <f t="shared" si="49"/>
        <v/>
      </c>
      <c r="B472" s="344"/>
      <c r="C472" s="344"/>
      <c r="D472" s="347" t="str">
        <f>IF(C472="","",IFERROR(INDEX(잔액!$Y:$Y,MAX(64,C472)),0))</f>
        <v/>
      </c>
      <c r="E472" s="346" t="str">
        <f>IF(C472="","",IFERROR(INDEX(잔액!$A:$A,MAX(64,C472)),""))</f>
        <v/>
      </c>
      <c r="F472" s="335" t="str">
        <f>IF(C472="","",IFERROR(INDEX(잔액!$C:$C,MAX(64,C472)),""))</f>
        <v/>
      </c>
      <c r="G472" s="335" t="str">
        <f>IF(C472="","",IF(INDEX(잔액!$K:$K,MAX(64,C472))&lt;&gt;"",INDEX(잔액!$K:$K,MAX(64,C472)),INDEX(잔액!$D:$D,MAX(64,C472))))</f>
        <v/>
      </c>
      <c r="H472" s="335" t="s">
        <v>1910</v>
      </c>
      <c r="J472" s="335" t="str">
        <f t="shared" si="50"/>
        <v/>
      </c>
      <c r="K472" s="346" t="str">
        <f t="shared" si="51"/>
        <v/>
      </c>
      <c r="L472" s="335" t="str">
        <f t="shared" si="52"/>
        <v/>
      </c>
      <c r="M472" s="335" t="str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  <v/>
      </c>
      <c r="N472" s="335" t="str">
        <f t="shared" si="53"/>
        <v/>
      </c>
      <c r="O472" s="348">
        <f t="shared" si="54"/>
        <v>0</v>
      </c>
    </row>
    <row r="473" spans="1:15" ht="16" hidden="1" outlineLevel="1">
      <c r="A473" s="335" t="str">
        <f t="shared" si="49"/>
        <v/>
      </c>
      <c r="B473" s="344"/>
      <c r="C473" s="344"/>
      <c r="D473" s="347" t="str">
        <f>IF(C473="","",IFERROR(INDEX(잔액!$Y:$Y,MAX(64,C473)),0))</f>
        <v/>
      </c>
      <c r="E473" s="346" t="str">
        <f>IF(C473="","",IFERROR(INDEX(잔액!$A:$A,MAX(64,C473)),""))</f>
        <v/>
      </c>
      <c r="F473" s="335" t="str">
        <f>IF(C473="","",IFERROR(INDEX(잔액!$C:$C,MAX(64,C473)),""))</f>
        <v/>
      </c>
      <c r="G473" s="335" t="str">
        <f>IF(C473="","",IF(INDEX(잔액!$K:$K,MAX(64,C473))&lt;&gt;"",INDEX(잔액!$K:$K,MAX(64,C473)),INDEX(잔액!$D:$D,MAX(64,C473))))</f>
        <v/>
      </c>
      <c r="H473" s="335" t="s">
        <v>1910</v>
      </c>
      <c r="J473" s="335" t="str">
        <f t="shared" si="50"/>
        <v/>
      </c>
      <c r="K473" s="346" t="str">
        <f t="shared" si="51"/>
        <v/>
      </c>
      <c r="L473" s="335" t="str">
        <f t="shared" si="52"/>
        <v/>
      </c>
      <c r="M473" s="335" t="str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  <v/>
      </c>
      <c r="N473" s="335" t="str">
        <f t="shared" si="53"/>
        <v/>
      </c>
      <c r="O473" s="348">
        <f t="shared" si="54"/>
        <v>0</v>
      </c>
    </row>
    <row r="474" spans="1:15" ht="16" hidden="1" outlineLevel="1">
      <c r="A474" s="335" t="str">
        <f t="shared" si="49"/>
        <v/>
      </c>
      <c r="B474" s="344"/>
      <c r="C474" s="344"/>
      <c r="D474" s="347" t="str">
        <f>IF(C474="","",IFERROR(INDEX(잔액!$Y:$Y,MAX(64,C474)),0))</f>
        <v/>
      </c>
      <c r="E474" s="346" t="str">
        <f>IF(C474="","",IFERROR(INDEX(잔액!$A:$A,MAX(64,C474)),""))</f>
        <v/>
      </c>
      <c r="F474" s="335" t="str">
        <f>IF(C474="","",IFERROR(INDEX(잔액!$C:$C,MAX(64,C474)),""))</f>
        <v/>
      </c>
      <c r="G474" s="335" t="str">
        <f>IF(C474="","",IF(INDEX(잔액!$K:$K,MAX(64,C474))&lt;&gt;"",INDEX(잔액!$K:$K,MAX(64,C474)),INDEX(잔액!$D:$D,MAX(64,C474))))</f>
        <v/>
      </c>
      <c r="H474" s="335" t="s">
        <v>1910</v>
      </c>
      <c r="J474" s="335" t="str">
        <f t="shared" si="50"/>
        <v/>
      </c>
      <c r="K474" s="346" t="str">
        <f t="shared" si="51"/>
        <v/>
      </c>
      <c r="L474" s="335" t="str">
        <f t="shared" si="52"/>
        <v/>
      </c>
      <c r="M474" s="335" t="str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  <v/>
      </c>
      <c r="N474" s="335" t="str">
        <f t="shared" si="53"/>
        <v/>
      </c>
      <c r="O474" s="348">
        <f t="shared" si="54"/>
        <v>0</v>
      </c>
    </row>
    <row r="475" spans="1:15" ht="16" hidden="1" outlineLevel="1">
      <c r="A475" s="335" t="str">
        <f t="shared" si="49"/>
        <v/>
      </c>
      <c r="B475" s="344"/>
      <c r="C475" s="344"/>
      <c r="D475" s="347" t="str">
        <f>IF(C475="","",IFERROR(INDEX(잔액!$Y:$Y,MAX(64,C475)),0))</f>
        <v/>
      </c>
      <c r="E475" s="346" t="str">
        <f>IF(C475="","",IFERROR(INDEX(잔액!$A:$A,MAX(64,C475)),""))</f>
        <v/>
      </c>
      <c r="F475" s="335" t="str">
        <f>IF(C475="","",IFERROR(INDEX(잔액!$C:$C,MAX(64,C475)),""))</f>
        <v/>
      </c>
      <c r="G475" s="335" t="str">
        <f>IF(C475="","",IF(INDEX(잔액!$K:$K,MAX(64,C475))&lt;&gt;"",INDEX(잔액!$K:$K,MAX(64,C475)),INDEX(잔액!$D:$D,MAX(64,C475))))</f>
        <v/>
      </c>
      <c r="H475" s="335" t="s">
        <v>1910</v>
      </c>
      <c r="J475" s="335" t="str">
        <f t="shared" si="50"/>
        <v/>
      </c>
      <c r="K475" s="346" t="str">
        <f t="shared" si="51"/>
        <v/>
      </c>
      <c r="L475" s="335" t="str">
        <f t="shared" si="52"/>
        <v/>
      </c>
      <c r="M475" s="335" t="str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  <v/>
      </c>
      <c r="N475" s="335" t="str">
        <f t="shared" si="53"/>
        <v/>
      </c>
      <c r="O475" s="348">
        <f t="shared" si="54"/>
        <v>0</v>
      </c>
    </row>
    <row r="476" spans="1:15" ht="16" hidden="1" outlineLevel="1">
      <c r="A476" s="335" t="str">
        <f t="shared" si="49"/>
        <v/>
      </c>
      <c r="B476" s="344"/>
      <c r="C476" s="344"/>
      <c r="D476" s="347" t="str">
        <f>IF(C476="","",IFERROR(INDEX(잔액!$Y:$Y,MAX(64,C476)),0))</f>
        <v/>
      </c>
      <c r="E476" s="346" t="str">
        <f>IF(C476="","",IFERROR(INDEX(잔액!$A:$A,MAX(64,C476)),""))</f>
        <v/>
      </c>
      <c r="F476" s="335" t="str">
        <f>IF(C476="","",IFERROR(INDEX(잔액!$C:$C,MAX(64,C476)),""))</f>
        <v/>
      </c>
      <c r="G476" s="335" t="str">
        <f>IF(C476="","",IF(INDEX(잔액!$K:$K,MAX(64,C476))&lt;&gt;"",INDEX(잔액!$K:$K,MAX(64,C476)),INDEX(잔액!$D:$D,MAX(64,C476))))</f>
        <v/>
      </c>
      <c r="H476" s="335" t="s">
        <v>1910</v>
      </c>
      <c r="J476" s="335" t="str">
        <f t="shared" si="50"/>
        <v/>
      </c>
      <c r="K476" s="346" t="str">
        <f t="shared" si="51"/>
        <v/>
      </c>
      <c r="L476" s="335" t="str">
        <f t="shared" si="52"/>
        <v/>
      </c>
      <c r="M476" s="335" t="str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  <v/>
      </c>
      <c r="N476" s="335" t="str">
        <f t="shared" si="53"/>
        <v/>
      </c>
      <c r="O476" s="348">
        <f t="shared" si="54"/>
        <v>0</v>
      </c>
    </row>
    <row r="477" spans="1:15" ht="16" hidden="1" outlineLevel="1">
      <c r="A477" s="335" t="str">
        <f t="shared" si="49"/>
        <v/>
      </c>
      <c r="B477" s="344"/>
      <c r="C477" s="344"/>
      <c r="D477" s="347" t="str">
        <f>IF(C477="","",IFERROR(INDEX(잔액!$Y:$Y,MAX(64,C477)),0))</f>
        <v/>
      </c>
      <c r="E477" s="346" t="str">
        <f>IF(C477="","",IFERROR(INDEX(잔액!$A:$A,MAX(64,C477)),""))</f>
        <v/>
      </c>
      <c r="F477" s="335" t="str">
        <f>IF(C477="","",IFERROR(INDEX(잔액!$C:$C,MAX(64,C477)),""))</f>
        <v/>
      </c>
      <c r="G477" s="335" t="str">
        <f>IF(C477="","",IF(INDEX(잔액!$K:$K,MAX(64,C477))&lt;&gt;"",INDEX(잔액!$K:$K,MAX(64,C477)),INDEX(잔액!$D:$D,MAX(64,C477))))</f>
        <v/>
      </c>
      <c r="H477" s="335" t="s">
        <v>1910</v>
      </c>
      <c r="J477" s="335" t="str">
        <f t="shared" si="50"/>
        <v/>
      </c>
      <c r="K477" s="346" t="str">
        <f t="shared" si="51"/>
        <v/>
      </c>
      <c r="L477" s="335" t="str">
        <f t="shared" si="52"/>
        <v/>
      </c>
      <c r="M477" s="335" t="str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  <v/>
      </c>
      <c r="N477" s="335" t="str">
        <f t="shared" si="53"/>
        <v/>
      </c>
      <c r="O477" s="348">
        <f t="shared" si="54"/>
        <v>0</v>
      </c>
    </row>
    <row r="478" spans="1:15" ht="16" hidden="1" outlineLevel="1">
      <c r="A478" s="335" t="str">
        <f t="shared" si="49"/>
        <v/>
      </c>
      <c r="B478" s="344"/>
      <c r="C478" s="344"/>
      <c r="D478" s="347" t="str">
        <f>IF(C478="","",IFERROR(INDEX(잔액!$Y:$Y,MAX(64,C478)),0))</f>
        <v/>
      </c>
      <c r="E478" s="346" t="str">
        <f>IF(C478="","",IFERROR(INDEX(잔액!$A:$A,MAX(64,C478)),""))</f>
        <v/>
      </c>
      <c r="F478" s="335" t="str">
        <f>IF(C478="","",IFERROR(INDEX(잔액!$C:$C,MAX(64,C478)),""))</f>
        <v/>
      </c>
      <c r="G478" s="335" t="str">
        <f>IF(C478="","",IF(INDEX(잔액!$K:$K,MAX(64,C478))&lt;&gt;"",INDEX(잔액!$K:$K,MAX(64,C478)),INDEX(잔액!$D:$D,MAX(64,C478))))</f>
        <v/>
      </c>
      <c r="H478" s="335" t="s">
        <v>1910</v>
      </c>
      <c r="J478" s="335" t="str">
        <f t="shared" si="50"/>
        <v/>
      </c>
      <c r="K478" s="346" t="str">
        <f t="shared" si="51"/>
        <v/>
      </c>
      <c r="L478" s="335" t="str">
        <f t="shared" si="52"/>
        <v/>
      </c>
      <c r="M478" s="335" t="str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  <v/>
      </c>
      <c r="N478" s="335" t="str">
        <f t="shared" si="53"/>
        <v/>
      </c>
      <c r="O478" s="348">
        <f t="shared" si="54"/>
        <v>0</v>
      </c>
    </row>
    <row r="479" spans="1:15" ht="16" hidden="1" outlineLevel="1">
      <c r="A479" s="335" t="str">
        <f t="shared" si="49"/>
        <v/>
      </c>
      <c r="B479" s="344"/>
      <c r="C479" s="344"/>
      <c r="D479" s="347" t="str">
        <f>IF(C479="","",IFERROR(INDEX(잔액!$Y:$Y,MAX(64,C479)),0))</f>
        <v/>
      </c>
      <c r="E479" s="346" t="str">
        <f>IF(C479="","",IFERROR(INDEX(잔액!$A:$A,MAX(64,C479)),""))</f>
        <v/>
      </c>
      <c r="F479" s="335" t="str">
        <f>IF(C479="","",IFERROR(INDEX(잔액!$C:$C,MAX(64,C479)),""))</f>
        <v/>
      </c>
      <c r="G479" s="335" t="str">
        <f>IF(C479="","",IF(INDEX(잔액!$K:$K,MAX(64,C479))&lt;&gt;"",INDEX(잔액!$K:$K,MAX(64,C479)),INDEX(잔액!$D:$D,MAX(64,C479))))</f>
        <v/>
      </c>
      <c r="H479" s="335" t="s">
        <v>1910</v>
      </c>
      <c r="J479" s="335" t="str">
        <f t="shared" si="50"/>
        <v/>
      </c>
      <c r="K479" s="346" t="str">
        <f t="shared" si="51"/>
        <v/>
      </c>
      <c r="L479" s="335" t="str">
        <f t="shared" si="52"/>
        <v/>
      </c>
      <c r="M479" s="335" t="str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  <v/>
      </c>
      <c r="N479" s="335" t="str">
        <f t="shared" si="53"/>
        <v/>
      </c>
      <c r="O479" s="348">
        <f t="shared" si="54"/>
        <v>0</v>
      </c>
    </row>
    <row r="480" spans="1:15" ht="16" hidden="1" outlineLevel="1">
      <c r="A480" s="335" t="str">
        <f t="shared" si="49"/>
        <v/>
      </c>
      <c r="B480" s="344"/>
      <c r="C480" s="344"/>
      <c r="D480" s="347" t="str">
        <f>IF(C480="","",IFERROR(INDEX(잔액!$Y:$Y,MAX(64,C480)),0))</f>
        <v/>
      </c>
      <c r="E480" s="346" t="str">
        <f>IF(C480="","",IFERROR(INDEX(잔액!$A:$A,MAX(64,C480)),""))</f>
        <v/>
      </c>
      <c r="F480" s="335" t="str">
        <f>IF(C480="","",IFERROR(INDEX(잔액!$C:$C,MAX(64,C480)),""))</f>
        <v/>
      </c>
      <c r="G480" s="335" t="str">
        <f>IF(C480="","",IF(INDEX(잔액!$K:$K,MAX(64,C480))&lt;&gt;"",INDEX(잔액!$K:$K,MAX(64,C480)),INDEX(잔액!$D:$D,MAX(64,C480))))</f>
        <v/>
      </c>
      <c r="H480" s="335" t="s">
        <v>1910</v>
      </c>
      <c r="J480" s="335" t="str">
        <f t="shared" si="50"/>
        <v/>
      </c>
      <c r="K480" s="346" t="str">
        <f t="shared" si="51"/>
        <v/>
      </c>
      <c r="L480" s="335" t="str">
        <f t="shared" si="52"/>
        <v/>
      </c>
      <c r="M480" s="335" t="str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  <v/>
      </c>
      <c r="N480" s="335" t="str">
        <f t="shared" si="53"/>
        <v/>
      </c>
      <c r="O480" s="348">
        <f t="shared" si="54"/>
        <v>0</v>
      </c>
    </row>
    <row r="481" spans="1:15" ht="16" hidden="1" outlineLevel="1">
      <c r="A481" s="335" t="str">
        <f t="shared" si="49"/>
        <v/>
      </c>
      <c r="B481" s="344"/>
      <c r="C481" s="344"/>
      <c r="D481" s="347" t="str">
        <f>IF(C481="","",IFERROR(INDEX(잔액!$Y:$Y,MAX(64,C481)),0))</f>
        <v/>
      </c>
      <c r="E481" s="346" t="str">
        <f>IF(C481="","",IFERROR(INDEX(잔액!$A:$A,MAX(64,C481)),""))</f>
        <v/>
      </c>
      <c r="F481" s="335" t="str">
        <f>IF(C481="","",IFERROR(INDEX(잔액!$C:$C,MAX(64,C481)),""))</f>
        <v/>
      </c>
      <c r="G481" s="335" t="str">
        <f>IF(C481="","",IF(INDEX(잔액!$K:$K,MAX(64,C481))&lt;&gt;"",INDEX(잔액!$K:$K,MAX(64,C481)),INDEX(잔액!$D:$D,MAX(64,C481))))</f>
        <v/>
      </c>
      <c r="H481" s="335" t="s">
        <v>1910</v>
      </c>
      <c r="J481" s="335" t="str">
        <f t="shared" si="50"/>
        <v/>
      </c>
      <c r="K481" s="346" t="str">
        <f t="shared" si="51"/>
        <v/>
      </c>
      <c r="L481" s="335" t="str">
        <f t="shared" si="52"/>
        <v/>
      </c>
      <c r="M481" s="335" t="str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  <v/>
      </c>
      <c r="N481" s="335" t="str">
        <f t="shared" si="53"/>
        <v/>
      </c>
      <c r="O481" s="348">
        <f t="shared" si="54"/>
        <v>0</v>
      </c>
    </row>
    <row r="482" spans="1:15" ht="16" hidden="1" outlineLevel="1">
      <c r="A482" s="335" t="str">
        <f t="shared" si="49"/>
        <v/>
      </c>
      <c r="B482" s="344"/>
      <c r="C482" s="344"/>
      <c r="D482" s="347" t="str">
        <f>IF(C482="","",IFERROR(INDEX(잔액!$Y:$Y,MAX(64,C482)),0))</f>
        <v/>
      </c>
      <c r="E482" s="346" t="str">
        <f>IF(C482="","",IFERROR(INDEX(잔액!$A:$A,MAX(64,C482)),""))</f>
        <v/>
      </c>
      <c r="F482" s="335" t="str">
        <f>IF(C482="","",IFERROR(INDEX(잔액!$C:$C,MAX(64,C482)),""))</f>
        <v/>
      </c>
      <c r="G482" s="335" t="str">
        <f>IF(C482="","",IF(INDEX(잔액!$K:$K,MAX(64,C482))&lt;&gt;"",INDEX(잔액!$K:$K,MAX(64,C482)),INDEX(잔액!$D:$D,MAX(64,C482))))</f>
        <v/>
      </c>
      <c r="H482" s="335" t="s">
        <v>1910</v>
      </c>
      <c r="J482" s="335" t="str">
        <f t="shared" si="50"/>
        <v/>
      </c>
      <c r="K482" s="346" t="str">
        <f t="shared" si="51"/>
        <v/>
      </c>
      <c r="L482" s="335" t="str">
        <f t="shared" si="52"/>
        <v/>
      </c>
      <c r="M482" s="335" t="str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  <v/>
      </c>
      <c r="N482" s="335" t="str">
        <f t="shared" si="53"/>
        <v/>
      </c>
      <c r="O482" s="348">
        <f t="shared" si="54"/>
        <v>0</v>
      </c>
    </row>
    <row r="483" spans="1:15" ht="16" hidden="1" outlineLevel="1">
      <c r="A483" s="335" t="str">
        <f t="shared" si="49"/>
        <v/>
      </c>
      <c r="B483" s="344"/>
      <c r="C483" s="344"/>
      <c r="D483" s="347" t="str">
        <f>IF(C483="","",IFERROR(INDEX(잔액!$Y:$Y,MAX(64,C483)),0))</f>
        <v/>
      </c>
      <c r="E483" s="346" t="str">
        <f>IF(C483="","",IFERROR(INDEX(잔액!$A:$A,MAX(64,C483)),""))</f>
        <v/>
      </c>
      <c r="F483" s="335" t="str">
        <f>IF(C483="","",IFERROR(INDEX(잔액!$C:$C,MAX(64,C483)),""))</f>
        <v/>
      </c>
      <c r="G483" s="335" t="str">
        <f>IF(C483="","",IF(INDEX(잔액!$K:$K,MAX(64,C483))&lt;&gt;"",INDEX(잔액!$K:$K,MAX(64,C483)),INDEX(잔액!$D:$D,MAX(64,C483))))</f>
        <v/>
      </c>
      <c r="H483" s="335" t="s">
        <v>1910</v>
      </c>
      <c r="J483" s="335" t="str">
        <f t="shared" si="50"/>
        <v/>
      </c>
      <c r="K483" s="346" t="str">
        <f t="shared" si="51"/>
        <v/>
      </c>
      <c r="L483" s="335" t="str">
        <f t="shared" si="52"/>
        <v/>
      </c>
      <c r="M483" s="335" t="str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  <v/>
      </c>
      <c r="N483" s="335" t="str">
        <f t="shared" si="53"/>
        <v/>
      </c>
      <c r="O483" s="348">
        <f t="shared" si="54"/>
        <v>0</v>
      </c>
    </row>
    <row r="484" spans="1:15" ht="16" hidden="1" outlineLevel="1">
      <c r="A484" s="335" t="str">
        <f t="shared" si="49"/>
        <v/>
      </c>
      <c r="B484" s="344"/>
      <c r="C484" s="344"/>
      <c r="D484" s="347" t="str">
        <f>IF(C484="","",IFERROR(INDEX(잔액!$Y:$Y,MAX(64,C484)),0))</f>
        <v/>
      </c>
      <c r="E484" s="346" t="str">
        <f>IF(C484="","",IFERROR(INDEX(잔액!$A:$A,MAX(64,C484)),""))</f>
        <v/>
      </c>
      <c r="F484" s="335" t="str">
        <f>IF(C484="","",IFERROR(INDEX(잔액!$C:$C,MAX(64,C484)),""))</f>
        <v/>
      </c>
      <c r="G484" s="335" t="str">
        <f>IF(C484="","",IF(INDEX(잔액!$K:$K,MAX(64,C484))&lt;&gt;"",INDEX(잔액!$K:$K,MAX(64,C484)),INDEX(잔액!$D:$D,MAX(64,C484))))</f>
        <v/>
      </c>
      <c r="H484" s="335" t="s">
        <v>1910</v>
      </c>
      <c r="J484" s="335" t="str">
        <f t="shared" si="50"/>
        <v/>
      </c>
      <c r="K484" s="346" t="str">
        <f t="shared" si="51"/>
        <v/>
      </c>
      <c r="L484" s="335" t="str">
        <f t="shared" si="52"/>
        <v/>
      </c>
      <c r="M484" s="335" t="str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  <v/>
      </c>
      <c r="N484" s="335" t="str">
        <f t="shared" si="53"/>
        <v/>
      </c>
      <c r="O484" s="348">
        <f t="shared" si="54"/>
        <v>0</v>
      </c>
    </row>
    <row r="485" spans="1:15" ht="16" hidden="1" outlineLevel="1">
      <c r="A485" s="335" t="str">
        <f t="shared" si="49"/>
        <v/>
      </c>
      <c r="B485" s="344"/>
      <c r="C485" s="344"/>
      <c r="D485" s="347" t="str">
        <f>IF(C485="","",IFERROR(INDEX(잔액!$Y:$Y,MAX(64,C485)),0))</f>
        <v/>
      </c>
      <c r="E485" s="346" t="str">
        <f>IF(C485="","",IFERROR(INDEX(잔액!$A:$A,MAX(64,C485)),""))</f>
        <v/>
      </c>
      <c r="F485" s="335" t="str">
        <f>IF(C485="","",IFERROR(INDEX(잔액!$C:$C,MAX(64,C485)),""))</f>
        <v/>
      </c>
      <c r="G485" s="335" t="str">
        <f>IF(C485="","",IF(INDEX(잔액!$K:$K,MAX(64,C485))&lt;&gt;"",INDEX(잔액!$K:$K,MAX(64,C485)),INDEX(잔액!$D:$D,MAX(64,C485))))</f>
        <v/>
      </c>
      <c r="H485" s="335" t="s">
        <v>1910</v>
      </c>
      <c r="J485" s="335" t="str">
        <f t="shared" si="50"/>
        <v/>
      </c>
      <c r="K485" s="346" t="str">
        <f t="shared" si="51"/>
        <v/>
      </c>
      <c r="L485" s="335" t="str">
        <f t="shared" si="52"/>
        <v/>
      </c>
      <c r="M485" s="335" t="str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  <v/>
      </c>
      <c r="N485" s="335" t="str">
        <f t="shared" si="53"/>
        <v/>
      </c>
      <c r="O485" s="348">
        <f t="shared" si="54"/>
        <v>0</v>
      </c>
    </row>
    <row r="486" spans="1:15" ht="16" hidden="1" outlineLevel="1">
      <c r="A486" s="335" t="str">
        <f t="shared" si="49"/>
        <v/>
      </c>
      <c r="B486" s="344"/>
      <c r="C486" s="344"/>
      <c r="D486" s="347" t="str">
        <f>IF(C486="","",IFERROR(INDEX(잔액!$Y:$Y,MAX(64,C486)),0))</f>
        <v/>
      </c>
      <c r="E486" s="346" t="str">
        <f>IF(C486="","",IFERROR(INDEX(잔액!$A:$A,MAX(64,C486)),""))</f>
        <v/>
      </c>
      <c r="F486" s="335" t="str">
        <f>IF(C486="","",IFERROR(INDEX(잔액!$C:$C,MAX(64,C486)),""))</f>
        <v/>
      </c>
      <c r="G486" s="335" t="str">
        <f>IF(C486="","",IF(INDEX(잔액!$K:$K,MAX(64,C486))&lt;&gt;"",INDEX(잔액!$K:$K,MAX(64,C486)),INDEX(잔액!$D:$D,MAX(64,C486))))</f>
        <v/>
      </c>
      <c r="H486" s="335" t="s">
        <v>1910</v>
      </c>
      <c r="J486" s="335" t="str">
        <f t="shared" si="50"/>
        <v/>
      </c>
      <c r="K486" s="346" t="str">
        <f t="shared" si="51"/>
        <v/>
      </c>
      <c r="L486" s="335" t="str">
        <f t="shared" si="52"/>
        <v/>
      </c>
      <c r="M486" s="335" t="str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  <v/>
      </c>
      <c r="N486" s="335" t="str">
        <f t="shared" si="53"/>
        <v/>
      </c>
      <c r="O486" s="348">
        <f t="shared" si="54"/>
        <v>0</v>
      </c>
    </row>
    <row r="487" spans="1:15" ht="16" hidden="1" outlineLevel="1">
      <c r="A487" s="335" t="str">
        <f t="shared" si="49"/>
        <v/>
      </c>
      <c r="B487" s="344"/>
      <c r="C487" s="344"/>
      <c r="D487" s="347" t="str">
        <f>IF(C487="","",IFERROR(INDEX(잔액!$Y:$Y,MAX(64,C487)),0))</f>
        <v/>
      </c>
      <c r="E487" s="346" t="str">
        <f>IF(C487="","",IFERROR(INDEX(잔액!$A:$A,MAX(64,C487)),""))</f>
        <v/>
      </c>
      <c r="F487" s="335" t="str">
        <f>IF(C487="","",IFERROR(INDEX(잔액!$C:$C,MAX(64,C487)),""))</f>
        <v/>
      </c>
      <c r="G487" s="335" t="str">
        <f>IF(C487="","",IF(INDEX(잔액!$K:$K,MAX(64,C487))&lt;&gt;"",INDEX(잔액!$K:$K,MAX(64,C487)),INDEX(잔액!$D:$D,MAX(64,C487))))</f>
        <v/>
      </c>
      <c r="H487" s="335" t="s">
        <v>1910</v>
      </c>
      <c r="J487" s="335" t="str">
        <f t="shared" si="50"/>
        <v/>
      </c>
      <c r="K487" s="346" t="str">
        <f t="shared" si="51"/>
        <v/>
      </c>
      <c r="L487" s="335" t="str">
        <f t="shared" si="52"/>
        <v/>
      </c>
      <c r="M487" s="335" t="str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  <v/>
      </c>
      <c r="N487" s="335" t="str">
        <f t="shared" si="53"/>
        <v/>
      </c>
      <c r="O487" s="348">
        <f t="shared" si="54"/>
        <v>0</v>
      </c>
    </row>
    <row r="488" spans="1:15" ht="16" hidden="1" outlineLevel="1">
      <c r="A488" s="335" t="str">
        <f t="shared" si="49"/>
        <v/>
      </c>
      <c r="B488" s="344"/>
      <c r="C488" s="344"/>
      <c r="D488" s="347" t="str">
        <f>IF(C488="","",IFERROR(INDEX(잔액!$Y:$Y,MAX(64,C488)),0))</f>
        <v/>
      </c>
      <c r="E488" s="346" t="str">
        <f>IF(C488="","",IFERROR(INDEX(잔액!$A:$A,MAX(64,C488)),""))</f>
        <v/>
      </c>
      <c r="F488" s="335" t="str">
        <f>IF(C488="","",IFERROR(INDEX(잔액!$C:$C,MAX(64,C488)),""))</f>
        <v/>
      </c>
      <c r="G488" s="335" t="str">
        <f>IF(C488="","",IF(INDEX(잔액!$K:$K,MAX(64,C488))&lt;&gt;"",INDEX(잔액!$K:$K,MAX(64,C488)),INDEX(잔액!$D:$D,MAX(64,C488))))</f>
        <v/>
      </c>
      <c r="H488" s="335" t="s">
        <v>1910</v>
      </c>
      <c r="J488" s="335" t="str">
        <f t="shared" si="50"/>
        <v/>
      </c>
      <c r="K488" s="346" t="str">
        <f t="shared" si="51"/>
        <v/>
      </c>
      <c r="L488" s="335" t="str">
        <f t="shared" si="52"/>
        <v/>
      </c>
      <c r="M488" s="335" t="str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  <v/>
      </c>
      <c r="N488" s="335" t="str">
        <f t="shared" si="53"/>
        <v/>
      </c>
      <c r="O488" s="348">
        <f t="shared" si="54"/>
        <v>0</v>
      </c>
    </row>
    <row r="489" spans="1:15" ht="16" hidden="1" outlineLevel="1">
      <c r="A489" s="335" t="str">
        <f t="shared" si="49"/>
        <v/>
      </c>
      <c r="B489" s="344"/>
      <c r="C489" s="344"/>
      <c r="D489" s="347" t="str">
        <f>IF(C489="","",IFERROR(INDEX(잔액!$Y:$Y,MAX(64,C489)),0))</f>
        <v/>
      </c>
      <c r="E489" s="346" t="str">
        <f>IF(C489="","",IFERROR(INDEX(잔액!$A:$A,MAX(64,C489)),""))</f>
        <v/>
      </c>
      <c r="F489" s="335" t="str">
        <f>IF(C489="","",IFERROR(INDEX(잔액!$C:$C,MAX(64,C489)),""))</f>
        <v/>
      </c>
      <c r="G489" s="335" t="str">
        <f>IF(C489="","",IF(INDEX(잔액!$K:$K,MAX(64,C489))&lt;&gt;"",INDEX(잔액!$K:$K,MAX(64,C489)),INDEX(잔액!$D:$D,MAX(64,C489))))</f>
        <v/>
      </c>
      <c r="H489" s="335" t="s">
        <v>1910</v>
      </c>
      <c r="J489" s="335" t="str">
        <f t="shared" si="50"/>
        <v/>
      </c>
      <c r="K489" s="346" t="str">
        <f t="shared" si="51"/>
        <v/>
      </c>
      <c r="L489" s="335" t="str">
        <f t="shared" si="52"/>
        <v/>
      </c>
      <c r="M489" s="335" t="str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  <v/>
      </c>
      <c r="N489" s="335" t="str">
        <f t="shared" si="53"/>
        <v/>
      </c>
      <c r="O489" s="348">
        <f t="shared" si="54"/>
        <v>0</v>
      </c>
    </row>
    <row r="490" spans="1:15" ht="16" hidden="1" outlineLevel="1">
      <c r="A490" s="335" t="str">
        <f t="shared" si="49"/>
        <v/>
      </c>
      <c r="B490" s="344"/>
      <c r="C490" s="344"/>
      <c r="D490" s="347" t="str">
        <f>IF(C490="","",IFERROR(INDEX(잔액!$Y:$Y,MAX(64,C490)),0))</f>
        <v/>
      </c>
      <c r="E490" s="346" t="str">
        <f>IF(C490="","",IFERROR(INDEX(잔액!$A:$A,MAX(64,C490)),""))</f>
        <v/>
      </c>
      <c r="F490" s="335" t="str">
        <f>IF(C490="","",IFERROR(INDEX(잔액!$C:$C,MAX(64,C490)),""))</f>
        <v/>
      </c>
      <c r="G490" s="335" t="str">
        <f>IF(C490="","",IF(INDEX(잔액!$K:$K,MAX(64,C490))&lt;&gt;"",INDEX(잔액!$K:$K,MAX(64,C490)),INDEX(잔액!$D:$D,MAX(64,C490))))</f>
        <v/>
      </c>
      <c r="H490" s="335" t="s">
        <v>1910</v>
      </c>
      <c r="J490" s="335" t="str">
        <f t="shared" si="50"/>
        <v/>
      </c>
      <c r="K490" s="346" t="str">
        <f t="shared" si="51"/>
        <v/>
      </c>
      <c r="L490" s="335" t="str">
        <f t="shared" si="52"/>
        <v/>
      </c>
      <c r="M490" s="335" t="str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  <v/>
      </c>
      <c r="N490" s="335" t="str">
        <f t="shared" si="53"/>
        <v/>
      </c>
      <c r="O490" s="348">
        <f t="shared" si="54"/>
        <v>0</v>
      </c>
    </row>
    <row r="491" spans="1:15" ht="16" hidden="1" outlineLevel="1">
      <c r="A491" s="335" t="str">
        <f t="shared" si="49"/>
        <v/>
      </c>
      <c r="B491" s="344"/>
      <c r="C491" s="344"/>
      <c r="D491" s="347" t="str">
        <f>IF(C491="","",IFERROR(INDEX(잔액!$Y:$Y,MAX(64,C491)),0))</f>
        <v/>
      </c>
      <c r="E491" s="346" t="str">
        <f>IF(C491="","",IFERROR(INDEX(잔액!$A:$A,MAX(64,C491)),""))</f>
        <v/>
      </c>
      <c r="F491" s="335" t="str">
        <f>IF(C491="","",IFERROR(INDEX(잔액!$C:$C,MAX(64,C491)),""))</f>
        <v/>
      </c>
      <c r="G491" s="335" t="str">
        <f>IF(C491="","",IF(INDEX(잔액!$K:$K,MAX(64,C491))&lt;&gt;"",INDEX(잔액!$K:$K,MAX(64,C491)),INDEX(잔액!$D:$D,MAX(64,C491))))</f>
        <v/>
      </c>
      <c r="H491" s="335" t="s">
        <v>1910</v>
      </c>
      <c r="J491" s="335" t="str">
        <f t="shared" si="50"/>
        <v/>
      </c>
      <c r="K491" s="346" t="str">
        <f t="shared" si="51"/>
        <v/>
      </c>
      <c r="L491" s="335" t="str">
        <f t="shared" si="52"/>
        <v/>
      </c>
      <c r="M491" s="335" t="str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  <v/>
      </c>
      <c r="N491" s="335" t="str">
        <f t="shared" si="53"/>
        <v/>
      </c>
      <c r="O491" s="348">
        <f t="shared" si="54"/>
        <v>0</v>
      </c>
    </row>
    <row r="492" spans="1:15" ht="16" hidden="1" outlineLevel="1">
      <c r="A492" s="335" t="str">
        <f t="shared" si="49"/>
        <v/>
      </c>
      <c r="B492" s="344"/>
      <c r="C492" s="344"/>
      <c r="D492" s="347" t="str">
        <f>IF(C492="","",IFERROR(INDEX(잔액!$Y:$Y,MAX(64,C492)),0))</f>
        <v/>
      </c>
      <c r="E492" s="346" t="str">
        <f>IF(C492="","",IFERROR(INDEX(잔액!$A:$A,MAX(64,C492)),""))</f>
        <v/>
      </c>
      <c r="F492" s="335" t="str">
        <f>IF(C492="","",IFERROR(INDEX(잔액!$C:$C,MAX(64,C492)),""))</f>
        <v/>
      </c>
      <c r="G492" s="335" t="str">
        <f>IF(C492="","",IF(INDEX(잔액!$K:$K,MAX(64,C492))&lt;&gt;"",INDEX(잔액!$K:$K,MAX(64,C492)),INDEX(잔액!$D:$D,MAX(64,C492))))</f>
        <v/>
      </c>
      <c r="H492" s="335" t="s">
        <v>1910</v>
      </c>
      <c r="J492" s="335" t="str">
        <f t="shared" si="50"/>
        <v/>
      </c>
      <c r="K492" s="346" t="str">
        <f t="shared" si="51"/>
        <v/>
      </c>
      <c r="L492" s="335" t="str">
        <f t="shared" si="52"/>
        <v/>
      </c>
      <c r="M492" s="335" t="str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  <v/>
      </c>
      <c r="N492" s="335" t="str">
        <f t="shared" si="53"/>
        <v/>
      </c>
      <c r="O492" s="348">
        <f t="shared" si="54"/>
        <v>0</v>
      </c>
    </row>
    <row r="493" spans="1:15" ht="16" hidden="1" outlineLevel="1">
      <c r="A493" s="335" t="str">
        <f t="shared" si="49"/>
        <v/>
      </c>
      <c r="B493" s="344"/>
      <c r="C493" s="344"/>
      <c r="D493" s="347" t="str">
        <f>IF(C493="","",IFERROR(INDEX(잔액!$Y:$Y,MAX(64,C493)),0))</f>
        <v/>
      </c>
      <c r="E493" s="346" t="str">
        <f>IF(C493="","",IFERROR(INDEX(잔액!$A:$A,MAX(64,C493)),""))</f>
        <v/>
      </c>
      <c r="F493" s="335" t="str">
        <f>IF(C493="","",IFERROR(INDEX(잔액!$C:$C,MAX(64,C493)),""))</f>
        <v/>
      </c>
      <c r="G493" s="335" t="str">
        <f>IF(C493="","",IF(INDEX(잔액!$K:$K,MAX(64,C493))&lt;&gt;"",INDEX(잔액!$K:$K,MAX(64,C493)),INDEX(잔액!$D:$D,MAX(64,C493))))</f>
        <v/>
      </c>
      <c r="H493" s="335" t="s">
        <v>1910</v>
      </c>
      <c r="J493" s="335" t="str">
        <f t="shared" si="50"/>
        <v/>
      </c>
      <c r="K493" s="346" t="str">
        <f t="shared" si="51"/>
        <v/>
      </c>
      <c r="L493" s="335" t="str">
        <f t="shared" si="52"/>
        <v/>
      </c>
      <c r="M493" s="335" t="str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  <v/>
      </c>
      <c r="N493" s="335" t="str">
        <f t="shared" si="53"/>
        <v/>
      </c>
      <c r="O493" s="348">
        <f t="shared" si="54"/>
        <v>0</v>
      </c>
    </row>
    <row r="494" spans="1:15" ht="16" hidden="1" outlineLevel="1">
      <c r="A494" s="335" t="str">
        <f t="shared" ref="A494:A557" si="55">IF(B494="","","S"&amp;ROW())</f>
        <v/>
      </c>
      <c r="B494" s="344"/>
      <c r="C494" s="344"/>
      <c r="D494" s="347" t="str">
        <f>IF(C494="","",IFERROR(INDEX(잔액!$Y:$Y,MAX(64,C494)),0))</f>
        <v/>
      </c>
      <c r="E494" s="346" t="str">
        <f>IF(C494="","",IFERROR(INDEX(잔액!$A:$A,MAX(64,C494)),""))</f>
        <v/>
      </c>
      <c r="F494" s="335" t="str">
        <f>IF(C494="","",IFERROR(INDEX(잔액!$C:$C,MAX(64,C494)),""))</f>
        <v/>
      </c>
      <c r="G494" s="335" t="str">
        <f>IF(C494="","",IF(INDEX(잔액!$K:$K,MAX(64,C494))&lt;&gt;"",INDEX(잔액!$K:$K,MAX(64,C494)),INDEX(잔액!$D:$D,MAX(64,C494))))</f>
        <v/>
      </c>
      <c r="H494" s="335" t="s">
        <v>1910</v>
      </c>
      <c r="J494" s="335" t="str">
        <f t="shared" ref="J494:J557" si="56">IFERROR(INDEX($C$100:$C$399,MATCH(B494,$A$100:$A$399,0)),"")</f>
        <v/>
      </c>
      <c r="K494" s="346" t="str">
        <f t="shared" ref="K494:K557" si="57">IFERROR(INDEX($D$100:$D$399,MATCH(B494,$A$100:$A$399,0)),"")</f>
        <v/>
      </c>
      <c r="L494" s="335" t="str">
        <f t="shared" ref="L494:L557" si="58">IFERROR(INDEX($S$100:$S$399,MATCH(B494,$A$100:$A$399,0)),"")</f>
        <v/>
      </c>
      <c r="M494" s="335" t="str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  <v/>
      </c>
      <c r="N494" s="335" t="str">
        <f t="shared" ref="N494:N557" si="59"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  <v/>
      </c>
      <c r="O494" s="348">
        <f t="shared" ref="O494:O557" si="60">IF(N494="OK",D494,0)</f>
        <v>0</v>
      </c>
    </row>
    <row r="495" spans="1:15" ht="16" hidden="1" outlineLevel="1">
      <c r="A495" s="335" t="str">
        <f t="shared" si="55"/>
        <v/>
      </c>
      <c r="B495" s="344"/>
      <c r="C495" s="344"/>
      <c r="D495" s="347" t="str">
        <f>IF(C495="","",IFERROR(INDEX(잔액!$Y:$Y,MAX(64,C495)),0))</f>
        <v/>
      </c>
      <c r="E495" s="346" t="str">
        <f>IF(C495="","",IFERROR(INDEX(잔액!$A:$A,MAX(64,C495)),""))</f>
        <v/>
      </c>
      <c r="F495" s="335" t="str">
        <f>IF(C495="","",IFERROR(INDEX(잔액!$C:$C,MAX(64,C495)),""))</f>
        <v/>
      </c>
      <c r="G495" s="335" t="str">
        <f>IF(C495="","",IF(INDEX(잔액!$K:$K,MAX(64,C495))&lt;&gt;"",INDEX(잔액!$K:$K,MAX(64,C495)),INDEX(잔액!$D:$D,MAX(64,C495))))</f>
        <v/>
      </c>
      <c r="H495" s="335" t="s">
        <v>1910</v>
      </c>
      <c r="J495" s="335" t="str">
        <f t="shared" si="56"/>
        <v/>
      </c>
      <c r="K495" s="346" t="str">
        <f t="shared" si="57"/>
        <v/>
      </c>
      <c r="L495" s="335" t="str">
        <f t="shared" si="58"/>
        <v/>
      </c>
      <c r="M495" s="335" t="str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  <v/>
      </c>
      <c r="N495" s="335" t="str">
        <f t="shared" si="59"/>
        <v/>
      </c>
      <c r="O495" s="348">
        <f t="shared" si="60"/>
        <v>0</v>
      </c>
    </row>
    <row r="496" spans="1:15" ht="16" hidden="1" outlineLevel="1">
      <c r="A496" s="335" t="str">
        <f t="shared" si="55"/>
        <v/>
      </c>
      <c r="B496" s="344"/>
      <c r="C496" s="344"/>
      <c r="D496" s="347" t="str">
        <f>IF(C496="","",IFERROR(INDEX(잔액!$Y:$Y,MAX(64,C496)),0))</f>
        <v/>
      </c>
      <c r="E496" s="346" t="str">
        <f>IF(C496="","",IFERROR(INDEX(잔액!$A:$A,MAX(64,C496)),""))</f>
        <v/>
      </c>
      <c r="F496" s="335" t="str">
        <f>IF(C496="","",IFERROR(INDEX(잔액!$C:$C,MAX(64,C496)),""))</f>
        <v/>
      </c>
      <c r="G496" s="335" t="str">
        <f>IF(C496="","",IF(INDEX(잔액!$K:$K,MAX(64,C496))&lt;&gt;"",INDEX(잔액!$K:$K,MAX(64,C496)),INDEX(잔액!$D:$D,MAX(64,C496))))</f>
        <v/>
      </c>
      <c r="H496" s="335" t="s">
        <v>1910</v>
      </c>
      <c r="J496" s="335" t="str">
        <f t="shared" si="56"/>
        <v/>
      </c>
      <c r="K496" s="346" t="str">
        <f t="shared" si="57"/>
        <v/>
      </c>
      <c r="L496" s="335" t="str">
        <f t="shared" si="58"/>
        <v/>
      </c>
      <c r="M496" s="335" t="str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  <v/>
      </c>
      <c r="N496" s="335" t="str">
        <f t="shared" si="59"/>
        <v/>
      </c>
      <c r="O496" s="348">
        <f t="shared" si="60"/>
        <v>0</v>
      </c>
    </row>
    <row r="497" spans="1:15" ht="16" hidden="1" outlineLevel="1">
      <c r="A497" s="335" t="str">
        <f t="shared" si="55"/>
        <v/>
      </c>
      <c r="B497" s="344"/>
      <c r="C497" s="344"/>
      <c r="D497" s="347" t="str">
        <f>IF(C497="","",IFERROR(INDEX(잔액!$Y:$Y,MAX(64,C497)),0))</f>
        <v/>
      </c>
      <c r="E497" s="346" t="str">
        <f>IF(C497="","",IFERROR(INDEX(잔액!$A:$A,MAX(64,C497)),""))</f>
        <v/>
      </c>
      <c r="F497" s="335" t="str">
        <f>IF(C497="","",IFERROR(INDEX(잔액!$C:$C,MAX(64,C497)),""))</f>
        <v/>
      </c>
      <c r="G497" s="335" t="str">
        <f>IF(C497="","",IF(INDEX(잔액!$K:$K,MAX(64,C497))&lt;&gt;"",INDEX(잔액!$K:$K,MAX(64,C497)),INDEX(잔액!$D:$D,MAX(64,C497))))</f>
        <v/>
      </c>
      <c r="H497" s="335" t="s">
        <v>1910</v>
      </c>
      <c r="J497" s="335" t="str">
        <f t="shared" si="56"/>
        <v/>
      </c>
      <c r="K497" s="346" t="str">
        <f t="shared" si="57"/>
        <v/>
      </c>
      <c r="L497" s="335" t="str">
        <f t="shared" si="58"/>
        <v/>
      </c>
      <c r="M497" s="335" t="str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  <v/>
      </c>
      <c r="N497" s="335" t="str">
        <f t="shared" si="59"/>
        <v/>
      </c>
      <c r="O497" s="348">
        <f t="shared" si="60"/>
        <v>0</v>
      </c>
    </row>
    <row r="498" spans="1:15" ht="16" hidden="1" outlineLevel="1">
      <c r="A498" s="335" t="str">
        <f t="shared" si="55"/>
        <v/>
      </c>
      <c r="B498" s="344"/>
      <c r="C498" s="344"/>
      <c r="D498" s="347" t="str">
        <f>IF(C498="","",IFERROR(INDEX(잔액!$Y:$Y,MAX(64,C498)),0))</f>
        <v/>
      </c>
      <c r="E498" s="346" t="str">
        <f>IF(C498="","",IFERROR(INDEX(잔액!$A:$A,MAX(64,C498)),""))</f>
        <v/>
      </c>
      <c r="F498" s="335" t="str">
        <f>IF(C498="","",IFERROR(INDEX(잔액!$C:$C,MAX(64,C498)),""))</f>
        <v/>
      </c>
      <c r="G498" s="335" t="str">
        <f>IF(C498="","",IF(INDEX(잔액!$K:$K,MAX(64,C498))&lt;&gt;"",INDEX(잔액!$K:$K,MAX(64,C498)),INDEX(잔액!$D:$D,MAX(64,C498))))</f>
        <v/>
      </c>
      <c r="H498" s="335" t="s">
        <v>1910</v>
      </c>
      <c r="J498" s="335" t="str">
        <f t="shared" si="56"/>
        <v/>
      </c>
      <c r="K498" s="346" t="str">
        <f t="shared" si="57"/>
        <v/>
      </c>
      <c r="L498" s="335" t="str">
        <f t="shared" si="58"/>
        <v/>
      </c>
      <c r="M498" s="335" t="str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  <v/>
      </c>
      <c r="N498" s="335" t="str">
        <f t="shared" si="59"/>
        <v/>
      </c>
      <c r="O498" s="348">
        <f t="shared" si="60"/>
        <v>0</v>
      </c>
    </row>
    <row r="499" spans="1:15" ht="16" hidden="1" outlineLevel="1">
      <c r="A499" s="335" t="str">
        <f t="shared" si="55"/>
        <v/>
      </c>
      <c r="B499" s="344"/>
      <c r="C499" s="344"/>
      <c r="D499" s="347" t="str">
        <f>IF(C499="","",IFERROR(INDEX(잔액!$Y:$Y,MAX(64,C499)),0))</f>
        <v/>
      </c>
      <c r="E499" s="346" t="str">
        <f>IF(C499="","",IFERROR(INDEX(잔액!$A:$A,MAX(64,C499)),""))</f>
        <v/>
      </c>
      <c r="F499" s="335" t="str">
        <f>IF(C499="","",IFERROR(INDEX(잔액!$C:$C,MAX(64,C499)),""))</f>
        <v/>
      </c>
      <c r="G499" s="335" t="str">
        <f>IF(C499="","",IF(INDEX(잔액!$K:$K,MAX(64,C499))&lt;&gt;"",INDEX(잔액!$K:$K,MAX(64,C499)),INDEX(잔액!$D:$D,MAX(64,C499))))</f>
        <v/>
      </c>
      <c r="H499" s="335" t="s">
        <v>1910</v>
      </c>
      <c r="J499" s="335" t="str">
        <f t="shared" si="56"/>
        <v/>
      </c>
      <c r="K499" s="346" t="str">
        <f t="shared" si="57"/>
        <v/>
      </c>
      <c r="L499" s="335" t="str">
        <f t="shared" si="58"/>
        <v/>
      </c>
      <c r="M499" s="335" t="str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  <v/>
      </c>
      <c r="N499" s="335" t="str">
        <f t="shared" si="59"/>
        <v/>
      </c>
      <c r="O499" s="348">
        <f t="shared" si="60"/>
        <v>0</v>
      </c>
    </row>
    <row r="500" spans="1:15" ht="16" hidden="1" outlineLevel="1">
      <c r="A500" s="335" t="str">
        <f t="shared" si="55"/>
        <v/>
      </c>
      <c r="B500" s="344"/>
      <c r="C500" s="344"/>
      <c r="D500" s="347" t="str">
        <f>IF(C500="","",IFERROR(INDEX(잔액!$Y:$Y,MAX(64,C500)),0))</f>
        <v/>
      </c>
      <c r="E500" s="346" t="str">
        <f>IF(C500="","",IFERROR(INDEX(잔액!$A:$A,MAX(64,C500)),""))</f>
        <v/>
      </c>
      <c r="F500" s="335" t="str">
        <f>IF(C500="","",IFERROR(INDEX(잔액!$C:$C,MAX(64,C500)),""))</f>
        <v/>
      </c>
      <c r="G500" s="335" t="str">
        <f>IF(C500="","",IF(INDEX(잔액!$K:$K,MAX(64,C500))&lt;&gt;"",INDEX(잔액!$K:$K,MAX(64,C500)),INDEX(잔액!$D:$D,MAX(64,C500))))</f>
        <v/>
      </c>
      <c r="H500" s="335" t="s">
        <v>1910</v>
      </c>
      <c r="J500" s="335" t="str">
        <f t="shared" si="56"/>
        <v/>
      </c>
      <c r="K500" s="346" t="str">
        <f t="shared" si="57"/>
        <v/>
      </c>
      <c r="L500" s="335" t="str">
        <f t="shared" si="58"/>
        <v/>
      </c>
      <c r="M500" s="335" t="str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  <v/>
      </c>
      <c r="N500" s="335" t="str">
        <f t="shared" si="59"/>
        <v/>
      </c>
      <c r="O500" s="348">
        <f t="shared" si="60"/>
        <v>0</v>
      </c>
    </row>
    <row r="501" spans="1:15" ht="16" hidden="1" outlineLevel="1">
      <c r="A501" s="335" t="str">
        <f t="shared" si="55"/>
        <v/>
      </c>
      <c r="B501" s="344"/>
      <c r="C501" s="344"/>
      <c r="D501" s="347" t="str">
        <f>IF(C501="","",IFERROR(INDEX(잔액!$Y:$Y,MAX(64,C501)),0))</f>
        <v/>
      </c>
      <c r="E501" s="346" t="str">
        <f>IF(C501="","",IFERROR(INDEX(잔액!$A:$A,MAX(64,C501)),""))</f>
        <v/>
      </c>
      <c r="F501" s="335" t="str">
        <f>IF(C501="","",IFERROR(INDEX(잔액!$C:$C,MAX(64,C501)),""))</f>
        <v/>
      </c>
      <c r="G501" s="335" t="str">
        <f>IF(C501="","",IF(INDEX(잔액!$K:$K,MAX(64,C501))&lt;&gt;"",INDEX(잔액!$K:$K,MAX(64,C501)),INDEX(잔액!$D:$D,MAX(64,C501))))</f>
        <v/>
      </c>
      <c r="H501" s="335" t="s">
        <v>1910</v>
      </c>
      <c r="J501" s="335" t="str">
        <f t="shared" si="56"/>
        <v/>
      </c>
      <c r="K501" s="346" t="str">
        <f t="shared" si="57"/>
        <v/>
      </c>
      <c r="L501" s="335" t="str">
        <f t="shared" si="58"/>
        <v/>
      </c>
      <c r="M501" s="335" t="str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  <v/>
      </c>
      <c r="N501" s="335" t="str">
        <f t="shared" si="59"/>
        <v/>
      </c>
      <c r="O501" s="348">
        <f t="shared" si="60"/>
        <v>0</v>
      </c>
    </row>
    <row r="502" spans="1:15" ht="16" hidden="1" outlineLevel="1">
      <c r="A502" s="335" t="str">
        <f t="shared" si="55"/>
        <v/>
      </c>
      <c r="B502" s="344"/>
      <c r="C502" s="344"/>
      <c r="D502" s="347" t="str">
        <f>IF(C502="","",IFERROR(INDEX(잔액!$Y:$Y,MAX(64,C502)),0))</f>
        <v/>
      </c>
      <c r="E502" s="346" t="str">
        <f>IF(C502="","",IFERROR(INDEX(잔액!$A:$A,MAX(64,C502)),""))</f>
        <v/>
      </c>
      <c r="F502" s="335" t="str">
        <f>IF(C502="","",IFERROR(INDEX(잔액!$C:$C,MAX(64,C502)),""))</f>
        <v/>
      </c>
      <c r="G502" s="335" t="str">
        <f>IF(C502="","",IF(INDEX(잔액!$K:$K,MAX(64,C502))&lt;&gt;"",INDEX(잔액!$K:$K,MAX(64,C502)),INDEX(잔액!$D:$D,MAX(64,C502))))</f>
        <v/>
      </c>
      <c r="H502" s="335" t="s">
        <v>1910</v>
      </c>
      <c r="J502" s="335" t="str">
        <f t="shared" si="56"/>
        <v/>
      </c>
      <c r="K502" s="346" t="str">
        <f t="shared" si="57"/>
        <v/>
      </c>
      <c r="L502" s="335" t="str">
        <f t="shared" si="58"/>
        <v/>
      </c>
      <c r="M502" s="335" t="str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  <v/>
      </c>
      <c r="N502" s="335" t="str">
        <f t="shared" si="59"/>
        <v/>
      </c>
      <c r="O502" s="348">
        <f t="shared" si="60"/>
        <v>0</v>
      </c>
    </row>
    <row r="503" spans="1:15" ht="16" hidden="1" outlineLevel="1">
      <c r="A503" s="335" t="str">
        <f t="shared" si="55"/>
        <v/>
      </c>
      <c r="B503" s="344"/>
      <c r="C503" s="344"/>
      <c r="D503" s="347" t="str">
        <f>IF(C503="","",IFERROR(INDEX(잔액!$Y:$Y,MAX(64,C503)),0))</f>
        <v/>
      </c>
      <c r="E503" s="346" t="str">
        <f>IF(C503="","",IFERROR(INDEX(잔액!$A:$A,MAX(64,C503)),""))</f>
        <v/>
      </c>
      <c r="F503" s="335" t="str">
        <f>IF(C503="","",IFERROR(INDEX(잔액!$C:$C,MAX(64,C503)),""))</f>
        <v/>
      </c>
      <c r="G503" s="335" t="str">
        <f>IF(C503="","",IF(INDEX(잔액!$K:$K,MAX(64,C503))&lt;&gt;"",INDEX(잔액!$K:$K,MAX(64,C503)),INDEX(잔액!$D:$D,MAX(64,C503))))</f>
        <v/>
      </c>
      <c r="H503" s="335" t="s">
        <v>1910</v>
      </c>
      <c r="J503" s="335" t="str">
        <f t="shared" si="56"/>
        <v/>
      </c>
      <c r="K503" s="346" t="str">
        <f t="shared" si="57"/>
        <v/>
      </c>
      <c r="L503" s="335" t="str">
        <f t="shared" si="58"/>
        <v/>
      </c>
      <c r="M503" s="335" t="str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  <v/>
      </c>
      <c r="N503" s="335" t="str">
        <f t="shared" si="59"/>
        <v/>
      </c>
      <c r="O503" s="348">
        <f t="shared" si="60"/>
        <v>0</v>
      </c>
    </row>
    <row r="504" spans="1:15" ht="16" hidden="1" outlineLevel="1">
      <c r="A504" s="335" t="str">
        <f t="shared" si="55"/>
        <v/>
      </c>
      <c r="B504" s="344"/>
      <c r="C504" s="344"/>
      <c r="D504" s="347" t="str">
        <f>IF(C504="","",IFERROR(INDEX(잔액!$Y:$Y,MAX(64,C504)),0))</f>
        <v/>
      </c>
      <c r="E504" s="346" t="str">
        <f>IF(C504="","",IFERROR(INDEX(잔액!$A:$A,MAX(64,C504)),""))</f>
        <v/>
      </c>
      <c r="F504" s="335" t="str">
        <f>IF(C504="","",IFERROR(INDEX(잔액!$C:$C,MAX(64,C504)),""))</f>
        <v/>
      </c>
      <c r="G504" s="335" t="str">
        <f>IF(C504="","",IF(INDEX(잔액!$K:$K,MAX(64,C504))&lt;&gt;"",INDEX(잔액!$K:$K,MAX(64,C504)),INDEX(잔액!$D:$D,MAX(64,C504))))</f>
        <v/>
      </c>
      <c r="H504" s="335" t="s">
        <v>1910</v>
      </c>
      <c r="J504" s="335" t="str">
        <f t="shared" si="56"/>
        <v/>
      </c>
      <c r="K504" s="346" t="str">
        <f t="shared" si="57"/>
        <v/>
      </c>
      <c r="L504" s="335" t="str">
        <f t="shared" si="58"/>
        <v/>
      </c>
      <c r="M504" s="335" t="str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  <v/>
      </c>
      <c r="N504" s="335" t="str">
        <f t="shared" si="59"/>
        <v/>
      </c>
      <c r="O504" s="348">
        <f t="shared" si="60"/>
        <v>0</v>
      </c>
    </row>
    <row r="505" spans="1:15" ht="16" hidden="1" outlineLevel="1">
      <c r="A505" s="335" t="str">
        <f t="shared" si="55"/>
        <v/>
      </c>
      <c r="B505" s="344"/>
      <c r="C505" s="344"/>
      <c r="D505" s="347" t="str">
        <f>IF(C505="","",IFERROR(INDEX(잔액!$Y:$Y,MAX(64,C505)),0))</f>
        <v/>
      </c>
      <c r="E505" s="346" t="str">
        <f>IF(C505="","",IFERROR(INDEX(잔액!$A:$A,MAX(64,C505)),""))</f>
        <v/>
      </c>
      <c r="F505" s="335" t="str">
        <f>IF(C505="","",IFERROR(INDEX(잔액!$C:$C,MAX(64,C505)),""))</f>
        <v/>
      </c>
      <c r="G505" s="335" t="str">
        <f>IF(C505="","",IF(INDEX(잔액!$K:$K,MAX(64,C505))&lt;&gt;"",INDEX(잔액!$K:$K,MAX(64,C505)),INDEX(잔액!$D:$D,MAX(64,C505))))</f>
        <v/>
      </c>
      <c r="H505" s="335" t="s">
        <v>1910</v>
      </c>
      <c r="J505" s="335" t="str">
        <f t="shared" si="56"/>
        <v/>
      </c>
      <c r="K505" s="346" t="str">
        <f t="shared" si="57"/>
        <v/>
      </c>
      <c r="L505" s="335" t="str">
        <f t="shared" si="58"/>
        <v/>
      </c>
      <c r="M505" s="335" t="str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  <v/>
      </c>
      <c r="N505" s="335" t="str">
        <f t="shared" si="59"/>
        <v/>
      </c>
      <c r="O505" s="348">
        <f t="shared" si="60"/>
        <v>0</v>
      </c>
    </row>
    <row r="506" spans="1:15" ht="16" hidden="1" outlineLevel="1">
      <c r="A506" s="335" t="str">
        <f t="shared" si="55"/>
        <v/>
      </c>
      <c r="B506" s="344"/>
      <c r="C506" s="344"/>
      <c r="D506" s="347" t="str">
        <f>IF(C506="","",IFERROR(INDEX(잔액!$Y:$Y,MAX(64,C506)),0))</f>
        <v/>
      </c>
      <c r="E506" s="346" t="str">
        <f>IF(C506="","",IFERROR(INDEX(잔액!$A:$A,MAX(64,C506)),""))</f>
        <v/>
      </c>
      <c r="F506" s="335" t="str">
        <f>IF(C506="","",IFERROR(INDEX(잔액!$C:$C,MAX(64,C506)),""))</f>
        <v/>
      </c>
      <c r="G506" s="335" t="str">
        <f>IF(C506="","",IF(INDEX(잔액!$K:$K,MAX(64,C506))&lt;&gt;"",INDEX(잔액!$K:$K,MAX(64,C506)),INDEX(잔액!$D:$D,MAX(64,C506))))</f>
        <v/>
      </c>
      <c r="H506" s="335" t="s">
        <v>1910</v>
      </c>
      <c r="J506" s="335" t="str">
        <f t="shared" si="56"/>
        <v/>
      </c>
      <c r="K506" s="346" t="str">
        <f t="shared" si="57"/>
        <v/>
      </c>
      <c r="L506" s="335" t="str">
        <f t="shared" si="58"/>
        <v/>
      </c>
      <c r="M506" s="335" t="str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  <v/>
      </c>
      <c r="N506" s="335" t="str">
        <f t="shared" si="59"/>
        <v/>
      </c>
      <c r="O506" s="348">
        <f t="shared" si="60"/>
        <v>0</v>
      </c>
    </row>
    <row r="507" spans="1:15" ht="16" hidden="1" outlineLevel="1">
      <c r="A507" s="335" t="str">
        <f t="shared" si="55"/>
        <v/>
      </c>
      <c r="B507" s="344"/>
      <c r="C507" s="344"/>
      <c r="D507" s="347" t="str">
        <f>IF(C507="","",IFERROR(INDEX(잔액!$Y:$Y,MAX(64,C507)),0))</f>
        <v/>
      </c>
      <c r="E507" s="346" t="str">
        <f>IF(C507="","",IFERROR(INDEX(잔액!$A:$A,MAX(64,C507)),""))</f>
        <v/>
      </c>
      <c r="F507" s="335" t="str">
        <f>IF(C507="","",IFERROR(INDEX(잔액!$C:$C,MAX(64,C507)),""))</f>
        <v/>
      </c>
      <c r="G507" s="335" t="str">
        <f>IF(C507="","",IF(INDEX(잔액!$K:$K,MAX(64,C507))&lt;&gt;"",INDEX(잔액!$K:$K,MAX(64,C507)),INDEX(잔액!$D:$D,MAX(64,C507))))</f>
        <v/>
      </c>
      <c r="H507" s="335" t="s">
        <v>1910</v>
      </c>
      <c r="J507" s="335" t="str">
        <f t="shared" si="56"/>
        <v/>
      </c>
      <c r="K507" s="346" t="str">
        <f t="shared" si="57"/>
        <v/>
      </c>
      <c r="L507" s="335" t="str">
        <f t="shared" si="58"/>
        <v/>
      </c>
      <c r="M507" s="335" t="str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  <v/>
      </c>
      <c r="N507" s="335" t="str">
        <f t="shared" si="59"/>
        <v/>
      </c>
      <c r="O507" s="348">
        <f t="shared" si="60"/>
        <v>0</v>
      </c>
    </row>
    <row r="508" spans="1:15" ht="16" hidden="1" outlineLevel="1">
      <c r="A508" s="335" t="str">
        <f t="shared" si="55"/>
        <v/>
      </c>
      <c r="B508" s="344"/>
      <c r="C508" s="344"/>
      <c r="D508" s="347" t="str">
        <f>IF(C508="","",IFERROR(INDEX(잔액!$Y:$Y,MAX(64,C508)),0))</f>
        <v/>
      </c>
      <c r="E508" s="346" t="str">
        <f>IF(C508="","",IFERROR(INDEX(잔액!$A:$A,MAX(64,C508)),""))</f>
        <v/>
      </c>
      <c r="F508" s="335" t="str">
        <f>IF(C508="","",IFERROR(INDEX(잔액!$C:$C,MAX(64,C508)),""))</f>
        <v/>
      </c>
      <c r="G508" s="335" t="str">
        <f>IF(C508="","",IF(INDEX(잔액!$K:$K,MAX(64,C508))&lt;&gt;"",INDEX(잔액!$K:$K,MAX(64,C508)),INDEX(잔액!$D:$D,MAX(64,C508))))</f>
        <v/>
      </c>
      <c r="H508" s="335" t="s">
        <v>1910</v>
      </c>
      <c r="J508" s="335" t="str">
        <f t="shared" si="56"/>
        <v/>
      </c>
      <c r="K508" s="346" t="str">
        <f t="shared" si="57"/>
        <v/>
      </c>
      <c r="L508" s="335" t="str">
        <f t="shared" si="58"/>
        <v/>
      </c>
      <c r="M508" s="335" t="str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  <v/>
      </c>
      <c r="N508" s="335" t="str">
        <f t="shared" si="59"/>
        <v/>
      </c>
      <c r="O508" s="348">
        <f t="shared" si="60"/>
        <v>0</v>
      </c>
    </row>
    <row r="509" spans="1:15" ht="16" hidden="1" outlineLevel="1">
      <c r="A509" s="335" t="str">
        <f t="shared" si="55"/>
        <v/>
      </c>
      <c r="B509" s="344"/>
      <c r="C509" s="344"/>
      <c r="D509" s="347" t="str">
        <f>IF(C509="","",IFERROR(INDEX(잔액!$Y:$Y,MAX(64,C509)),0))</f>
        <v/>
      </c>
      <c r="E509" s="346" t="str">
        <f>IF(C509="","",IFERROR(INDEX(잔액!$A:$A,MAX(64,C509)),""))</f>
        <v/>
      </c>
      <c r="F509" s="335" t="str">
        <f>IF(C509="","",IFERROR(INDEX(잔액!$C:$C,MAX(64,C509)),""))</f>
        <v/>
      </c>
      <c r="G509" s="335" t="str">
        <f>IF(C509="","",IF(INDEX(잔액!$K:$K,MAX(64,C509))&lt;&gt;"",INDEX(잔액!$K:$K,MAX(64,C509)),INDEX(잔액!$D:$D,MAX(64,C509))))</f>
        <v/>
      </c>
      <c r="H509" s="335" t="s">
        <v>1910</v>
      </c>
      <c r="J509" s="335" t="str">
        <f t="shared" si="56"/>
        <v/>
      </c>
      <c r="K509" s="346" t="str">
        <f t="shared" si="57"/>
        <v/>
      </c>
      <c r="L509" s="335" t="str">
        <f t="shared" si="58"/>
        <v/>
      </c>
      <c r="M509" s="335" t="str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  <v/>
      </c>
      <c r="N509" s="335" t="str">
        <f t="shared" si="59"/>
        <v/>
      </c>
      <c r="O509" s="348">
        <f t="shared" si="60"/>
        <v>0</v>
      </c>
    </row>
    <row r="510" spans="1:15" ht="16" hidden="1" outlineLevel="1">
      <c r="A510" s="335" t="str">
        <f t="shared" si="55"/>
        <v/>
      </c>
      <c r="B510" s="344"/>
      <c r="C510" s="344"/>
      <c r="D510" s="347" t="str">
        <f>IF(C510="","",IFERROR(INDEX(잔액!$Y:$Y,MAX(64,C510)),0))</f>
        <v/>
      </c>
      <c r="E510" s="346" t="str">
        <f>IF(C510="","",IFERROR(INDEX(잔액!$A:$A,MAX(64,C510)),""))</f>
        <v/>
      </c>
      <c r="F510" s="335" t="str">
        <f>IF(C510="","",IFERROR(INDEX(잔액!$C:$C,MAX(64,C510)),""))</f>
        <v/>
      </c>
      <c r="G510" s="335" t="str">
        <f>IF(C510="","",IF(INDEX(잔액!$K:$K,MAX(64,C510))&lt;&gt;"",INDEX(잔액!$K:$K,MAX(64,C510)),INDEX(잔액!$D:$D,MAX(64,C510))))</f>
        <v/>
      </c>
      <c r="H510" s="335" t="s">
        <v>1910</v>
      </c>
      <c r="J510" s="335" t="str">
        <f t="shared" si="56"/>
        <v/>
      </c>
      <c r="K510" s="346" t="str">
        <f t="shared" si="57"/>
        <v/>
      </c>
      <c r="L510" s="335" t="str">
        <f t="shared" si="58"/>
        <v/>
      </c>
      <c r="M510" s="335" t="str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  <v/>
      </c>
      <c r="N510" s="335" t="str">
        <f t="shared" si="59"/>
        <v/>
      </c>
      <c r="O510" s="348">
        <f t="shared" si="60"/>
        <v>0</v>
      </c>
    </row>
    <row r="511" spans="1:15" ht="16" hidden="1" outlineLevel="1">
      <c r="A511" s="335" t="str">
        <f t="shared" si="55"/>
        <v/>
      </c>
      <c r="B511" s="344"/>
      <c r="C511" s="344"/>
      <c r="D511" s="347" t="str">
        <f>IF(C511="","",IFERROR(INDEX(잔액!$Y:$Y,MAX(64,C511)),0))</f>
        <v/>
      </c>
      <c r="E511" s="346" t="str">
        <f>IF(C511="","",IFERROR(INDEX(잔액!$A:$A,MAX(64,C511)),""))</f>
        <v/>
      </c>
      <c r="F511" s="335" t="str">
        <f>IF(C511="","",IFERROR(INDEX(잔액!$C:$C,MAX(64,C511)),""))</f>
        <v/>
      </c>
      <c r="G511" s="335" t="str">
        <f>IF(C511="","",IF(INDEX(잔액!$K:$K,MAX(64,C511))&lt;&gt;"",INDEX(잔액!$K:$K,MAX(64,C511)),INDEX(잔액!$D:$D,MAX(64,C511))))</f>
        <v/>
      </c>
      <c r="H511" s="335" t="s">
        <v>1910</v>
      </c>
      <c r="J511" s="335" t="str">
        <f t="shared" si="56"/>
        <v/>
      </c>
      <c r="K511" s="346" t="str">
        <f t="shared" si="57"/>
        <v/>
      </c>
      <c r="L511" s="335" t="str">
        <f t="shared" si="58"/>
        <v/>
      </c>
      <c r="M511" s="335" t="str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  <v/>
      </c>
      <c r="N511" s="335" t="str">
        <f t="shared" si="59"/>
        <v/>
      </c>
      <c r="O511" s="348">
        <f t="shared" si="60"/>
        <v>0</v>
      </c>
    </row>
    <row r="512" spans="1:15" ht="16" hidden="1" outlineLevel="1">
      <c r="A512" s="335" t="str">
        <f t="shared" si="55"/>
        <v/>
      </c>
      <c r="B512" s="344"/>
      <c r="C512" s="344"/>
      <c r="D512" s="347" t="str">
        <f>IF(C512="","",IFERROR(INDEX(잔액!$Y:$Y,MAX(64,C512)),0))</f>
        <v/>
      </c>
      <c r="E512" s="346" t="str">
        <f>IF(C512="","",IFERROR(INDEX(잔액!$A:$A,MAX(64,C512)),""))</f>
        <v/>
      </c>
      <c r="F512" s="335" t="str">
        <f>IF(C512="","",IFERROR(INDEX(잔액!$C:$C,MAX(64,C512)),""))</f>
        <v/>
      </c>
      <c r="G512" s="335" t="str">
        <f>IF(C512="","",IF(INDEX(잔액!$K:$K,MAX(64,C512))&lt;&gt;"",INDEX(잔액!$K:$K,MAX(64,C512)),INDEX(잔액!$D:$D,MAX(64,C512))))</f>
        <v/>
      </c>
      <c r="H512" s="335" t="s">
        <v>1910</v>
      </c>
      <c r="J512" s="335" t="str">
        <f t="shared" si="56"/>
        <v/>
      </c>
      <c r="K512" s="346" t="str">
        <f t="shared" si="57"/>
        <v/>
      </c>
      <c r="L512" s="335" t="str">
        <f t="shared" si="58"/>
        <v/>
      </c>
      <c r="M512" s="335" t="str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  <v/>
      </c>
      <c r="N512" s="335" t="str">
        <f t="shared" si="59"/>
        <v/>
      </c>
      <c r="O512" s="348">
        <f t="shared" si="60"/>
        <v>0</v>
      </c>
    </row>
    <row r="513" spans="1:15" ht="16" hidden="1" outlineLevel="1">
      <c r="A513" s="335" t="str">
        <f t="shared" si="55"/>
        <v/>
      </c>
      <c r="B513" s="344"/>
      <c r="C513" s="344"/>
      <c r="D513" s="347" t="str">
        <f>IF(C513="","",IFERROR(INDEX(잔액!$Y:$Y,MAX(64,C513)),0))</f>
        <v/>
      </c>
      <c r="E513" s="346" t="str">
        <f>IF(C513="","",IFERROR(INDEX(잔액!$A:$A,MAX(64,C513)),""))</f>
        <v/>
      </c>
      <c r="F513" s="335" t="str">
        <f>IF(C513="","",IFERROR(INDEX(잔액!$C:$C,MAX(64,C513)),""))</f>
        <v/>
      </c>
      <c r="G513" s="335" t="str">
        <f>IF(C513="","",IF(INDEX(잔액!$K:$K,MAX(64,C513))&lt;&gt;"",INDEX(잔액!$K:$K,MAX(64,C513)),INDEX(잔액!$D:$D,MAX(64,C513))))</f>
        <v/>
      </c>
      <c r="H513" s="335" t="s">
        <v>1910</v>
      </c>
      <c r="J513" s="335" t="str">
        <f t="shared" si="56"/>
        <v/>
      </c>
      <c r="K513" s="346" t="str">
        <f t="shared" si="57"/>
        <v/>
      </c>
      <c r="L513" s="335" t="str">
        <f t="shared" si="58"/>
        <v/>
      </c>
      <c r="M513" s="335" t="str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  <v/>
      </c>
      <c r="N513" s="335" t="str">
        <f t="shared" si="59"/>
        <v/>
      </c>
      <c r="O513" s="348">
        <f t="shared" si="60"/>
        <v>0</v>
      </c>
    </row>
    <row r="514" spans="1:15" ht="16" hidden="1" outlineLevel="1">
      <c r="A514" s="335" t="str">
        <f t="shared" si="55"/>
        <v/>
      </c>
      <c r="B514" s="344"/>
      <c r="C514" s="344"/>
      <c r="D514" s="347" t="str">
        <f>IF(C514="","",IFERROR(INDEX(잔액!$Y:$Y,MAX(64,C514)),0))</f>
        <v/>
      </c>
      <c r="E514" s="346" t="str">
        <f>IF(C514="","",IFERROR(INDEX(잔액!$A:$A,MAX(64,C514)),""))</f>
        <v/>
      </c>
      <c r="F514" s="335" t="str">
        <f>IF(C514="","",IFERROR(INDEX(잔액!$C:$C,MAX(64,C514)),""))</f>
        <v/>
      </c>
      <c r="G514" s="335" t="str">
        <f>IF(C514="","",IF(INDEX(잔액!$K:$K,MAX(64,C514))&lt;&gt;"",INDEX(잔액!$K:$K,MAX(64,C514)),INDEX(잔액!$D:$D,MAX(64,C514))))</f>
        <v/>
      </c>
      <c r="H514" s="335" t="s">
        <v>1910</v>
      </c>
      <c r="J514" s="335" t="str">
        <f t="shared" si="56"/>
        <v/>
      </c>
      <c r="K514" s="346" t="str">
        <f t="shared" si="57"/>
        <v/>
      </c>
      <c r="L514" s="335" t="str">
        <f t="shared" si="58"/>
        <v/>
      </c>
      <c r="M514" s="335" t="str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  <v/>
      </c>
      <c r="N514" s="335" t="str">
        <f t="shared" si="59"/>
        <v/>
      </c>
      <c r="O514" s="348">
        <f t="shared" si="60"/>
        <v>0</v>
      </c>
    </row>
    <row r="515" spans="1:15" ht="16" hidden="1" outlineLevel="1">
      <c r="A515" s="335" t="str">
        <f t="shared" si="55"/>
        <v/>
      </c>
      <c r="B515" s="344"/>
      <c r="C515" s="344"/>
      <c r="D515" s="347" t="str">
        <f>IF(C515="","",IFERROR(INDEX(잔액!$Y:$Y,MAX(64,C515)),0))</f>
        <v/>
      </c>
      <c r="E515" s="346" t="str">
        <f>IF(C515="","",IFERROR(INDEX(잔액!$A:$A,MAX(64,C515)),""))</f>
        <v/>
      </c>
      <c r="F515" s="335" t="str">
        <f>IF(C515="","",IFERROR(INDEX(잔액!$C:$C,MAX(64,C515)),""))</f>
        <v/>
      </c>
      <c r="G515" s="335" t="str">
        <f>IF(C515="","",IF(INDEX(잔액!$K:$K,MAX(64,C515))&lt;&gt;"",INDEX(잔액!$K:$K,MAX(64,C515)),INDEX(잔액!$D:$D,MAX(64,C515))))</f>
        <v/>
      </c>
      <c r="H515" s="335" t="s">
        <v>1910</v>
      </c>
      <c r="J515" s="335" t="str">
        <f t="shared" si="56"/>
        <v/>
      </c>
      <c r="K515" s="346" t="str">
        <f t="shared" si="57"/>
        <v/>
      </c>
      <c r="L515" s="335" t="str">
        <f t="shared" si="58"/>
        <v/>
      </c>
      <c r="M515" s="335" t="str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  <v/>
      </c>
      <c r="N515" s="335" t="str">
        <f t="shared" si="59"/>
        <v/>
      </c>
      <c r="O515" s="348">
        <f t="shared" si="60"/>
        <v>0</v>
      </c>
    </row>
    <row r="516" spans="1:15" ht="16" hidden="1" outlineLevel="1">
      <c r="A516" s="335" t="str">
        <f t="shared" si="55"/>
        <v/>
      </c>
      <c r="B516" s="344"/>
      <c r="C516" s="344"/>
      <c r="D516" s="347" t="str">
        <f>IF(C516="","",IFERROR(INDEX(잔액!$Y:$Y,MAX(64,C516)),0))</f>
        <v/>
      </c>
      <c r="E516" s="346" t="str">
        <f>IF(C516="","",IFERROR(INDEX(잔액!$A:$A,MAX(64,C516)),""))</f>
        <v/>
      </c>
      <c r="F516" s="335" t="str">
        <f>IF(C516="","",IFERROR(INDEX(잔액!$C:$C,MAX(64,C516)),""))</f>
        <v/>
      </c>
      <c r="G516" s="335" t="str">
        <f>IF(C516="","",IF(INDEX(잔액!$K:$K,MAX(64,C516))&lt;&gt;"",INDEX(잔액!$K:$K,MAX(64,C516)),INDEX(잔액!$D:$D,MAX(64,C516))))</f>
        <v/>
      </c>
      <c r="H516" s="335" t="s">
        <v>1910</v>
      </c>
      <c r="J516" s="335" t="str">
        <f t="shared" si="56"/>
        <v/>
      </c>
      <c r="K516" s="346" t="str">
        <f t="shared" si="57"/>
        <v/>
      </c>
      <c r="L516" s="335" t="str">
        <f t="shared" si="58"/>
        <v/>
      </c>
      <c r="M516" s="335" t="str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  <v/>
      </c>
      <c r="N516" s="335" t="str">
        <f t="shared" si="59"/>
        <v/>
      </c>
      <c r="O516" s="348">
        <f t="shared" si="60"/>
        <v>0</v>
      </c>
    </row>
    <row r="517" spans="1:15" ht="16" hidden="1" outlineLevel="1">
      <c r="A517" s="335" t="str">
        <f t="shared" si="55"/>
        <v/>
      </c>
      <c r="B517" s="344"/>
      <c r="C517" s="344"/>
      <c r="D517" s="347" t="str">
        <f>IF(C517="","",IFERROR(INDEX(잔액!$Y:$Y,MAX(64,C517)),0))</f>
        <v/>
      </c>
      <c r="E517" s="346" t="str">
        <f>IF(C517="","",IFERROR(INDEX(잔액!$A:$A,MAX(64,C517)),""))</f>
        <v/>
      </c>
      <c r="F517" s="335" t="str">
        <f>IF(C517="","",IFERROR(INDEX(잔액!$C:$C,MAX(64,C517)),""))</f>
        <v/>
      </c>
      <c r="G517" s="335" t="str">
        <f>IF(C517="","",IF(INDEX(잔액!$K:$K,MAX(64,C517))&lt;&gt;"",INDEX(잔액!$K:$K,MAX(64,C517)),INDEX(잔액!$D:$D,MAX(64,C517))))</f>
        <v/>
      </c>
      <c r="H517" s="335" t="s">
        <v>1910</v>
      </c>
      <c r="J517" s="335" t="str">
        <f t="shared" si="56"/>
        <v/>
      </c>
      <c r="K517" s="346" t="str">
        <f t="shared" si="57"/>
        <v/>
      </c>
      <c r="L517" s="335" t="str">
        <f t="shared" si="58"/>
        <v/>
      </c>
      <c r="M517" s="335" t="str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  <v/>
      </c>
      <c r="N517" s="335" t="str">
        <f t="shared" si="59"/>
        <v/>
      </c>
      <c r="O517" s="348">
        <f t="shared" si="60"/>
        <v>0</v>
      </c>
    </row>
    <row r="518" spans="1:15" ht="16" hidden="1" outlineLevel="1">
      <c r="A518" s="335" t="str">
        <f t="shared" si="55"/>
        <v/>
      </c>
      <c r="B518" s="344"/>
      <c r="C518" s="344"/>
      <c r="D518" s="347" t="str">
        <f>IF(C518="","",IFERROR(INDEX(잔액!$Y:$Y,MAX(64,C518)),0))</f>
        <v/>
      </c>
      <c r="E518" s="346" t="str">
        <f>IF(C518="","",IFERROR(INDEX(잔액!$A:$A,MAX(64,C518)),""))</f>
        <v/>
      </c>
      <c r="F518" s="335" t="str">
        <f>IF(C518="","",IFERROR(INDEX(잔액!$C:$C,MAX(64,C518)),""))</f>
        <v/>
      </c>
      <c r="G518" s="335" t="str">
        <f>IF(C518="","",IF(INDEX(잔액!$K:$K,MAX(64,C518))&lt;&gt;"",INDEX(잔액!$K:$K,MAX(64,C518)),INDEX(잔액!$D:$D,MAX(64,C518))))</f>
        <v/>
      </c>
      <c r="H518" s="335" t="s">
        <v>1910</v>
      </c>
      <c r="J518" s="335" t="str">
        <f t="shared" si="56"/>
        <v/>
      </c>
      <c r="K518" s="346" t="str">
        <f t="shared" si="57"/>
        <v/>
      </c>
      <c r="L518" s="335" t="str">
        <f t="shared" si="58"/>
        <v/>
      </c>
      <c r="M518" s="335" t="str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  <v/>
      </c>
      <c r="N518" s="335" t="str">
        <f t="shared" si="59"/>
        <v/>
      </c>
      <c r="O518" s="348">
        <f t="shared" si="60"/>
        <v>0</v>
      </c>
    </row>
    <row r="519" spans="1:15" ht="16" hidden="1" outlineLevel="1">
      <c r="A519" s="335" t="str">
        <f t="shared" si="55"/>
        <v/>
      </c>
      <c r="B519" s="344"/>
      <c r="C519" s="344"/>
      <c r="D519" s="347" t="str">
        <f>IF(C519="","",IFERROR(INDEX(잔액!$Y:$Y,MAX(64,C519)),0))</f>
        <v/>
      </c>
      <c r="E519" s="346" t="str">
        <f>IF(C519="","",IFERROR(INDEX(잔액!$A:$A,MAX(64,C519)),""))</f>
        <v/>
      </c>
      <c r="F519" s="335" t="str">
        <f>IF(C519="","",IFERROR(INDEX(잔액!$C:$C,MAX(64,C519)),""))</f>
        <v/>
      </c>
      <c r="G519" s="335" t="str">
        <f>IF(C519="","",IF(INDEX(잔액!$K:$K,MAX(64,C519))&lt;&gt;"",INDEX(잔액!$K:$K,MAX(64,C519)),INDEX(잔액!$D:$D,MAX(64,C519))))</f>
        <v/>
      </c>
      <c r="H519" s="335" t="s">
        <v>1910</v>
      </c>
      <c r="J519" s="335" t="str">
        <f t="shared" si="56"/>
        <v/>
      </c>
      <c r="K519" s="346" t="str">
        <f t="shared" si="57"/>
        <v/>
      </c>
      <c r="L519" s="335" t="str">
        <f t="shared" si="58"/>
        <v/>
      </c>
      <c r="M519" s="335" t="str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  <v/>
      </c>
      <c r="N519" s="335" t="str">
        <f t="shared" si="59"/>
        <v/>
      </c>
      <c r="O519" s="348">
        <f t="shared" si="60"/>
        <v>0</v>
      </c>
    </row>
    <row r="520" spans="1:15" ht="16" hidden="1" outlineLevel="1">
      <c r="A520" s="335" t="str">
        <f t="shared" si="55"/>
        <v/>
      </c>
      <c r="B520" s="344"/>
      <c r="C520" s="344"/>
      <c r="D520" s="347" t="str">
        <f>IF(C520="","",IFERROR(INDEX(잔액!$Y:$Y,MAX(64,C520)),0))</f>
        <v/>
      </c>
      <c r="E520" s="346" t="str">
        <f>IF(C520="","",IFERROR(INDEX(잔액!$A:$A,MAX(64,C520)),""))</f>
        <v/>
      </c>
      <c r="F520" s="335" t="str">
        <f>IF(C520="","",IFERROR(INDEX(잔액!$C:$C,MAX(64,C520)),""))</f>
        <v/>
      </c>
      <c r="G520" s="335" t="str">
        <f>IF(C520="","",IF(INDEX(잔액!$K:$K,MAX(64,C520))&lt;&gt;"",INDEX(잔액!$K:$K,MAX(64,C520)),INDEX(잔액!$D:$D,MAX(64,C520))))</f>
        <v/>
      </c>
      <c r="H520" s="335" t="s">
        <v>1910</v>
      </c>
      <c r="J520" s="335" t="str">
        <f t="shared" si="56"/>
        <v/>
      </c>
      <c r="K520" s="346" t="str">
        <f t="shared" si="57"/>
        <v/>
      </c>
      <c r="L520" s="335" t="str">
        <f t="shared" si="58"/>
        <v/>
      </c>
      <c r="M520" s="335" t="str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  <v/>
      </c>
      <c r="N520" s="335" t="str">
        <f t="shared" si="59"/>
        <v/>
      </c>
      <c r="O520" s="348">
        <f t="shared" si="60"/>
        <v>0</v>
      </c>
    </row>
    <row r="521" spans="1:15" ht="16" hidden="1" outlineLevel="1">
      <c r="A521" s="335" t="str">
        <f t="shared" si="55"/>
        <v/>
      </c>
      <c r="B521" s="344"/>
      <c r="C521" s="344"/>
      <c r="D521" s="347" t="str">
        <f>IF(C521="","",IFERROR(INDEX(잔액!$Y:$Y,MAX(64,C521)),0))</f>
        <v/>
      </c>
      <c r="E521" s="346" t="str">
        <f>IF(C521="","",IFERROR(INDEX(잔액!$A:$A,MAX(64,C521)),""))</f>
        <v/>
      </c>
      <c r="F521" s="335" t="str">
        <f>IF(C521="","",IFERROR(INDEX(잔액!$C:$C,MAX(64,C521)),""))</f>
        <v/>
      </c>
      <c r="G521" s="335" t="str">
        <f>IF(C521="","",IF(INDEX(잔액!$K:$K,MAX(64,C521))&lt;&gt;"",INDEX(잔액!$K:$K,MAX(64,C521)),INDEX(잔액!$D:$D,MAX(64,C521))))</f>
        <v/>
      </c>
      <c r="H521" s="335" t="s">
        <v>1910</v>
      </c>
      <c r="J521" s="335" t="str">
        <f t="shared" si="56"/>
        <v/>
      </c>
      <c r="K521" s="346" t="str">
        <f t="shared" si="57"/>
        <v/>
      </c>
      <c r="L521" s="335" t="str">
        <f t="shared" si="58"/>
        <v/>
      </c>
      <c r="M521" s="335" t="str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  <v/>
      </c>
      <c r="N521" s="335" t="str">
        <f t="shared" si="59"/>
        <v/>
      </c>
      <c r="O521" s="348">
        <f t="shared" si="60"/>
        <v>0</v>
      </c>
    </row>
    <row r="522" spans="1:15" ht="16" hidden="1" outlineLevel="1">
      <c r="A522" s="335" t="str">
        <f t="shared" si="55"/>
        <v/>
      </c>
      <c r="B522" s="344"/>
      <c r="C522" s="344"/>
      <c r="D522" s="347" t="str">
        <f>IF(C522="","",IFERROR(INDEX(잔액!$Y:$Y,MAX(64,C522)),0))</f>
        <v/>
      </c>
      <c r="E522" s="346" t="str">
        <f>IF(C522="","",IFERROR(INDEX(잔액!$A:$A,MAX(64,C522)),""))</f>
        <v/>
      </c>
      <c r="F522" s="335" t="str">
        <f>IF(C522="","",IFERROR(INDEX(잔액!$C:$C,MAX(64,C522)),""))</f>
        <v/>
      </c>
      <c r="G522" s="335" t="str">
        <f>IF(C522="","",IF(INDEX(잔액!$K:$K,MAX(64,C522))&lt;&gt;"",INDEX(잔액!$K:$K,MAX(64,C522)),INDEX(잔액!$D:$D,MAX(64,C522))))</f>
        <v/>
      </c>
      <c r="H522" s="335" t="s">
        <v>1910</v>
      </c>
      <c r="J522" s="335" t="str">
        <f t="shared" si="56"/>
        <v/>
      </c>
      <c r="K522" s="346" t="str">
        <f t="shared" si="57"/>
        <v/>
      </c>
      <c r="L522" s="335" t="str">
        <f t="shared" si="58"/>
        <v/>
      </c>
      <c r="M522" s="335" t="str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  <v/>
      </c>
      <c r="N522" s="335" t="str">
        <f t="shared" si="59"/>
        <v/>
      </c>
      <c r="O522" s="348">
        <f t="shared" si="60"/>
        <v>0</v>
      </c>
    </row>
    <row r="523" spans="1:15" ht="16" hidden="1" outlineLevel="1">
      <c r="A523" s="335" t="str">
        <f t="shared" si="55"/>
        <v/>
      </c>
      <c r="B523" s="344"/>
      <c r="C523" s="344"/>
      <c r="D523" s="347" t="str">
        <f>IF(C523="","",IFERROR(INDEX(잔액!$Y:$Y,MAX(64,C523)),0))</f>
        <v/>
      </c>
      <c r="E523" s="346" t="str">
        <f>IF(C523="","",IFERROR(INDEX(잔액!$A:$A,MAX(64,C523)),""))</f>
        <v/>
      </c>
      <c r="F523" s="335" t="str">
        <f>IF(C523="","",IFERROR(INDEX(잔액!$C:$C,MAX(64,C523)),""))</f>
        <v/>
      </c>
      <c r="G523" s="335" t="str">
        <f>IF(C523="","",IF(INDEX(잔액!$K:$K,MAX(64,C523))&lt;&gt;"",INDEX(잔액!$K:$K,MAX(64,C523)),INDEX(잔액!$D:$D,MAX(64,C523))))</f>
        <v/>
      </c>
      <c r="H523" s="335" t="s">
        <v>1910</v>
      </c>
      <c r="J523" s="335" t="str">
        <f t="shared" si="56"/>
        <v/>
      </c>
      <c r="K523" s="346" t="str">
        <f t="shared" si="57"/>
        <v/>
      </c>
      <c r="L523" s="335" t="str">
        <f t="shared" si="58"/>
        <v/>
      </c>
      <c r="M523" s="335" t="str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  <v/>
      </c>
      <c r="N523" s="335" t="str">
        <f t="shared" si="59"/>
        <v/>
      </c>
      <c r="O523" s="348">
        <f t="shared" si="60"/>
        <v>0</v>
      </c>
    </row>
    <row r="524" spans="1:15" ht="16" hidden="1" outlineLevel="1">
      <c r="A524" s="335" t="str">
        <f t="shared" si="55"/>
        <v/>
      </c>
      <c r="B524" s="344"/>
      <c r="C524" s="344"/>
      <c r="D524" s="347" t="str">
        <f>IF(C524="","",IFERROR(INDEX(잔액!$Y:$Y,MAX(64,C524)),0))</f>
        <v/>
      </c>
      <c r="E524" s="346" t="str">
        <f>IF(C524="","",IFERROR(INDEX(잔액!$A:$A,MAX(64,C524)),""))</f>
        <v/>
      </c>
      <c r="F524" s="335" t="str">
        <f>IF(C524="","",IFERROR(INDEX(잔액!$C:$C,MAX(64,C524)),""))</f>
        <v/>
      </c>
      <c r="G524" s="335" t="str">
        <f>IF(C524="","",IF(INDEX(잔액!$K:$K,MAX(64,C524))&lt;&gt;"",INDEX(잔액!$K:$K,MAX(64,C524)),INDEX(잔액!$D:$D,MAX(64,C524))))</f>
        <v/>
      </c>
      <c r="H524" s="335" t="s">
        <v>1910</v>
      </c>
      <c r="J524" s="335" t="str">
        <f t="shared" si="56"/>
        <v/>
      </c>
      <c r="K524" s="346" t="str">
        <f t="shared" si="57"/>
        <v/>
      </c>
      <c r="L524" s="335" t="str">
        <f t="shared" si="58"/>
        <v/>
      </c>
      <c r="M524" s="335" t="str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  <v/>
      </c>
      <c r="N524" s="335" t="str">
        <f t="shared" si="59"/>
        <v/>
      </c>
      <c r="O524" s="348">
        <f t="shared" si="60"/>
        <v>0</v>
      </c>
    </row>
    <row r="525" spans="1:15" ht="16" hidden="1" outlineLevel="1">
      <c r="A525" s="335" t="str">
        <f t="shared" si="55"/>
        <v/>
      </c>
      <c r="B525" s="344"/>
      <c r="C525" s="344"/>
      <c r="D525" s="347" t="str">
        <f>IF(C525="","",IFERROR(INDEX(잔액!$Y:$Y,MAX(64,C525)),0))</f>
        <v/>
      </c>
      <c r="E525" s="346" t="str">
        <f>IF(C525="","",IFERROR(INDEX(잔액!$A:$A,MAX(64,C525)),""))</f>
        <v/>
      </c>
      <c r="F525" s="335" t="str">
        <f>IF(C525="","",IFERROR(INDEX(잔액!$C:$C,MAX(64,C525)),""))</f>
        <v/>
      </c>
      <c r="G525" s="335" t="str">
        <f>IF(C525="","",IF(INDEX(잔액!$K:$K,MAX(64,C525))&lt;&gt;"",INDEX(잔액!$K:$K,MAX(64,C525)),INDEX(잔액!$D:$D,MAX(64,C525))))</f>
        <v/>
      </c>
      <c r="H525" s="335" t="s">
        <v>1910</v>
      </c>
      <c r="J525" s="335" t="str">
        <f t="shared" si="56"/>
        <v/>
      </c>
      <c r="K525" s="346" t="str">
        <f t="shared" si="57"/>
        <v/>
      </c>
      <c r="L525" s="335" t="str">
        <f t="shared" si="58"/>
        <v/>
      </c>
      <c r="M525" s="335" t="str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  <v/>
      </c>
      <c r="N525" s="335" t="str">
        <f t="shared" si="59"/>
        <v/>
      </c>
      <c r="O525" s="348">
        <f t="shared" si="60"/>
        <v>0</v>
      </c>
    </row>
    <row r="526" spans="1:15" ht="16" hidden="1" outlineLevel="1">
      <c r="A526" s="335" t="str">
        <f t="shared" si="55"/>
        <v/>
      </c>
      <c r="B526" s="344"/>
      <c r="C526" s="344"/>
      <c r="D526" s="347" t="str">
        <f>IF(C526="","",IFERROR(INDEX(잔액!$Y:$Y,MAX(64,C526)),0))</f>
        <v/>
      </c>
      <c r="E526" s="346" t="str">
        <f>IF(C526="","",IFERROR(INDEX(잔액!$A:$A,MAX(64,C526)),""))</f>
        <v/>
      </c>
      <c r="F526" s="335" t="str">
        <f>IF(C526="","",IFERROR(INDEX(잔액!$C:$C,MAX(64,C526)),""))</f>
        <v/>
      </c>
      <c r="G526" s="335" t="str">
        <f>IF(C526="","",IF(INDEX(잔액!$K:$K,MAX(64,C526))&lt;&gt;"",INDEX(잔액!$K:$K,MAX(64,C526)),INDEX(잔액!$D:$D,MAX(64,C526))))</f>
        <v/>
      </c>
      <c r="H526" s="335" t="s">
        <v>1910</v>
      </c>
      <c r="J526" s="335" t="str">
        <f t="shared" si="56"/>
        <v/>
      </c>
      <c r="K526" s="346" t="str">
        <f t="shared" si="57"/>
        <v/>
      </c>
      <c r="L526" s="335" t="str">
        <f t="shared" si="58"/>
        <v/>
      </c>
      <c r="M526" s="335" t="str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  <v/>
      </c>
      <c r="N526" s="335" t="str">
        <f t="shared" si="59"/>
        <v/>
      </c>
      <c r="O526" s="348">
        <f t="shared" si="60"/>
        <v>0</v>
      </c>
    </row>
    <row r="527" spans="1:15" ht="16" hidden="1" outlineLevel="1">
      <c r="A527" s="335" t="str">
        <f t="shared" si="55"/>
        <v/>
      </c>
      <c r="B527" s="344"/>
      <c r="C527" s="344"/>
      <c r="D527" s="347" t="str">
        <f>IF(C527="","",IFERROR(INDEX(잔액!$Y:$Y,MAX(64,C527)),0))</f>
        <v/>
      </c>
      <c r="E527" s="346" t="str">
        <f>IF(C527="","",IFERROR(INDEX(잔액!$A:$A,MAX(64,C527)),""))</f>
        <v/>
      </c>
      <c r="F527" s="335" t="str">
        <f>IF(C527="","",IFERROR(INDEX(잔액!$C:$C,MAX(64,C527)),""))</f>
        <v/>
      </c>
      <c r="G527" s="335" t="str">
        <f>IF(C527="","",IF(INDEX(잔액!$K:$K,MAX(64,C527))&lt;&gt;"",INDEX(잔액!$K:$K,MAX(64,C527)),INDEX(잔액!$D:$D,MAX(64,C527))))</f>
        <v/>
      </c>
      <c r="H527" s="335" t="s">
        <v>1910</v>
      </c>
      <c r="J527" s="335" t="str">
        <f t="shared" si="56"/>
        <v/>
      </c>
      <c r="K527" s="346" t="str">
        <f t="shared" si="57"/>
        <v/>
      </c>
      <c r="L527" s="335" t="str">
        <f t="shared" si="58"/>
        <v/>
      </c>
      <c r="M527" s="335" t="str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  <v/>
      </c>
      <c r="N527" s="335" t="str">
        <f t="shared" si="59"/>
        <v/>
      </c>
      <c r="O527" s="348">
        <f t="shared" si="60"/>
        <v>0</v>
      </c>
    </row>
    <row r="528" spans="1:15" ht="16" hidden="1" outlineLevel="1">
      <c r="A528" s="335" t="str">
        <f t="shared" si="55"/>
        <v/>
      </c>
      <c r="B528" s="344"/>
      <c r="C528" s="344"/>
      <c r="D528" s="347" t="str">
        <f>IF(C528="","",IFERROR(INDEX(잔액!$Y:$Y,MAX(64,C528)),0))</f>
        <v/>
      </c>
      <c r="E528" s="346" t="str">
        <f>IF(C528="","",IFERROR(INDEX(잔액!$A:$A,MAX(64,C528)),""))</f>
        <v/>
      </c>
      <c r="F528" s="335" t="str">
        <f>IF(C528="","",IFERROR(INDEX(잔액!$C:$C,MAX(64,C528)),""))</f>
        <v/>
      </c>
      <c r="G528" s="335" t="str">
        <f>IF(C528="","",IF(INDEX(잔액!$K:$K,MAX(64,C528))&lt;&gt;"",INDEX(잔액!$K:$K,MAX(64,C528)),INDEX(잔액!$D:$D,MAX(64,C528))))</f>
        <v/>
      </c>
      <c r="H528" s="335" t="s">
        <v>1910</v>
      </c>
      <c r="J528" s="335" t="str">
        <f t="shared" si="56"/>
        <v/>
      </c>
      <c r="K528" s="346" t="str">
        <f t="shared" si="57"/>
        <v/>
      </c>
      <c r="L528" s="335" t="str">
        <f t="shared" si="58"/>
        <v/>
      </c>
      <c r="M528" s="335" t="str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  <v/>
      </c>
      <c r="N528" s="335" t="str">
        <f t="shared" si="59"/>
        <v/>
      </c>
      <c r="O528" s="348">
        <f t="shared" si="60"/>
        <v>0</v>
      </c>
    </row>
    <row r="529" spans="1:15" ht="16" hidden="1" outlineLevel="1">
      <c r="A529" s="335" t="str">
        <f t="shared" si="55"/>
        <v/>
      </c>
      <c r="B529" s="344"/>
      <c r="C529" s="344"/>
      <c r="D529" s="347" t="str">
        <f>IF(C529="","",IFERROR(INDEX(잔액!$Y:$Y,MAX(64,C529)),0))</f>
        <v/>
      </c>
      <c r="E529" s="346" t="str">
        <f>IF(C529="","",IFERROR(INDEX(잔액!$A:$A,MAX(64,C529)),""))</f>
        <v/>
      </c>
      <c r="F529" s="335" t="str">
        <f>IF(C529="","",IFERROR(INDEX(잔액!$C:$C,MAX(64,C529)),""))</f>
        <v/>
      </c>
      <c r="G529" s="335" t="str">
        <f>IF(C529="","",IF(INDEX(잔액!$K:$K,MAX(64,C529))&lt;&gt;"",INDEX(잔액!$K:$K,MAX(64,C529)),INDEX(잔액!$D:$D,MAX(64,C529))))</f>
        <v/>
      </c>
      <c r="H529" s="335" t="s">
        <v>1910</v>
      </c>
      <c r="J529" s="335" t="str">
        <f t="shared" si="56"/>
        <v/>
      </c>
      <c r="K529" s="346" t="str">
        <f t="shared" si="57"/>
        <v/>
      </c>
      <c r="L529" s="335" t="str">
        <f t="shared" si="58"/>
        <v/>
      </c>
      <c r="M529" s="335" t="str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  <v/>
      </c>
      <c r="N529" s="335" t="str">
        <f t="shared" si="59"/>
        <v/>
      </c>
      <c r="O529" s="348">
        <f t="shared" si="60"/>
        <v>0</v>
      </c>
    </row>
    <row r="530" spans="1:15" ht="16" hidden="1" outlineLevel="1">
      <c r="A530" s="335" t="str">
        <f t="shared" si="55"/>
        <v/>
      </c>
      <c r="B530" s="344"/>
      <c r="C530" s="344"/>
      <c r="D530" s="347" t="str">
        <f>IF(C530="","",IFERROR(INDEX(잔액!$Y:$Y,MAX(64,C530)),0))</f>
        <v/>
      </c>
      <c r="E530" s="346" t="str">
        <f>IF(C530="","",IFERROR(INDEX(잔액!$A:$A,MAX(64,C530)),""))</f>
        <v/>
      </c>
      <c r="F530" s="335" t="str">
        <f>IF(C530="","",IFERROR(INDEX(잔액!$C:$C,MAX(64,C530)),""))</f>
        <v/>
      </c>
      <c r="G530" s="335" t="str">
        <f>IF(C530="","",IF(INDEX(잔액!$K:$K,MAX(64,C530))&lt;&gt;"",INDEX(잔액!$K:$K,MAX(64,C530)),INDEX(잔액!$D:$D,MAX(64,C530))))</f>
        <v/>
      </c>
      <c r="H530" s="335" t="s">
        <v>1910</v>
      </c>
      <c r="J530" s="335" t="str">
        <f t="shared" si="56"/>
        <v/>
      </c>
      <c r="K530" s="346" t="str">
        <f t="shared" si="57"/>
        <v/>
      </c>
      <c r="L530" s="335" t="str">
        <f t="shared" si="58"/>
        <v/>
      </c>
      <c r="M530" s="335" t="str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  <v/>
      </c>
      <c r="N530" s="335" t="str">
        <f t="shared" si="59"/>
        <v/>
      </c>
      <c r="O530" s="348">
        <f t="shared" si="60"/>
        <v>0</v>
      </c>
    </row>
    <row r="531" spans="1:15" ht="16" hidden="1" outlineLevel="1">
      <c r="A531" s="335" t="str">
        <f t="shared" si="55"/>
        <v/>
      </c>
      <c r="B531" s="344"/>
      <c r="C531" s="344"/>
      <c r="D531" s="347" t="str">
        <f>IF(C531="","",IFERROR(INDEX(잔액!$Y:$Y,MAX(64,C531)),0))</f>
        <v/>
      </c>
      <c r="E531" s="346" t="str">
        <f>IF(C531="","",IFERROR(INDEX(잔액!$A:$A,MAX(64,C531)),""))</f>
        <v/>
      </c>
      <c r="F531" s="335" t="str">
        <f>IF(C531="","",IFERROR(INDEX(잔액!$C:$C,MAX(64,C531)),""))</f>
        <v/>
      </c>
      <c r="G531" s="335" t="str">
        <f>IF(C531="","",IF(INDEX(잔액!$K:$K,MAX(64,C531))&lt;&gt;"",INDEX(잔액!$K:$K,MAX(64,C531)),INDEX(잔액!$D:$D,MAX(64,C531))))</f>
        <v/>
      </c>
      <c r="H531" s="335" t="s">
        <v>1910</v>
      </c>
      <c r="J531" s="335" t="str">
        <f t="shared" si="56"/>
        <v/>
      </c>
      <c r="K531" s="346" t="str">
        <f t="shared" si="57"/>
        <v/>
      </c>
      <c r="L531" s="335" t="str">
        <f t="shared" si="58"/>
        <v/>
      </c>
      <c r="M531" s="335" t="str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  <v/>
      </c>
      <c r="N531" s="335" t="str">
        <f t="shared" si="59"/>
        <v/>
      </c>
      <c r="O531" s="348">
        <f t="shared" si="60"/>
        <v>0</v>
      </c>
    </row>
    <row r="532" spans="1:15" ht="16" hidden="1" outlineLevel="1">
      <c r="A532" s="335" t="str">
        <f t="shared" si="55"/>
        <v/>
      </c>
      <c r="B532" s="344"/>
      <c r="C532" s="344"/>
      <c r="D532" s="347" t="str">
        <f>IF(C532="","",IFERROR(INDEX(잔액!$Y:$Y,MAX(64,C532)),0))</f>
        <v/>
      </c>
      <c r="E532" s="346" t="str">
        <f>IF(C532="","",IFERROR(INDEX(잔액!$A:$A,MAX(64,C532)),""))</f>
        <v/>
      </c>
      <c r="F532" s="335" t="str">
        <f>IF(C532="","",IFERROR(INDEX(잔액!$C:$C,MAX(64,C532)),""))</f>
        <v/>
      </c>
      <c r="G532" s="335" t="str">
        <f>IF(C532="","",IF(INDEX(잔액!$K:$K,MAX(64,C532))&lt;&gt;"",INDEX(잔액!$K:$K,MAX(64,C532)),INDEX(잔액!$D:$D,MAX(64,C532))))</f>
        <v/>
      </c>
      <c r="H532" s="335" t="s">
        <v>1910</v>
      </c>
      <c r="J532" s="335" t="str">
        <f t="shared" si="56"/>
        <v/>
      </c>
      <c r="K532" s="346" t="str">
        <f t="shared" si="57"/>
        <v/>
      </c>
      <c r="L532" s="335" t="str">
        <f t="shared" si="58"/>
        <v/>
      </c>
      <c r="M532" s="335" t="str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  <v/>
      </c>
      <c r="N532" s="335" t="str">
        <f t="shared" si="59"/>
        <v/>
      </c>
      <c r="O532" s="348">
        <f t="shared" si="60"/>
        <v>0</v>
      </c>
    </row>
    <row r="533" spans="1:15" ht="16" hidden="1" outlineLevel="1">
      <c r="A533" s="335" t="str">
        <f t="shared" si="55"/>
        <v/>
      </c>
      <c r="B533" s="344"/>
      <c r="C533" s="344"/>
      <c r="D533" s="347" t="str">
        <f>IF(C533="","",IFERROR(INDEX(잔액!$Y:$Y,MAX(64,C533)),0))</f>
        <v/>
      </c>
      <c r="E533" s="346" t="str">
        <f>IF(C533="","",IFERROR(INDEX(잔액!$A:$A,MAX(64,C533)),""))</f>
        <v/>
      </c>
      <c r="F533" s="335" t="str">
        <f>IF(C533="","",IFERROR(INDEX(잔액!$C:$C,MAX(64,C533)),""))</f>
        <v/>
      </c>
      <c r="G533" s="335" t="str">
        <f>IF(C533="","",IF(INDEX(잔액!$K:$K,MAX(64,C533))&lt;&gt;"",INDEX(잔액!$K:$K,MAX(64,C533)),INDEX(잔액!$D:$D,MAX(64,C533))))</f>
        <v/>
      </c>
      <c r="H533" s="335" t="s">
        <v>1910</v>
      </c>
      <c r="J533" s="335" t="str">
        <f t="shared" si="56"/>
        <v/>
      </c>
      <c r="K533" s="346" t="str">
        <f t="shared" si="57"/>
        <v/>
      </c>
      <c r="L533" s="335" t="str">
        <f t="shared" si="58"/>
        <v/>
      </c>
      <c r="M533" s="335" t="str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  <v/>
      </c>
      <c r="N533" s="335" t="str">
        <f t="shared" si="59"/>
        <v/>
      </c>
      <c r="O533" s="348">
        <f t="shared" si="60"/>
        <v>0</v>
      </c>
    </row>
    <row r="534" spans="1:15" ht="16" hidden="1" outlineLevel="1">
      <c r="A534" s="335" t="str">
        <f t="shared" si="55"/>
        <v/>
      </c>
      <c r="B534" s="344"/>
      <c r="C534" s="344"/>
      <c r="D534" s="347" t="str">
        <f>IF(C534="","",IFERROR(INDEX(잔액!$Y:$Y,MAX(64,C534)),0))</f>
        <v/>
      </c>
      <c r="E534" s="346" t="str">
        <f>IF(C534="","",IFERROR(INDEX(잔액!$A:$A,MAX(64,C534)),""))</f>
        <v/>
      </c>
      <c r="F534" s="335" t="str">
        <f>IF(C534="","",IFERROR(INDEX(잔액!$C:$C,MAX(64,C534)),""))</f>
        <v/>
      </c>
      <c r="G534" s="335" t="str">
        <f>IF(C534="","",IF(INDEX(잔액!$K:$K,MAX(64,C534))&lt;&gt;"",INDEX(잔액!$K:$K,MAX(64,C534)),INDEX(잔액!$D:$D,MAX(64,C534))))</f>
        <v/>
      </c>
      <c r="H534" s="335" t="s">
        <v>1910</v>
      </c>
      <c r="J534" s="335" t="str">
        <f t="shared" si="56"/>
        <v/>
      </c>
      <c r="K534" s="346" t="str">
        <f t="shared" si="57"/>
        <v/>
      </c>
      <c r="L534" s="335" t="str">
        <f t="shared" si="58"/>
        <v/>
      </c>
      <c r="M534" s="335" t="str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  <v/>
      </c>
      <c r="N534" s="335" t="str">
        <f t="shared" si="59"/>
        <v/>
      </c>
      <c r="O534" s="348">
        <f t="shared" si="60"/>
        <v>0</v>
      </c>
    </row>
    <row r="535" spans="1:15" ht="16" hidden="1" outlineLevel="1">
      <c r="A535" s="335" t="str">
        <f t="shared" si="55"/>
        <v/>
      </c>
      <c r="B535" s="344"/>
      <c r="C535" s="344"/>
      <c r="D535" s="347" t="str">
        <f>IF(C535="","",IFERROR(INDEX(잔액!$Y:$Y,MAX(64,C535)),0))</f>
        <v/>
      </c>
      <c r="E535" s="346" t="str">
        <f>IF(C535="","",IFERROR(INDEX(잔액!$A:$A,MAX(64,C535)),""))</f>
        <v/>
      </c>
      <c r="F535" s="335" t="str">
        <f>IF(C535="","",IFERROR(INDEX(잔액!$C:$C,MAX(64,C535)),""))</f>
        <v/>
      </c>
      <c r="G535" s="335" t="str">
        <f>IF(C535="","",IF(INDEX(잔액!$K:$K,MAX(64,C535))&lt;&gt;"",INDEX(잔액!$K:$K,MAX(64,C535)),INDEX(잔액!$D:$D,MAX(64,C535))))</f>
        <v/>
      </c>
      <c r="H535" s="335" t="s">
        <v>1910</v>
      </c>
      <c r="J535" s="335" t="str">
        <f t="shared" si="56"/>
        <v/>
      </c>
      <c r="K535" s="346" t="str">
        <f t="shared" si="57"/>
        <v/>
      </c>
      <c r="L535" s="335" t="str">
        <f t="shared" si="58"/>
        <v/>
      </c>
      <c r="M535" s="335" t="str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  <v/>
      </c>
      <c r="N535" s="335" t="str">
        <f t="shared" si="59"/>
        <v/>
      </c>
      <c r="O535" s="348">
        <f t="shared" si="60"/>
        <v>0</v>
      </c>
    </row>
    <row r="536" spans="1:15" ht="16" hidden="1" outlineLevel="1">
      <c r="A536" s="335" t="str">
        <f t="shared" si="55"/>
        <v/>
      </c>
      <c r="B536" s="344"/>
      <c r="C536" s="344"/>
      <c r="D536" s="347" t="str">
        <f>IF(C536="","",IFERROR(INDEX(잔액!$Y:$Y,MAX(64,C536)),0))</f>
        <v/>
      </c>
      <c r="E536" s="346" t="str">
        <f>IF(C536="","",IFERROR(INDEX(잔액!$A:$A,MAX(64,C536)),""))</f>
        <v/>
      </c>
      <c r="F536" s="335" t="str">
        <f>IF(C536="","",IFERROR(INDEX(잔액!$C:$C,MAX(64,C536)),""))</f>
        <v/>
      </c>
      <c r="G536" s="335" t="str">
        <f>IF(C536="","",IF(INDEX(잔액!$K:$K,MAX(64,C536))&lt;&gt;"",INDEX(잔액!$K:$K,MAX(64,C536)),INDEX(잔액!$D:$D,MAX(64,C536))))</f>
        <v/>
      </c>
      <c r="H536" s="335" t="s">
        <v>1910</v>
      </c>
      <c r="J536" s="335" t="str">
        <f t="shared" si="56"/>
        <v/>
      </c>
      <c r="K536" s="346" t="str">
        <f t="shared" si="57"/>
        <v/>
      </c>
      <c r="L536" s="335" t="str">
        <f t="shared" si="58"/>
        <v/>
      </c>
      <c r="M536" s="335" t="str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  <v/>
      </c>
      <c r="N536" s="335" t="str">
        <f t="shared" si="59"/>
        <v/>
      </c>
      <c r="O536" s="348">
        <f t="shared" si="60"/>
        <v>0</v>
      </c>
    </row>
    <row r="537" spans="1:15" ht="16" hidden="1" outlineLevel="1">
      <c r="A537" s="335" t="str">
        <f t="shared" si="55"/>
        <v/>
      </c>
      <c r="B537" s="344"/>
      <c r="C537" s="344"/>
      <c r="D537" s="347" t="str">
        <f>IF(C537="","",IFERROR(INDEX(잔액!$Y:$Y,MAX(64,C537)),0))</f>
        <v/>
      </c>
      <c r="E537" s="346" t="str">
        <f>IF(C537="","",IFERROR(INDEX(잔액!$A:$A,MAX(64,C537)),""))</f>
        <v/>
      </c>
      <c r="F537" s="335" t="str">
        <f>IF(C537="","",IFERROR(INDEX(잔액!$C:$C,MAX(64,C537)),""))</f>
        <v/>
      </c>
      <c r="G537" s="335" t="str">
        <f>IF(C537="","",IF(INDEX(잔액!$K:$K,MAX(64,C537))&lt;&gt;"",INDEX(잔액!$K:$K,MAX(64,C537)),INDEX(잔액!$D:$D,MAX(64,C537))))</f>
        <v/>
      </c>
      <c r="H537" s="335" t="s">
        <v>1910</v>
      </c>
      <c r="J537" s="335" t="str">
        <f t="shared" si="56"/>
        <v/>
      </c>
      <c r="K537" s="346" t="str">
        <f t="shared" si="57"/>
        <v/>
      </c>
      <c r="L537" s="335" t="str">
        <f t="shared" si="58"/>
        <v/>
      </c>
      <c r="M537" s="335" t="str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  <v/>
      </c>
      <c r="N537" s="335" t="str">
        <f t="shared" si="59"/>
        <v/>
      </c>
      <c r="O537" s="348">
        <f t="shared" si="60"/>
        <v>0</v>
      </c>
    </row>
    <row r="538" spans="1:15" ht="16" hidden="1" outlineLevel="1">
      <c r="A538" s="335" t="str">
        <f t="shared" si="55"/>
        <v/>
      </c>
      <c r="B538" s="344"/>
      <c r="C538" s="344"/>
      <c r="D538" s="347" t="str">
        <f>IF(C538="","",IFERROR(INDEX(잔액!$Y:$Y,MAX(64,C538)),0))</f>
        <v/>
      </c>
      <c r="E538" s="346" t="str">
        <f>IF(C538="","",IFERROR(INDEX(잔액!$A:$A,MAX(64,C538)),""))</f>
        <v/>
      </c>
      <c r="F538" s="335" t="str">
        <f>IF(C538="","",IFERROR(INDEX(잔액!$C:$C,MAX(64,C538)),""))</f>
        <v/>
      </c>
      <c r="G538" s="335" t="str">
        <f>IF(C538="","",IF(INDEX(잔액!$K:$K,MAX(64,C538))&lt;&gt;"",INDEX(잔액!$K:$K,MAX(64,C538)),INDEX(잔액!$D:$D,MAX(64,C538))))</f>
        <v/>
      </c>
      <c r="H538" s="335" t="s">
        <v>1910</v>
      </c>
      <c r="J538" s="335" t="str">
        <f t="shared" si="56"/>
        <v/>
      </c>
      <c r="K538" s="346" t="str">
        <f t="shared" si="57"/>
        <v/>
      </c>
      <c r="L538" s="335" t="str">
        <f t="shared" si="58"/>
        <v/>
      </c>
      <c r="M538" s="335" t="str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  <v/>
      </c>
      <c r="N538" s="335" t="str">
        <f t="shared" si="59"/>
        <v/>
      </c>
      <c r="O538" s="348">
        <f t="shared" si="60"/>
        <v>0</v>
      </c>
    </row>
    <row r="539" spans="1:15" ht="16" hidden="1" outlineLevel="1">
      <c r="A539" s="335" t="str">
        <f t="shared" si="55"/>
        <v/>
      </c>
      <c r="B539" s="344"/>
      <c r="C539" s="344"/>
      <c r="D539" s="347" t="str">
        <f>IF(C539="","",IFERROR(INDEX(잔액!$Y:$Y,MAX(64,C539)),0))</f>
        <v/>
      </c>
      <c r="E539" s="346" t="str">
        <f>IF(C539="","",IFERROR(INDEX(잔액!$A:$A,MAX(64,C539)),""))</f>
        <v/>
      </c>
      <c r="F539" s="335" t="str">
        <f>IF(C539="","",IFERROR(INDEX(잔액!$C:$C,MAX(64,C539)),""))</f>
        <v/>
      </c>
      <c r="G539" s="335" t="str">
        <f>IF(C539="","",IF(INDEX(잔액!$K:$K,MAX(64,C539))&lt;&gt;"",INDEX(잔액!$K:$K,MAX(64,C539)),INDEX(잔액!$D:$D,MAX(64,C539))))</f>
        <v/>
      </c>
      <c r="H539" s="335" t="s">
        <v>1910</v>
      </c>
      <c r="J539" s="335" t="str">
        <f t="shared" si="56"/>
        <v/>
      </c>
      <c r="K539" s="346" t="str">
        <f t="shared" si="57"/>
        <v/>
      </c>
      <c r="L539" s="335" t="str">
        <f t="shared" si="58"/>
        <v/>
      </c>
      <c r="M539" s="335" t="str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  <v/>
      </c>
      <c r="N539" s="335" t="str">
        <f t="shared" si="59"/>
        <v/>
      </c>
      <c r="O539" s="348">
        <f t="shared" si="60"/>
        <v>0</v>
      </c>
    </row>
    <row r="540" spans="1:15" ht="16" hidden="1" outlineLevel="1">
      <c r="A540" s="335" t="str">
        <f t="shared" si="55"/>
        <v/>
      </c>
      <c r="B540" s="344"/>
      <c r="C540" s="344"/>
      <c r="D540" s="347" t="str">
        <f>IF(C540="","",IFERROR(INDEX(잔액!$Y:$Y,MAX(64,C540)),0))</f>
        <v/>
      </c>
      <c r="E540" s="346" t="str">
        <f>IF(C540="","",IFERROR(INDEX(잔액!$A:$A,MAX(64,C540)),""))</f>
        <v/>
      </c>
      <c r="F540" s="335" t="str">
        <f>IF(C540="","",IFERROR(INDEX(잔액!$C:$C,MAX(64,C540)),""))</f>
        <v/>
      </c>
      <c r="G540" s="335" t="str">
        <f>IF(C540="","",IF(INDEX(잔액!$K:$K,MAX(64,C540))&lt;&gt;"",INDEX(잔액!$K:$K,MAX(64,C540)),INDEX(잔액!$D:$D,MAX(64,C540))))</f>
        <v/>
      </c>
      <c r="H540" s="335" t="s">
        <v>1910</v>
      </c>
      <c r="J540" s="335" t="str">
        <f t="shared" si="56"/>
        <v/>
      </c>
      <c r="K540" s="346" t="str">
        <f t="shared" si="57"/>
        <v/>
      </c>
      <c r="L540" s="335" t="str">
        <f t="shared" si="58"/>
        <v/>
      </c>
      <c r="M540" s="335" t="str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  <v/>
      </c>
      <c r="N540" s="335" t="str">
        <f t="shared" si="59"/>
        <v/>
      </c>
      <c r="O540" s="348">
        <f t="shared" si="60"/>
        <v>0</v>
      </c>
    </row>
    <row r="541" spans="1:15" ht="16" hidden="1" outlineLevel="1">
      <c r="A541" s="335" t="str">
        <f t="shared" si="55"/>
        <v/>
      </c>
      <c r="B541" s="344"/>
      <c r="C541" s="344"/>
      <c r="D541" s="347" t="str">
        <f>IF(C541="","",IFERROR(INDEX(잔액!$Y:$Y,MAX(64,C541)),0))</f>
        <v/>
      </c>
      <c r="E541" s="346" t="str">
        <f>IF(C541="","",IFERROR(INDEX(잔액!$A:$A,MAX(64,C541)),""))</f>
        <v/>
      </c>
      <c r="F541" s="335" t="str">
        <f>IF(C541="","",IFERROR(INDEX(잔액!$C:$C,MAX(64,C541)),""))</f>
        <v/>
      </c>
      <c r="G541" s="335" t="str">
        <f>IF(C541="","",IF(INDEX(잔액!$K:$K,MAX(64,C541))&lt;&gt;"",INDEX(잔액!$K:$K,MAX(64,C541)),INDEX(잔액!$D:$D,MAX(64,C541))))</f>
        <v/>
      </c>
      <c r="H541" s="335" t="s">
        <v>1910</v>
      </c>
      <c r="J541" s="335" t="str">
        <f t="shared" si="56"/>
        <v/>
      </c>
      <c r="K541" s="346" t="str">
        <f t="shared" si="57"/>
        <v/>
      </c>
      <c r="L541" s="335" t="str">
        <f t="shared" si="58"/>
        <v/>
      </c>
      <c r="M541" s="335" t="str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  <v/>
      </c>
      <c r="N541" s="335" t="str">
        <f t="shared" si="59"/>
        <v/>
      </c>
      <c r="O541" s="348">
        <f t="shared" si="60"/>
        <v>0</v>
      </c>
    </row>
    <row r="542" spans="1:15" ht="16" hidden="1" outlineLevel="1">
      <c r="A542" s="335" t="str">
        <f t="shared" si="55"/>
        <v/>
      </c>
      <c r="B542" s="344"/>
      <c r="C542" s="344"/>
      <c r="D542" s="347" t="str">
        <f>IF(C542="","",IFERROR(INDEX(잔액!$Y:$Y,MAX(64,C542)),0))</f>
        <v/>
      </c>
      <c r="E542" s="346" t="str">
        <f>IF(C542="","",IFERROR(INDEX(잔액!$A:$A,MAX(64,C542)),""))</f>
        <v/>
      </c>
      <c r="F542" s="335" t="str">
        <f>IF(C542="","",IFERROR(INDEX(잔액!$C:$C,MAX(64,C542)),""))</f>
        <v/>
      </c>
      <c r="G542" s="335" t="str">
        <f>IF(C542="","",IF(INDEX(잔액!$K:$K,MAX(64,C542))&lt;&gt;"",INDEX(잔액!$K:$K,MAX(64,C542)),INDEX(잔액!$D:$D,MAX(64,C542))))</f>
        <v/>
      </c>
      <c r="H542" s="335" t="s">
        <v>1910</v>
      </c>
      <c r="J542" s="335" t="str">
        <f t="shared" si="56"/>
        <v/>
      </c>
      <c r="K542" s="346" t="str">
        <f t="shared" si="57"/>
        <v/>
      </c>
      <c r="L542" s="335" t="str">
        <f t="shared" si="58"/>
        <v/>
      </c>
      <c r="M542" s="335" t="str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  <v/>
      </c>
      <c r="N542" s="335" t="str">
        <f t="shared" si="59"/>
        <v/>
      </c>
      <c r="O542" s="348">
        <f t="shared" si="60"/>
        <v>0</v>
      </c>
    </row>
    <row r="543" spans="1:15" ht="16" hidden="1" outlineLevel="1">
      <c r="A543" s="335" t="str">
        <f t="shared" si="55"/>
        <v/>
      </c>
      <c r="B543" s="344"/>
      <c r="C543" s="344"/>
      <c r="D543" s="347" t="str">
        <f>IF(C543="","",IFERROR(INDEX(잔액!$Y:$Y,MAX(64,C543)),0))</f>
        <v/>
      </c>
      <c r="E543" s="346" t="str">
        <f>IF(C543="","",IFERROR(INDEX(잔액!$A:$A,MAX(64,C543)),""))</f>
        <v/>
      </c>
      <c r="F543" s="335" t="str">
        <f>IF(C543="","",IFERROR(INDEX(잔액!$C:$C,MAX(64,C543)),""))</f>
        <v/>
      </c>
      <c r="G543" s="335" t="str">
        <f>IF(C543="","",IF(INDEX(잔액!$K:$K,MAX(64,C543))&lt;&gt;"",INDEX(잔액!$K:$K,MAX(64,C543)),INDEX(잔액!$D:$D,MAX(64,C543))))</f>
        <v/>
      </c>
      <c r="H543" s="335" t="s">
        <v>1910</v>
      </c>
      <c r="J543" s="335" t="str">
        <f t="shared" si="56"/>
        <v/>
      </c>
      <c r="K543" s="346" t="str">
        <f t="shared" si="57"/>
        <v/>
      </c>
      <c r="L543" s="335" t="str">
        <f t="shared" si="58"/>
        <v/>
      </c>
      <c r="M543" s="335" t="str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  <v/>
      </c>
      <c r="N543" s="335" t="str">
        <f t="shared" si="59"/>
        <v/>
      </c>
      <c r="O543" s="348">
        <f t="shared" si="60"/>
        <v>0</v>
      </c>
    </row>
    <row r="544" spans="1:15" ht="16" hidden="1" outlineLevel="1">
      <c r="A544" s="335" t="str">
        <f t="shared" si="55"/>
        <v/>
      </c>
      <c r="B544" s="344"/>
      <c r="C544" s="344"/>
      <c r="D544" s="347" t="str">
        <f>IF(C544="","",IFERROR(INDEX(잔액!$Y:$Y,MAX(64,C544)),0))</f>
        <v/>
      </c>
      <c r="E544" s="346" t="str">
        <f>IF(C544="","",IFERROR(INDEX(잔액!$A:$A,MAX(64,C544)),""))</f>
        <v/>
      </c>
      <c r="F544" s="335" t="str">
        <f>IF(C544="","",IFERROR(INDEX(잔액!$C:$C,MAX(64,C544)),""))</f>
        <v/>
      </c>
      <c r="G544" s="335" t="str">
        <f>IF(C544="","",IF(INDEX(잔액!$K:$K,MAX(64,C544))&lt;&gt;"",INDEX(잔액!$K:$K,MAX(64,C544)),INDEX(잔액!$D:$D,MAX(64,C544))))</f>
        <v/>
      </c>
      <c r="H544" s="335" t="s">
        <v>1910</v>
      </c>
      <c r="J544" s="335" t="str">
        <f t="shared" si="56"/>
        <v/>
      </c>
      <c r="K544" s="346" t="str">
        <f t="shared" si="57"/>
        <v/>
      </c>
      <c r="L544" s="335" t="str">
        <f t="shared" si="58"/>
        <v/>
      </c>
      <c r="M544" s="335" t="str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  <v/>
      </c>
      <c r="N544" s="335" t="str">
        <f t="shared" si="59"/>
        <v/>
      </c>
      <c r="O544" s="348">
        <f t="shared" si="60"/>
        <v>0</v>
      </c>
    </row>
    <row r="545" spans="1:15" ht="16" hidden="1" outlineLevel="1">
      <c r="A545" s="335" t="str">
        <f t="shared" si="55"/>
        <v/>
      </c>
      <c r="B545" s="344"/>
      <c r="C545" s="344"/>
      <c r="D545" s="347" t="str">
        <f>IF(C545="","",IFERROR(INDEX(잔액!$Y:$Y,MAX(64,C545)),0))</f>
        <v/>
      </c>
      <c r="E545" s="346" t="str">
        <f>IF(C545="","",IFERROR(INDEX(잔액!$A:$A,MAX(64,C545)),""))</f>
        <v/>
      </c>
      <c r="F545" s="335" t="str">
        <f>IF(C545="","",IFERROR(INDEX(잔액!$C:$C,MAX(64,C545)),""))</f>
        <v/>
      </c>
      <c r="G545" s="335" t="str">
        <f>IF(C545="","",IF(INDEX(잔액!$K:$K,MAX(64,C545))&lt;&gt;"",INDEX(잔액!$K:$K,MAX(64,C545)),INDEX(잔액!$D:$D,MAX(64,C545))))</f>
        <v/>
      </c>
      <c r="H545" s="335" t="s">
        <v>1910</v>
      </c>
      <c r="J545" s="335" t="str">
        <f t="shared" si="56"/>
        <v/>
      </c>
      <c r="K545" s="346" t="str">
        <f t="shared" si="57"/>
        <v/>
      </c>
      <c r="L545" s="335" t="str">
        <f t="shared" si="58"/>
        <v/>
      </c>
      <c r="M545" s="335" t="str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  <v/>
      </c>
      <c r="N545" s="335" t="str">
        <f t="shared" si="59"/>
        <v/>
      </c>
      <c r="O545" s="348">
        <f t="shared" si="60"/>
        <v>0</v>
      </c>
    </row>
    <row r="546" spans="1:15" ht="16" hidden="1" outlineLevel="1">
      <c r="A546" s="335" t="str">
        <f t="shared" si="55"/>
        <v/>
      </c>
      <c r="B546" s="344"/>
      <c r="C546" s="344"/>
      <c r="D546" s="347" t="str">
        <f>IF(C546="","",IFERROR(INDEX(잔액!$Y:$Y,MAX(64,C546)),0))</f>
        <v/>
      </c>
      <c r="E546" s="346" t="str">
        <f>IF(C546="","",IFERROR(INDEX(잔액!$A:$A,MAX(64,C546)),""))</f>
        <v/>
      </c>
      <c r="F546" s="335" t="str">
        <f>IF(C546="","",IFERROR(INDEX(잔액!$C:$C,MAX(64,C546)),""))</f>
        <v/>
      </c>
      <c r="G546" s="335" t="str">
        <f>IF(C546="","",IF(INDEX(잔액!$K:$K,MAX(64,C546))&lt;&gt;"",INDEX(잔액!$K:$K,MAX(64,C546)),INDEX(잔액!$D:$D,MAX(64,C546))))</f>
        <v/>
      </c>
      <c r="H546" s="335" t="s">
        <v>1910</v>
      </c>
      <c r="J546" s="335" t="str">
        <f t="shared" si="56"/>
        <v/>
      </c>
      <c r="K546" s="346" t="str">
        <f t="shared" si="57"/>
        <v/>
      </c>
      <c r="L546" s="335" t="str">
        <f t="shared" si="58"/>
        <v/>
      </c>
      <c r="M546" s="335" t="str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  <v/>
      </c>
      <c r="N546" s="335" t="str">
        <f t="shared" si="59"/>
        <v/>
      </c>
      <c r="O546" s="348">
        <f t="shared" si="60"/>
        <v>0</v>
      </c>
    </row>
    <row r="547" spans="1:15" ht="16" hidden="1" outlineLevel="1">
      <c r="A547" s="335" t="str">
        <f t="shared" si="55"/>
        <v/>
      </c>
      <c r="B547" s="344"/>
      <c r="C547" s="344"/>
      <c r="D547" s="347" t="str">
        <f>IF(C547="","",IFERROR(INDEX(잔액!$Y:$Y,MAX(64,C547)),0))</f>
        <v/>
      </c>
      <c r="E547" s="346" t="str">
        <f>IF(C547="","",IFERROR(INDEX(잔액!$A:$A,MAX(64,C547)),""))</f>
        <v/>
      </c>
      <c r="F547" s="335" t="str">
        <f>IF(C547="","",IFERROR(INDEX(잔액!$C:$C,MAX(64,C547)),""))</f>
        <v/>
      </c>
      <c r="G547" s="335" t="str">
        <f>IF(C547="","",IF(INDEX(잔액!$K:$K,MAX(64,C547))&lt;&gt;"",INDEX(잔액!$K:$K,MAX(64,C547)),INDEX(잔액!$D:$D,MAX(64,C547))))</f>
        <v/>
      </c>
      <c r="H547" s="335" t="s">
        <v>1910</v>
      </c>
      <c r="J547" s="335" t="str">
        <f t="shared" si="56"/>
        <v/>
      </c>
      <c r="K547" s="346" t="str">
        <f t="shared" si="57"/>
        <v/>
      </c>
      <c r="L547" s="335" t="str">
        <f t="shared" si="58"/>
        <v/>
      </c>
      <c r="M547" s="335" t="str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  <v/>
      </c>
      <c r="N547" s="335" t="str">
        <f t="shared" si="59"/>
        <v/>
      </c>
      <c r="O547" s="348">
        <f t="shared" si="60"/>
        <v>0</v>
      </c>
    </row>
    <row r="548" spans="1:15" ht="16" hidden="1" outlineLevel="1">
      <c r="A548" s="335" t="str">
        <f t="shared" si="55"/>
        <v/>
      </c>
      <c r="B548" s="344"/>
      <c r="C548" s="344"/>
      <c r="D548" s="347" t="str">
        <f>IF(C548="","",IFERROR(INDEX(잔액!$Y:$Y,MAX(64,C548)),0))</f>
        <v/>
      </c>
      <c r="E548" s="346" t="str">
        <f>IF(C548="","",IFERROR(INDEX(잔액!$A:$A,MAX(64,C548)),""))</f>
        <v/>
      </c>
      <c r="F548" s="335" t="str">
        <f>IF(C548="","",IFERROR(INDEX(잔액!$C:$C,MAX(64,C548)),""))</f>
        <v/>
      </c>
      <c r="G548" s="335" t="str">
        <f>IF(C548="","",IF(INDEX(잔액!$K:$K,MAX(64,C548))&lt;&gt;"",INDEX(잔액!$K:$K,MAX(64,C548)),INDEX(잔액!$D:$D,MAX(64,C548))))</f>
        <v/>
      </c>
      <c r="H548" s="335" t="s">
        <v>1910</v>
      </c>
      <c r="J548" s="335" t="str">
        <f t="shared" si="56"/>
        <v/>
      </c>
      <c r="K548" s="346" t="str">
        <f t="shared" si="57"/>
        <v/>
      </c>
      <c r="L548" s="335" t="str">
        <f t="shared" si="58"/>
        <v/>
      </c>
      <c r="M548" s="335" t="str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  <v/>
      </c>
      <c r="N548" s="335" t="str">
        <f t="shared" si="59"/>
        <v/>
      </c>
      <c r="O548" s="348">
        <f t="shared" si="60"/>
        <v>0</v>
      </c>
    </row>
    <row r="549" spans="1:15" ht="16" hidden="1" outlineLevel="1">
      <c r="A549" s="335" t="str">
        <f t="shared" si="55"/>
        <v/>
      </c>
      <c r="B549" s="344"/>
      <c r="C549" s="344"/>
      <c r="D549" s="347" t="str">
        <f>IF(C549="","",IFERROR(INDEX(잔액!$Y:$Y,MAX(64,C549)),0))</f>
        <v/>
      </c>
      <c r="E549" s="346" t="str">
        <f>IF(C549="","",IFERROR(INDEX(잔액!$A:$A,MAX(64,C549)),""))</f>
        <v/>
      </c>
      <c r="F549" s="335" t="str">
        <f>IF(C549="","",IFERROR(INDEX(잔액!$C:$C,MAX(64,C549)),""))</f>
        <v/>
      </c>
      <c r="G549" s="335" t="str">
        <f>IF(C549="","",IF(INDEX(잔액!$K:$K,MAX(64,C549))&lt;&gt;"",INDEX(잔액!$K:$K,MAX(64,C549)),INDEX(잔액!$D:$D,MAX(64,C549))))</f>
        <v/>
      </c>
      <c r="H549" s="335" t="s">
        <v>1910</v>
      </c>
      <c r="J549" s="335" t="str">
        <f t="shared" si="56"/>
        <v/>
      </c>
      <c r="K549" s="346" t="str">
        <f t="shared" si="57"/>
        <v/>
      </c>
      <c r="L549" s="335" t="str">
        <f t="shared" si="58"/>
        <v/>
      </c>
      <c r="M549" s="335" t="str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  <v/>
      </c>
      <c r="N549" s="335" t="str">
        <f t="shared" si="59"/>
        <v/>
      </c>
      <c r="O549" s="348">
        <f t="shared" si="60"/>
        <v>0</v>
      </c>
    </row>
    <row r="550" spans="1:15" ht="16" hidden="1" outlineLevel="1">
      <c r="A550" s="335" t="str">
        <f t="shared" si="55"/>
        <v/>
      </c>
      <c r="B550" s="344"/>
      <c r="C550" s="344"/>
      <c r="D550" s="347" t="str">
        <f>IF(C550="","",IFERROR(INDEX(잔액!$Y:$Y,MAX(64,C550)),0))</f>
        <v/>
      </c>
      <c r="E550" s="346" t="str">
        <f>IF(C550="","",IFERROR(INDEX(잔액!$A:$A,MAX(64,C550)),""))</f>
        <v/>
      </c>
      <c r="F550" s="335" t="str">
        <f>IF(C550="","",IFERROR(INDEX(잔액!$C:$C,MAX(64,C550)),""))</f>
        <v/>
      </c>
      <c r="G550" s="335" t="str">
        <f>IF(C550="","",IF(INDEX(잔액!$K:$K,MAX(64,C550))&lt;&gt;"",INDEX(잔액!$K:$K,MAX(64,C550)),INDEX(잔액!$D:$D,MAX(64,C550))))</f>
        <v/>
      </c>
      <c r="H550" s="335" t="s">
        <v>1910</v>
      </c>
      <c r="J550" s="335" t="str">
        <f t="shared" si="56"/>
        <v/>
      </c>
      <c r="K550" s="346" t="str">
        <f t="shared" si="57"/>
        <v/>
      </c>
      <c r="L550" s="335" t="str">
        <f t="shared" si="58"/>
        <v/>
      </c>
      <c r="M550" s="335" t="str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  <v/>
      </c>
      <c r="N550" s="335" t="str">
        <f t="shared" si="59"/>
        <v/>
      </c>
      <c r="O550" s="348">
        <f t="shared" si="60"/>
        <v>0</v>
      </c>
    </row>
    <row r="551" spans="1:15" ht="16" hidden="1" outlineLevel="1">
      <c r="A551" s="335" t="str">
        <f t="shared" si="55"/>
        <v/>
      </c>
      <c r="B551" s="344"/>
      <c r="C551" s="344"/>
      <c r="D551" s="347" t="str">
        <f>IF(C551="","",IFERROR(INDEX(잔액!$Y:$Y,MAX(64,C551)),0))</f>
        <v/>
      </c>
      <c r="E551" s="346" t="str">
        <f>IF(C551="","",IFERROR(INDEX(잔액!$A:$A,MAX(64,C551)),""))</f>
        <v/>
      </c>
      <c r="F551" s="335" t="str">
        <f>IF(C551="","",IFERROR(INDEX(잔액!$C:$C,MAX(64,C551)),""))</f>
        <v/>
      </c>
      <c r="G551" s="335" t="str">
        <f>IF(C551="","",IF(INDEX(잔액!$K:$K,MAX(64,C551))&lt;&gt;"",INDEX(잔액!$K:$K,MAX(64,C551)),INDEX(잔액!$D:$D,MAX(64,C551))))</f>
        <v/>
      </c>
      <c r="H551" s="335" t="s">
        <v>1910</v>
      </c>
      <c r="J551" s="335" t="str">
        <f t="shared" si="56"/>
        <v/>
      </c>
      <c r="K551" s="346" t="str">
        <f t="shared" si="57"/>
        <v/>
      </c>
      <c r="L551" s="335" t="str">
        <f t="shared" si="58"/>
        <v/>
      </c>
      <c r="M551" s="335" t="str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  <v/>
      </c>
      <c r="N551" s="335" t="str">
        <f t="shared" si="59"/>
        <v/>
      </c>
      <c r="O551" s="348">
        <f t="shared" si="60"/>
        <v>0</v>
      </c>
    </row>
    <row r="552" spans="1:15" ht="16" hidden="1" outlineLevel="1">
      <c r="A552" s="335" t="str">
        <f t="shared" si="55"/>
        <v/>
      </c>
      <c r="B552" s="344"/>
      <c r="C552" s="344"/>
      <c r="D552" s="347" t="str">
        <f>IF(C552="","",IFERROR(INDEX(잔액!$Y:$Y,MAX(64,C552)),0))</f>
        <v/>
      </c>
      <c r="E552" s="346" t="str">
        <f>IF(C552="","",IFERROR(INDEX(잔액!$A:$A,MAX(64,C552)),""))</f>
        <v/>
      </c>
      <c r="F552" s="335" t="str">
        <f>IF(C552="","",IFERROR(INDEX(잔액!$C:$C,MAX(64,C552)),""))</f>
        <v/>
      </c>
      <c r="G552" s="335" t="str">
        <f>IF(C552="","",IF(INDEX(잔액!$K:$K,MAX(64,C552))&lt;&gt;"",INDEX(잔액!$K:$K,MAX(64,C552)),INDEX(잔액!$D:$D,MAX(64,C552))))</f>
        <v/>
      </c>
      <c r="H552" s="335" t="s">
        <v>1910</v>
      </c>
      <c r="J552" s="335" t="str">
        <f t="shared" si="56"/>
        <v/>
      </c>
      <c r="K552" s="346" t="str">
        <f t="shared" si="57"/>
        <v/>
      </c>
      <c r="L552" s="335" t="str">
        <f t="shared" si="58"/>
        <v/>
      </c>
      <c r="M552" s="335" t="str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  <v/>
      </c>
      <c r="N552" s="335" t="str">
        <f t="shared" si="59"/>
        <v/>
      </c>
      <c r="O552" s="348">
        <f t="shared" si="60"/>
        <v>0</v>
      </c>
    </row>
    <row r="553" spans="1:15" ht="16" hidden="1" outlineLevel="1">
      <c r="A553" s="335" t="str">
        <f t="shared" si="55"/>
        <v/>
      </c>
      <c r="B553" s="344"/>
      <c r="C553" s="344"/>
      <c r="D553" s="347" t="str">
        <f>IF(C553="","",IFERROR(INDEX(잔액!$Y:$Y,MAX(64,C553)),0))</f>
        <v/>
      </c>
      <c r="E553" s="346" t="str">
        <f>IF(C553="","",IFERROR(INDEX(잔액!$A:$A,MAX(64,C553)),""))</f>
        <v/>
      </c>
      <c r="F553" s="335" t="str">
        <f>IF(C553="","",IFERROR(INDEX(잔액!$C:$C,MAX(64,C553)),""))</f>
        <v/>
      </c>
      <c r="G553" s="335" t="str">
        <f>IF(C553="","",IF(INDEX(잔액!$K:$K,MAX(64,C553))&lt;&gt;"",INDEX(잔액!$K:$K,MAX(64,C553)),INDEX(잔액!$D:$D,MAX(64,C553))))</f>
        <v/>
      </c>
      <c r="H553" s="335" t="s">
        <v>1910</v>
      </c>
      <c r="J553" s="335" t="str">
        <f t="shared" si="56"/>
        <v/>
      </c>
      <c r="K553" s="346" t="str">
        <f t="shared" si="57"/>
        <v/>
      </c>
      <c r="L553" s="335" t="str">
        <f t="shared" si="58"/>
        <v/>
      </c>
      <c r="M553" s="335" t="str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  <v/>
      </c>
      <c r="N553" s="335" t="str">
        <f t="shared" si="59"/>
        <v/>
      </c>
      <c r="O553" s="348">
        <f t="shared" si="60"/>
        <v>0</v>
      </c>
    </row>
    <row r="554" spans="1:15" ht="16" hidden="1" outlineLevel="1">
      <c r="A554" s="335" t="str">
        <f t="shared" si="55"/>
        <v/>
      </c>
      <c r="B554" s="344"/>
      <c r="C554" s="344"/>
      <c r="D554" s="347" t="str">
        <f>IF(C554="","",IFERROR(INDEX(잔액!$Y:$Y,MAX(64,C554)),0))</f>
        <v/>
      </c>
      <c r="E554" s="346" t="str">
        <f>IF(C554="","",IFERROR(INDEX(잔액!$A:$A,MAX(64,C554)),""))</f>
        <v/>
      </c>
      <c r="F554" s="335" t="str">
        <f>IF(C554="","",IFERROR(INDEX(잔액!$C:$C,MAX(64,C554)),""))</f>
        <v/>
      </c>
      <c r="G554" s="335" t="str">
        <f>IF(C554="","",IF(INDEX(잔액!$K:$K,MAX(64,C554))&lt;&gt;"",INDEX(잔액!$K:$K,MAX(64,C554)),INDEX(잔액!$D:$D,MAX(64,C554))))</f>
        <v/>
      </c>
      <c r="H554" s="335" t="s">
        <v>1910</v>
      </c>
      <c r="J554" s="335" t="str">
        <f t="shared" si="56"/>
        <v/>
      </c>
      <c r="K554" s="346" t="str">
        <f t="shared" si="57"/>
        <v/>
      </c>
      <c r="L554" s="335" t="str">
        <f t="shared" si="58"/>
        <v/>
      </c>
      <c r="M554" s="335" t="str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  <v/>
      </c>
      <c r="N554" s="335" t="str">
        <f t="shared" si="59"/>
        <v/>
      </c>
      <c r="O554" s="348">
        <f t="shared" si="60"/>
        <v>0</v>
      </c>
    </row>
    <row r="555" spans="1:15" ht="16" hidden="1" outlineLevel="1">
      <c r="A555" s="335" t="str">
        <f t="shared" si="55"/>
        <v/>
      </c>
      <c r="B555" s="344"/>
      <c r="C555" s="344"/>
      <c r="D555" s="347" t="str">
        <f>IF(C555="","",IFERROR(INDEX(잔액!$Y:$Y,MAX(64,C555)),0))</f>
        <v/>
      </c>
      <c r="E555" s="346" t="str">
        <f>IF(C555="","",IFERROR(INDEX(잔액!$A:$A,MAX(64,C555)),""))</f>
        <v/>
      </c>
      <c r="F555" s="335" t="str">
        <f>IF(C555="","",IFERROR(INDEX(잔액!$C:$C,MAX(64,C555)),""))</f>
        <v/>
      </c>
      <c r="G555" s="335" t="str">
        <f>IF(C555="","",IF(INDEX(잔액!$K:$K,MAX(64,C555))&lt;&gt;"",INDEX(잔액!$K:$K,MAX(64,C555)),INDEX(잔액!$D:$D,MAX(64,C555))))</f>
        <v/>
      </c>
      <c r="H555" s="335" t="s">
        <v>1910</v>
      </c>
      <c r="J555" s="335" t="str">
        <f t="shared" si="56"/>
        <v/>
      </c>
      <c r="K555" s="346" t="str">
        <f t="shared" si="57"/>
        <v/>
      </c>
      <c r="L555" s="335" t="str">
        <f t="shared" si="58"/>
        <v/>
      </c>
      <c r="M555" s="335" t="str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  <v/>
      </c>
      <c r="N555" s="335" t="str">
        <f t="shared" si="59"/>
        <v/>
      </c>
      <c r="O555" s="348">
        <f t="shared" si="60"/>
        <v>0</v>
      </c>
    </row>
    <row r="556" spans="1:15" ht="16" hidden="1" outlineLevel="1">
      <c r="A556" s="335" t="str">
        <f t="shared" si="55"/>
        <v/>
      </c>
      <c r="B556" s="344"/>
      <c r="C556" s="344"/>
      <c r="D556" s="347" t="str">
        <f>IF(C556="","",IFERROR(INDEX(잔액!$Y:$Y,MAX(64,C556)),0))</f>
        <v/>
      </c>
      <c r="E556" s="346" t="str">
        <f>IF(C556="","",IFERROR(INDEX(잔액!$A:$A,MAX(64,C556)),""))</f>
        <v/>
      </c>
      <c r="F556" s="335" t="str">
        <f>IF(C556="","",IFERROR(INDEX(잔액!$C:$C,MAX(64,C556)),""))</f>
        <v/>
      </c>
      <c r="G556" s="335" t="str">
        <f>IF(C556="","",IF(INDEX(잔액!$K:$K,MAX(64,C556))&lt;&gt;"",INDEX(잔액!$K:$K,MAX(64,C556)),INDEX(잔액!$D:$D,MAX(64,C556))))</f>
        <v/>
      </c>
      <c r="H556" s="335" t="s">
        <v>1910</v>
      </c>
      <c r="J556" s="335" t="str">
        <f t="shared" si="56"/>
        <v/>
      </c>
      <c r="K556" s="346" t="str">
        <f t="shared" si="57"/>
        <v/>
      </c>
      <c r="L556" s="335" t="str">
        <f t="shared" si="58"/>
        <v/>
      </c>
      <c r="M556" s="335" t="str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  <v/>
      </c>
      <c r="N556" s="335" t="str">
        <f t="shared" si="59"/>
        <v/>
      </c>
      <c r="O556" s="348">
        <f t="shared" si="60"/>
        <v>0</v>
      </c>
    </row>
    <row r="557" spans="1:15" ht="16" hidden="1" outlineLevel="1">
      <c r="A557" s="335" t="str">
        <f t="shared" si="55"/>
        <v/>
      </c>
      <c r="B557" s="344"/>
      <c r="C557" s="344"/>
      <c r="D557" s="347" t="str">
        <f>IF(C557="","",IFERROR(INDEX(잔액!$Y:$Y,MAX(64,C557)),0))</f>
        <v/>
      </c>
      <c r="E557" s="346" t="str">
        <f>IF(C557="","",IFERROR(INDEX(잔액!$A:$A,MAX(64,C557)),""))</f>
        <v/>
      </c>
      <c r="F557" s="335" t="str">
        <f>IF(C557="","",IFERROR(INDEX(잔액!$C:$C,MAX(64,C557)),""))</f>
        <v/>
      </c>
      <c r="G557" s="335" t="str">
        <f>IF(C557="","",IF(INDEX(잔액!$K:$K,MAX(64,C557))&lt;&gt;"",INDEX(잔액!$K:$K,MAX(64,C557)),INDEX(잔액!$D:$D,MAX(64,C557))))</f>
        <v/>
      </c>
      <c r="H557" s="335" t="s">
        <v>1910</v>
      </c>
      <c r="J557" s="335" t="str">
        <f t="shared" si="56"/>
        <v/>
      </c>
      <c r="K557" s="346" t="str">
        <f t="shared" si="57"/>
        <v/>
      </c>
      <c r="L557" s="335" t="str">
        <f t="shared" si="58"/>
        <v/>
      </c>
      <c r="M557" s="335" t="str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  <v/>
      </c>
      <c r="N557" s="335" t="str">
        <f t="shared" si="59"/>
        <v/>
      </c>
      <c r="O557" s="348">
        <f t="shared" si="60"/>
        <v>0</v>
      </c>
    </row>
    <row r="558" spans="1:15" ht="16" hidden="1" outlineLevel="1">
      <c r="A558" s="335" t="str">
        <f t="shared" ref="A558:A621" si="61">IF(B558="","","S"&amp;ROW())</f>
        <v/>
      </c>
      <c r="B558" s="344"/>
      <c r="C558" s="344"/>
      <c r="D558" s="347" t="str">
        <f>IF(C558="","",IFERROR(INDEX(잔액!$Y:$Y,MAX(64,C558)),0))</f>
        <v/>
      </c>
      <c r="E558" s="346" t="str">
        <f>IF(C558="","",IFERROR(INDEX(잔액!$A:$A,MAX(64,C558)),""))</f>
        <v/>
      </c>
      <c r="F558" s="335" t="str">
        <f>IF(C558="","",IFERROR(INDEX(잔액!$C:$C,MAX(64,C558)),""))</f>
        <v/>
      </c>
      <c r="G558" s="335" t="str">
        <f>IF(C558="","",IF(INDEX(잔액!$K:$K,MAX(64,C558))&lt;&gt;"",INDEX(잔액!$K:$K,MAX(64,C558)),INDEX(잔액!$D:$D,MAX(64,C558))))</f>
        <v/>
      </c>
      <c r="H558" s="335" t="s">
        <v>1910</v>
      </c>
      <c r="J558" s="335" t="str">
        <f t="shared" ref="J558:J621" si="62">IFERROR(INDEX($C$100:$C$399,MATCH(B558,$A$100:$A$399,0)),"")</f>
        <v/>
      </c>
      <c r="K558" s="346" t="str">
        <f t="shared" ref="K558:K621" si="63">IFERROR(INDEX($D$100:$D$399,MATCH(B558,$A$100:$A$399,0)),"")</f>
        <v/>
      </c>
      <c r="L558" s="335" t="str">
        <f t="shared" ref="L558:L621" si="64">IFERROR(INDEX($S$100:$S$399,MATCH(B558,$A$100:$A$399,0)),"")</f>
        <v/>
      </c>
      <c r="M558" s="335" t="str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  <v/>
      </c>
      <c r="N558" s="335" t="str">
        <f t="shared" ref="N558:N621" si="65"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  <v/>
      </c>
      <c r="O558" s="348">
        <f t="shared" ref="O558:O621" si="66">IF(N558="OK",D558,0)</f>
        <v>0</v>
      </c>
    </row>
    <row r="559" spans="1:15" ht="16" hidden="1" outlineLevel="1">
      <c r="A559" s="335" t="str">
        <f t="shared" si="61"/>
        <v/>
      </c>
      <c r="B559" s="344"/>
      <c r="C559" s="344"/>
      <c r="D559" s="347" t="str">
        <f>IF(C559="","",IFERROR(INDEX(잔액!$Y:$Y,MAX(64,C559)),0))</f>
        <v/>
      </c>
      <c r="E559" s="346" t="str">
        <f>IF(C559="","",IFERROR(INDEX(잔액!$A:$A,MAX(64,C559)),""))</f>
        <v/>
      </c>
      <c r="F559" s="335" t="str">
        <f>IF(C559="","",IFERROR(INDEX(잔액!$C:$C,MAX(64,C559)),""))</f>
        <v/>
      </c>
      <c r="G559" s="335" t="str">
        <f>IF(C559="","",IF(INDEX(잔액!$K:$K,MAX(64,C559))&lt;&gt;"",INDEX(잔액!$K:$K,MAX(64,C559)),INDEX(잔액!$D:$D,MAX(64,C559))))</f>
        <v/>
      </c>
      <c r="H559" s="335" t="s">
        <v>1910</v>
      </c>
      <c r="J559" s="335" t="str">
        <f t="shared" si="62"/>
        <v/>
      </c>
      <c r="K559" s="346" t="str">
        <f t="shared" si="63"/>
        <v/>
      </c>
      <c r="L559" s="335" t="str">
        <f t="shared" si="64"/>
        <v/>
      </c>
      <c r="M559" s="335" t="str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  <v/>
      </c>
      <c r="N559" s="335" t="str">
        <f t="shared" si="65"/>
        <v/>
      </c>
      <c r="O559" s="348">
        <f t="shared" si="66"/>
        <v>0</v>
      </c>
    </row>
    <row r="560" spans="1:15" ht="16" hidden="1" outlineLevel="1">
      <c r="A560" s="335" t="str">
        <f t="shared" si="61"/>
        <v/>
      </c>
      <c r="B560" s="344"/>
      <c r="C560" s="344"/>
      <c r="D560" s="347" t="str">
        <f>IF(C560="","",IFERROR(INDEX(잔액!$Y:$Y,MAX(64,C560)),0))</f>
        <v/>
      </c>
      <c r="E560" s="346" t="str">
        <f>IF(C560="","",IFERROR(INDEX(잔액!$A:$A,MAX(64,C560)),""))</f>
        <v/>
      </c>
      <c r="F560" s="335" t="str">
        <f>IF(C560="","",IFERROR(INDEX(잔액!$C:$C,MAX(64,C560)),""))</f>
        <v/>
      </c>
      <c r="G560" s="335" t="str">
        <f>IF(C560="","",IF(INDEX(잔액!$K:$K,MAX(64,C560))&lt;&gt;"",INDEX(잔액!$K:$K,MAX(64,C560)),INDEX(잔액!$D:$D,MAX(64,C560))))</f>
        <v/>
      </c>
      <c r="H560" s="335" t="s">
        <v>1910</v>
      </c>
      <c r="J560" s="335" t="str">
        <f t="shared" si="62"/>
        <v/>
      </c>
      <c r="K560" s="346" t="str">
        <f t="shared" si="63"/>
        <v/>
      </c>
      <c r="L560" s="335" t="str">
        <f t="shared" si="64"/>
        <v/>
      </c>
      <c r="M560" s="335" t="str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  <v/>
      </c>
      <c r="N560" s="335" t="str">
        <f t="shared" si="65"/>
        <v/>
      </c>
      <c r="O560" s="348">
        <f t="shared" si="66"/>
        <v>0</v>
      </c>
    </row>
    <row r="561" spans="1:15" ht="16" hidden="1" outlineLevel="1">
      <c r="A561" s="335" t="str">
        <f t="shared" si="61"/>
        <v/>
      </c>
      <c r="B561" s="344"/>
      <c r="C561" s="344"/>
      <c r="D561" s="347" t="str">
        <f>IF(C561="","",IFERROR(INDEX(잔액!$Y:$Y,MAX(64,C561)),0))</f>
        <v/>
      </c>
      <c r="E561" s="346" t="str">
        <f>IF(C561="","",IFERROR(INDEX(잔액!$A:$A,MAX(64,C561)),""))</f>
        <v/>
      </c>
      <c r="F561" s="335" t="str">
        <f>IF(C561="","",IFERROR(INDEX(잔액!$C:$C,MAX(64,C561)),""))</f>
        <v/>
      </c>
      <c r="G561" s="335" t="str">
        <f>IF(C561="","",IF(INDEX(잔액!$K:$K,MAX(64,C561))&lt;&gt;"",INDEX(잔액!$K:$K,MAX(64,C561)),INDEX(잔액!$D:$D,MAX(64,C561))))</f>
        <v/>
      </c>
      <c r="H561" s="335" t="s">
        <v>1910</v>
      </c>
      <c r="J561" s="335" t="str">
        <f t="shared" si="62"/>
        <v/>
      </c>
      <c r="K561" s="346" t="str">
        <f t="shared" si="63"/>
        <v/>
      </c>
      <c r="L561" s="335" t="str">
        <f t="shared" si="64"/>
        <v/>
      </c>
      <c r="M561" s="335" t="str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  <v/>
      </c>
      <c r="N561" s="335" t="str">
        <f t="shared" si="65"/>
        <v/>
      </c>
      <c r="O561" s="348">
        <f t="shared" si="66"/>
        <v>0</v>
      </c>
    </row>
    <row r="562" spans="1:15" ht="16" hidden="1" outlineLevel="1">
      <c r="A562" s="335" t="str">
        <f t="shared" si="61"/>
        <v/>
      </c>
      <c r="B562" s="344"/>
      <c r="C562" s="344"/>
      <c r="D562" s="347" t="str">
        <f>IF(C562="","",IFERROR(INDEX(잔액!$Y:$Y,MAX(64,C562)),0))</f>
        <v/>
      </c>
      <c r="E562" s="346" t="str">
        <f>IF(C562="","",IFERROR(INDEX(잔액!$A:$A,MAX(64,C562)),""))</f>
        <v/>
      </c>
      <c r="F562" s="335" t="str">
        <f>IF(C562="","",IFERROR(INDEX(잔액!$C:$C,MAX(64,C562)),""))</f>
        <v/>
      </c>
      <c r="G562" s="335" t="str">
        <f>IF(C562="","",IF(INDEX(잔액!$K:$K,MAX(64,C562))&lt;&gt;"",INDEX(잔액!$K:$K,MAX(64,C562)),INDEX(잔액!$D:$D,MAX(64,C562))))</f>
        <v/>
      </c>
      <c r="H562" s="335" t="s">
        <v>1910</v>
      </c>
      <c r="J562" s="335" t="str">
        <f t="shared" si="62"/>
        <v/>
      </c>
      <c r="K562" s="346" t="str">
        <f t="shared" si="63"/>
        <v/>
      </c>
      <c r="L562" s="335" t="str">
        <f t="shared" si="64"/>
        <v/>
      </c>
      <c r="M562" s="335" t="str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  <v/>
      </c>
      <c r="N562" s="335" t="str">
        <f t="shared" si="65"/>
        <v/>
      </c>
      <c r="O562" s="348">
        <f t="shared" si="66"/>
        <v>0</v>
      </c>
    </row>
    <row r="563" spans="1:15" ht="16" hidden="1" outlineLevel="1">
      <c r="A563" s="335" t="str">
        <f t="shared" si="61"/>
        <v/>
      </c>
      <c r="B563" s="344"/>
      <c r="C563" s="344"/>
      <c r="D563" s="347" t="str">
        <f>IF(C563="","",IFERROR(INDEX(잔액!$Y:$Y,MAX(64,C563)),0))</f>
        <v/>
      </c>
      <c r="E563" s="346" t="str">
        <f>IF(C563="","",IFERROR(INDEX(잔액!$A:$A,MAX(64,C563)),""))</f>
        <v/>
      </c>
      <c r="F563" s="335" t="str">
        <f>IF(C563="","",IFERROR(INDEX(잔액!$C:$C,MAX(64,C563)),""))</f>
        <v/>
      </c>
      <c r="G563" s="335" t="str">
        <f>IF(C563="","",IF(INDEX(잔액!$K:$K,MAX(64,C563))&lt;&gt;"",INDEX(잔액!$K:$K,MAX(64,C563)),INDEX(잔액!$D:$D,MAX(64,C563))))</f>
        <v/>
      </c>
      <c r="H563" s="335" t="s">
        <v>1910</v>
      </c>
      <c r="J563" s="335" t="str">
        <f t="shared" si="62"/>
        <v/>
      </c>
      <c r="K563" s="346" t="str">
        <f t="shared" si="63"/>
        <v/>
      </c>
      <c r="L563" s="335" t="str">
        <f t="shared" si="64"/>
        <v/>
      </c>
      <c r="M563" s="335" t="str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  <v/>
      </c>
      <c r="N563" s="335" t="str">
        <f t="shared" si="65"/>
        <v/>
      </c>
      <c r="O563" s="348">
        <f t="shared" si="66"/>
        <v>0</v>
      </c>
    </row>
    <row r="564" spans="1:15" ht="16" hidden="1" outlineLevel="1">
      <c r="A564" s="335" t="str">
        <f t="shared" si="61"/>
        <v/>
      </c>
      <c r="B564" s="344"/>
      <c r="C564" s="344"/>
      <c r="D564" s="347" t="str">
        <f>IF(C564="","",IFERROR(INDEX(잔액!$Y:$Y,MAX(64,C564)),0))</f>
        <v/>
      </c>
      <c r="E564" s="346" t="str">
        <f>IF(C564="","",IFERROR(INDEX(잔액!$A:$A,MAX(64,C564)),""))</f>
        <v/>
      </c>
      <c r="F564" s="335" t="str">
        <f>IF(C564="","",IFERROR(INDEX(잔액!$C:$C,MAX(64,C564)),""))</f>
        <v/>
      </c>
      <c r="G564" s="335" t="str">
        <f>IF(C564="","",IF(INDEX(잔액!$K:$K,MAX(64,C564))&lt;&gt;"",INDEX(잔액!$K:$K,MAX(64,C564)),INDEX(잔액!$D:$D,MAX(64,C564))))</f>
        <v/>
      </c>
      <c r="H564" s="335" t="s">
        <v>1910</v>
      </c>
      <c r="J564" s="335" t="str">
        <f t="shared" si="62"/>
        <v/>
      </c>
      <c r="K564" s="346" t="str">
        <f t="shared" si="63"/>
        <v/>
      </c>
      <c r="L564" s="335" t="str">
        <f t="shared" si="64"/>
        <v/>
      </c>
      <c r="M564" s="335" t="str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  <v/>
      </c>
      <c r="N564" s="335" t="str">
        <f t="shared" si="65"/>
        <v/>
      </c>
      <c r="O564" s="348">
        <f t="shared" si="66"/>
        <v>0</v>
      </c>
    </row>
    <row r="565" spans="1:15" ht="16" hidden="1" outlineLevel="1">
      <c r="A565" s="335" t="str">
        <f t="shared" si="61"/>
        <v/>
      </c>
      <c r="B565" s="344"/>
      <c r="C565" s="344"/>
      <c r="D565" s="347" t="str">
        <f>IF(C565="","",IFERROR(INDEX(잔액!$Y:$Y,MAX(64,C565)),0))</f>
        <v/>
      </c>
      <c r="E565" s="346" t="str">
        <f>IF(C565="","",IFERROR(INDEX(잔액!$A:$A,MAX(64,C565)),""))</f>
        <v/>
      </c>
      <c r="F565" s="335" t="str">
        <f>IF(C565="","",IFERROR(INDEX(잔액!$C:$C,MAX(64,C565)),""))</f>
        <v/>
      </c>
      <c r="G565" s="335" t="str">
        <f>IF(C565="","",IF(INDEX(잔액!$K:$K,MAX(64,C565))&lt;&gt;"",INDEX(잔액!$K:$K,MAX(64,C565)),INDEX(잔액!$D:$D,MAX(64,C565))))</f>
        <v/>
      </c>
      <c r="H565" s="335" t="s">
        <v>1910</v>
      </c>
      <c r="J565" s="335" t="str">
        <f t="shared" si="62"/>
        <v/>
      </c>
      <c r="K565" s="346" t="str">
        <f t="shared" si="63"/>
        <v/>
      </c>
      <c r="L565" s="335" t="str">
        <f t="shared" si="64"/>
        <v/>
      </c>
      <c r="M565" s="335" t="str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  <v/>
      </c>
      <c r="N565" s="335" t="str">
        <f t="shared" si="65"/>
        <v/>
      </c>
      <c r="O565" s="348">
        <f t="shared" si="66"/>
        <v>0</v>
      </c>
    </row>
    <row r="566" spans="1:15" ht="16" hidden="1" outlineLevel="1">
      <c r="A566" s="335" t="str">
        <f t="shared" si="61"/>
        <v/>
      </c>
      <c r="B566" s="344"/>
      <c r="C566" s="344"/>
      <c r="D566" s="347" t="str">
        <f>IF(C566="","",IFERROR(INDEX(잔액!$Y:$Y,MAX(64,C566)),0))</f>
        <v/>
      </c>
      <c r="E566" s="346" t="str">
        <f>IF(C566="","",IFERROR(INDEX(잔액!$A:$A,MAX(64,C566)),""))</f>
        <v/>
      </c>
      <c r="F566" s="335" t="str">
        <f>IF(C566="","",IFERROR(INDEX(잔액!$C:$C,MAX(64,C566)),""))</f>
        <v/>
      </c>
      <c r="G566" s="335" t="str">
        <f>IF(C566="","",IF(INDEX(잔액!$K:$K,MAX(64,C566))&lt;&gt;"",INDEX(잔액!$K:$K,MAX(64,C566)),INDEX(잔액!$D:$D,MAX(64,C566))))</f>
        <v/>
      </c>
      <c r="H566" s="335" t="s">
        <v>1910</v>
      </c>
      <c r="J566" s="335" t="str">
        <f t="shared" si="62"/>
        <v/>
      </c>
      <c r="K566" s="346" t="str">
        <f t="shared" si="63"/>
        <v/>
      </c>
      <c r="L566" s="335" t="str">
        <f t="shared" si="64"/>
        <v/>
      </c>
      <c r="M566" s="335" t="str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  <v/>
      </c>
      <c r="N566" s="335" t="str">
        <f t="shared" si="65"/>
        <v/>
      </c>
      <c r="O566" s="348">
        <f t="shared" si="66"/>
        <v>0</v>
      </c>
    </row>
    <row r="567" spans="1:15" ht="16" hidden="1" outlineLevel="1">
      <c r="A567" s="335" t="str">
        <f t="shared" si="61"/>
        <v/>
      </c>
      <c r="B567" s="344"/>
      <c r="C567" s="344"/>
      <c r="D567" s="347" t="str">
        <f>IF(C567="","",IFERROR(INDEX(잔액!$Y:$Y,MAX(64,C567)),0))</f>
        <v/>
      </c>
      <c r="E567" s="346" t="str">
        <f>IF(C567="","",IFERROR(INDEX(잔액!$A:$A,MAX(64,C567)),""))</f>
        <v/>
      </c>
      <c r="F567" s="335" t="str">
        <f>IF(C567="","",IFERROR(INDEX(잔액!$C:$C,MAX(64,C567)),""))</f>
        <v/>
      </c>
      <c r="G567" s="335" t="str">
        <f>IF(C567="","",IF(INDEX(잔액!$K:$K,MAX(64,C567))&lt;&gt;"",INDEX(잔액!$K:$K,MAX(64,C567)),INDEX(잔액!$D:$D,MAX(64,C567))))</f>
        <v/>
      </c>
      <c r="H567" s="335" t="s">
        <v>1910</v>
      </c>
      <c r="J567" s="335" t="str">
        <f t="shared" si="62"/>
        <v/>
      </c>
      <c r="K567" s="346" t="str">
        <f t="shared" si="63"/>
        <v/>
      </c>
      <c r="L567" s="335" t="str">
        <f t="shared" si="64"/>
        <v/>
      </c>
      <c r="M567" s="335" t="str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  <v/>
      </c>
      <c r="N567" s="335" t="str">
        <f t="shared" si="65"/>
        <v/>
      </c>
      <c r="O567" s="348">
        <f t="shared" si="66"/>
        <v>0</v>
      </c>
    </row>
    <row r="568" spans="1:15" ht="16" hidden="1" outlineLevel="1">
      <c r="A568" s="335" t="str">
        <f t="shared" si="61"/>
        <v/>
      </c>
      <c r="B568" s="344"/>
      <c r="C568" s="344"/>
      <c r="D568" s="347" t="str">
        <f>IF(C568="","",IFERROR(INDEX(잔액!$Y:$Y,MAX(64,C568)),0))</f>
        <v/>
      </c>
      <c r="E568" s="346" t="str">
        <f>IF(C568="","",IFERROR(INDEX(잔액!$A:$A,MAX(64,C568)),""))</f>
        <v/>
      </c>
      <c r="F568" s="335" t="str">
        <f>IF(C568="","",IFERROR(INDEX(잔액!$C:$C,MAX(64,C568)),""))</f>
        <v/>
      </c>
      <c r="G568" s="335" t="str">
        <f>IF(C568="","",IF(INDEX(잔액!$K:$K,MAX(64,C568))&lt;&gt;"",INDEX(잔액!$K:$K,MAX(64,C568)),INDEX(잔액!$D:$D,MAX(64,C568))))</f>
        <v/>
      </c>
      <c r="H568" s="335" t="s">
        <v>1910</v>
      </c>
      <c r="J568" s="335" t="str">
        <f t="shared" si="62"/>
        <v/>
      </c>
      <c r="K568" s="346" t="str">
        <f t="shared" si="63"/>
        <v/>
      </c>
      <c r="L568" s="335" t="str">
        <f t="shared" si="64"/>
        <v/>
      </c>
      <c r="M568" s="335" t="str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  <v/>
      </c>
      <c r="N568" s="335" t="str">
        <f t="shared" si="65"/>
        <v/>
      </c>
      <c r="O568" s="348">
        <f t="shared" si="66"/>
        <v>0</v>
      </c>
    </row>
    <row r="569" spans="1:15" ht="16" hidden="1" outlineLevel="1">
      <c r="A569" s="335" t="str">
        <f t="shared" si="61"/>
        <v/>
      </c>
      <c r="B569" s="344"/>
      <c r="C569" s="344"/>
      <c r="D569" s="347" t="str">
        <f>IF(C569="","",IFERROR(INDEX(잔액!$Y:$Y,MAX(64,C569)),0))</f>
        <v/>
      </c>
      <c r="E569" s="346" t="str">
        <f>IF(C569="","",IFERROR(INDEX(잔액!$A:$A,MAX(64,C569)),""))</f>
        <v/>
      </c>
      <c r="F569" s="335" t="str">
        <f>IF(C569="","",IFERROR(INDEX(잔액!$C:$C,MAX(64,C569)),""))</f>
        <v/>
      </c>
      <c r="G569" s="335" t="str">
        <f>IF(C569="","",IF(INDEX(잔액!$K:$K,MAX(64,C569))&lt;&gt;"",INDEX(잔액!$K:$K,MAX(64,C569)),INDEX(잔액!$D:$D,MAX(64,C569))))</f>
        <v/>
      </c>
      <c r="H569" s="335" t="s">
        <v>1910</v>
      </c>
      <c r="J569" s="335" t="str">
        <f t="shared" si="62"/>
        <v/>
      </c>
      <c r="K569" s="346" t="str">
        <f t="shared" si="63"/>
        <v/>
      </c>
      <c r="L569" s="335" t="str">
        <f t="shared" si="64"/>
        <v/>
      </c>
      <c r="M569" s="335" t="str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  <v/>
      </c>
      <c r="N569" s="335" t="str">
        <f t="shared" si="65"/>
        <v/>
      </c>
      <c r="O569" s="348">
        <f t="shared" si="66"/>
        <v>0</v>
      </c>
    </row>
    <row r="570" spans="1:15" ht="16" hidden="1" outlineLevel="1">
      <c r="A570" s="335" t="str">
        <f t="shared" si="61"/>
        <v/>
      </c>
      <c r="B570" s="344"/>
      <c r="C570" s="344"/>
      <c r="D570" s="347" t="str">
        <f>IF(C570="","",IFERROR(INDEX(잔액!$Y:$Y,MAX(64,C570)),0))</f>
        <v/>
      </c>
      <c r="E570" s="346" t="str">
        <f>IF(C570="","",IFERROR(INDEX(잔액!$A:$A,MAX(64,C570)),""))</f>
        <v/>
      </c>
      <c r="F570" s="335" t="str">
        <f>IF(C570="","",IFERROR(INDEX(잔액!$C:$C,MAX(64,C570)),""))</f>
        <v/>
      </c>
      <c r="G570" s="335" t="str">
        <f>IF(C570="","",IF(INDEX(잔액!$K:$K,MAX(64,C570))&lt;&gt;"",INDEX(잔액!$K:$K,MAX(64,C570)),INDEX(잔액!$D:$D,MAX(64,C570))))</f>
        <v/>
      </c>
      <c r="H570" s="335" t="s">
        <v>1910</v>
      </c>
      <c r="J570" s="335" t="str">
        <f t="shared" si="62"/>
        <v/>
      </c>
      <c r="K570" s="346" t="str">
        <f t="shared" si="63"/>
        <v/>
      </c>
      <c r="L570" s="335" t="str">
        <f t="shared" si="64"/>
        <v/>
      </c>
      <c r="M570" s="335" t="str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  <v/>
      </c>
      <c r="N570" s="335" t="str">
        <f t="shared" si="65"/>
        <v/>
      </c>
      <c r="O570" s="348">
        <f t="shared" si="66"/>
        <v>0</v>
      </c>
    </row>
    <row r="571" spans="1:15" ht="16" hidden="1" outlineLevel="1">
      <c r="A571" s="335" t="str">
        <f t="shared" si="61"/>
        <v/>
      </c>
      <c r="B571" s="344"/>
      <c r="C571" s="344"/>
      <c r="D571" s="347" t="str">
        <f>IF(C571="","",IFERROR(INDEX(잔액!$Y:$Y,MAX(64,C571)),0))</f>
        <v/>
      </c>
      <c r="E571" s="346" t="str">
        <f>IF(C571="","",IFERROR(INDEX(잔액!$A:$A,MAX(64,C571)),""))</f>
        <v/>
      </c>
      <c r="F571" s="335" t="str">
        <f>IF(C571="","",IFERROR(INDEX(잔액!$C:$C,MAX(64,C571)),""))</f>
        <v/>
      </c>
      <c r="G571" s="335" t="str">
        <f>IF(C571="","",IF(INDEX(잔액!$K:$K,MAX(64,C571))&lt;&gt;"",INDEX(잔액!$K:$K,MAX(64,C571)),INDEX(잔액!$D:$D,MAX(64,C571))))</f>
        <v/>
      </c>
      <c r="H571" s="335" t="s">
        <v>1910</v>
      </c>
      <c r="J571" s="335" t="str">
        <f t="shared" si="62"/>
        <v/>
      </c>
      <c r="K571" s="346" t="str">
        <f t="shared" si="63"/>
        <v/>
      </c>
      <c r="L571" s="335" t="str">
        <f t="shared" si="64"/>
        <v/>
      </c>
      <c r="M571" s="335" t="str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  <v/>
      </c>
      <c r="N571" s="335" t="str">
        <f t="shared" si="65"/>
        <v/>
      </c>
      <c r="O571" s="348">
        <f t="shared" si="66"/>
        <v>0</v>
      </c>
    </row>
    <row r="572" spans="1:15" ht="16" hidden="1" outlineLevel="1">
      <c r="A572" s="335" t="str">
        <f t="shared" si="61"/>
        <v/>
      </c>
      <c r="B572" s="344"/>
      <c r="C572" s="344"/>
      <c r="D572" s="347" t="str">
        <f>IF(C572="","",IFERROR(INDEX(잔액!$Y:$Y,MAX(64,C572)),0))</f>
        <v/>
      </c>
      <c r="E572" s="346" t="str">
        <f>IF(C572="","",IFERROR(INDEX(잔액!$A:$A,MAX(64,C572)),""))</f>
        <v/>
      </c>
      <c r="F572" s="335" t="str">
        <f>IF(C572="","",IFERROR(INDEX(잔액!$C:$C,MAX(64,C572)),""))</f>
        <v/>
      </c>
      <c r="G572" s="335" t="str">
        <f>IF(C572="","",IF(INDEX(잔액!$K:$K,MAX(64,C572))&lt;&gt;"",INDEX(잔액!$K:$K,MAX(64,C572)),INDEX(잔액!$D:$D,MAX(64,C572))))</f>
        <v/>
      </c>
      <c r="H572" s="335" t="s">
        <v>1910</v>
      </c>
      <c r="J572" s="335" t="str">
        <f t="shared" si="62"/>
        <v/>
      </c>
      <c r="K572" s="346" t="str">
        <f t="shared" si="63"/>
        <v/>
      </c>
      <c r="L572" s="335" t="str">
        <f t="shared" si="64"/>
        <v/>
      </c>
      <c r="M572" s="335" t="str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  <v/>
      </c>
      <c r="N572" s="335" t="str">
        <f t="shared" si="65"/>
        <v/>
      </c>
      <c r="O572" s="348">
        <f t="shared" si="66"/>
        <v>0</v>
      </c>
    </row>
    <row r="573" spans="1:15" ht="16" hidden="1" outlineLevel="1">
      <c r="A573" s="335" t="str">
        <f t="shared" si="61"/>
        <v/>
      </c>
      <c r="B573" s="344"/>
      <c r="C573" s="344"/>
      <c r="D573" s="347" t="str">
        <f>IF(C573="","",IFERROR(INDEX(잔액!$Y:$Y,MAX(64,C573)),0))</f>
        <v/>
      </c>
      <c r="E573" s="346" t="str">
        <f>IF(C573="","",IFERROR(INDEX(잔액!$A:$A,MAX(64,C573)),""))</f>
        <v/>
      </c>
      <c r="F573" s="335" t="str">
        <f>IF(C573="","",IFERROR(INDEX(잔액!$C:$C,MAX(64,C573)),""))</f>
        <v/>
      </c>
      <c r="G573" s="335" t="str">
        <f>IF(C573="","",IF(INDEX(잔액!$K:$K,MAX(64,C573))&lt;&gt;"",INDEX(잔액!$K:$K,MAX(64,C573)),INDEX(잔액!$D:$D,MAX(64,C573))))</f>
        <v/>
      </c>
      <c r="H573" s="335" t="s">
        <v>1910</v>
      </c>
      <c r="J573" s="335" t="str">
        <f t="shared" si="62"/>
        <v/>
      </c>
      <c r="K573" s="346" t="str">
        <f t="shared" si="63"/>
        <v/>
      </c>
      <c r="L573" s="335" t="str">
        <f t="shared" si="64"/>
        <v/>
      </c>
      <c r="M573" s="335" t="str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  <v/>
      </c>
      <c r="N573" s="335" t="str">
        <f t="shared" si="65"/>
        <v/>
      </c>
      <c r="O573" s="348">
        <f t="shared" si="66"/>
        <v>0</v>
      </c>
    </row>
    <row r="574" spans="1:15" ht="16" hidden="1" outlineLevel="1">
      <c r="A574" s="335" t="str">
        <f t="shared" si="61"/>
        <v/>
      </c>
      <c r="B574" s="344"/>
      <c r="C574" s="344"/>
      <c r="D574" s="347" t="str">
        <f>IF(C574="","",IFERROR(INDEX(잔액!$Y:$Y,MAX(64,C574)),0))</f>
        <v/>
      </c>
      <c r="E574" s="346" t="str">
        <f>IF(C574="","",IFERROR(INDEX(잔액!$A:$A,MAX(64,C574)),""))</f>
        <v/>
      </c>
      <c r="F574" s="335" t="str">
        <f>IF(C574="","",IFERROR(INDEX(잔액!$C:$C,MAX(64,C574)),""))</f>
        <v/>
      </c>
      <c r="G574" s="335" t="str">
        <f>IF(C574="","",IF(INDEX(잔액!$K:$K,MAX(64,C574))&lt;&gt;"",INDEX(잔액!$K:$K,MAX(64,C574)),INDEX(잔액!$D:$D,MAX(64,C574))))</f>
        <v/>
      </c>
      <c r="H574" s="335" t="s">
        <v>1910</v>
      </c>
      <c r="J574" s="335" t="str">
        <f t="shared" si="62"/>
        <v/>
      </c>
      <c r="K574" s="346" t="str">
        <f t="shared" si="63"/>
        <v/>
      </c>
      <c r="L574" s="335" t="str">
        <f t="shared" si="64"/>
        <v/>
      </c>
      <c r="M574" s="335" t="str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  <v/>
      </c>
      <c r="N574" s="335" t="str">
        <f t="shared" si="65"/>
        <v/>
      </c>
      <c r="O574" s="348">
        <f t="shared" si="66"/>
        <v>0</v>
      </c>
    </row>
    <row r="575" spans="1:15" ht="16" hidden="1" outlineLevel="1">
      <c r="A575" s="335" t="str">
        <f t="shared" si="61"/>
        <v/>
      </c>
      <c r="B575" s="344"/>
      <c r="C575" s="344"/>
      <c r="D575" s="347" t="str">
        <f>IF(C575="","",IFERROR(INDEX(잔액!$Y:$Y,MAX(64,C575)),0))</f>
        <v/>
      </c>
      <c r="E575" s="346" t="str">
        <f>IF(C575="","",IFERROR(INDEX(잔액!$A:$A,MAX(64,C575)),""))</f>
        <v/>
      </c>
      <c r="F575" s="335" t="str">
        <f>IF(C575="","",IFERROR(INDEX(잔액!$C:$C,MAX(64,C575)),""))</f>
        <v/>
      </c>
      <c r="G575" s="335" t="str">
        <f>IF(C575="","",IF(INDEX(잔액!$K:$K,MAX(64,C575))&lt;&gt;"",INDEX(잔액!$K:$K,MAX(64,C575)),INDEX(잔액!$D:$D,MAX(64,C575))))</f>
        <v/>
      </c>
      <c r="H575" s="335" t="s">
        <v>1910</v>
      </c>
      <c r="J575" s="335" t="str">
        <f t="shared" si="62"/>
        <v/>
      </c>
      <c r="K575" s="346" t="str">
        <f t="shared" si="63"/>
        <v/>
      </c>
      <c r="L575" s="335" t="str">
        <f t="shared" si="64"/>
        <v/>
      </c>
      <c r="M575" s="335" t="str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  <v/>
      </c>
      <c r="N575" s="335" t="str">
        <f t="shared" si="65"/>
        <v/>
      </c>
      <c r="O575" s="348">
        <f t="shared" si="66"/>
        <v>0</v>
      </c>
    </row>
    <row r="576" spans="1:15" ht="16" hidden="1" outlineLevel="1">
      <c r="A576" s="335" t="str">
        <f t="shared" si="61"/>
        <v/>
      </c>
      <c r="B576" s="344"/>
      <c r="C576" s="344"/>
      <c r="D576" s="347" t="str">
        <f>IF(C576="","",IFERROR(INDEX(잔액!$Y:$Y,MAX(64,C576)),0))</f>
        <v/>
      </c>
      <c r="E576" s="346" t="str">
        <f>IF(C576="","",IFERROR(INDEX(잔액!$A:$A,MAX(64,C576)),""))</f>
        <v/>
      </c>
      <c r="F576" s="335" t="str">
        <f>IF(C576="","",IFERROR(INDEX(잔액!$C:$C,MAX(64,C576)),""))</f>
        <v/>
      </c>
      <c r="G576" s="335" t="str">
        <f>IF(C576="","",IF(INDEX(잔액!$K:$K,MAX(64,C576))&lt;&gt;"",INDEX(잔액!$K:$K,MAX(64,C576)),INDEX(잔액!$D:$D,MAX(64,C576))))</f>
        <v/>
      </c>
      <c r="H576" s="335" t="s">
        <v>1910</v>
      </c>
      <c r="J576" s="335" t="str">
        <f t="shared" si="62"/>
        <v/>
      </c>
      <c r="K576" s="346" t="str">
        <f t="shared" si="63"/>
        <v/>
      </c>
      <c r="L576" s="335" t="str">
        <f t="shared" si="64"/>
        <v/>
      </c>
      <c r="M576" s="335" t="str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  <v/>
      </c>
      <c r="N576" s="335" t="str">
        <f t="shared" si="65"/>
        <v/>
      </c>
      <c r="O576" s="348">
        <f t="shared" si="66"/>
        <v>0</v>
      </c>
    </row>
    <row r="577" spans="1:15" ht="16" hidden="1" outlineLevel="1">
      <c r="A577" s="335" t="str">
        <f t="shared" si="61"/>
        <v/>
      </c>
      <c r="B577" s="344"/>
      <c r="C577" s="344"/>
      <c r="D577" s="347" t="str">
        <f>IF(C577="","",IFERROR(INDEX(잔액!$Y:$Y,MAX(64,C577)),0))</f>
        <v/>
      </c>
      <c r="E577" s="346" t="str">
        <f>IF(C577="","",IFERROR(INDEX(잔액!$A:$A,MAX(64,C577)),""))</f>
        <v/>
      </c>
      <c r="F577" s="335" t="str">
        <f>IF(C577="","",IFERROR(INDEX(잔액!$C:$C,MAX(64,C577)),""))</f>
        <v/>
      </c>
      <c r="G577" s="335" t="str">
        <f>IF(C577="","",IF(INDEX(잔액!$K:$K,MAX(64,C577))&lt;&gt;"",INDEX(잔액!$K:$K,MAX(64,C577)),INDEX(잔액!$D:$D,MAX(64,C577))))</f>
        <v/>
      </c>
      <c r="H577" s="335" t="s">
        <v>1910</v>
      </c>
      <c r="J577" s="335" t="str">
        <f t="shared" si="62"/>
        <v/>
      </c>
      <c r="K577" s="346" t="str">
        <f t="shared" si="63"/>
        <v/>
      </c>
      <c r="L577" s="335" t="str">
        <f t="shared" si="64"/>
        <v/>
      </c>
      <c r="M577" s="335" t="str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  <v/>
      </c>
      <c r="N577" s="335" t="str">
        <f t="shared" si="65"/>
        <v/>
      </c>
      <c r="O577" s="348">
        <f t="shared" si="66"/>
        <v>0</v>
      </c>
    </row>
    <row r="578" spans="1:15" ht="16" hidden="1" outlineLevel="1">
      <c r="A578" s="335" t="str">
        <f t="shared" si="61"/>
        <v/>
      </c>
      <c r="B578" s="344"/>
      <c r="C578" s="344"/>
      <c r="D578" s="347" t="str">
        <f>IF(C578="","",IFERROR(INDEX(잔액!$Y:$Y,MAX(64,C578)),0))</f>
        <v/>
      </c>
      <c r="E578" s="346" t="str">
        <f>IF(C578="","",IFERROR(INDEX(잔액!$A:$A,MAX(64,C578)),""))</f>
        <v/>
      </c>
      <c r="F578" s="335" t="str">
        <f>IF(C578="","",IFERROR(INDEX(잔액!$C:$C,MAX(64,C578)),""))</f>
        <v/>
      </c>
      <c r="G578" s="335" t="str">
        <f>IF(C578="","",IF(INDEX(잔액!$K:$K,MAX(64,C578))&lt;&gt;"",INDEX(잔액!$K:$K,MAX(64,C578)),INDEX(잔액!$D:$D,MAX(64,C578))))</f>
        <v/>
      </c>
      <c r="H578" s="335" t="s">
        <v>1910</v>
      </c>
      <c r="J578" s="335" t="str">
        <f t="shared" si="62"/>
        <v/>
      </c>
      <c r="K578" s="346" t="str">
        <f t="shared" si="63"/>
        <v/>
      </c>
      <c r="L578" s="335" t="str">
        <f t="shared" si="64"/>
        <v/>
      </c>
      <c r="M578" s="335" t="str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  <v/>
      </c>
      <c r="N578" s="335" t="str">
        <f t="shared" si="65"/>
        <v/>
      </c>
      <c r="O578" s="348">
        <f t="shared" si="66"/>
        <v>0</v>
      </c>
    </row>
    <row r="579" spans="1:15" ht="16" hidden="1" outlineLevel="1">
      <c r="A579" s="335" t="str">
        <f t="shared" si="61"/>
        <v/>
      </c>
      <c r="B579" s="344"/>
      <c r="C579" s="344"/>
      <c r="D579" s="347" t="str">
        <f>IF(C579="","",IFERROR(INDEX(잔액!$Y:$Y,MAX(64,C579)),0))</f>
        <v/>
      </c>
      <c r="E579" s="346" t="str">
        <f>IF(C579="","",IFERROR(INDEX(잔액!$A:$A,MAX(64,C579)),""))</f>
        <v/>
      </c>
      <c r="F579" s="335" t="str">
        <f>IF(C579="","",IFERROR(INDEX(잔액!$C:$C,MAX(64,C579)),""))</f>
        <v/>
      </c>
      <c r="G579" s="335" t="str">
        <f>IF(C579="","",IF(INDEX(잔액!$K:$K,MAX(64,C579))&lt;&gt;"",INDEX(잔액!$K:$K,MAX(64,C579)),INDEX(잔액!$D:$D,MAX(64,C579))))</f>
        <v/>
      </c>
      <c r="H579" s="335" t="s">
        <v>1910</v>
      </c>
      <c r="J579" s="335" t="str">
        <f t="shared" si="62"/>
        <v/>
      </c>
      <c r="K579" s="346" t="str">
        <f t="shared" si="63"/>
        <v/>
      </c>
      <c r="L579" s="335" t="str">
        <f t="shared" si="64"/>
        <v/>
      </c>
      <c r="M579" s="335" t="str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  <v/>
      </c>
      <c r="N579" s="335" t="str">
        <f t="shared" si="65"/>
        <v/>
      </c>
      <c r="O579" s="348">
        <f t="shared" si="66"/>
        <v>0</v>
      </c>
    </row>
    <row r="580" spans="1:15" ht="16" hidden="1" outlineLevel="1">
      <c r="A580" s="335" t="str">
        <f t="shared" si="61"/>
        <v/>
      </c>
      <c r="B580" s="344"/>
      <c r="C580" s="344"/>
      <c r="D580" s="347" t="str">
        <f>IF(C580="","",IFERROR(INDEX(잔액!$Y:$Y,MAX(64,C580)),0))</f>
        <v/>
      </c>
      <c r="E580" s="346" t="str">
        <f>IF(C580="","",IFERROR(INDEX(잔액!$A:$A,MAX(64,C580)),""))</f>
        <v/>
      </c>
      <c r="F580" s="335" t="str">
        <f>IF(C580="","",IFERROR(INDEX(잔액!$C:$C,MAX(64,C580)),""))</f>
        <v/>
      </c>
      <c r="G580" s="335" t="str">
        <f>IF(C580="","",IF(INDEX(잔액!$K:$K,MAX(64,C580))&lt;&gt;"",INDEX(잔액!$K:$K,MAX(64,C580)),INDEX(잔액!$D:$D,MAX(64,C580))))</f>
        <v/>
      </c>
      <c r="H580" s="335" t="s">
        <v>1910</v>
      </c>
      <c r="J580" s="335" t="str">
        <f t="shared" si="62"/>
        <v/>
      </c>
      <c r="K580" s="346" t="str">
        <f t="shared" si="63"/>
        <v/>
      </c>
      <c r="L580" s="335" t="str">
        <f t="shared" si="64"/>
        <v/>
      </c>
      <c r="M580" s="335" t="str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  <v/>
      </c>
      <c r="N580" s="335" t="str">
        <f t="shared" si="65"/>
        <v/>
      </c>
      <c r="O580" s="348">
        <f t="shared" si="66"/>
        <v>0</v>
      </c>
    </row>
    <row r="581" spans="1:15" ht="16" hidden="1" outlineLevel="1">
      <c r="A581" s="335" t="str">
        <f t="shared" si="61"/>
        <v/>
      </c>
      <c r="B581" s="344"/>
      <c r="C581" s="344"/>
      <c r="D581" s="347" t="str">
        <f>IF(C581="","",IFERROR(INDEX(잔액!$Y:$Y,MAX(64,C581)),0))</f>
        <v/>
      </c>
      <c r="E581" s="346" t="str">
        <f>IF(C581="","",IFERROR(INDEX(잔액!$A:$A,MAX(64,C581)),""))</f>
        <v/>
      </c>
      <c r="F581" s="335" t="str">
        <f>IF(C581="","",IFERROR(INDEX(잔액!$C:$C,MAX(64,C581)),""))</f>
        <v/>
      </c>
      <c r="G581" s="335" t="str">
        <f>IF(C581="","",IF(INDEX(잔액!$K:$K,MAX(64,C581))&lt;&gt;"",INDEX(잔액!$K:$K,MAX(64,C581)),INDEX(잔액!$D:$D,MAX(64,C581))))</f>
        <v/>
      </c>
      <c r="H581" s="335" t="s">
        <v>1910</v>
      </c>
      <c r="J581" s="335" t="str">
        <f t="shared" si="62"/>
        <v/>
      </c>
      <c r="K581" s="346" t="str">
        <f t="shared" si="63"/>
        <v/>
      </c>
      <c r="L581" s="335" t="str">
        <f t="shared" si="64"/>
        <v/>
      </c>
      <c r="M581" s="335" t="str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  <v/>
      </c>
      <c r="N581" s="335" t="str">
        <f t="shared" si="65"/>
        <v/>
      </c>
      <c r="O581" s="348">
        <f t="shared" si="66"/>
        <v>0</v>
      </c>
    </row>
    <row r="582" spans="1:15" ht="16" hidden="1" outlineLevel="1">
      <c r="A582" s="335" t="str">
        <f t="shared" si="61"/>
        <v/>
      </c>
      <c r="B582" s="344"/>
      <c r="C582" s="344"/>
      <c r="D582" s="347" t="str">
        <f>IF(C582="","",IFERROR(INDEX(잔액!$Y:$Y,MAX(64,C582)),0))</f>
        <v/>
      </c>
      <c r="E582" s="346" t="str">
        <f>IF(C582="","",IFERROR(INDEX(잔액!$A:$A,MAX(64,C582)),""))</f>
        <v/>
      </c>
      <c r="F582" s="335" t="str">
        <f>IF(C582="","",IFERROR(INDEX(잔액!$C:$C,MAX(64,C582)),""))</f>
        <v/>
      </c>
      <c r="G582" s="335" t="str">
        <f>IF(C582="","",IF(INDEX(잔액!$K:$K,MAX(64,C582))&lt;&gt;"",INDEX(잔액!$K:$K,MAX(64,C582)),INDEX(잔액!$D:$D,MAX(64,C582))))</f>
        <v/>
      </c>
      <c r="H582" s="335" t="s">
        <v>1910</v>
      </c>
      <c r="J582" s="335" t="str">
        <f t="shared" si="62"/>
        <v/>
      </c>
      <c r="K582" s="346" t="str">
        <f t="shared" si="63"/>
        <v/>
      </c>
      <c r="L582" s="335" t="str">
        <f t="shared" si="64"/>
        <v/>
      </c>
      <c r="M582" s="335" t="str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  <v/>
      </c>
      <c r="N582" s="335" t="str">
        <f t="shared" si="65"/>
        <v/>
      </c>
      <c r="O582" s="348">
        <f t="shared" si="66"/>
        <v>0</v>
      </c>
    </row>
    <row r="583" spans="1:15" ht="16" hidden="1" outlineLevel="1">
      <c r="A583" s="335" t="str">
        <f t="shared" si="61"/>
        <v/>
      </c>
      <c r="B583" s="344"/>
      <c r="C583" s="344"/>
      <c r="D583" s="347" t="str">
        <f>IF(C583="","",IFERROR(INDEX(잔액!$Y:$Y,MAX(64,C583)),0))</f>
        <v/>
      </c>
      <c r="E583" s="346" t="str">
        <f>IF(C583="","",IFERROR(INDEX(잔액!$A:$A,MAX(64,C583)),""))</f>
        <v/>
      </c>
      <c r="F583" s="335" t="str">
        <f>IF(C583="","",IFERROR(INDEX(잔액!$C:$C,MAX(64,C583)),""))</f>
        <v/>
      </c>
      <c r="G583" s="335" t="str">
        <f>IF(C583="","",IF(INDEX(잔액!$K:$K,MAX(64,C583))&lt;&gt;"",INDEX(잔액!$K:$K,MAX(64,C583)),INDEX(잔액!$D:$D,MAX(64,C583))))</f>
        <v/>
      </c>
      <c r="H583" s="335" t="s">
        <v>1910</v>
      </c>
      <c r="J583" s="335" t="str">
        <f t="shared" si="62"/>
        <v/>
      </c>
      <c r="K583" s="346" t="str">
        <f t="shared" si="63"/>
        <v/>
      </c>
      <c r="L583" s="335" t="str">
        <f t="shared" si="64"/>
        <v/>
      </c>
      <c r="M583" s="335" t="str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  <v/>
      </c>
      <c r="N583" s="335" t="str">
        <f t="shared" si="65"/>
        <v/>
      </c>
      <c r="O583" s="348">
        <f t="shared" si="66"/>
        <v>0</v>
      </c>
    </row>
    <row r="584" spans="1:15" ht="16" hidden="1" outlineLevel="1">
      <c r="A584" s="335" t="str">
        <f t="shared" si="61"/>
        <v/>
      </c>
      <c r="B584" s="344"/>
      <c r="C584" s="344"/>
      <c r="D584" s="347" t="str">
        <f>IF(C584="","",IFERROR(INDEX(잔액!$Y:$Y,MAX(64,C584)),0))</f>
        <v/>
      </c>
      <c r="E584" s="346" t="str">
        <f>IF(C584="","",IFERROR(INDEX(잔액!$A:$A,MAX(64,C584)),""))</f>
        <v/>
      </c>
      <c r="F584" s="335" t="str">
        <f>IF(C584="","",IFERROR(INDEX(잔액!$C:$C,MAX(64,C584)),""))</f>
        <v/>
      </c>
      <c r="G584" s="335" t="str">
        <f>IF(C584="","",IF(INDEX(잔액!$K:$K,MAX(64,C584))&lt;&gt;"",INDEX(잔액!$K:$K,MAX(64,C584)),INDEX(잔액!$D:$D,MAX(64,C584))))</f>
        <v/>
      </c>
      <c r="H584" s="335" t="s">
        <v>1910</v>
      </c>
      <c r="J584" s="335" t="str">
        <f t="shared" si="62"/>
        <v/>
      </c>
      <c r="K584" s="346" t="str">
        <f t="shared" si="63"/>
        <v/>
      </c>
      <c r="L584" s="335" t="str">
        <f t="shared" si="64"/>
        <v/>
      </c>
      <c r="M584" s="335" t="str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  <v/>
      </c>
      <c r="N584" s="335" t="str">
        <f t="shared" si="65"/>
        <v/>
      </c>
      <c r="O584" s="348">
        <f t="shared" si="66"/>
        <v>0</v>
      </c>
    </row>
    <row r="585" spans="1:15" ht="16" hidden="1" outlineLevel="1">
      <c r="A585" s="335" t="str">
        <f t="shared" si="61"/>
        <v/>
      </c>
      <c r="B585" s="344"/>
      <c r="C585" s="344"/>
      <c r="D585" s="347" t="str">
        <f>IF(C585="","",IFERROR(INDEX(잔액!$Y:$Y,MAX(64,C585)),0))</f>
        <v/>
      </c>
      <c r="E585" s="346" t="str">
        <f>IF(C585="","",IFERROR(INDEX(잔액!$A:$A,MAX(64,C585)),""))</f>
        <v/>
      </c>
      <c r="F585" s="335" t="str">
        <f>IF(C585="","",IFERROR(INDEX(잔액!$C:$C,MAX(64,C585)),""))</f>
        <v/>
      </c>
      <c r="G585" s="335" t="str">
        <f>IF(C585="","",IF(INDEX(잔액!$K:$K,MAX(64,C585))&lt;&gt;"",INDEX(잔액!$K:$K,MAX(64,C585)),INDEX(잔액!$D:$D,MAX(64,C585))))</f>
        <v/>
      </c>
      <c r="H585" s="335" t="s">
        <v>1910</v>
      </c>
      <c r="J585" s="335" t="str">
        <f t="shared" si="62"/>
        <v/>
      </c>
      <c r="K585" s="346" t="str">
        <f t="shared" si="63"/>
        <v/>
      </c>
      <c r="L585" s="335" t="str">
        <f t="shared" si="64"/>
        <v/>
      </c>
      <c r="M585" s="335" t="str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  <v/>
      </c>
      <c r="N585" s="335" t="str">
        <f t="shared" si="65"/>
        <v/>
      </c>
      <c r="O585" s="348">
        <f t="shared" si="66"/>
        <v>0</v>
      </c>
    </row>
    <row r="586" spans="1:15" ht="16" hidden="1" outlineLevel="1">
      <c r="A586" s="335" t="str">
        <f t="shared" si="61"/>
        <v/>
      </c>
      <c r="B586" s="344"/>
      <c r="C586" s="344"/>
      <c r="D586" s="347" t="str">
        <f>IF(C586="","",IFERROR(INDEX(잔액!$Y:$Y,MAX(64,C586)),0))</f>
        <v/>
      </c>
      <c r="E586" s="346" t="str">
        <f>IF(C586="","",IFERROR(INDEX(잔액!$A:$A,MAX(64,C586)),""))</f>
        <v/>
      </c>
      <c r="F586" s="335" t="str">
        <f>IF(C586="","",IFERROR(INDEX(잔액!$C:$C,MAX(64,C586)),""))</f>
        <v/>
      </c>
      <c r="G586" s="335" t="str">
        <f>IF(C586="","",IF(INDEX(잔액!$K:$K,MAX(64,C586))&lt;&gt;"",INDEX(잔액!$K:$K,MAX(64,C586)),INDEX(잔액!$D:$D,MAX(64,C586))))</f>
        <v/>
      </c>
      <c r="H586" s="335" t="s">
        <v>1910</v>
      </c>
      <c r="J586" s="335" t="str">
        <f t="shared" si="62"/>
        <v/>
      </c>
      <c r="K586" s="346" t="str">
        <f t="shared" si="63"/>
        <v/>
      </c>
      <c r="L586" s="335" t="str">
        <f t="shared" si="64"/>
        <v/>
      </c>
      <c r="M586" s="335" t="str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  <v/>
      </c>
      <c r="N586" s="335" t="str">
        <f t="shared" si="65"/>
        <v/>
      </c>
      <c r="O586" s="348">
        <f t="shared" si="66"/>
        <v>0</v>
      </c>
    </row>
    <row r="587" spans="1:15" ht="16" hidden="1" outlineLevel="1">
      <c r="A587" s="335" t="str">
        <f t="shared" si="61"/>
        <v/>
      </c>
      <c r="B587" s="344"/>
      <c r="C587" s="344"/>
      <c r="D587" s="347" t="str">
        <f>IF(C587="","",IFERROR(INDEX(잔액!$Y:$Y,MAX(64,C587)),0))</f>
        <v/>
      </c>
      <c r="E587" s="346" t="str">
        <f>IF(C587="","",IFERROR(INDEX(잔액!$A:$A,MAX(64,C587)),""))</f>
        <v/>
      </c>
      <c r="F587" s="335" t="str">
        <f>IF(C587="","",IFERROR(INDEX(잔액!$C:$C,MAX(64,C587)),""))</f>
        <v/>
      </c>
      <c r="G587" s="335" t="str">
        <f>IF(C587="","",IF(INDEX(잔액!$K:$K,MAX(64,C587))&lt;&gt;"",INDEX(잔액!$K:$K,MAX(64,C587)),INDEX(잔액!$D:$D,MAX(64,C587))))</f>
        <v/>
      </c>
      <c r="H587" s="335" t="s">
        <v>1910</v>
      </c>
      <c r="J587" s="335" t="str">
        <f t="shared" si="62"/>
        <v/>
      </c>
      <c r="K587" s="346" t="str">
        <f t="shared" si="63"/>
        <v/>
      </c>
      <c r="L587" s="335" t="str">
        <f t="shared" si="64"/>
        <v/>
      </c>
      <c r="M587" s="335" t="str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  <v/>
      </c>
      <c r="N587" s="335" t="str">
        <f t="shared" si="65"/>
        <v/>
      </c>
      <c r="O587" s="348">
        <f t="shared" si="66"/>
        <v>0</v>
      </c>
    </row>
    <row r="588" spans="1:15" ht="16" hidden="1" outlineLevel="1">
      <c r="A588" s="335" t="str">
        <f t="shared" si="61"/>
        <v/>
      </c>
      <c r="B588" s="344"/>
      <c r="C588" s="344"/>
      <c r="D588" s="347" t="str">
        <f>IF(C588="","",IFERROR(INDEX(잔액!$Y:$Y,MAX(64,C588)),0))</f>
        <v/>
      </c>
      <c r="E588" s="346" t="str">
        <f>IF(C588="","",IFERROR(INDEX(잔액!$A:$A,MAX(64,C588)),""))</f>
        <v/>
      </c>
      <c r="F588" s="335" t="str">
        <f>IF(C588="","",IFERROR(INDEX(잔액!$C:$C,MAX(64,C588)),""))</f>
        <v/>
      </c>
      <c r="G588" s="335" t="str">
        <f>IF(C588="","",IF(INDEX(잔액!$K:$K,MAX(64,C588))&lt;&gt;"",INDEX(잔액!$K:$K,MAX(64,C588)),INDEX(잔액!$D:$D,MAX(64,C588))))</f>
        <v/>
      </c>
      <c r="H588" s="335" t="s">
        <v>1910</v>
      </c>
      <c r="J588" s="335" t="str">
        <f t="shared" si="62"/>
        <v/>
      </c>
      <c r="K588" s="346" t="str">
        <f t="shared" si="63"/>
        <v/>
      </c>
      <c r="L588" s="335" t="str">
        <f t="shared" si="64"/>
        <v/>
      </c>
      <c r="M588" s="335" t="str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  <v/>
      </c>
      <c r="N588" s="335" t="str">
        <f t="shared" si="65"/>
        <v/>
      </c>
      <c r="O588" s="348">
        <f t="shared" si="66"/>
        <v>0</v>
      </c>
    </row>
    <row r="589" spans="1:15" ht="16" hidden="1" outlineLevel="1">
      <c r="A589" s="335" t="str">
        <f t="shared" si="61"/>
        <v/>
      </c>
      <c r="B589" s="344"/>
      <c r="C589" s="344"/>
      <c r="D589" s="347" t="str">
        <f>IF(C589="","",IFERROR(INDEX(잔액!$Y:$Y,MAX(64,C589)),0))</f>
        <v/>
      </c>
      <c r="E589" s="346" t="str">
        <f>IF(C589="","",IFERROR(INDEX(잔액!$A:$A,MAX(64,C589)),""))</f>
        <v/>
      </c>
      <c r="F589" s="335" t="str">
        <f>IF(C589="","",IFERROR(INDEX(잔액!$C:$C,MAX(64,C589)),""))</f>
        <v/>
      </c>
      <c r="G589" s="335" t="str">
        <f>IF(C589="","",IF(INDEX(잔액!$K:$K,MAX(64,C589))&lt;&gt;"",INDEX(잔액!$K:$K,MAX(64,C589)),INDEX(잔액!$D:$D,MAX(64,C589))))</f>
        <v/>
      </c>
      <c r="H589" s="335" t="s">
        <v>1910</v>
      </c>
      <c r="J589" s="335" t="str">
        <f t="shared" si="62"/>
        <v/>
      </c>
      <c r="K589" s="346" t="str">
        <f t="shared" si="63"/>
        <v/>
      </c>
      <c r="L589" s="335" t="str">
        <f t="shared" si="64"/>
        <v/>
      </c>
      <c r="M589" s="335" t="str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  <v/>
      </c>
      <c r="N589" s="335" t="str">
        <f t="shared" si="65"/>
        <v/>
      </c>
      <c r="O589" s="348">
        <f t="shared" si="66"/>
        <v>0</v>
      </c>
    </row>
    <row r="590" spans="1:15" ht="16" hidden="1" outlineLevel="1">
      <c r="A590" s="335" t="str">
        <f t="shared" si="61"/>
        <v/>
      </c>
      <c r="B590" s="344"/>
      <c r="C590" s="344"/>
      <c r="D590" s="347" t="str">
        <f>IF(C590="","",IFERROR(INDEX(잔액!$Y:$Y,MAX(64,C590)),0))</f>
        <v/>
      </c>
      <c r="E590" s="346" t="str">
        <f>IF(C590="","",IFERROR(INDEX(잔액!$A:$A,MAX(64,C590)),""))</f>
        <v/>
      </c>
      <c r="F590" s="335" t="str">
        <f>IF(C590="","",IFERROR(INDEX(잔액!$C:$C,MAX(64,C590)),""))</f>
        <v/>
      </c>
      <c r="G590" s="335" t="str">
        <f>IF(C590="","",IF(INDEX(잔액!$K:$K,MAX(64,C590))&lt;&gt;"",INDEX(잔액!$K:$K,MAX(64,C590)),INDEX(잔액!$D:$D,MAX(64,C590))))</f>
        <v/>
      </c>
      <c r="H590" s="335" t="s">
        <v>1910</v>
      </c>
      <c r="J590" s="335" t="str">
        <f t="shared" si="62"/>
        <v/>
      </c>
      <c r="K590" s="346" t="str">
        <f t="shared" si="63"/>
        <v/>
      </c>
      <c r="L590" s="335" t="str">
        <f t="shared" si="64"/>
        <v/>
      </c>
      <c r="M590" s="335" t="str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  <v/>
      </c>
      <c r="N590" s="335" t="str">
        <f t="shared" si="65"/>
        <v/>
      </c>
      <c r="O590" s="348">
        <f t="shared" si="66"/>
        <v>0</v>
      </c>
    </row>
    <row r="591" spans="1:15" ht="16" hidden="1" outlineLevel="1">
      <c r="A591" s="335" t="str">
        <f t="shared" si="61"/>
        <v/>
      </c>
      <c r="B591" s="344"/>
      <c r="C591" s="344"/>
      <c r="D591" s="347" t="str">
        <f>IF(C591="","",IFERROR(INDEX(잔액!$Y:$Y,MAX(64,C591)),0))</f>
        <v/>
      </c>
      <c r="E591" s="346" t="str">
        <f>IF(C591="","",IFERROR(INDEX(잔액!$A:$A,MAX(64,C591)),""))</f>
        <v/>
      </c>
      <c r="F591" s="335" t="str">
        <f>IF(C591="","",IFERROR(INDEX(잔액!$C:$C,MAX(64,C591)),""))</f>
        <v/>
      </c>
      <c r="G591" s="335" t="str">
        <f>IF(C591="","",IF(INDEX(잔액!$K:$K,MAX(64,C591))&lt;&gt;"",INDEX(잔액!$K:$K,MAX(64,C591)),INDEX(잔액!$D:$D,MAX(64,C591))))</f>
        <v/>
      </c>
      <c r="H591" s="335" t="s">
        <v>1910</v>
      </c>
      <c r="J591" s="335" t="str">
        <f t="shared" si="62"/>
        <v/>
      </c>
      <c r="K591" s="346" t="str">
        <f t="shared" si="63"/>
        <v/>
      </c>
      <c r="L591" s="335" t="str">
        <f t="shared" si="64"/>
        <v/>
      </c>
      <c r="M591" s="335" t="str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  <v/>
      </c>
      <c r="N591" s="335" t="str">
        <f t="shared" si="65"/>
        <v/>
      </c>
      <c r="O591" s="348">
        <f t="shared" si="66"/>
        <v>0</v>
      </c>
    </row>
    <row r="592" spans="1:15" ht="16" hidden="1" outlineLevel="1">
      <c r="A592" s="335" t="str">
        <f t="shared" si="61"/>
        <v/>
      </c>
      <c r="B592" s="344"/>
      <c r="C592" s="344"/>
      <c r="D592" s="347" t="str">
        <f>IF(C592="","",IFERROR(INDEX(잔액!$Y:$Y,MAX(64,C592)),0))</f>
        <v/>
      </c>
      <c r="E592" s="346" t="str">
        <f>IF(C592="","",IFERROR(INDEX(잔액!$A:$A,MAX(64,C592)),""))</f>
        <v/>
      </c>
      <c r="F592" s="335" t="str">
        <f>IF(C592="","",IFERROR(INDEX(잔액!$C:$C,MAX(64,C592)),""))</f>
        <v/>
      </c>
      <c r="G592" s="335" t="str">
        <f>IF(C592="","",IF(INDEX(잔액!$K:$K,MAX(64,C592))&lt;&gt;"",INDEX(잔액!$K:$K,MAX(64,C592)),INDEX(잔액!$D:$D,MAX(64,C592))))</f>
        <v/>
      </c>
      <c r="H592" s="335" t="s">
        <v>1910</v>
      </c>
      <c r="J592" s="335" t="str">
        <f t="shared" si="62"/>
        <v/>
      </c>
      <c r="K592" s="346" t="str">
        <f t="shared" si="63"/>
        <v/>
      </c>
      <c r="L592" s="335" t="str">
        <f t="shared" si="64"/>
        <v/>
      </c>
      <c r="M592" s="335" t="str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  <v/>
      </c>
      <c r="N592" s="335" t="str">
        <f t="shared" si="65"/>
        <v/>
      </c>
      <c r="O592" s="348">
        <f t="shared" si="66"/>
        <v>0</v>
      </c>
    </row>
    <row r="593" spans="1:15" ht="16" hidden="1" outlineLevel="1">
      <c r="A593" s="335" t="str">
        <f t="shared" si="61"/>
        <v/>
      </c>
      <c r="B593" s="344"/>
      <c r="C593" s="344"/>
      <c r="D593" s="347" t="str">
        <f>IF(C593="","",IFERROR(INDEX(잔액!$Y:$Y,MAX(64,C593)),0))</f>
        <v/>
      </c>
      <c r="E593" s="346" t="str">
        <f>IF(C593="","",IFERROR(INDEX(잔액!$A:$A,MAX(64,C593)),""))</f>
        <v/>
      </c>
      <c r="F593" s="335" t="str">
        <f>IF(C593="","",IFERROR(INDEX(잔액!$C:$C,MAX(64,C593)),""))</f>
        <v/>
      </c>
      <c r="G593" s="335" t="str">
        <f>IF(C593="","",IF(INDEX(잔액!$K:$K,MAX(64,C593))&lt;&gt;"",INDEX(잔액!$K:$K,MAX(64,C593)),INDEX(잔액!$D:$D,MAX(64,C593))))</f>
        <v/>
      </c>
      <c r="H593" s="335" t="s">
        <v>1910</v>
      </c>
      <c r="J593" s="335" t="str">
        <f t="shared" si="62"/>
        <v/>
      </c>
      <c r="K593" s="346" t="str">
        <f t="shared" si="63"/>
        <v/>
      </c>
      <c r="L593" s="335" t="str">
        <f t="shared" si="64"/>
        <v/>
      </c>
      <c r="M593" s="335" t="str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  <v/>
      </c>
      <c r="N593" s="335" t="str">
        <f t="shared" si="65"/>
        <v/>
      </c>
      <c r="O593" s="348">
        <f t="shared" si="66"/>
        <v>0</v>
      </c>
    </row>
    <row r="594" spans="1:15" ht="16" hidden="1" outlineLevel="1">
      <c r="A594" s="335" t="str">
        <f t="shared" si="61"/>
        <v/>
      </c>
      <c r="B594" s="344"/>
      <c r="C594" s="344"/>
      <c r="D594" s="347" t="str">
        <f>IF(C594="","",IFERROR(INDEX(잔액!$Y:$Y,MAX(64,C594)),0))</f>
        <v/>
      </c>
      <c r="E594" s="346" t="str">
        <f>IF(C594="","",IFERROR(INDEX(잔액!$A:$A,MAX(64,C594)),""))</f>
        <v/>
      </c>
      <c r="F594" s="335" t="str">
        <f>IF(C594="","",IFERROR(INDEX(잔액!$C:$C,MAX(64,C594)),""))</f>
        <v/>
      </c>
      <c r="G594" s="335" t="str">
        <f>IF(C594="","",IF(INDEX(잔액!$K:$K,MAX(64,C594))&lt;&gt;"",INDEX(잔액!$K:$K,MAX(64,C594)),INDEX(잔액!$D:$D,MAX(64,C594))))</f>
        <v/>
      </c>
      <c r="H594" s="335" t="s">
        <v>1910</v>
      </c>
      <c r="J594" s="335" t="str">
        <f t="shared" si="62"/>
        <v/>
      </c>
      <c r="K594" s="346" t="str">
        <f t="shared" si="63"/>
        <v/>
      </c>
      <c r="L594" s="335" t="str">
        <f t="shared" si="64"/>
        <v/>
      </c>
      <c r="M594" s="335" t="str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  <v/>
      </c>
      <c r="N594" s="335" t="str">
        <f t="shared" si="65"/>
        <v/>
      </c>
      <c r="O594" s="348">
        <f t="shared" si="66"/>
        <v>0</v>
      </c>
    </row>
    <row r="595" spans="1:15" ht="16" hidden="1" outlineLevel="1">
      <c r="A595" s="335" t="str">
        <f t="shared" si="61"/>
        <v/>
      </c>
      <c r="B595" s="344"/>
      <c r="C595" s="344"/>
      <c r="D595" s="347" t="str">
        <f>IF(C595="","",IFERROR(INDEX(잔액!$Y:$Y,MAX(64,C595)),0))</f>
        <v/>
      </c>
      <c r="E595" s="346" t="str">
        <f>IF(C595="","",IFERROR(INDEX(잔액!$A:$A,MAX(64,C595)),""))</f>
        <v/>
      </c>
      <c r="F595" s="335" t="str">
        <f>IF(C595="","",IFERROR(INDEX(잔액!$C:$C,MAX(64,C595)),""))</f>
        <v/>
      </c>
      <c r="G595" s="335" t="str">
        <f>IF(C595="","",IF(INDEX(잔액!$K:$K,MAX(64,C595))&lt;&gt;"",INDEX(잔액!$K:$K,MAX(64,C595)),INDEX(잔액!$D:$D,MAX(64,C595))))</f>
        <v/>
      </c>
      <c r="H595" s="335" t="s">
        <v>1910</v>
      </c>
      <c r="J595" s="335" t="str">
        <f t="shared" si="62"/>
        <v/>
      </c>
      <c r="K595" s="346" t="str">
        <f t="shared" si="63"/>
        <v/>
      </c>
      <c r="L595" s="335" t="str">
        <f t="shared" si="64"/>
        <v/>
      </c>
      <c r="M595" s="335" t="str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  <v/>
      </c>
      <c r="N595" s="335" t="str">
        <f t="shared" si="65"/>
        <v/>
      </c>
      <c r="O595" s="348">
        <f t="shared" si="66"/>
        <v>0</v>
      </c>
    </row>
    <row r="596" spans="1:15" ht="16" hidden="1" outlineLevel="1">
      <c r="A596" s="335" t="str">
        <f t="shared" si="61"/>
        <v/>
      </c>
      <c r="B596" s="344"/>
      <c r="C596" s="344"/>
      <c r="D596" s="347" t="str">
        <f>IF(C596="","",IFERROR(INDEX(잔액!$Y:$Y,MAX(64,C596)),0))</f>
        <v/>
      </c>
      <c r="E596" s="346" t="str">
        <f>IF(C596="","",IFERROR(INDEX(잔액!$A:$A,MAX(64,C596)),""))</f>
        <v/>
      </c>
      <c r="F596" s="335" t="str">
        <f>IF(C596="","",IFERROR(INDEX(잔액!$C:$C,MAX(64,C596)),""))</f>
        <v/>
      </c>
      <c r="G596" s="335" t="str">
        <f>IF(C596="","",IF(INDEX(잔액!$K:$K,MAX(64,C596))&lt;&gt;"",INDEX(잔액!$K:$K,MAX(64,C596)),INDEX(잔액!$D:$D,MAX(64,C596))))</f>
        <v/>
      </c>
      <c r="H596" s="335" t="s">
        <v>1910</v>
      </c>
      <c r="J596" s="335" t="str">
        <f t="shared" si="62"/>
        <v/>
      </c>
      <c r="K596" s="346" t="str">
        <f t="shared" si="63"/>
        <v/>
      </c>
      <c r="L596" s="335" t="str">
        <f t="shared" si="64"/>
        <v/>
      </c>
      <c r="M596" s="335" t="str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  <v/>
      </c>
      <c r="N596" s="335" t="str">
        <f t="shared" si="65"/>
        <v/>
      </c>
      <c r="O596" s="348">
        <f t="shared" si="66"/>
        <v>0</v>
      </c>
    </row>
    <row r="597" spans="1:15" ht="16" hidden="1" outlineLevel="1">
      <c r="A597" s="335" t="str">
        <f t="shared" si="61"/>
        <v/>
      </c>
      <c r="B597" s="344"/>
      <c r="C597" s="344"/>
      <c r="D597" s="347" t="str">
        <f>IF(C597="","",IFERROR(INDEX(잔액!$Y:$Y,MAX(64,C597)),0))</f>
        <v/>
      </c>
      <c r="E597" s="346" t="str">
        <f>IF(C597="","",IFERROR(INDEX(잔액!$A:$A,MAX(64,C597)),""))</f>
        <v/>
      </c>
      <c r="F597" s="335" t="str">
        <f>IF(C597="","",IFERROR(INDEX(잔액!$C:$C,MAX(64,C597)),""))</f>
        <v/>
      </c>
      <c r="G597" s="335" t="str">
        <f>IF(C597="","",IF(INDEX(잔액!$K:$K,MAX(64,C597))&lt;&gt;"",INDEX(잔액!$K:$K,MAX(64,C597)),INDEX(잔액!$D:$D,MAX(64,C597))))</f>
        <v/>
      </c>
      <c r="H597" s="335" t="s">
        <v>1910</v>
      </c>
      <c r="J597" s="335" t="str">
        <f t="shared" si="62"/>
        <v/>
      </c>
      <c r="K597" s="346" t="str">
        <f t="shared" si="63"/>
        <v/>
      </c>
      <c r="L597" s="335" t="str">
        <f t="shared" si="64"/>
        <v/>
      </c>
      <c r="M597" s="335" t="str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  <v/>
      </c>
      <c r="N597" s="335" t="str">
        <f t="shared" si="65"/>
        <v/>
      </c>
      <c r="O597" s="348">
        <f t="shared" si="66"/>
        <v>0</v>
      </c>
    </row>
    <row r="598" spans="1:15" ht="16" hidden="1" outlineLevel="1">
      <c r="A598" s="335" t="str">
        <f t="shared" si="61"/>
        <v/>
      </c>
      <c r="B598" s="344"/>
      <c r="C598" s="344"/>
      <c r="D598" s="347" t="str">
        <f>IF(C598="","",IFERROR(INDEX(잔액!$Y:$Y,MAX(64,C598)),0))</f>
        <v/>
      </c>
      <c r="E598" s="346" t="str">
        <f>IF(C598="","",IFERROR(INDEX(잔액!$A:$A,MAX(64,C598)),""))</f>
        <v/>
      </c>
      <c r="F598" s="335" t="str">
        <f>IF(C598="","",IFERROR(INDEX(잔액!$C:$C,MAX(64,C598)),""))</f>
        <v/>
      </c>
      <c r="G598" s="335" t="str">
        <f>IF(C598="","",IF(INDEX(잔액!$K:$K,MAX(64,C598))&lt;&gt;"",INDEX(잔액!$K:$K,MAX(64,C598)),INDEX(잔액!$D:$D,MAX(64,C598))))</f>
        <v/>
      </c>
      <c r="H598" s="335" t="s">
        <v>1910</v>
      </c>
      <c r="J598" s="335" t="str">
        <f t="shared" si="62"/>
        <v/>
      </c>
      <c r="K598" s="346" t="str">
        <f t="shared" si="63"/>
        <v/>
      </c>
      <c r="L598" s="335" t="str">
        <f t="shared" si="64"/>
        <v/>
      </c>
      <c r="M598" s="335" t="str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  <v/>
      </c>
      <c r="N598" s="335" t="str">
        <f t="shared" si="65"/>
        <v/>
      </c>
      <c r="O598" s="348">
        <f t="shared" si="66"/>
        <v>0</v>
      </c>
    </row>
    <row r="599" spans="1:15" ht="16" hidden="1" outlineLevel="1">
      <c r="A599" s="335" t="str">
        <f t="shared" si="61"/>
        <v/>
      </c>
      <c r="B599" s="344"/>
      <c r="C599" s="344"/>
      <c r="D599" s="347" t="str">
        <f>IF(C599="","",IFERROR(INDEX(잔액!$Y:$Y,MAX(64,C599)),0))</f>
        <v/>
      </c>
      <c r="E599" s="346" t="str">
        <f>IF(C599="","",IFERROR(INDEX(잔액!$A:$A,MAX(64,C599)),""))</f>
        <v/>
      </c>
      <c r="F599" s="335" t="str">
        <f>IF(C599="","",IFERROR(INDEX(잔액!$C:$C,MAX(64,C599)),""))</f>
        <v/>
      </c>
      <c r="G599" s="335" t="str">
        <f>IF(C599="","",IF(INDEX(잔액!$K:$K,MAX(64,C599))&lt;&gt;"",INDEX(잔액!$K:$K,MAX(64,C599)),INDEX(잔액!$D:$D,MAX(64,C599))))</f>
        <v/>
      </c>
      <c r="H599" s="335" t="s">
        <v>1910</v>
      </c>
      <c r="J599" s="335" t="str">
        <f t="shared" si="62"/>
        <v/>
      </c>
      <c r="K599" s="346" t="str">
        <f t="shared" si="63"/>
        <v/>
      </c>
      <c r="L599" s="335" t="str">
        <f t="shared" si="64"/>
        <v/>
      </c>
      <c r="M599" s="335" t="str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  <v/>
      </c>
      <c r="N599" s="335" t="str">
        <f t="shared" si="65"/>
        <v/>
      </c>
      <c r="O599" s="348">
        <f t="shared" si="66"/>
        <v>0</v>
      </c>
    </row>
    <row r="600" spans="1:15" ht="16" hidden="1" outlineLevel="1">
      <c r="A600" s="335" t="str">
        <f t="shared" si="61"/>
        <v/>
      </c>
      <c r="B600" s="344"/>
      <c r="C600" s="344"/>
      <c r="D600" s="347" t="str">
        <f>IF(C600="","",IFERROR(INDEX(잔액!$Y:$Y,MAX(64,C600)),0))</f>
        <v/>
      </c>
      <c r="E600" s="346" t="str">
        <f>IF(C600="","",IFERROR(INDEX(잔액!$A:$A,MAX(64,C600)),""))</f>
        <v/>
      </c>
      <c r="F600" s="335" t="str">
        <f>IF(C600="","",IFERROR(INDEX(잔액!$C:$C,MAX(64,C600)),""))</f>
        <v/>
      </c>
      <c r="G600" s="335" t="str">
        <f>IF(C600="","",IF(INDEX(잔액!$K:$K,MAX(64,C600))&lt;&gt;"",INDEX(잔액!$K:$K,MAX(64,C600)),INDEX(잔액!$D:$D,MAX(64,C600))))</f>
        <v/>
      </c>
      <c r="H600" s="335" t="s">
        <v>1910</v>
      </c>
      <c r="J600" s="335" t="str">
        <f t="shared" si="62"/>
        <v/>
      </c>
      <c r="K600" s="346" t="str">
        <f t="shared" si="63"/>
        <v/>
      </c>
      <c r="L600" s="335" t="str">
        <f t="shared" si="64"/>
        <v/>
      </c>
      <c r="M600" s="335" t="str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  <v/>
      </c>
      <c r="N600" s="335" t="str">
        <f t="shared" si="65"/>
        <v/>
      </c>
      <c r="O600" s="348">
        <f t="shared" si="66"/>
        <v>0</v>
      </c>
    </row>
    <row r="601" spans="1:15" ht="16" hidden="1" outlineLevel="1">
      <c r="A601" s="335" t="str">
        <f t="shared" si="61"/>
        <v/>
      </c>
      <c r="B601" s="344"/>
      <c r="C601" s="344"/>
      <c r="D601" s="347" t="str">
        <f>IF(C601="","",IFERROR(INDEX(잔액!$Y:$Y,MAX(64,C601)),0))</f>
        <v/>
      </c>
      <c r="E601" s="346" t="str">
        <f>IF(C601="","",IFERROR(INDEX(잔액!$A:$A,MAX(64,C601)),""))</f>
        <v/>
      </c>
      <c r="F601" s="335" t="str">
        <f>IF(C601="","",IFERROR(INDEX(잔액!$C:$C,MAX(64,C601)),""))</f>
        <v/>
      </c>
      <c r="G601" s="335" t="str">
        <f>IF(C601="","",IF(INDEX(잔액!$K:$K,MAX(64,C601))&lt;&gt;"",INDEX(잔액!$K:$K,MAX(64,C601)),INDEX(잔액!$D:$D,MAX(64,C601))))</f>
        <v/>
      </c>
      <c r="H601" s="335" t="s">
        <v>1910</v>
      </c>
      <c r="J601" s="335" t="str">
        <f t="shared" si="62"/>
        <v/>
      </c>
      <c r="K601" s="346" t="str">
        <f t="shared" si="63"/>
        <v/>
      </c>
      <c r="L601" s="335" t="str">
        <f t="shared" si="64"/>
        <v/>
      </c>
      <c r="M601" s="335" t="str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  <v/>
      </c>
      <c r="N601" s="335" t="str">
        <f t="shared" si="65"/>
        <v/>
      </c>
      <c r="O601" s="348">
        <f t="shared" si="66"/>
        <v>0</v>
      </c>
    </row>
    <row r="602" spans="1:15" ht="16" hidden="1" outlineLevel="1">
      <c r="A602" s="335" t="str">
        <f t="shared" si="61"/>
        <v/>
      </c>
      <c r="B602" s="344"/>
      <c r="C602" s="344"/>
      <c r="D602" s="347" t="str">
        <f>IF(C602="","",IFERROR(INDEX(잔액!$Y:$Y,MAX(64,C602)),0))</f>
        <v/>
      </c>
      <c r="E602" s="346" t="str">
        <f>IF(C602="","",IFERROR(INDEX(잔액!$A:$A,MAX(64,C602)),""))</f>
        <v/>
      </c>
      <c r="F602" s="335" t="str">
        <f>IF(C602="","",IFERROR(INDEX(잔액!$C:$C,MAX(64,C602)),""))</f>
        <v/>
      </c>
      <c r="G602" s="335" t="str">
        <f>IF(C602="","",IF(INDEX(잔액!$K:$K,MAX(64,C602))&lt;&gt;"",INDEX(잔액!$K:$K,MAX(64,C602)),INDEX(잔액!$D:$D,MAX(64,C602))))</f>
        <v/>
      </c>
      <c r="H602" s="335" t="s">
        <v>1910</v>
      </c>
      <c r="J602" s="335" t="str">
        <f t="shared" si="62"/>
        <v/>
      </c>
      <c r="K602" s="346" t="str">
        <f t="shared" si="63"/>
        <v/>
      </c>
      <c r="L602" s="335" t="str">
        <f t="shared" si="64"/>
        <v/>
      </c>
      <c r="M602" s="335" t="str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  <v/>
      </c>
      <c r="N602" s="335" t="str">
        <f t="shared" si="65"/>
        <v/>
      </c>
      <c r="O602" s="348">
        <f t="shared" si="66"/>
        <v>0</v>
      </c>
    </row>
    <row r="603" spans="1:15" ht="16" hidden="1" outlineLevel="1">
      <c r="A603" s="335" t="str">
        <f t="shared" si="61"/>
        <v/>
      </c>
      <c r="B603" s="344"/>
      <c r="C603" s="344"/>
      <c r="D603" s="347" t="str">
        <f>IF(C603="","",IFERROR(INDEX(잔액!$Y:$Y,MAX(64,C603)),0))</f>
        <v/>
      </c>
      <c r="E603" s="346" t="str">
        <f>IF(C603="","",IFERROR(INDEX(잔액!$A:$A,MAX(64,C603)),""))</f>
        <v/>
      </c>
      <c r="F603" s="335" t="str">
        <f>IF(C603="","",IFERROR(INDEX(잔액!$C:$C,MAX(64,C603)),""))</f>
        <v/>
      </c>
      <c r="G603" s="335" t="str">
        <f>IF(C603="","",IF(INDEX(잔액!$K:$K,MAX(64,C603))&lt;&gt;"",INDEX(잔액!$K:$K,MAX(64,C603)),INDEX(잔액!$D:$D,MAX(64,C603))))</f>
        <v/>
      </c>
      <c r="H603" s="335" t="s">
        <v>1910</v>
      </c>
      <c r="J603" s="335" t="str">
        <f t="shared" si="62"/>
        <v/>
      </c>
      <c r="K603" s="346" t="str">
        <f t="shared" si="63"/>
        <v/>
      </c>
      <c r="L603" s="335" t="str">
        <f t="shared" si="64"/>
        <v/>
      </c>
      <c r="M603" s="335" t="str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  <v/>
      </c>
      <c r="N603" s="335" t="str">
        <f t="shared" si="65"/>
        <v/>
      </c>
      <c r="O603" s="348">
        <f t="shared" si="66"/>
        <v>0</v>
      </c>
    </row>
    <row r="604" spans="1:15" ht="16" hidden="1" outlineLevel="1">
      <c r="A604" s="335" t="str">
        <f t="shared" si="61"/>
        <v/>
      </c>
      <c r="B604" s="344"/>
      <c r="C604" s="344"/>
      <c r="D604" s="347" t="str">
        <f>IF(C604="","",IFERROR(INDEX(잔액!$Y:$Y,MAX(64,C604)),0))</f>
        <v/>
      </c>
      <c r="E604" s="346" t="str">
        <f>IF(C604="","",IFERROR(INDEX(잔액!$A:$A,MAX(64,C604)),""))</f>
        <v/>
      </c>
      <c r="F604" s="335" t="str">
        <f>IF(C604="","",IFERROR(INDEX(잔액!$C:$C,MAX(64,C604)),""))</f>
        <v/>
      </c>
      <c r="G604" s="335" t="str">
        <f>IF(C604="","",IF(INDEX(잔액!$K:$K,MAX(64,C604))&lt;&gt;"",INDEX(잔액!$K:$K,MAX(64,C604)),INDEX(잔액!$D:$D,MAX(64,C604))))</f>
        <v/>
      </c>
      <c r="H604" s="335" t="s">
        <v>1910</v>
      </c>
      <c r="J604" s="335" t="str">
        <f t="shared" si="62"/>
        <v/>
      </c>
      <c r="K604" s="346" t="str">
        <f t="shared" si="63"/>
        <v/>
      </c>
      <c r="L604" s="335" t="str">
        <f t="shared" si="64"/>
        <v/>
      </c>
      <c r="M604" s="335" t="str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  <v/>
      </c>
      <c r="N604" s="335" t="str">
        <f t="shared" si="65"/>
        <v/>
      </c>
      <c r="O604" s="348">
        <f t="shared" si="66"/>
        <v>0</v>
      </c>
    </row>
    <row r="605" spans="1:15" ht="16" hidden="1" outlineLevel="1">
      <c r="A605" s="335" t="str">
        <f t="shared" si="61"/>
        <v/>
      </c>
      <c r="B605" s="344"/>
      <c r="C605" s="344"/>
      <c r="D605" s="347" t="str">
        <f>IF(C605="","",IFERROR(INDEX(잔액!$Y:$Y,MAX(64,C605)),0))</f>
        <v/>
      </c>
      <c r="E605" s="346" t="str">
        <f>IF(C605="","",IFERROR(INDEX(잔액!$A:$A,MAX(64,C605)),""))</f>
        <v/>
      </c>
      <c r="F605" s="335" t="str">
        <f>IF(C605="","",IFERROR(INDEX(잔액!$C:$C,MAX(64,C605)),""))</f>
        <v/>
      </c>
      <c r="G605" s="335" t="str">
        <f>IF(C605="","",IF(INDEX(잔액!$K:$K,MAX(64,C605))&lt;&gt;"",INDEX(잔액!$K:$K,MAX(64,C605)),INDEX(잔액!$D:$D,MAX(64,C605))))</f>
        <v/>
      </c>
      <c r="H605" s="335" t="s">
        <v>1910</v>
      </c>
      <c r="J605" s="335" t="str">
        <f t="shared" si="62"/>
        <v/>
      </c>
      <c r="K605" s="346" t="str">
        <f t="shared" si="63"/>
        <v/>
      </c>
      <c r="L605" s="335" t="str">
        <f t="shared" si="64"/>
        <v/>
      </c>
      <c r="M605" s="335" t="str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  <v/>
      </c>
      <c r="N605" s="335" t="str">
        <f t="shared" si="65"/>
        <v/>
      </c>
      <c r="O605" s="348">
        <f t="shared" si="66"/>
        <v>0</v>
      </c>
    </row>
    <row r="606" spans="1:15" ht="16" hidden="1" outlineLevel="1">
      <c r="A606" s="335" t="str">
        <f t="shared" si="61"/>
        <v/>
      </c>
      <c r="B606" s="344"/>
      <c r="C606" s="344"/>
      <c r="D606" s="347" t="str">
        <f>IF(C606="","",IFERROR(INDEX(잔액!$Y:$Y,MAX(64,C606)),0))</f>
        <v/>
      </c>
      <c r="E606" s="346" t="str">
        <f>IF(C606="","",IFERROR(INDEX(잔액!$A:$A,MAX(64,C606)),""))</f>
        <v/>
      </c>
      <c r="F606" s="335" t="str">
        <f>IF(C606="","",IFERROR(INDEX(잔액!$C:$C,MAX(64,C606)),""))</f>
        <v/>
      </c>
      <c r="G606" s="335" t="str">
        <f>IF(C606="","",IF(INDEX(잔액!$K:$K,MAX(64,C606))&lt;&gt;"",INDEX(잔액!$K:$K,MAX(64,C606)),INDEX(잔액!$D:$D,MAX(64,C606))))</f>
        <v/>
      </c>
      <c r="H606" s="335" t="s">
        <v>1910</v>
      </c>
      <c r="J606" s="335" t="str">
        <f t="shared" si="62"/>
        <v/>
      </c>
      <c r="K606" s="346" t="str">
        <f t="shared" si="63"/>
        <v/>
      </c>
      <c r="L606" s="335" t="str">
        <f t="shared" si="64"/>
        <v/>
      </c>
      <c r="M606" s="335" t="str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  <v/>
      </c>
      <c r="N606" s="335" t="str">
        <f t="shared" si="65"/>
        <v/>
      </c>
      <c r="O606" s="348">
        <f t="shared" si="66"/>
        <v>0</v>
      </c>
    </row>
    <row r="607" spans="1:15" ht="16" hidden="1" outlineLevel="1">
      <c r="A607" s="335" t="str">
        <f t="shared" si="61"/>
        <v/>
      </c>
      <c r="B607" s="344"/>
      <c r="C607" s="344"/>
      <c r="D607" s="347" t="str">
        <f>IF(C607="","",IFERROR(INDEX(잔액!$Y:$Y,MAX(64,C607)),0))</f>
        <v/>
      </c>
      <c r="E607" s="346" t="str">
        <f>IF(C607="","",IFERROR(INDEX(잔액!$A:$A,MAX(64,C607)),""))</f>
        <v/>
      </c>
      <c r="F607" s="335" t="str">
        <f>IF(C607="","",IFERROR(INDEX(잔액!$C:$C,MAX(64,C607)),""))</f>
        <v/>
      </c>
      <c r="G607" s="335" t="str">
        <f>IF(C607="","",IF(INDEX(잔액!$K:$K,MAX(64,C607))&lt;&gt;"",INDEX(잔액!$K:$K,MAX(64,C607)),INDEX(잔액!$D:$D,MAX(64,C607))))</f>
        <v/>
      </c>
      <c r="H607" s="335" t="s">
        <v>1910</v>
      </c>
      <c r="J607" s="335" t="str">
        <f t="shared" si="62"/>
        <v/>
      </c>
      <c r="K607" s="346" t="str">
        <f t="shared" si="63"/>
        <v/>
      </c>
      <c r="L607" s="335" t="str">
        <f t="shared" si="64"/>
        <v/>
      </c>
      <c r="M607" s="335" t="str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  <v/>
      </c>
      <c r="N607" s="335" t="str">
        <f t="shared" si="65"/>
        <v/>
      </c>
      <c r="O607" s="348">
        <f t="shared" si="66"/>
        <v>0</v>
      </c>
    </row>
    <row r="608" spans="1:15" ht="16" hidden="1" outlineLevel="1">
      <c r="A608" s="335" t="str">
        <f t="shared" si="61"/>
        <v/>
      </c>
      <c r="B608" s="344"/>
      <c r="C608" s="344"/>
      <c r="D608" s="347" t="str">
        <f>IF(C608="","",IFERROR(INDEX(잔액!$Y:$Y,MAX(64,C608)),0))</f>
        <v/>
      </c>
      <c r="E608" s="346" t="str">
        <f>IF(C608="","",IFERROR(INDEX(잔액!$A:$A,MAX(64,C608)),""))</f>
        <v/>
      </c>
      <c r="F608" s="335" t="str">
        <f>IF(C608="","",IFERROR(INDEX(잔액!$C:$C,MAX(64,C608)),""))</f>
        <v/>
      </c>
      <c r="G608" s="335" t="str">
        <f>IF(C608="","",IF(INDEX(잔액!$K:$K,MAX(64,C608))&lt;&gt;"",INDEX(잔액!$K:$K,MAX(64,C608)),INDEX(잔액!$D:$D,MAX(64,C608))))</f>
        <v/>
      </c>
      <c r="H608" s="335" t="s">
        <v>1910</v>
      </c>
      <c r="J608" s="335" t="str">
        <f t="shared" si="62"/>
        <v/>
      </c>
      <c r="K608" s="346" t="str">
        <f t="shared" si="63"/>
        <v/>
      </c>
      <c r="L608" s="335" t="str">
        <f t="shared" si="64"/>
        <v/>
      </c>
      <c r="M608" s="335" t="str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  <v/>
      </c>
      <c r="N608" s="335" t="str">
        <f t="shared" si="65"/>
        <v/>
      </c>
      <c r="O608" s="348">
        <f t="shared" si="66"/>
        <v>0</v>
      </c>
    </row>
    <row r="609" spans="1:15" ht="16" hidden="1" outlineLevel="1">
      <c r="A609" s="335" t="str">
        <f t="shared" si="61"/>
        <v/>
      </c>
      <c r="B609" s="344"/>
      <c r="C609" s="344"/>
      <c r="D609" s="347" t="str">
        <f>IF(C609="","",IFERROR(INDEX(잔액!$Y:$Y,MAX(64,C609)),0))</f>
        <v/>
      </c>
      <c r="E609" s="346" t="str">
        <f>IF(C609="","",IFERROR(INDEX(잔액!$A:$A,MAX(64,C609)),""))</f>
        <v/>
      </c>
      <c r="F609" s="335" t="str">
        <f>IF(C609="","",IFERROR(INDEX(잔액!$C:$C,MAX(64,C609)),""))</f>
        <v/>
      </c>
      <c r="G609" s="335" t="str">
        <f>IF(C609="","",IF(INDEX(잔액!$K:$K,MAX(64,C609))&lt;&gt;"",INDEX(잔액!$K:$K,MAX(64,C609)),INDEX(잔액!$D:$D,MAX(64,C609))))</f>
        <v/>
      </c>
      <c r="H609" s="335" t="s">
        <v>1910</v>
      </c>
      <c r="J609" s="335" t="str">
        <f t="shared" si="62"/>
        <v/>
      </c>
      <c r="K609" s="346" t="str">
        <f t="shared" si="63"/>
        <v/>
      </c>
      <c r="L609" s="335" t="str">
        <f t="shared" si="64"/>
        <v/>
      </c>
      <c r="M609" s="335" t="str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  <v/>
      </c>
      <c r="N609" s="335" t="str">
        <f t="shared" si="65"/>
        <v/>
      </c>
      <c r="O609" s="348">
        <f t="shared" si="66"/>
        <v>0</v>
      </c>
    </row>
    <row r="610" spans="1:15" ht="16" hidden="1" outlineLevel="1">
      <c r="A610" s="335" t="str">
        <f t="shared" si="61"/>
        <v/>
      </c>
      <c r="B610" s="344"/>
      <c r="C610" s="344"/>
      <c r="D610" s="347" t="str">
        <f>IF(C610="","",IFERROR(INDEX(잔액!$Y:$Y,MAX(64,C610)),0))</f>
        <v/>
      </c>
      <c r="E610" s="346" t="str">
        <f>IF(C610="","",IFERROR(INDEX(잔액!$A:$A,MAX(64,C610)),""))</f>
        <v/>
      </c>
      <c r="F610" s="335" t="str">
        <f>IF(C610="","",IFERROR(INDEX(잔액!$C:$C,MAX(64,C610)),""))</f>
        <v/>
      </c>
      <c r="G610" s="335" t="str">
        <f>IF(C610="","",IF(INDEX(잔액!$K:$K,MAX(64,C610))&lt;&gt;"",INDEX(잔액!$K:$K,MAX(64,C610)),INDEX(잔액!$D:$D,MAX(64,C610))))</f>
        <v/>
      </c>
      <c r="H610" s="335" t="s">
        <v>1910</v>
      </c>
      <c r="J610" s="335" t="str">
        <f t="shared" si="62"/>
        <v/>
      </c>
      <c r="K610" s="346" t="str">
        <f t="shared" si="63"/>
        <v/>
      </c>
      <c r="L610" s="335" t="str">
        <f t="shared" si="64"/>
        <v/>
      </c>
      <c r="M610" s="335" t="str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  <v/>
      </c>
      <c r="N610" s="335" t="str">
        <f t="shared" si="65"/>
        <v/>
      </c>
      <c r="O610" s="348">
        <f t="shared" si="66"/>
        <v>0</v>
      </c>
    </row>
    <row r="611" spans="1:15" ht="16" hidden="1" outlineLevel="1">
      <c r="A611" s="335" t="str">
        <f t="shared" si="61"/>
        <v/>
      </c>
      <c r="B611" s="344"/>
      <c r="C611" s="344"/>
      <c r="D611" s="347" t="str">
        <f>IF(C611="","",IFERROR(INDEX(잔액!$Y:$Y,MAX(64,C611)),0))</f>
        <v/>
      </c>
      <c r="E611" s="346" t="str">
        <f>IF(C611="","",IFERROR(INDEX(잔액!$A:$A,MAX(64,C611)),""))</f>
        <v/>
      </c>
      <c r="F611" s="335" t="str">
        <f>IF(C611="","",IFERROR(INDEX(잔액!$C:$C,MAX(64,C611)),""))</f>
        <v/>
      </c>
      <c r="G611" s="335" t="str">
        <f>IF(C611="","",IF(INDEX(잔액!$K:$K,MAX(64,C611))&lt;&gt;"",INDEX(잔액!$K:$K,MAX(64,C611)),INDEX(잔액!$D:$D,MAX(64,C611))))</f>
        <v/>
      </c>
      <c r="H611" s="335" t="s">
        <v>1910</v>
      </c>
      <c r="J611" s="335" t="str">
        <f t="shared" si="62"/>
        <v/>
      </c>
      <c r="K611" s="346" t="str">
        <f t="shared" si="63"/>
        <v/>
      </c>
      <c r="L611" s="335" t="str">
        <f t="shared" si="64"/>
        <v/>
      </c>
      <c r="M611" s="335" t="str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  <v/>
      </c>
      <c r="N611" s="335" t="str">
        <f t="shared" si="65"/>
        <v/>
      </c>
      <c r="O611" s="348">
        <f t="shared" si="66"/>
        <v>0</v>
      </c>
    </row>
    <row r="612" spans="1:15" ht="16" hidden="1" outlineLevel="1">
      <c r="A612" s="335" t="str">
        <f t="shared" si="61"/>
        <v/>
      </c>
      <c r="B612" s="344"/>
      <c r="C612" s="344"/>
      <c r="D612" s="347" t="str">
        <f>IF(C612="","",IFERROR(INDEX(잔액!$Y:$Y,MAX(64,C612)),0))</f>
        <v/>
      </c>
      <c r="E612" s="346" t="str">
        <f>IF(C612="","",IFERROR(INDEX(잔액!$A:$A,MAX(64,C612)),""))</f>
        <v/>
      </c>
      <c r="F612" s="335" t="str">
        <f>IF(C612="","",IFERROR(INDEX(잔액!$C:$C,MAX(64,C612)),""))</f>
        <v/>
      </c>
      <c r="G612" s="335" t="str">
        <f>IF(C612="","",IF(INDEX(잔액!$K:$K,MAX(64,C612))&lt;&gt;"",INDEX(잔액!$K:$K,MAX(64,C612)),INDEX(잔액!$D:$D,MAX(64,C612))))</f>
        <v/>
      </c>
      <c r="H612" s="335" t="s">
        <v>1910</v>
      </c>
      <c r="J612" s="335" t="str">
        <f t="shared" si="62"/>
        <v/>
      </c>
      <c r="K612" s="346" t="str">
        <f t="shared" si="63"/>
        <v/>
      </c>
      <c r="L612" s="335" t="str">
        <f t="shared" si="64"/>
        <v/>
      </c>
      <c r="M612" s="335" t="str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  <v/>
      </c>
      <c r="N612" s="335" t="str">
        <f t="shared" si="65"/>
        <v/>
      </c>
      <c r="O612" s="348">
        <f t="shared" si="66"/>
        <v>0</v>
      </c>
    </row>
    <row r="613" spans="1:15" ht="16" hidden="1" outlineLevel="1">
      <c r="A613" s="335" t="str">
        <f t="shared" si="61"/>
        <v/>
      </c>
      <c r="B613" s="344"/>
      <c r="C613" s="344"/>
      <c r="D613" s="347" t="str">
        <f>IF(C613="","",IFERROR(INDEX(잔액!$Y:$Y,MAX(64,C613)),0))</f>
        <v/>
      </c>
      <c r="E613" s="346" t="str">
        <f>IF(C613="","",IFERROR(INDEX(잔액!$A:$A,MAX(64,C613)),""))</f>
        <v/>
      </c>
      <c r="F613" s="335" t="str">
        <f>IF(C613="","",IFERROR(INDEX(잔액!$C:$C,MAX(64,C613)),""))</f>
        <v/>
      </c>
      <c r="G613" s="335" t="str">
        <f>IF(C613="","",IF(INDEX(잔액!$K:$K,MAX(64,C613))&lt;&gt;"",INDEX(잔액!$K:$K,MAX(64,C613)),INDEX(잔액!$D:$D,MAX(64,C613))))</f>
        <v/>
      </c>
      <c r="H613" s="335" t="s">
        <v>1910</v>
      </c>
      <c r="J613" s="335" t="str">
        <f t="shared" si="62"/>
        <v/>
      </c>
      <c r="K613" s="346" t="str">
        <f t="shared" si="63"/>
        <v/>
      </c>
      <c r="L613" s="335" t="str">
        <f t="shared" si="64"/>
        <v/>
      </c>
      <c r="M613" s="335" t="str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  <v/>
      </c>
      <c r="N613" s="335" t="str">
        <f t="shared" si="65"/>
        <v/>
      </c>
      <c r="O613" s="348">
        <f t="shared" si="66"/>
        <v>0</v>
      </c>
    </row>
    <row r="614" spans="1:15" ht="16" hidden="1" outlineLevel="1">
      <c r="A614" s="335" t="str">
        <f t="shared" si="61"/>
        <v/>
      </c>
      <c r="B614" s="344"/>
      <c r="C614" s="344"/>
      <c r="D614" s="347" t="str">
        <f>IF(C614="","",IFERROR(INDEX(잔액!$Y:$Y,MAX(64,C614)),0))</f>
        <v/>
      </c>
      <c r="E614" s="346" t="str">
        <f>IF(C614="","",IFERROR(INDEX(잔액!$A:$A,MAX(64,C614)),""))</f>
        <v/>
      </c>
      <c r="F614" s="335" t="str">
        <f>IF(C614="","",IFERROR(INDEX(잔액!$C:$C,MAX(64,C614)),""))</f>
        <v/>
      </c>
      <c r="G614" s="335" t="str">
        <f>IF(C614="","",IF(INDEX(잔액!$K:$K,MAX(64,C614))&lt;&gt;"",INDEX(잔액!$K:$K,MAX(64,C614)),INDEX(잔액!$D:$D,MAX(64,C614))))</f>
        <v/>
      </c>
      <c r="H614" s="335" t="s">
        <v>1910</v>
      </c>
      <c r="J614" s="335" t="str">
        <f t="shared" si="62"/>
        <v/>
      </c>
      <c r="K614" s="346" t="str">
        <f t="shared" si="63"/>
        <v/>
      </c>
      <c r="L614" s="335" t="str">
        <f t="shared" si="64"/>
        <v/>
      </c>
      <c r="M614" s="335" t="str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  <v/>
      </c>
      <c r="N614" s="335" t="str">
        <f t="shared" si="65"/>
        <v/>
      </c>
      <c r="O614" s="348">
        <f t="shared" si="66"/>
        <v>0</v>
      </c>
    </row>
    <row r="615" spans="1:15" ht="16" hidden="1" outlineLevel="1">
      <c r="A615" s="335" t="str">
        <f t="shared" si="61"/>
        <v/>
      </c>
      <c r="B615" s="344"/>
      <c r="C615" s="344"/>
      <c r="D615" s="347" t="str">
        <f>IF(C615="","",IFERROR(INDEX(잔액!$Y:$Y,MAX(64,C615)),0))</f>
        <v/>
      </c>
      <c r="E615" s="346" t="str">
        <f>IF(C615="","",IFERROR(INDEX(잔액!$A:$A,MAX(64,C615)),""))</f>
        <v/>
      </c>
      <c r="F615" s="335" t="str">
        <f>IF(C615="","",IFERROR(INDEX(잔액!$C:$C,MAX(64,C615)),""))</f>
        <v/>
      </c>
      <c r="G615" s="335" t="str">
        <f>IF(C615="","",IF(INDEX(잔액!$K:$K,MAX(64,C615))&lt;&gt;"",INDEX(잔액!$K:$K,MAX(64,C615)),INDEX(잔액!$D:$D,MAX(64,C615))))</f>
        <v/>
      </c>
      <c r="H615" s="335" t="s">
        <v>1910</v>
      </c>
      <c r="J615" s="335" t="str">
        <f t="shared" si="62"/>
        <v/>
      </c>
      <c r="K615" s="346" t="str">
        <f t="shared" si="63"/>
        <v/>
      </c>
      <c r="L615" s="335" t="str">
        <f t="shared" si="64"/>
        <v/>
      </c>
      <c r="M615" s="335" t="str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  <v/>
      </c>
      <c r="N615" s="335" t="str">
        <f t="shared" si="65"/>
        <v/>
      </c>
      <c r="O615" s="348">
        <f t="shared" si="66"/>
        <v>0</v>
      </c>
    </row>
    <row r="616" spans="1:15" ht="16" hidden="1" outlineLevel="1">
      <c r="A616" s="335" t="str">
        <f t="shared" si="61"/>
        <v/>
      </c>
      <c r="B616" s="344"/>
      <c r="C616" s="344"/>
      <c r="D616" s="347" t="str">
        <f>IF(C616="","",IFERROR(INDEX(잔액!$Y:$Y,MAX(64,C616)),0))</f>
        <v/>
      </c>
      <c r="E616" s="346" t="str">
        <f>IF(C616="","",IFERROR(INDEX(잔액!$A:$A,MAX(64,C616)),""))</f>
        <v/>
      </c>
      <c r="F616" s="335" t="str">
        <f>IF(C616="","",IFERROR(INDEX(잔액!$C:$C,MAX(64,C616)),""))</f>
        <v/>
      </c>
      <c r="G616" s="335" t="str">
        <f>IF(C616="","",IF(INDEX(잔액!$K:$K,MAX(64,C616))&lt;&gt;"",INDEX(잔액!$K:$K,MAX(64,C616)),INDEX(잔액!$D:$D,MAX(64,C616))))</f>
        <v/>
      </c>
      <c r="H616" s="335" t="s">
        <v>1910</v>
      </c>
      <c r="J616" s="335" t="str">
        <f t="shared" si="62"/>
        <v/>
      </c>
      <c r="K616" s="346" t="str">
        <f t="shared" si="63"/>
        <v/>
      </c>
      <c r="L616" s="335" t="str">
        <f t="shared" si="64"/>
        <v/>
      </c>
      <c r="M616" s="335" t="str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  <v/>
      </c>
      <c r="N616" s="335" t="str">
        <f t="shared" si="65"/>
        <v/>
      </c>
      <c r="O616" s="348">
        <f t="shared" si="66"/>
        <v>0</v>
      </c>
    </row>
    <row r="617" spans="1:15" ht="16" hidden="1" outlineLevel="1">
      <c r="A617" s="335" t="str">
        <f t="shared" si="61"/>
        <v/>
      </c>
      <c r="B617" s="344"/>
      <c r="C617" s="344"/>
      <c r="D617" s="347" t="str">
        <f>IF(C617="","",IFERROR(INDEX(잔액!$Y:$Y,MAX(64,C617)),0))</f>
        <v/>
      </c>
      <c r="E617" s="346" t="str">
        <f>IF(C617="","",IFERROR(INDEX(잔액!$A:$A,MAX(64,C617)),""))</f>
        <v/>
      </c>
      <c r="F617" s="335" t="str">
        <f>IF(C617="","",IFERROR(INDEX(잔액!$C:$C,MAX(64,C617)),""))</f>
        <v/>
      </c>
      <c r="G617" s="335" t="str">
        <f>IF(C617="","",IF(INDEX(잔액!$K:$K,MAX(64,C617))&lt;&gt;"",INDEX(잔액!$K:$K,MAX(64,C617)),INDEX(잔액!$D:$D,MAX(64,C617))))</f>
        <v/>
      </c>
      <c r="H617" s="335" t="s">
        <v>1910</v>
      </c>
      <c r="J617" s="335" t="str">
        <f t="shared" si="62"/>
        <v/>
      </c>
      <c r="K617" s="346" t="str">
        <f t="shared" si="63"/>
        <v/>
      </c>
      <c r="L617" s="335" t="str">
        <f t="shared" si="64"/>
        <v/>
      </c>
      <c r="M617" s="335" t="str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  <v/>
      </c>
      <c r="N617" s="335" t="str">
        <f t="shared" si="65"/>
        <v/>
      </c>
      <c r="O617" s="348">
        <f t="shared" si="66"/>
        <v>0</v>
      </c>
    </row>
    <row r="618" spans="1:15" ht="16" hidden="1" outlineLevel="1">
      <c r="A618" s="335" t="str">
        <f t="shared" si="61"/>
        <v/>
      </c>
      <c r="B618" s="344"/>
      <c r="C618" s="344"/>
      <c r="D618" s="347" t="str">
        <f>IF(C618="","",IFERROR(INDEX(잔액!$Y:$Y,MAX(64,C618)),0))</f>
        <v/>
      </c>
      <c r="E618" s="346" t="str">
        <f>IF(C618="","",IFERROR(INDEX(잔액!$A:$A,MAX(64,C618)),""))</f>
        <v/>
      </c>
      <c r="F618" s="335" t="str">
        <f>IF(C618="","",IFERROR(INDEX(잔액!$C:$C,MAX(64,C618)),""))</f>
        <v/>
      </c>
      <c r="G618" s="335" t="str">
        <f>IF(C618="","",IF(INDEX(잔액!$K:$K,MAX(64,C618))&lt;&gt;"",INDEX(잔액!$K:$K,MAX(64,C618)),INDEX(잔액!$D:$D,MAX(64,C618))))</f>
        <v/>
      </c>
      <c r="H618" s="335" t="s">
        <v>1910</v>
      </c>
      <c r="J618" s="335" t="str">
        <f t="shared" si="62"/>
        <v/>
      </c>
      <c r="K618" s="346" t="str">
        <f t="shared" si="63"/>
        <v/>
      </c>
      <c r="L618" s="335" t="str">
        <f t="shared" si="64"/>
        <v/>
      </c>
      <c r="M618" s="335" t="str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  <v/>
      </c>
      <c r="N618" s="335" t="str">
        <f t="shared" si="65"/>
        <v/>
      </c>
      <c r="O618" s="348">
        <f t="shared" si="66"/>
        <v>0</v>
      </c>
    </row>
    <row r="619" spans="1:15" ht="16" hidden="1" outlineLevel="1">
      <c r="A619" s="335" t="str">
        <f t="shared" si="61"/>
        <v/>
      </c>
      <c r="B619" s="344"/>
      <c r="C619" s="344"/>
      <c r="D619" s="347" t="str">
        <f>IF(C619="","",IFERROR(INDEX(잔액!$Y:$Y,MAX(64,C619)),0))</f>
        <v/>
      </c>
      <c r="E619" s="346" t="str">
        <f>IF(C619="","",IFERROR(INDEX(잔액!$A:$A,MAX(64,C619)),""))</f>
        <v/>
      </c>
      <c r="F619" s="335" t="str">
        <f>IF(C619="","",IFERROR(INDEX(잔액!$C:$C,MAX(64,C619)),""))</f>
        <v/>
      </c>
      <c r="G619" s="335" t="str">
        <f>IF(C619="","",IF(INDEX(잔액!$K:$K,MAX(64,C619))&lt;&gt;"",INDEX(잔액!$K:$K,MAX(64,C619)),INDEX(잔액!$D:$D,MAX(64,C619))))</f>
        <v/>
      </c>
      <c r="H619" s="335" t="s">
        <v>1910</v>
      </c>
      <c r="J619" s="335" t="str">
        <f t="shared" si="62"/>
        <v/>
      </c>
      <c r="K619" s="346" t="str">
        <f t="shared" si="63"/>
        <v/>
      </c>
      <c r="L619" s="335" t="str">
        <f t="shared" si="64"/>
        <v/>
      </c>
      <c r="M619" s="335" t="str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  <v/>
      </c>
      <c r="N619" s="335" t="str">
        <f t="shared" si="65"/>
        <v/>
      </c>
      <c r="O619" s="348">
        <f t="shared" si="66"/>
        <v>0</v>
      </c>
    </row>
    <row r="620" spans="1:15" ht="16" hidden="1" outlineLevel="1">
      <c r="A620" s="335" t="str">
        <f t="shared" si="61"/>
        <v/>
      </c>
      <c r="B620" s="344"/>
      <c r="C620" s="344"/>
      <c r="D620" s="347" t="str">
        <f>IF(C620="","",IFERROR(INDEX(잔액!$Y:$Y,MAX(64,C620)),0))</f>
        <v/>
      </c>
      <c r="E620" s="346" t="str">
        <f>IF(C620="","",IFERROR(INDEX(잔액!$A:$A,MAX(64,C620)),""))</f>
        <v/>
      </c>
      <c r="F620" s="335" t="str">
        <f>IF(C620="","",IFERROR(INDEX(잔액!$C:$C,MAX(64,C620)),""))</f>
        <v/>
      </c>
      <c r="G620" s="335" t="str">
        <f>IF(C620="","",IF(INDEX(잔액!$K:$K,MAX(64,C620))&lt;&gt;"",INDEX(잔액!$K:$K,MAX(64,C620)),INDEX(잔액!$D:$D,MAX(64,C620))))</f>
        <v/>
      </c>
      <c r="H620" s="335" t="s">
        <v>1910</v>
      </c>
      <c r="J620" s="335" t="str">
        <f t="shared" si="62"/>
        <v/>
      </c>
      <c r="K620" s="346" t="str">
        <f t="shared" si="63"/>
        <v/>
      </c>
      <c r="L620" s="335" t="str">
        <f t="shared" si="64"/>
        <v/>
      </c>
      <c r="M620" s="335" t="str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  <v/>
      </c>
      <c r="N620" s="335" t="str">
        <f t="shared" si="65"/>
        <v/>
      </c>
      <c r="O620" s="348">
        <f t="shared" si="66"/>
        <v>0</v>
      </c>
    </row>
    <row r="621" spans="1:15" ht="16" hidden="1" outlineLevel="1">
      <c r="A621" s="335" t="str">
        <f t="shared" si="61"/>
        <v/>
      </c>
      <c r="B621" s="344"/>
      <c r="C621" s="344"/>
      <c r="D621" s="347" t="str">
        <f>IF(C621="","",IFERROR(INDEX(잔액!$Y:$Y,MAX(64,C621)),0))</f>
        <v/>
      </c>
      <c r="E621" s="346" t="str">
        <f>IF(C621="","",IFERROR(INDEX(잔액!$A:$A,MAX(64,C621)),""))</f>
        <v/>
      </c>
      <c r="F621" s="335" t="str">
        <f>IF(C621="","",IFERROR(INDEX(잔액!$C:$C,MAX(64,C621)),""))</f>
        <v/>
      </c>
      <c r="G621" s="335" t="str">
        <f>IF(C621="","",IF(INDEX(잔액!$K:$K,MAX(64,C621))&lt;&gt;"",INDEX(잔액!$K:$K,MAX(64,C621)),INDEX(잔액!$D:$D,MAX(64,C621))))</f>
        <v/>
      </c>
      <c r="H621" s="335" t="s">
        <v>1910</v>
      </c>
      <c r="J621" s="335" t="str">
        <f t="shared" si="62"/>
        <v/>
      </c>
      <c r="K621" s="346" t="str">
        <f t="shared" si="63"/>
        <v/>
      </c>
      <c r="L621" s="335" t="str">
        <f t="shared" si="64"/>
        <v/>
      </c>
      <c r="M621" s="335" t="str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  <v/>
      </c>
      <c r="N621" s="335" t="str">
        <f t="shared" si="65"/>
        <v/>
      </c>
      <c r="O621" s="348">
        <f t="shared" si="66"/>
        <v>0</v>
      </c>
    </row>
    <row r="622" spans="1:15" ht="16" hidden="1" outlineLevel="1">
      <c r="A622" s="335" t="str">
        <f t="shared" ref="A622:A685" si="67">IF(B622="","","S"&amp;ROW())</f>
        <v/>
      </c>
      <c r="B622" s="344"/>
      <c r="C622" s="344"/>
      <c r="D622" s="347" t="str">
        <f>IF(C622="","",IFERROR(INDEX(잔액!$Y:$Y,MAX(64,C622)),0))</f>
        <v/>
      </c>
      <c r="E622" s="346" t="str">
        <f>IF(C622="","",IFERROR(INDEX(잔액!$A:$A,MAX(64,C622)),""))</f>
        <v/>
      </c>
      <c r="F622" s="335" t="str">
        <f>IF(C622="","",IFERROR(INDEX(잔액!$C:$C,MAX(64,C622)),""))</f>
        <v/>
      </c>
      <c r="G622" s="335" t="str">
        <f>IF(C622="","",IF(INDEX(잔액!$K:$K,MAX(64,C622))&lt;&gt;"",INDEX(잔액!$K:$K,MAX(64,C622)),INDEX(잔액!$D:$D,MAX(64,C622))))</f>
        <v/>
      </c>
      <c r="H622" s="335" t="s">
        <v>1910</v>
      </c>
      <c r="J622" s="335" t="str">
        <f t="shared" ref="J622:J685" si="68">IFERROR(INDEX($C$100:$C$399,MATCH(B622,$A$100:$A$399,0)),"")</f>
        <v/>
      </c>
      <c r="K622" s="346" t="str">
        <f t="shared" ref="K622:K685" si="69">IFERROR(INDEX($D$100:$D$399,MATCH(B622,$A$100:$A$399,0)),"")</f>
        <v/>
      </c>
      <c r="L622" s="335" t="str">
        <f t="shared" ref="L622:L685" si="70">IFERROR(INDEX($S$100:$S$399,MATCH(B622,$A$100:$A$399,0)),"")</f>
        <v/>
      </c>
      <c r="M622" s="335" t="str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  <v/>
      </c>
      <c r="N622" s="335" t="str">
        <f t="shared" ref="N622:N685" si="71"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  <v/>
      </c>
      <c r="O622" s="348">
        <f t="shared" ref="O622:O685" si="72">IF(N622="OK",D622,0)</f>
        <v>0</v>
      </c>
    </row>
    <row r="623" spans="1:15" ht="16" hidden="1" outlineLevel="1">
      <c r="A623" s="335" t="str">
        <f t="shared" si="67"/>
        <v/>
      </c>
      <c r="B623" s="344"/>
      <c r="C623" s="344"/>
      <c r="D623" s="347" t="str">
        <f>IF(C623="","",IFERROR(INDEX(잔액!$Y:$Y,MAX(64,C623)),0))</f>
        <v/>
      </c>
      <c r="E623" s="346" t="str">
        <f>IF(C623="","",IFERROR(INDEX(잔액!$A:$A,MAX(64,C623)),""))</f>
        <v/>
      </c>
      <c r="F623" s="335" t="str">
        <f>IF(C623="","",IFERROR(INDEX(잔액!$C:$C,MAX(64,C623)),""))</f>
        <v/>
      </c>
      <c r="G623" s="335" t="str">
        <f>IF(C623="","",IF(INDEX(잔액!$K:$K,MAX(64,C623))&lt;&gt;"",INDEX(잔액!$K:$K,MAX(64,C623)),INDEX(잔액!$D:$D,MAX(64,C623))))</f>
        <v/>
      </c>
      <c r="H623" s="335" t="s">
        <v>1910</v>
      </c>
      <c r="J623" s="335" t="str">
        <f t="shared" si="68"/>
        <v/>
      </c>
      <c r="K623" s="346" t="str">
        <f t="shared" si="69"/>
        <v/>
      </c>
      <c r="L623" s="335" t="str">
        <f t="shared" si="70"/>
        <v/>
      </c>
      <c r="M623" s="335" t="str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  <v/>
      </c>
      <c r="N623" s="335" t="str">
        <f t="shared" si="71"/>
        <v/>
      </c>
      <c r="O623" s="348">
        <f t="shared" si="72"/>
        <v>0</v>
      </c>
    </row>
    <row r="624" spans="1:15" ht="16" hidden="1" outlineLevel="1">
      <c r="A624" s="335" t="str">
        <f t="shared" si="67"/>
        <v/>
      </c>
      <c r="B624" s="344"/>
      <c r="C624" s="344"/>
      <c r="D624" s="347" t="str">
        <f>IF(C624="","",IFERROR(INDEX(잔액!$Y:$Y,MAX(64,C624)),0))</f>
        <v/>
      </c>
      <c r="E624" s="346" t="str">
        <f>IF(C624="","",IFERROR(INDEX(잔액!$A:$A,MAX(64,C624)),""))</f>
        <v/>
      </c>
      <c r="F624" s="335" t="str">
        <f>IF(C624="","",IFERROR(INDEX(잔액!$C:$C,MAX(64,C624)),""))</f>
        <v/>
      </c>
      <c r="G624" s="335" t="str">
        <f>IF(C624="","",IF(INDEX(잔액!$K:$K,MAX(64,C624))&lt;&gt;"",INDEX(잔액!$K:$K,MAX(64,C624)),INDEX(잔액!$D:$D,MAX(64,C624))))</f>
        <v/>
      </c>
      <c r="H624" s="335" t="s">
        <v>1910</v>
      </c>
      <c r="J624" s="335" t="str">
        <f t="shared" si="68"/>
        <v/>
      </c>
      <c r="K624" s="346" t="str">
        <f t="shared" si="69"/>
        <v/>
      </c>
      <c r="L624" s="335" t="str">
        <f t="shared" si="70"/>
        <v/>
      </c>
      <c r="M624" s="335" t="str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  <v/>
      </c>
      <c r="N624" s="335" t="str">
        <f t="shared" si="71"/>
        <v/>
      </c>
      <c r="O624" s="348">
        <f t="shared" si="72"/>
        <v>0</v>
      </c>
    </row>
    <row r="625" spans="1:15" ht="16" hidden="1" outlineLevel="1">
      <c r="A625" s="335" t="str">
        <f t="shared" si="67"/>
        <v/>
      </c>
      <c r="B625" s="344"/>
      <c r="C625" s="344"/>
      <c r="D625" s="347" t="str">
        <f>IF(C625="","",IFERROR(INDEX(잔액!$Y:$Y,MAX(64,C625)),0))</f>
        <v/>
      </c>
      <c r="E625" s="346" t="str">
        <f>IF(C625="","",IFERROR(INDEX(잔액!$A:$A,MAX(64,C625)),""))</f>
        <v/>
      </c>
      <c r="F625" s="335" t="str">
        <f>IF(C625="","",IFERROR(INDEX(잔액!$C:$C,MAX(64,C625)),""))</f>
        <v/>
      </c>
      <c r="G625" s="335" t="str">
        <f>IF(C625="","",IF(INDEX(잔액!$K:$K,MAX(64,C625))&lt;&gt;"",INDEX(잔액!$K:$K,MAX(64,C625)),INDEX(잔액!$D:$D,MAX(64,C625))))</f>
        <v/>
      </c>
      <c r="H625" s="335" t="s">
        <v>1910</v>
      </c>
      <c r="J625" s="335" t="str">
        <f t="shared" si="68"/>
        <v/>
      </c>
      <c r="K625" s="346" t="str">
        <f t="shared" si="69"/>
        <v/>
      </c>
      <c r="L625" s="335" t="str">
        <f t="shared" si="70"/>
        <v/>
      </c>
      <c r="M625" s="335" t="str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  <v/>
      </c>
      <c r="N625" s="335" t="str">
        <f t="shared" si="71"/>
        <v/>
      </c>
      <c r="O625" s="348">
        <f t="shared" si="72"/>
        <v>0</v>
      </c>
    </row>
    <row r="626" spans="1:15" ht="16" hidden="1" outlineLevel="1">
      <c r="A626" s="335" t="str">
        <f t="shared" si="67"/>
        <v/>
      </c>
      <c r="B626" s="344"/>
      <c r="C626" s="344"/>
      <c r="D626" s="347" t="str">
        <f>IF(C626="","",IFERROR(INDEX(잔액!$Y:$Y,MAX(64,C626)),0))</f>
        <v/>
      </c>
      <c r="E626" s="346" t="str">
        <f>IF(C626="","",IFERROR(INDEX(잔액!$A:$A,MAX(64,C626)),""))</f>
        <v/>
      </c>
      <c r="F626" s="335" t="str">
        <f>IF(C626="","",IFERROR(INDEX(잔액!$C:$C,MAX(64,C626)),""))</f>
        <v/>
      </c>
      <c r="G626" s="335" t="str">
        <f>IF(C626="","",IF(INDEX(잔액!$K:$K,MAX(64,C626))&lt;&gt;"",INDEX(잔액!$K:$K,MAX(64,C626)),INDEX(잔액!$D:$D,MAX(64,C626))))</f>
        <v/>
      </c>
      <c r="H626" s="335" t="s">
        <v>1910</v>
      </c>
      <c r="J626" s="335" t="str">
        <f t="shared" si="68"/>
        <v/>
      </c>
      <c r="K626" s="346" t="str">
        <f t="shared" si="69"/>
        <v/>
      </c>
      <c r="L626" s="335" t="str">
        <f t="shared" si="70"/>
        <v/>
      </c>
      <c r="M626" s="335" t="str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  <v/>
      </c>
      <c r="N626" s="335" t="str">
        <f t="shared" si="71"/>
        <v/>
      </c>
      <c r="O626" s="348">
        <f t="shared" si="72"/>
        <v>0</v>
      </c>
    </row>
    <row r="627" spans="1:15" ht="16" hidden="1" outlineLevel="1">
      <c r="A627" s="335" t="str">
        <f t="shared" si="67"/>
        <v/>
      </c>
      <c r="B627" s="344"/>
      <c r="C627" s="344"/>
      <c r="D627" s="347" t="str">
        <f>IF(C627="","",IFERROR(INDEX(잔액!$Y:$Y,MAX(64,C627)),0))</f>
        <v/>
      </c>
      <c r="E627" s="346" t="str">
        <f>IF(C627="","",IFERROR(INDEX(잔액!$A:$A,MAX(64,C627)),""))</f>
        <v/>
      </c>
      <c r="F627" s="335" t="str">
        <f>IF(C627="","",IFERROR(INDEX(잔액!$C:$C,MAX(64,C627)),""))</f>
        <v/>
      </c>
      <c r="G627" s="335" t="str">
        <f>IF(C627="","",IF(INDEX(잔액!$K:$K,MAX(64,C627))&lt;&gt;"",INDEX(잔액!$K:$K,MAX(64,C627)),INDEX(잔액!$D:$D,MAX(64,C627))))</f>
        <v/>
      </c>
      <c r="H627" s="335" t="s">
        <v>1910</v>
      </c>
      <c r="J627" s="335" t="str">
        <f t="shared" si="68"/>
        <v/>
      </c>
      <c r="K627" s="346" t="str">
        <f t="shared" si="69"/>
        <v/>
      </c>
      <c r="L627" s="335" t="str">
        <f t="shared" si="70"/>
        <v/>
      </c>
      <c r="M627" s="335" t="str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  <v/>
      </c>
      <c r="N627" s="335" t="str">
        <f t="shared" si="71"/>
        <v/>
      </c>
      <c r="O627" s="348">
        <f t="shared" si="72"/>
        <v>0</v>
      </c>
    </row>
    <row r="628" spans="1:15" ht="16" hidden="1" outlineLevel="1">
      <c r="A628" s="335" t="str">
        <f t="shared" si="67"/>
        <v/>
      </c>
      <c r="B628" s="344"/>
      <c r="C628" s="344"/>
      <c r="D628" s="347" t="str">
        <f>IF(C628="","",IFERROR(INDEX(잔액!$Y:$Y,MAX(64,C628)),0))</f>
        <v/>
      </c>
      <c r="E628" s="346" t="str">
        <f>IF(C628="","",IFERROR(INDEX(잔액!$A:$A,MAX(64,C628)),""))</f>
        <v/>
      </c>
      <c r="F628" s="335" t="str">
        <f>IF(C628="","",IFERROR(INDEX(잔액!$C:$C,MAX(64,C628)),""))</f>
        <v/>
      </c>
      <c r="G628" s="335" t="str">
        <f>IF(C628="","",IF(INDEX(잔액!$K:$K,MAX(64,C628))&lt;&gt;"",INDEX(잔액!$K:$K,MAX(64,C628)),INDEX(잔액!$D:$D,MAX(64,C628))))</f>
        <v/>
      </c>
      <c r="H628" s="335" t="s">
        <v>1910</v>
      </c>
      <c r="J628" s="335" t="str">
        <f t="shared" si="68"/>
        <v/>
      </c>
      <c r="K628" s="346" t="str">
        <f t="shared" si="69"/>
        <v/>
      </c>
      <c r="L628" s="335" t="str">
        <f t="shared" si="70"/>
        <v/>
      </c>
      <c r="M628" s="335" t="str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  <v/>
      </c>
      <c r="N628" s="335" t="str">
        <f t="shared" si="71"/>
        <v/>
      </c>
      <c r="O628" s="348">
        <f t="shared" si="72"/>
        <v>0</v>
      </c>
    </row>
    <row r="629" spans="1:15" ht="16" hidden="1" outlineLevel="1">
      <c r="A629" s="335" t="str">
        <f t="shared" si="67"/>
        <v/>
      </c>
      <c r="B629" s="344"/>
      <c r="C629" s="344"/>
      <c r="D629" s="347" t="str">
        <f>IF(C629="","",IFERROR(INDEX(잔액!$Y:$Y,MAX(64,C629)),0))</f>
        <v/>
      </c>
      <c r="E629" s="346" t="str">
        <f>IF(C629="","",IFERROR(INDEX(잔액!$A:$A,MAX(64,C629)),""))</f>
        <v/>
      </c>
      <c r="F629" s="335" t="str">
        <f>IF(C629="","",IFERROR(INDEX(잔액!$C:$C,MAX(64,C629)),""))</f>
        <v/>
      </c>
      <c r="G629" s="335" t="str">
        <f>IF(C629="","",IF(INDEX(잔액!$K:$K,MAX(64,C629))&lt;&gt;"",INDEX(잔액!$K:$K,MAX(64,C629)),INDEX(잔액!$D:$D,MAX(64,C629))))</f>
        <v/>
      </c>
      <c r="H629" s="335" t="s">
        <v>1910</v>
      </c>
      <c r="J629" s="335" t="str">
        <f t="shared" si="68"/>
        <v/>
      </c>
      <c r="K629" s="346" t="str">
        <f t="shared" si="69"/>
        <v/>
      </c>
      <c r="L629" s="335" t="str">
        <f t="shared" si="70"/>
        <v/>
      </c>
      <c r="M629" s="335" t="str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  <v/>
      </c>
      <c r="N629" s="335" t="str">
        <f t="shared" si="71"/>
        <v/>
      </c>
      <c r="O629" s="348">
        <f t="shared" si="72"/>
        <v>0</v>
      </c>
    </row>
    <row r="630" spans="1:15" ht="16" hidden="1" outlineLevel="1">
      <c r="A630" s="335" t="str">
        <f t="shared" si="67"/>
        <v/>
      </c>
      <c r="B630" s="344"/>
      <c r="C630" s="344"/>
      <c r="D630" s="347" t="str">
        <f>IF(C630="","",IFERROR(INDEX(잔액!$Y:$Y,MAX(64,C630)),0))</f>
        <v/>
      </c>
      <c r="E630" s="346" t="str">
        <f>IF(C630="","",IFERROR(INDEX(잔액!$A:$A,MAX(64,C630)),""))</f>
        <v/>
      </c>
      <c r="F630" s="335" t="str">
        <f>IF(C630="","",IFERROR(INDEX(잔액!$C:$C,MAX(64,C630)),""))</f>
        <v/>
      </c>
      <c r="G630" s="335" t="str">
        <f>IF(C630="","",IF(INDEX(잔액!$K:$K,MAX(64,C630))&lt;&gt;"",INDEX(잔액!$K:$K,MAX(64,C630)),INDEX(잔액!$D:$D,MAX(64,C630))))</f>
        <v/>
      </c>
      <c r="H630" s="335" t="s">
        <v>1910</v>
      </c>
      <c r="J630" s="335" t="str">
        <f t="shared" si="68"/>
        <v/>
      </c>
      <c r="K630" s="346" t="str">
        <f t="shared" si="69"/>
        <v/>
      </c>
      <c r="L630" s="335" t="str">
        <f t="shared" si="70"/>
        <v/>
      </c>
      <c r="M630" s="335" t="str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  <v/>
      </c>
      <c r="N630" s="335" t="str">
        <f t="shared" si="71"/>
        <v/>
      </c>
      <c r="O630" s="348">
        <f t="shared" si="72"/>
        <v>0</v>
      </c>
    </row>
    <row r="631" spans="1:15" ht="16" hidden="1" outlineLevel="1">
      <c r="A631" s="335" t="str">
        <f t="shared" si="67"/>
        <v/>
      </c>
      <c r="B631" s="344"/>
      <c r="C631" s="344"/>
      <c r="D631" s="347" t="str">
        <f>IF(C631="","",IFERROR(INDEX(잔액!$Y:$Y,MAX(64,C631)),0))</f>
        <v/>
      </c>
      <c r="E631" s="346" t="str">
        <f>IF(C631="","",IFERROR(INDEX(잔액!$A:$A,MAX(64,C631)),""))</f>
        <v/>
      </c>
      <c r="F631" s="335" t="str">
        <f>IF(C631="","",IFERROR(INDEX(잔액!$C:$C,MAX(64,C631)),""))</f>
        <v/>
      </c>
      <c r="G631" s="335" t="str">
        <f>IF(C631="","",IF(INDEX(잔액!$K:$K,MAX(64,C631))&lt;&gt;"",INDEX(잔액!$K:$K,MAX(64,C631)),INDEX(잔액!$D:$D,MAX(64,C631))))</f>
        <v/>
      </c>
      <c r="H631" s="335" t="s">
        <v>1910</v>
      </c>
      <c r="J631" s="335" t="str">
        <f t="shared" si="68"/>
        <v/>
      </c>
      <c r="K631" s="346" t="str">
        <f t="shared" si="69"/>
        <v/>
      </c>
      <c r="L631" s="335" t="str">
        <f t="shared" si="70"/>
        <v/>
      </c>
      <c r="M631" s="335" t="str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  <v/>
      </c>
      <c r="N631" s="335" t="str">
        <f t="shared" si="71"/>
        <v/>
      </c>
      <c r="O631" s="348">
        <f t="shared" si="72"/>
        <v>0</v>
      </c>
    </row>
    <row r="632" spans="1:15" ht="16" hidden="1" outlineLevel="1">
      <c r="A632" s="335" t="str">
        <f t="shared" si="67"/>
        <v/>
      </c>
      <c r="B632" s="344"/>
      <c r="C632" s="344"/>
      <c r="D632" s="347" t="str">
        <f>IF(C632="","",IFERROR(INDEX(잔액!$Y:$Y,MAX(64,C632)),0))</f>
        <v/>
      </c>
      <c r="E632" s="346" t="str">
        <f>IF(C632="","",IFERROR(INDEX(잔액!$A:$A,MAX(64,C632)),""))</f>
        <v/>
      </c>
      <c r="F632" s="335" t="str">
        <f>IF(C632="","",IFERROR(INDEX(잔액!$C:$C,MAX(64,C632)),""))</f>
        <v/>
      </c>
      <c r="G632" s="335" t="str">
        <f>IF(C632="","",IF(INDEX(잔액!$K:$K,MAX(64,C632))&lt;&gt;"",INDEX(잔액!$K:$K,MAX(64,C632)),INDEX(잔액!$D:$D,MAX(64,C632))))</f>
        <v/>
      </c>
      <c r="H632" s="335" t="s">
        <v>1910</v>
      </c>
      <c r="J632" s="335" t="str">
        <f t="shared" si="68"/>
        <v/>
      </c>
      <c r="K632" s="346" t="str">
        <f t="shared" si="69"/>
        <v/>
      </c>
      <c r="L632" s="335" t="str">
        <f t="shared" si="70"/>
        <v/>
      </c>
      <c r="M632" s="335" t="str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  <v/>
      </c>
      <c r="N632" s="335" t="str">
        <f t="shared" si="71"/>
        <v/>
      </c>
      <c r="O632" s="348">
        <f t="shared" si="72"/>
        <v>0</v>
      </c>
    </row>
    <row r="633" spans="1:15" ht="16" hidden="1" outlineLevel="1">
      <c r="A633" s="335" t="str">
        <f t="shared" si="67"/>
        <v/>
      </c>
      <c r="B633" s="344"/>
      <c r="C633" s="344"/>
      <c r="D633" s="347" t="str">
        <f>IF(C633="","",IFERROR(INDEX(잔액!$Y:$Y,MAX(64,C633)),0))</f>
        <v/>
      </c>
      <c r="E633" s="346" t="str">
        <f>IF(C633="","",IFERROR(INDEX(잔액!$A:$A,MAX(64,C633)),""))</f>
        <v/>
      </c>
      <c r="F633" s="335" t="str">
        <f>IF(C633="","",IFERROR(INDEX(잔액!$C:$C,MAX(64,C633)),""))</f>
        <v/>
      </c>
      <c r="G633" s="335" t="str">
        <f>IF(C633="","",IF(INDEX(잔액!$K:$K,MAX(64,C633))&lt;&gt;"",INDEX(잔액!$K:$K,MAX(64,C633)),INDEX(잔액!$D:$D,MAX(64,C633))))</f>
        <v/>
      </c>
      <c r="H633" s="335" t="s">
        <v>1910</v>
      </c>
      <c r="J633" s="335" t="str">
        <f t="shared" si="68"/>
        <v/>
      </c>
      <c r="K633" s="346" t="str">
        <f t="shared" si="69"/>
        <v/>
      </c>
      <c r="L633" s="335" t="str">
        <f t="shared" si="70"/>
        <v/>
      </c>
      <c r="M633" s="335" t="str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  <v/>
      </c>
      <c r="N633" s="335" t="str">
        <f t="shared" si="71"/>
        <v/>
      </c>
      <c r="O633" s="348">
        <f t="shared" si="72"/>
        <v>0</v>
      </c>
    </row>
    <row r="634" spans="1:15" ht="16" hidden="1" outlineLevel="1">
      <c r="A634" s="335" t="str">
        <f t="shared" si="67"/>
        <v/>
      </c>
      <c r="B634" s="344"/>
      <c r="C634" s="344"/>
      <c r="D634" s="347" t="str">
        <f>IF(C634="","",IFERROR(INDEX(잔액!$Y:$Y,MAX(64,C634)),0))</f>
        <v/>
      </c>
      <c r="E634" s="346" t="str">
        <f>IF(C634="","",IFERROR(INDEX(잔액!$A:$A,MAX(64,C634)),""))</f>
        <v/>
      </c>
      <c r="F634" s="335" t="str">
        <f>IF(C634="","",IFERROR(INDEX(잔액!$C:$C,MAX(64,C634)),""))</f>
        <v/>
      </c>
      <c r="G634" s="335" t="str">
        <f>IF(C634="","",IF(INDEX(잔액!$K:$K,MAX(64,C634))&lt;&gt;"",INDEX(잔액!$K:$K,MAX(64,C634)),INDEX(잔액!$D:$D,MAX(64,C634))))</f>
        <v/>
      </c>
      <c r="H634" s="335" t="s">
        <v>1910</v>
      </c>
      <c r="J634" s="335" t="str">
        <f t="shared" si="68"/>
        <v/>
      </c>
      <c r="K634" s="346" t="str">
        <f t="shared" si="69"/>
        <v/>
      </c>
      <c r="L634" s="335" t="str">
        <f t="shared" si="70"/>
        <v/>
      </c>
      <c r="M634" s="335" t="str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  <v/>
      </c>
      <c r="N634" s="335" t="str">
        <f t="shared" si="71"/>
        <v/>
      </c>
      <c r="O634" s="348">
        <f t="shared" si="72"/>
        <v>0</v>
      </c>
    </row>
    <row r="635" spans="1:15" ht="16" hidden="1" outlineLevel="1">
      <c r="A635" s="335" t="str">
        <f t="shared" si="67"/>
        <v/>
      </c>
      <c r="B635" s="344"/>
      <c r="C635" s="344"/>
      <c r="D635" s="347" t="str">
        <f>IF(C635="","",IFERROR(INDEX(잔액!$Y:$Y,MAX(64,C635)),0))</f>
        <v/>
      </c>
      <c r="E635" s="346" t="str">
        <f>IF(C635="","",IFERROR(INDEX(잔액!$A:$A,MAX(64,C635)),""))</f>
        <v/>
      </c>
      <c r="F635" s="335" t="str">
        <f>IF(C635="","",IFERROR(INDEX(잔액!$C:$C,MAX(64,C635)),""))</f>
        <v/>
      </c>
      <c r="G635" s="335" t="str">
        <f>IF(C635="","",IF(INDEX(잔액!$K:$K,MAX(64,C635))&lt;&gt;"",INDEX(잔액!$K:$K,MAX(64,C635)),INDEX(잔액!$D:$D,MAX(64,C635))))</f>
        <v/>
      </c>
      <c r="H635" s="335" t="s">
        <v>1910</v>
      </c>
      <c r="J635" s="335" t="str">
        <f t="shared" si="68"/>
        <v/>
      </c>
      <c r="K635" s="346" t="str">
        <f t="shared" si="69"/>
        <v/>
      </c>
      <c r="L635" s="335" t="str">
        <f t="shared" si="70"/>
        <v/>
      </c>
      <c r="M635" s="335" t="str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  <v/>
      </c>
      <c r="N635" s="335" t="str">
        <f t="shared" si="71"/>
        <v/>
      </c>
      <c r="O635" s="348">
        <f t="shared" si="72"/>
        <v>0</v>
      </c>
    </row>
    <row r="636" spans="1:15" ht="16" hidden="1" outlineLevel="1">
      <c r="A636" s="335" t="str">
        <f t="shared" si="67"/>
        <v/>
      </c>
      <c r="B636" s="344"/>
      <c r="C636" s="344"/>
      <c r="D636" s="347" t="str">
        <f>IF(C636="","",IFERROR(INDEX(잔액!$Y:$Y,MAX(64,C636)),0))</f>
        <v/>
      </c>
      <c r="E636" s="346" t="str">
        <f>IF(C636="","",IFERROR(INDEX(잔액!$A:$A,MAX(64,C636)),""))</f>
        <v/>
      </c>
      <c r="F636" s="335" t="str">
        <f>IF(C636="","",IFERROR(INDEX(잔액!$C:$C,MAX(64,C636)),""))</f>
        <v/>
      </c>
      <c r="G636" s="335" t="str">
        <f>IF(C636="","",IF(INDEX(잔액!$K:$K,MAX(64,C636))&lt;&gt;"",INDEX(잔액!$K:$K,MAX(64,C636)),INDEX(잔액!$D:$D,MAX(64,C636))))</f>
        <v/>
      </c>
      <c r="H636" s="335" t="s">
        <v>1910</v>
      </c>
      <c r="J636" s="335" t="str">
        <f t="shared" si="68"/>
        <v/>
      </c>
      <c r="K636" s="346" t="str">
        <f t="shared" si="69"/>
        <v/>
      </c>
      <c r="L636" s="335" t="str">
        <f t="shared" si="70"/>
        <v/>
      </c>
      <c r="M636" s="335" t="str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  <v/>
      </c>
      <c r="N636" s="335" t="str">
        <f t="shared" si="71"/>
        <v/>
      </c>
      <c r="O636" s="348">
        <f t="shared" si="72"/>
        <v>0</v>
      </c>
    </row>
    <row r="637" spans="1:15" ht="16" hidden="1" outlineLevel="1">
      <c r="A637" s="335" t="str">
        <f t="shared" si="67"/>
        <v/>
      </c>
      <c r="B637" s="344"/>
      <c r="C637" s="344"/>
      <c r="D637" s="347" t="str">
        <f>IF(C637="","",IFERROR(INDEX(잔액!$Y:$Y,MAX(64,C637)),0))</f>
        <v/>
      </c>
      <c r="E637" s="346" t="str">
        <f>IF(C637="","",IFERROR(INDEX(잔액!$A:$A,MAX(64,C637)),""))</f>
        <v/>
      </c>
      <c r="F637" s="335" t="str">
        <f>IF(C637="","",IFERROR(INDEX(잔액!$C:$C,MAX(64,C637)),""))</f>
        <v/>
      </c>
      <c r="G637" s="335" t="str">
        <f>IF(C637="","",IF(INDEX(잔액!$K:$K,MAX(64,C637))&lt;&gt;"",INDEX(잔액!$K:$K,MAX(64,C637)),INDEX(잔액!$D:$D,MAX(64,C637))))</f>
        <v/>
      </c>
      <c r="H637" s="335" t="s">
        <v>1910</v>
      </c>
      <c r="J637" s="335" t="str">
        <f t="shared" si="68"/>
        <v/>
      </c>
      <c r="K637" s="346" t="str">
        <f t="shared" si="69"/>
        <v/>
      </c>
      <c r="L637" s="335" t="str">
        <f t="shared" si="70"/>
        <v/>
      </c>
      <c r="M637" s="335" t="str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  <v/>
      </c>
      <c r="N637" s="335" t="str">
        <f t="shared" si="71"/>
        <v/>
      </c>
      <c r="O637" s="348">
        <f t="shared" si="72"/>
        <v>0</v>
      </c>
    </row>
    <row r="638" spans="1:15" ht="16" hidden="1" outlineLevel="1">
      <c r="A638" s="335" t="str">
        <f t="shared" si="67"/>
        <v/>
      </c>
      <c r="B638" s="344"/>
      <c r="C638" s="344"/>
      <c r="D638" s="347" t="str">
        <f>IF(C638="","",IFERROR(INDEX(잔액!$Y:$Y,MAX(64,C638)),0))</f>
        <v/>
      </c>
      <c r="E638" s="346" t="str">
        <f>IF(C638="","",IFERROR(INDEX(잔액!$A:$A,MAX(64,C638)),""))</f>
        <v/>
      </c>
      <c r="F638" s="335" t="str">
        <f>IF(C638="","",IFERROR(INDEX(잔액!$C:$C,MAX(64,C638)),""))</f>
        <v/>
      </c>
      <c r="G638" s="335" t="str">
        <f>IF(C638="","",IF(INDEX(잔액!$K:$K,MAX(64,C638))&lt;&gt;"",INDEX(잔액!$K:$K,MAX(64,C638)),INDEX(잔액!$D:$D,MAX(64,C638))))</f>
        <v/>
      </c>
      <c r="H638" s="335" t="s">
        <v>1910</v>
      </c>
      <c r="J638" s="335" t="str">
        <f t="shared" si="68"/>
        <v/>
      </c>
      <c r="K638" s="346" t="str">
        <f t="shared" si="69"/>
        <v/>
      </c>
      <c r="L638" s="335" t="str">
        <f t="shared" si="70"/>
        <v/>
      </c>
      <c r="M638" s="335" t="str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  <v/>
      </c>
      <c r="N638" s="335" t="str">
        <f t="shared" si="71"/>
        <v/>
      </c>
      <c r="O638" s="348">
        <f t="shared" si="72"/>
        <v>0</v>
      </c>
    </row>
    <row r="639" spans="1:15" ht="16" hidden="1" outlineLevel="1">
      <c r="A639" s="335" t="str">
        <f t="shared" si="67"/>
        <v/>
      </c>
      <c r="B639" s="344"/>
      <c r="C639" s="344"/>
      <c r="D639" s="347" t="str">
        <f>IF(C639="","",IFERROR(INDEX(잔액!$Y:$Y,MAX(64,C639)),0))</f>
        <v/>
      </c>
      <c r="E639" s="346" t="str">
        <f>IF(C639="","",IFERROR(INDEX(잔액!$A:$A,MAX(64,C639)),""))</f>
        <v/>
      </c>
      <c r="F639" s="335" t="str">
        <f>IF(C639="","",IFERROR(INDEX(잔액!$C:$C,MAX(64,C639)),""))</f>
        <v/>
      </c>
      <c r="G639" s="335" t="str">
        <f>IF(C639="","",IF(INDEX(잔액!$K:$K,MAX(64,C639))&lt;&gt;"",INDEX(잔액!$K:$K,MAX(64,C639)),INDEX(잔액!$D:$D,MAX(64,C639))))</f>
        <v/>
      </c>
      <c r="H639" s="335" t="s">
        <v>1910</v>
      </c>
      <c r="J639" s="335" t="str">
        <f t="shared" si="68"/>
        <v/>
      </c>
      <c r="K639" s="346" t="str">
        <f t="shared" si="69"/>
        <v/>
      </c>
      <c r="L639" s="335" t="str">
        <f t="shared" si="70"/>
        <v/>
      </c>
      <c r="M639" s="335" t="str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  <v/>
      </c>
      <c r="N639" s="335" t="str">
        <f t="shared" si="71"/>
        <v/>
      </c>
      <c r="O639" s="348">
        <f t="shared" si="72"/>
        <v>0</v>
      </c>
    </row>
    <row r="640" spans="1:15" ht="16" hidden="1" outlineLevel="1">
      <c r="A640" s="335" t="str">
        <f t="shared" si="67"/>
        <v/>
      </c>
      <c r="B640" s="344"/>
      <c r="C640" s="344"/>
      <c r="D640" s="347" t="str">
        <f>IF(C640="","",IFERROR(INDEX(잔액!$Y:$Y,MAX(64,C640)),0))</f>
        <v/>
      </c>
      <c r="E640" s="346" t="str">
        <f>IF(C640="","",IFERROR(INDEX(잔액!$A:$A,MAX(64,C640)),""))</f>
        <v/>
      </c>
      <c r="F640" s="335" t="str">
        <f>IF(C640="","",IFERROR(INDEX(잔액!$C:$C,MAX(64,C640)),""))</f>
        <v/>
      </c>
      <c r="G640" s="335" t="str">
        <f>IF(C640="","",IF(INDEX(잔액!$K:$K,MAX(64,C640))&lt;&gt;"",INDEX(잔액!$K:$K,MAX(64,C640)),INDEX(잔액!$D:$D,MAX(64,C640))))</f>
        <v/>
      </c>
      <c r="H640" s="335" t="s">
        <v>1910</v>
      </c>
      <c r="J640" s="335" t="str">
        <f t="shared" si="68"/>
        <v/>
      </c>
      <c r="K640" s="346" t="str">
        <f t="shared" si="69"/>
        <v/>
      </c>
      <c r="L640" s="335" t="str">
        <f t="shared" si="70"/>
        <v/>
      </c>
      <c r="M640" s="335" t="str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  <v/>
      </c>
      <c r="N640" s="335" t="str">
        <f t="shared" si="71"/>
        <v/>
      </c>
      <c r="O640" s="348">
        <f t="shared" si="72"/>
        <v>0</v>
      </c>
    </row>
    <row r="641" spans="1:15" ht="16" hidden="1" outlineLevel="1">
      <c r="A641" s="335" t="str">
        <f t="shared" si="67"/>
        <v/>
      </c>
      <c r="B641" s="344"/>
      <c r="C641" s="344"/>
      <c r="D641" s="347" t="str">
        <f>IF(C641="","",IFERROR(INDEX(잔액!$Y:$Y,MAX(64,C641)),0))</f>
        <v/>
      </c>
      <c r="E641" s="346" t="str">
        <f>IF(C641="","",IFERROR(INDEX(잔액!$A:$A,MAX(64,C641)),""))</f>
        <v/>
      </c>
      <c r="F641" s="335" t="str">
        <f>IF(C641="","",IFERROR(INDEX(잔액!$C:$C,MAX(64,C641)),""))</f>
        <v/>
      </c>
      <c r="G641" s="335" t="str">
        <f>IF(C641="","",IF(INDEX(잔액!$K:$K,MAX(64,C641))&lt;&gt;"",INDEX(잔액!$K:$K,MAX(64,C641)),INDEX(잔액!$D:$D,MAX(64,C641))))</f>
        <v/>
      </c>
      <c r="H641" s="335" t="s">
        <v>1910</v>
      </c>
      <c r="J641" s="335" t="str">
        <f t="shared" si="68"/>
        <v/>
      </c>
      <c r="K641" s="346" t="str">
        <f t="shared" si="69"/>
        <v/>
      </c>
      <c r="L641" s="335" t="str">
        <f t="shared" si="70"/>
        <v/>
      </c>
      <c r="M641" s="335" t="str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  <v/>
      </c>
      <c r="N641" s="335" t="str">
        <f t="shared" si="71"/>
        <v/>
      </c>
      <c r="O641" s="348">
        <f t="shared" si="72"/>
        <v>0</v>
      </c>
    </row>
    <row r="642" spans="1:15" ht="16" hidden="1" outlineLevel="1">
      <c r="A642" s="335" t="str">
        <f t="shared" si="67"/>
        <v/>
      </c>
      <c r="B642" s="344"/>
      <c r="C642" s="344"/>
      <c r="D642" s="347" t="str">
        <f>IF(C642="","",IFERROR(INDEX(잔액!$Y:$Y,MAX(64,C642)),0))</f>
        <v/>
      </c>
      <c r="E642" s="346" t="str">
        <f>IF(C642="","",IFERROR(INDEX(잔액!$A:$A,MAX(64,C642)),""))</f>
        <v/>
      </c>
      <c r="F642" s="335" t="str">
        <f>IF(C642="","",IFERROR(INDEX(잔액!$C:$C,MAX(64,C642)),""))</f>
        <v/>
      </c>
      <c r="G642" s="335" t="str">
        <f>IF(C642="","",IF(INDEX(잔액!$K:$K,MAX(64,C642))&lt;&gt;"",INDEX(잔액!$K:$K,MAX(64,C642)),INDEX(잔액!$D:$D,MAX(64,C642))))</f>
        <v/>
      </c>
      <c r="H642" s="335" t="s">
        <v>1910</v>
      </c>
      <c r="J642" s="335" t="str">
        <f t="shared" si="68"/>
        <v/>
      </c>
      <c r="K642" s="346" t="str">
        <f t="shared" si="69"/>
        <v/>
      </c>
      <c r="L642" s="335" t="str">
        <f t="shared" si="70"/>
        <v/>
      </c>
      <c r="M642" s="335" t="str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  <v/>
      </c>
      <c r="N642" s="335" t="str">
        <f t="shared" si="71"/>
        <v/>
      </c>
      <c r="O642" s="348">
        <f t="shared" si="72"/>
        <v>0</v>
      </c>
    </row>
    <row r="643" spans="1:15" ht="16" hidden="1" outlineLevel="1">
      <c r="A643" s="335" t="str">
        <f t="shared" si="67"/>
        <v/>
      </c>
      <c r="B643" s="344"/>
      <c r="C643" s="344"/>
      <c r="D643" s="347" t="str">
        <f>IF(C643="","",IFERROR(INDEX(잔액!$Y:$Y,MAX(64,C643)),0))</f>
        <v/>
      </c>
      <c r="E643" s="346" t="str">
        <f>IF(C643="","",IFERROR(INDEX(잔액!$A:$A,MAX(64,C643)),""))</f>
        <v/>
      </c>
      <c r="F643" s="335" t="str">
        <f>IF(C643="","",IFERROR(INDEX(잔액!$C:$C,MAX(64,C643)),""))</f>
        <v/>
      </c>
      <c r="G643" s="335" t="str">
        <f>IF(C643="","",IF(INDEX(잔액!$K:$K,MAX(64,C643))&lt;&gt;"",INDEX(잔액!$K:$K,MAX(64,C643)),INDEX(잔액!$D:$D,MAX(64,C643))))</f>
        <v/>
      </c>
      <c r="H643" s="335" t="s">
        <v>1910</v>
      </c>
      <c r="J643" s="335" t="str">
        <f t="shared" si="68"/>
        <v/>
      </c>
      <c r="K643" s="346" t="str">
        <f t="shared" si="69"/>
        <v/>
      </c>
      <c r="L643" s="335" t="str">
        <f t="shared" si="70"/>
        <v/>
      </c>
      <c r="M643" s="335" t="str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  <v/>
      </c>
      <c r="N643" s="335" t="str">
        <f t="shared" si="71"/>
        <v/>
      </c>
      <c r="O643" s="348">
        <f t="shared" si="72"/>
        <v>0</v>
      </c>
    </row>
    <row r="644" spans="1:15" ht="16" hidden="1" outlineLevel="1">
      <c r="A644" s="335" t="str">
        <f t="shared" si="67"/>
        <v/>
      </c>
      <c r="B644" s="344"/>
      <c r="C644" s="344"/>
      <c r="D644" s="347" t="str">
        <f>IF(C644="","",IFERROR(INDEX(잔액!$Y:$Y,MAX(64,C644)),0))</f>
        <v/>
      </c>
      <c r="E644" s="346" t="str">
        <f>IF(C644="","",IFERROR(INDEX(잔액!$A:$A,MAX(64,C644)),""))</f>
        <v/>
      </c>
      <c r="F644" s="335" t="str">
        <f>IF(C644="","",IFERROR(INDEX(잔액!$C:$C,MAX(64,C644)),""))</f>
        <v/>
      </c>
      <c r="G644" s="335" t="str">
        <f>IF(C644="","",IF(INDEX(잔액!$K:$K,MAX(64,C644))&lt;&gt;"",INDEX(잔액!$K:$K,MAX(64,C644)),INDEX(잔액!$D:$D,MAX(64,C644))))</f>
        <v/>
      </c>
      <c r="H644" s="335" t="s">
        <v>1910</v>
      </c>
      <c r="J644" s="335" t="str">
        <f t="shared" si="68"/>
        <v/>
      </c>
      <c r="K644" s="346" t="str">
        <f t="shared" si="69"/>
        <v/>
      </c>
      <c r="L644" s="335" t="str">
        <f t="shared" si="70"/>
        <v/>
      </c>
      <c r="M644" s="335" t="str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  <v/>
      </c>
      <c r="N644" s="335" t="str">
        <f t="shared" si="71"/>
        <v/>
      </c>
      <c r="O644" s="348">
        <f t="shared" si="72"/>
        <v>0</v>
      </c>
    </row>
    <row r="645" spans="1:15" ht="16" hidden="1" outlineLevel="1">
      <c r="A645" s="335" t="str">
        <f t="shared" si="67"/>
        <v/>
      </c>
      <c r="B645" s="344"/>
      <c r="C645" s="344"/>
      <c r="D645" s="347" t="str">
        <f>IF(C645="","",IFERROR(INDEX(잔액!$Y:$Y,MAX(64,C645)),0))</f>
        <v/>
      </c>
      <c r="E645" s="346" t="str">
        <f>IF(C645="","",IFERROR(INDEX(잔액!$A:$A,MAX(64,C645)),""))</f>
        <v/>
      </c>
      <c r="F645" s="335" t="str">
        <f>IF(C645="","",IFERROR(INDEX(잔액!$C:$C,MAX(64,C645)),""))</f>
        <v/>
      </c>
      <c r="G645" s="335" t="str">
        <f>IF(C645="","",IF(INDEX(잔액!$K:$K,MAX(64,C645))&lt;&gt;"",INDEX(잔액!$K:$K,MAX(64,C645)),INDEX(잔액!$D:$D,MAX(64,C645))))</f>
        <v/>
      </c>
      <c r="H645" s="335" t="s">
        <v>1910</v>
      </c>
      <c r="J645" s="335" t="str">
        <f t="shared" si="68"/>
        <v/>
      </c>
      <c r="K645" s="346" t="str">
        <f t="shared" si="69"/>
        <v/>
      </c>
      <c r="L645" s="335" t="str">
        <f t="shared" si="70"/>
        <v/>
      </c>
      <c r="M645" s="335" t="str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  <v/>
      </c>
      <c r="N645" s="335" t="str">
        <f t="shared" si="71"/>
        <v/>
      </c>
      <c r="O645" s="348">
        <f t="shared" si="72"/>
        <v>0</v>
      </c>
    </row>
    <row r="646" spans="1:15" ht="16" hidden="1" outlineLevel="1">
      <c r="A646" s="335" t="str">
        <f t="shared" si="67"/>
        <v/>
      </c>
      <c r="B646" s="344"/>
      <c r="C646" s="344"/>
      <c r="D646" s="347" t="str">
        <f>IF(C646="","",IFERROR(INDEX(잔액!$Y:$Y,MAX(64,C646)),0))</f>
        <v/>
      </c>
      <c r="E646" s="346" t="str">
        <f>IF(C646="","",IFERROR(INDEX(잔액!$A:$A,MAX(64,C646)),""))</f>
        <v/>
      </c>
      <c r="F646" s="335" t="str">
        <f>IF(C646="","",IFERROR(INDEX(잔액!$C:$C,MAX(64,C646)),""))</f>
        <v/>
      </c>
      <c r="G646" s="335" t="str">
        <f>IF(C646="","",IF(INDEX(잔액!$K:$K,MAX(64,C646))&lt;&gt;"",INDEX(잔액!$K:$K,MAX(64,C646)),INDEX(잔액!$D:$D,MAX(64,C646))))</f>
        <v/>
      </c>
      <c r="H646" s="335" t="s">
        <v>1910</v>
      </c>
      <c r="J646" s="335" t="str">
        <f t="shared" si="68"/>
        <v/>
      </c>
      <c r="K646" s="346" t="str">
        <f t="shared" si="69"/>
        <v/>
      </c>
      <c r="L646" s="335" t="str">
        <f t="shared" si="70"/>
        <v/>
      </c>
      <c r="M646" s="335" t="str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  <v/>
      </c>
      <c r="N646" s="335" t="str">
        <f t="shared" si="71"/>
        <v/>
      </c>
      <c r="O646" s="348">
        <f t="shared" si="72"/>
        <v>0</v>
      </c>
    </row>
    <row r="647" spans="1:15" ht="16" hidden="1" outlineLevel="1">
      <c r="A647" s="335" t="str">
        <f t="shared" si="67"/>
        <v/>
      </c>
      <c r="B647" s="344"/>
      <c r="C647" s="344"/>
      <c r="D647" s="347" t="str">
        <f>IF(C647="","",IFERROR(INDEX(잔액!$Y:$Y,MAX(64,C647)),0))</f>
        <v/>
      </c>
      <c r="E647" s="346" t="str">
        <f>IF(C647="","",IFERROR(INDEX(잔액!$A:$A,MAX(64,C647)),""))</f>
        <v/>
      </c>
      <c r="F647" s="335" t="str">
        <f>IF(C647="","",IFERROR(INDEX(잔액!$C:$C,MAX(64,C647)),""))</f>
        <v/>
      </c>
      <c r="G647" s="335" t="str">
        <f>IF(C647="","",IF(INDEX(잔액!$K:$K,MAX(64,C647))&lt;&gt;"",INDEX(잔액!$K:$K,MAX(64,C647)),INDEX(잔액!$D:$D,MAX(64,C647))))</f>
        <v/>
      </c>
      <c r="H647" s="335" t="s">
        <v>1910</v>
      </c>
      <c r="J647" s="335" t="str">
        <f t="shared" si="68"/>
        <v/>
      </c>
      <c r="K647" s="346" t="str">
        <f t="shared" si="69"/>
        <v/>
      </c>
      <c r="L647" s="335" t="str">
        <f t="shared" si="70"/>
        <v/>
      </c>
      <c r="M647" s="335" t="str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  <v/>
      </c>
      <c r="N647" s="335" t="str">
        <f t="shared" si="71"/>
        <v/>
      </c>
      <c r="O647" s="348">
        <f t="shared" si="72"/>
        <v>0</v>
      </c>
    </row>
    <row r="648" spans="1:15" ht="16" hidden="1" outlineLevel="1">
      <c r="A648" s="335" t="str">
        <f t="shared" si="67"/>
        <v/>
      </c>
      <c r="B648" s="344"/>
      <c r="C648" s="344"/>
      <c r="D648" s="347" t="str">
        <f>IF(C648="","",IFERROR(INDEX(잔액!$Y:$Y,MAX(64,C648)),0))</f>
        <v/>
      </c>
      <c r="E648" s="346" t="str">
        <f>IF(C648="","",IFERROR(INDEX(잔액!$A:$A,MAX(64,C648)),""))</f>
        <v/>
      </c>
      <c r="F648" s="335" t="str">
        <f>IF(C648="","",IFERROR(INDEX(잔액!$C:$C,MAX(64,C648)),""))</f>
        <v/>
      </c>
      <c r="G648" s="335" t="str">
        <f>IF(C648="","",IF(INDEX(잔액!$K:$K,MAX(64,C648))&lt;&gt;"",INDEX(잔액!$K:$K,MAX(64,C648)),INDEX(잔액!$D:$D,MAX(64,C648))))</f>
        <v/>
      </c>
      <c r="H648" s="335" t="s">
        <v>1910</v>
      </c>
      <c r="J648" s="335" t="str">
        <f t="shared" si="68"/>
        <v/>
      </c>
      <c r="K648" s="346" t="str">
        <f t="shared" si="69"/>
        <v/>
      </c>
      <c r="L648" s="335" t="str">
        <f t="shared" si="70"/>
        <v/>
      </c>
      <c r="M648" s="335" t="str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  <v/>
      </c>
      <c r="N648" s="335" t="str">
        <f t="shared" si="71"/>
        <v/>
      </c>
      <c r="O648" s="348">
        <f t="shared" si="72"/>
        <v>0</v>
      </c>
    </row>
    <row r="649" spans="1:15" ht="16" hidden="1" outlineLevel="1">
      <c r="A649" s="335" t="str">
        <f t="shared" si="67"/>
        <v/>
      </c>
      <c r="B649" s="344"/>
      <c r="C649" s="344"/>
      <c r="D649" s="347" t="str">
        <f>IF(C649="","",IFERROR(INDEX(잔액!$Y:$Y,MAX(64,C649)),0))</f>
        <v/>
      </c>
      <c r="E649" s="346" t="str">
        <f>IF(C649="","",IFERROR(INDEX(잔액!$A:$A,MAX(64,C649)),""))</f>
        <v/>
      </c>
      <c r="F649" s="335" t="str">
        <f>IF(C649="","",IFERROR(INDEX(잔액!$C:$C,MAX(64,C649)),""))</f>
        <v/>
      </c>
      <c r="G649" s="335" t="str">
        <f>IF(C649="","",IF(INDEX(잔액!$K:$K,MAX(64,C649))&lt;&gt;"",INDEX(잔액!$K:$K,MAX(64,C649)),INDEX(잔액!$D:$D,MAX(64,C649))))</f>
        <v/>
      </c>
      <c r="H649" s="335" t="s">
        <v>1910</v>
      </c>
      <c r="J649" s="335" t="str">
        <f t="shared" si="68"/>
        <v/>
      </c>
      <c r="K649" s="346" t="str">
        <f t="shared" si="69"/>
        <v/>
      </c>
      <c r="L649" s="335" t="str">
        <f t="shared" si="70"/>
        <v/>
      </c>
      <c r="M649" s="335" t="str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  <v/>
      </c>
      <c r="N649" s="335" t="str">
        <f t="shared" si="71"/>
        <v/>
      </c>
      <c r="O649" s="348">
        <f t="shared" si="72"/>
        <v>0</v>
      </c>
    </row>
    <row r="650" spans="1:15" ht="16" hidden="1" outlineLevel="1">
      <c r="A650" s="335" t="str">
        <f t="shared" si="67"/>
        <v/>
      </c>
      <c r="B650" s="344"/>
      <c r="C650" s="344"/>
      <c r="D650" s="347" t="str">
        <f>IF(C650="","",IFERROR(INDEX(잔액!$Y:$Y,MAX(64,C650)),0))</f>
        <v/>
      </c>
      <c r="E650" s="346" t="str">
        <f>IF(C650="","",IFERROR(INDEX(잔액!$A:$A,MAX(64,C650)),""))</f>
        <v/>
      </c>
      <c r="F650" s="335" t="str">
        <f>IF(C650="","",IFERROR(INDEX(잔액!$C:$C,MAX(64,C650)),""))</f>
        <v/>
      </c>
      <c r="G650" s="335" t="str">
        <f>IF(C650="","",IF(INDEX(잔액!$K:$K,MAX(64,C650))&lt;&gt;"",INDEX(잔액!$K:$K,MAX(64,C650)),INDEX(잔액!$D:$D,MAX(64,C650))))</f>
        <v/>
      </c>
      <c r="H650" s="335" t="s">
        <v>1910</v>
      </c>
      <c r="J650" s="335" t="str">
        <f t="shared" si="68"/>
        <v/>
      </c>
      <c r="K650" s="346" t="str">
        <f t="shared" si="69"/>
        <v/>
      </c>
      <c r="L650" s="335" t="str">
        <f t="shared" si="70"/>
        <v/>
      </c>
      <c r="M650" s="335" t="str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  <v/>
      </c>
      <c r="N650" s="335" t="str">
        <f t="shared" si="71"/>
        <v/>
      </c>
      <c r="O650" s="348">
        <f t="shared" si="72"/>
        <v>0</v>
      </c>
    </row>
    <row r="651" spans="1:15" ht="16" hidden="1" outlineLevel="1">
      <c r="A651" s="335" t="str">
        <f t="shared" si="67"/>
        <v/>
      </c>
      <c r="B651" s="344"/>
      <c r="C651" s="344"/>
      <c r="D651" s="347" t="str">
        <f>IF(C651="","",IFERROR(INDEX(잔액!$Y:$Y,MAX(64,C651)),0))</f>
        <v/>
      </c>
      <c r="E651" s="346" t="str">
        <f>IF(C651="","",IFERROR(INDEX(잔액!$A:$A,MAX(64,C651)),""))</f>
        <v/>
      </c>
      <c r="F651" s="335" t="str">
        <f>IF(C651="","",IFERROR(INDEX(잔액!$C:$C,MAX(64,C651)),""))</f>
        <v/>
      </c>
      <c r="G651" s="335" t="str">
        <f>IF(C651="","",IF(INDEX(잔액!$K:$K,MAX(64,C651))&lt;&gt;"",INDEX(잔액!$K:$K,MAX(64,C651)),INDEX(잔액!$D:$D,MAX(64,C651))))</f>
        <v/>
      </c>
      <c r="H651" s="335" t="s">
        <v>1910</v>
      </c>
      <c r="J651" s="335" t="str">
        <f t="shared" si="68"/>
        <v/>
      </c>
      <c r="K651" s="346" t="str">
        <f t="shared" si="69"/>
        <v/>
      </c>
      <c r="L651" s="335" t="str">
        <f t="shared" si="70"/>
        <v/>
      </c>
      <c r="M651" s="335" t="str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  <v/>
      </c>
      <c r="N651" s="335" t="str">
        <f t="shared" si="71"/>
        <v/>
      </c>
      <c r="O651" s="348">
        <f t="shared" si="72"/>
        <v>0</v>
      </c>
    </row>
    <row r="652" spans="1:15" ht="16" hidden="1" outlineLevel="1">
      <c r="A652" s="335" t="str">
        <f t="shared" si="67"/>
        <v/>
      </c>
      <c r="B652" s="344"/>
      <c r="C652" s="344"/>
      <c r="D652" s="347" t="str">
        <f>IF(C652="","",IFERROR(INDEX(잔액!$Y:$Y,MAX(64,C652)),0))</f>
        <v/>
      </c>
      <c r="E652" s="346" t="str">
        <f>IF(C652="","",IFERROR(INDEX(잔액!$A:$A,MAX(64,C652)),""))</f>
        <v/>
      </c>
      <c r="F652" s="335" t="str">
        <f>IF(C652="","",IFERROR(INDEX(잔액!$C:$C,MAX(64,C652)),""))</f>
        <v/>
      </c>
      <c r="G652" s="335" t="str">
        <f>IF(C652="","",IF(INDEX(잔액!$K:$K,MAX(64,C652))&lt;&gt;"",INDEX(잔액!$K:$K,MAX(64,C652)),INDEX(잔액!$D:$D,MAX(64,C652))))</f>
        <v/>
      </c>
      <c r="H652" s="335" t="s">
        <v>1910</v>
      </c>
      <c r="J652" s="335" t="str">
        <f t="shared" si="68"/>
        <v/>
      </c>
      <c r="K652" s="346" t="str">
        <f t="shared" si="69"/>
        <v/>
      </c>
      <c r="L652" s="335" t="str">
        <f t="shared" si="70"/>
        <v/>
      </c>
      <c r="M652" s="335" t="str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  <v/>
      </c>
      <c r="N652" s="335" t="str">
        <f t="shared" si="71"/>
        <v/>
      </c>
      <c r="O652" s="348">
        <f t="shared" si="72"/>
        <v>0</v>
      </c>
    </row>
    <row r="653" spans="1:15" ht="16" hidden="1" outlineLevel="1">
      <c r="A653" s="335" t="str">
        <f t="shared" si="67"/>
        <v/>
      </c>
      <c r="B653" s="344"/>
      <c r="C653" s="344"/>
      <c r="D653" s="347" t="str">
        <f>IF(C653="","",IFERROR(INDEX(잔액!$Y:$Y,MAX(64,C653)),0))</f>
        <v/>
      </c>
      <c r="E653" s="346" t="str">
        <f>IF(C653="","",IFERROR(INDEX(잔액!$A:$A,MAX(64,C653)),""))</f>
        <v/>
      </c>
      <c r="F653" s="335" t="str">
        <f>IF(C653="","",IFERROR(INDEX(잔액!$C:$C,MAX(64,C653)),""))</f>
        <v/>
      </c>
      <c r="G653" s="335" t="str">
        <f>IF(C653="","",IF(INDEX(잔액!$K:$K,MAX(64,C653))&lt;&gt;"",INDEX(잔액!$K:$K,MAX(64,C653)),INDEX(잔액!$D:$D,MAX(64,C653))))</f>
        <v/>
      </c>
      <c r="H653" s="335" t="s">
        <v>1910</v>
      </c>
      <c r="J653" s="335" t="str">
        <f t="shared" si="68"/>
        <v/>
      </c>
      <c r="K653" s="346" t="str">
        <f t="shared" si="69"/>
        <v/>
      </c>
      <c r="L653" s="335" t="str">
        <f t="shared" si="70"/>
        <v/>
      </c>
      <c r="M653" s="335" t="str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  <v/>
      </c>
      <c r="N653" s="335" t="str">
        <f t="shared" si="71"/>
        <v/>
      </c>
      <c r="O653" s="348">
        <f t="shared" si="72"/>
        <v>0</v>
      </c>
    </row>
    <row r="654" spans="1:15" ht="16" hidden="1" outlineLevel="1">
      <c r="A654" s="335" t="str">
        <f t="shared" si="67"/>
        <v/>
      </c>
      <c r="B654" s="344"/>
      <c r="C654" s="344"/>
      <c r="D654" s="347" t="str">
        <f>IF(C654="","",IFERROR(INDEX(잔액!$Y:$Y,MAX(64,C654)),0))</f>
        <v/>
      </c>
      <c r="E654" s="346" t="str">
        <f>IF(C654="","",IFERROR(INDEX(잔액!$A:$A,MAX(64,C654)),""))</f>
        <v/>
      </c>
      <c r="F654" s="335" t="str">
        <f>IF(C654="","",IFERROR(INDEX(잔액!$C:$C,MAX(64,C654)),""))</f>
        <v/>
      </c>
      <c r="G654" s="335" t="str">
        <f>IF(C654="","",IF(INDEX(잔액!$K:$K,MAX(64,C654))&lt;&gt;"",INDEX(잔액!$K:$K,MAX(64,C654)),INDEX(잔액!$D:$D,MAX(64,C654))))</f>
        <v/>
      </c>
      <c r="H654" s="335" t="s">
        <v>1910</v>
      </c>
      <c r="J654" s="335" t="str">
        <f t="shared" si="68"/>
        <v/>
      </c>
      <c r="K654" s="346" t="str">
        <f t="shared" si="69"/>
        <v/>
      </c>
      <c r="L654" s="335" t="str">
        <f t="shared" si="70"/>
        <v/>
      </c>
      <c r="M654" s="335" t="str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  <v/>
      </c>
      <c r="N654" s="335" t="str">
        <f t="shared" si="71"/>
        <v/>
      </c>
      <c r="O654" s="348">
        <f t="shared" si="72"/>
        <v>0</v>
      </c>
    </row>
    <row r="655" spans="1:15" ht="16" hidden="1" outlineLevel="1">
      <c r="A655" s="335" t="str">
        <f t="shared" si="67"/>
        <v/>
      </c>
      <c r="B655" s="344"/>
      <c r="C655" s="344"/>
      <c r="D655" s="347" t="str">
        <f>IF(C655="","",IFERROR(INDEX(잔액!$Y:$Y,MAX(64,C655)),0))</f>
        <v/>
      </c>
      <c r="E655" s="346" t="str">
        <f>IF(C655="","",IFERROR(INDEX(잔액!$A:$A,MAX(64,C655)),""))</f>
        <v/>
      </c>
      <c r="F655" s="335" t="str">
        <f>IF(C655="","",IFERROR(INDEX(잔액!$C:$C,MAX(64,C655)),""))</f>
        <v/>
      </c>
      <c r="G655" s="335" t="str">
        <f>IF(C655="","",IF(INDEX(잔액!$K:$K,MAX(64,C655))&lt;&gt;"",INDEX(잔액!$K:$K,MAX(64,C655)),INDEX(잔액!$D:$D,MAX(64,C655))))</f>
        <v/>
      </c>
      <c r="H655" s="335" t="s">
        <v>1910</v>
      </c>
      <c r="J655" s="335" t="str">
        <f t="shared" si="68"/>
        <v/>
      </c>
      <c r="K655" s="346" t="str">
        <f t="shared" si="69"/>
        <v/>
      </c>
      <c r="L655" s="335" t="str">
        <f t="shared" si="70"/>
        <v/>
      </c>
      <c r="M655" s="335" t="str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  <v/>
      </c>
      <c r="N655" s="335" t="str">
        <f t="shared" si="71"/>
        <v/>
      </c>
      <c r="O655" s="348">
        <f t="shared" si="72"/>
        <v>0</v>
      </c>
    </row>
    <row r="656" spans="1:15" ht="16" hidden="1" outlineLevel="1">
      <c r="A656" s="335" t="str">
        <f t="shared" si="67"/>
        <v/>
      </c>
      <c r="B656" s="344"/>
      <c r="C656" s="344"/>
      <c r="D656" s="347" t="str">
        <f>IF(C656="","",IFERROR(INDEX(잔액!$Y:$Y,MAX(64,C656)),0))</f>
        <v/>
      </c>
      <c r="E656" s="346" t="str">
        <f>IF(C656="","",IFERROR(INDEX(잔액!$A:$A,MAX(64,C656)),""))</f>
        <v/>
      </c>
      <c r="F656" s="335" t="str">
        <f>IF(C656="","",IFERROR(INDEX(잔액!$C:$C,MAX(64,C656)),""))</f>
        <v/>
      </c>
      <c r="G656" s="335" t="str">
        <f>IF(C656="","",IF(INDEX(잔액!$K:$K,MAX(64,C656))&lt;&gt;"",INDEX(잔액!$K:$K,MAX(64,C656)),INDEX(잔액!$D:$D,MAX(64,C656))))</f>
        <v/>
      </c>
      <c r="H656" s="335" t="s">
        <v>1910</v>
      </c>
      <c r="J656" s="335" t="str">
        <f t="shared" si="68"/>
        <v/>
      </c>
      <c r="K656" s="346" t="str">
        <f t="shared" si="69"/>
        <v/>
      </c>
      <c r="L656" s="335" t="str">
        <f t="shared" si="70"/>
        <v/>
      </c>
      <c r="M656" s="335" t="str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  <v/>
      </c>
      <c r="N656" s="335" t="str">
        <f t="shared" si="71"/>
        <v/>
      </c>
      <c r="O656" s="348">
        <f t="shared" si="72"/>
        <v>0</v>
      </c>
    </row>
    <row r="657" spans="1:15" ht="16" hidden="1" outlineLevel="1">
      <c r="A657" s="335" t="str">
        <f t="shared" si="67"/>
        <v/>
      </c>
      <c r="B657" s="344"/>
      <c r="C657" s="344"/>
      <c r="D657" s="347" t="str">
        <f>IF(C657="","",IFERROR(INDEX(잔액!$Y:$Y,MAX(64,C657)),0))</f>
        <v/>
      </c>
      <c r="E657" s="346" t="str">
        <f>IF(C657="","",IFERROR(INDEX(잔액!$A:$A,MAX(64,C657)),""))</f>
        <v/>
      </c>
      <c r="F657" s="335" t="str">
        <f>IF(C657="","",IFERROR(INDEX(잔액!$C:$C,MAX(64,C657)),""))</f>
        <v/>
      </c>
      <c r="G657" s="335" t="str">
        <f>IF(C657="","",IF(INDEX(잔액!$K:$K,MAX(64,C657))&lt;&gt;"",INDEX(잔액!$K:$K,MAX(64,C657)),INDEX(잔액!$D:$D,MAX(64,C657))))</f>
        <v/>
      </c>
      <c r="H657" s="335" t="s">
        <v>1910</v>
      </c>
      <c r="J657" s="335" t="str">
        <f t="shared" si="68"/>
        <v/>
      </c>
      <c r="K657" s="346" t="str">
        <f t="shared" si="69"/>
        <v/>
      </c>
      <c r="L657" s="335" t="str">
        <f t="shared" si="70"/>
        <v/>
      </c>
      <c r="M657" s="335" t="str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  <v/>
      </c>
      <c r="N657" s="335" t="str">
        <f t="shared" si="71"/>
        <v/>
      </c>
      <c r="O657" s="348">
        <f t="shared" si="72"/>
        <v>0</v>
      </c>
    </row>
    <row r="658" spans="1:15" ht="16" hidden="1" outlineLevel="1">
      <c r="A658" s="335" t="str">
        <f t="shared" si="67"/>
        <v/>
      </c>
      <c r="B658" s="344"/>
      <c r="C658" s="344"/>
      <c r="D658" s="347" t="str">
        <f>IF(C658="","",IFERROR(INDEX(잔액!$Y:$Y,MAX(64,C658)),0))</f>
        <v/>
      </c>
      <c r="E658" s="346" t="str">
        <f>IF(C658="","",IFERROR(INDEX(잔액!$A:$A,MAX(64,C658)),""))</f>
        <v/>
      </c>
      <c r="F658" s="335" t="str">
        <f>IF(C658="","",IFERROR(INDEX(잔액!$C:$C,MAX(64,C658)),""))</f>
        <v/>
      </c>
      <c r="G658" s="335" t="str">
        <f>IF(C658="","",IF(INDEX(잔액!$K:$K,MAX(64,C658))&lt;&gt;"",INDEX(잔액!$K:$K,MAX(64,C658)),INDEX(잔액!$D:$D,MAX(64,C658))))</f>
        <v/>
      </c>
      <c r="H658" s="335" t="s">
        <v>1910</v>
      </c>
      <c r="J658" s="335" t="str">
        <f t="shared" si="68"/>
        <v/>
      </c>
      <c r="K658" s="346" t="str">
        <f t="shared" si="69"/>
        <v/>
      </c>
      <c r="L658" s="335" t="str">
        <f t="shared" si="70"/>
        <v/>
      </c>
      <c r="M658" s="335" t="str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  <v/>
      </c>
      <c r="N658" s="335" t="str">
        <f t="shared" si="71"/>
        <v/>
      </c>
      <c r="O658" s="348">
        <f t="shared" si="72"/>
        <v>0</v>
      </c>
    </row>
    <row r="659" spans="1:15" ht="16" hidden="1" outlineLevel="1">
      <c r="A659" s="335" t="str">
        <f t="shared" si="67"/>
        <v/>
      </c>
      <c r="B659" s="344"/>
      <c r="C659" s="344"/>
      <c r="D659" s="347" t="str">
        <f>IF(C659="","",IFERROR(INDEX(잔액!$Y:$Y,MAX(64,C659)),0))</f>
        <v/>
      </c>
      <c r="E659" s="346" t="str">
        <f>IF(C659="","",IFERROR(INDEX(잔액!$A:$A,MAX(64,C659)),""))</f>
        <v/>
      </c>
      <c r="F659" s="335" t="str">
        <f>IF(C659="","",IFERROR(INDEX(잔액!$C:$C,MAX(64,C659)),""))</f>
        <v/>
      </c>
      <c r="G659" s="335" t="str">
        <f>IF(C659="","",IF(INDEX(잔액!$K:$K,MAX(64,C659))&lt;&gt;"",INDEX(잔액!$K:$K,MAX(64,C659)),INDEX(잔액!$D:$D,MAX(64,C659))))</f>
        <v/>
      </c>
      <c r="H659" s="335" t="s">
        <v>1910</v>
      </c>
      <c r="J659" s="335" t="str">
        <f t="shared" si="68"/>
        <v/>
      </c>
      <c r="K659" s="346" t="str">
        <f t="shared" si="69"/>
        <v/>
      </c>
      <c r="L659" s="335" t="str">
        <f t="shared" si="70"/>
        <v/>
      </c>
      <c r="M659" s="335" t="str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  <v/>
      </c>
      <c r="N659" s="335" t="str">
        <f t="shared" si="71"/>
        <v/>
      </c>
      <c r="O659" s="348">
        <f t="shared" si="72"/>
        <v>0</v>
      </c>
    </row>
    <row r="660" spans="1:15" ht="16" hidden="1" outlineLevel="1">
      <c r="A660" s="335" t="str">
        <f t="shared" si="67"/>
        <v/>
      </c>
      <c r="B660" s="344"/>
      <c r="C660" s="344"/>
      <c r="D660" s="347" t="str">
        <f>IF(C660="","",IFERROR(INDEX(잔액!$Y:$Y,MAX(64,C660)),0))</f>
        <v/>
      </c>
      <c r="E660" s="346" t="str">
        <f>IF(C660="","",IFERROR(INDEX(잔액!$A:$A,MAX(64,C660)),""))</f>
        <v/>
      </c>
      <c r="F660" s="335" t="str">
        <f>IF(C660="","",IFERROR(INDEX(잔액!$C:$C,MAX(64,C660)),""))</f>
        <v/>
      </c>
      <c r="G660" s="335" t="str">
        <f>IF(C660="","",IF(INDEX(잔액!$K:$K,MAX(64,C660))&lt;&gt;"",INDEX(잔액!$K:$K,MAX(64,C660)),INDEX(잔액!$D:$D,MAX(64,C660))))</f>
        <v/>
      </c>
      <c r="H660" s="335" t="s">
        <v>1910</v>
      </c>
      <c r="J660" s="335" t="str">
        <f t="shared" si="68"/>
        <v/>
      </c>
      <c r="K660" s="346" t="str">
        <f t="shared" si="69"/>
        <v/>
      </c>
      <c r="L660" s="335" t="str">
        <f t="shared" si="70"/>
        <v/>
      </c>
      <c r="M660" s="335" t="str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  <v/>
      </c>
      <c r="N660" s="335" t="str">
        <f t="shared" si="71"/>
        <v/>
      </c>
      <c r="O660" s="348">
        <f t="shared" si="72"/>
        <v>0</v>
      </c>
    </row>
    <row r="661" spans="1:15" ht="16" hidden="1" outlineLevel="1">
      <c r="A661" s="335" t="str">
        <f t="shared" si="67"/>
        <v/>
      </c>
      <c r="B661" s="344"/>
      <c r="C661" s="344"/>
      <c r="D661" s="347" t="str">
        <f>IF(C661="","",IFERROR(INDEX(잔액!$Y:$Y,MAX(64,C661)),0))</f>
        <v/>
      </c>
      <c r="E661" s="346" t="str">
        <f>IF(C661="","",IFERROR(INDEX(잔액!$A:$A,MAX(64,C661)),""))</f>
        <v/>
      </c>
      <c r="F661" s="335" t="str">
        <f>IF(C661="","",IFERROR(INDEX(잔액!$C:$C,MAX(64,C661)),""))</f>
        <v/>
      </c>
      <c r="G661" s="335" t="str">
        <f>IF(C661="","",IF(INDEX(잔액!$K:$K,MAX(64,C661))&lt;&gt;"",INDEX(잔액!$K:$K,MAX(64,C661)),INDEX(잔액!$D:$D,MAX(64,C661))))</f>
        <v/>
      </c>
      <c r="H661" s="335" t="s">
        <v>1910</v>
      </c>
      <c r="J661" s="335" t="str">
        <f t="shared" si="68"/>
        <v/>
      </c>
      <c r="K661" s="346" t="str">
        <f t="shared" si="69"/>
        <v/>
      </c>
      <c r="L661" s="335" t="str">
        <f t="shared" si="70"/>
        <v/>
      </c>
      <c r="M661" s="335" t="str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  <v/>
      </c>
      <c r="N661" s="335" t="str">
        <f t="shared" si="71"/>
        <v/>
      </c>
      <c r="O661" s="348">
        <f t="shared" si="72"/>
        <v>0</v>
      </c>
    </row>
    <row r="662" spans="1:15" ht="16" hidden="1" outlineLevel="1">
      <c r="A662" s="335" t="str">
        <f t="shared" si="67"/>
        <v/>
      </c>
      <c r="B662" s="344"/>
      <c r="C662" s="344"/>
      <c r="D662" s="347" t="str">
        <f>IF(C662="","",IFERROR(INDEX(잔액!$Y:$Y,MAX(64,C662)),0))</f>
        <v/>
      </c>
      <c r="E662" s="346" t="str">
        <f>IF(C662="","",IFERROR(INDEX(잔액!$A:$A,MAX(64,C662)),""))</f>
        <v/>
      </c>
      <c r="F662" s="335" t="str">
        <f>IF(C662="","",IFERROR(INDEX(잔액!$C:$C,MAX(64,C662)),""))</f>
        <v/>
      </c>
      <c r="G662" s="335" t="str">
        <f>IF(C662="","",IF(INDEX(잔액!$K:$K,MAX(64,C662))&lt;&gt;"",INDEX(잔액!$K:$K,MAX(64,C662)),INDEX(잔액!$D:$D,MAX(64,C662))))</f>
        <v/>
      </c>
      <c r="H662" s="335" t="s">
        <v>1910</v>
      </c>
      <c r="J662" s="335" t="str">
        <f t="shared" si="68"/>
        <v/>
      </c>
      <c r="K662" s="346" t="str">
        <f t="shared" si="69"/>
        <v/>
      </c>
      <c r="L662" s="335" t="str">
        <f t="shared" si="70"/>
        <v/>
      </c>
      <c r="M662" s="335" t="str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  <v/>
      </c>
      <c r="N662" s="335" t="str">
        <f t="shared" si="71"/>
        <v/>
      </c>
      <c r="O662" s="348">
        <f t="shared" si="72"/>
        <v>0</v>
      </c>
    </row>
    <row r="663" spans="1:15" ht="16" hidden="1" outlineLevel="1">
      <c r="A663" s="335" t="str">
        <f t="shared" si="67"/>
        <v/>
      </c>
      <c r="B663" s="344"/>
      <c r="C663" s="344"/>
      <c r="D663" s="347" t="str">
        <f>IF(C663="","",IFERROR(INDEX(잔액!$Y:$Y,MAX(64,C663)),0))</f>
        <v/>
      </c>
      <c r="E663" s="346" t="str">
        <f>IF(C663="","",IFERROR(INDEX(잔액!$A:$A,MAX(64,C663)),""))</f>
        <v/>
      </c>
      <c r="F663" s="335" t="str">
        <f>IF(C663="","",IFERROR(INDEX(잔액!$C:$C,MAX(64,C663)),""))</f>
        <v/>
      </c>
      <c r="G663" s="335" t="str">
        <f>IF(C663="","",IF(INDEX(잔액!$K:$K,MAX(64,C663))&lt;&gt;"",INDEX(잔액!$K:$K,MAX(64,C663)),INDEX(잔액!$D:$D,MAX(64,C663))))</f>
        <v/>
      </c>
      <c r="H663" s="335" t="s">
        <v>1910</v>
      </c>
      <c r="J663" s="335" t="str">
        <f t="shared" si="68"/>
        <v/>
      </c>
      <c r="K663" s="346" t="str">
        <f t="shared" si="69"/>
        <v/>
      </c>
      <c r="L663" s="335" t="str">
        <f t="shared" si="70"/>
        <v/>
      </c>
      <c r="M663" s="335" t="str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  <v/>
      </c>
      <c r="N663" s="335" t="str">
        <f t="shared" si="71"/>
        <v/>
      </c>
      <c r="O663" s="348">
        <f t="shared" si="72"/>
        <v>0</v>
      </c>
    </row>
    <row r="664" spans="1:15" ht="16" hidden="1" outlineLevel="1">
      <c r="A664" s="335" t="str">
        <f t="shared" si="67"/>
        <v/>
      </c>
      <c r="B664" s="344"/>
      <c r="C664" s="344"/>
      <c r="D664" s="347" t="str">
        <f>IF(C664="","",IFERROR(INDEX(잔액!$Y:$Y,MAX(64,C664)),0))</f>
        <v/>
      </c>
      <c r="E664" s="346" t="str">
        <f>IF(C664="","",IFERROR(INDEX(잔액!$A:$A,MAX(64,C664)),""))</f>
        <v/>
      </c>
      <c r="F664" s="335" t="str">
        <f>IF(C664="","",IFERROR(INDEX(잔액!$C:$C,MAX(64,C664)),""))</f>
        <v/>
      </c>
      <c r="G664" s="335" t="str">
        <f>IF(C664="","",IF(INDEX(잔액!$K:$K,MAX(64,C664))&lt;&gt;"",INDEX(잔액!$K:$K,MAX(64,C664)),INDEX(잔액!$D:$D,MAX(64,C664))))</f>
        <v/>
      </c>
      <c r="H664" s="335" t="s">
        <v>1910</v>
      </c>
      <c r="J664" s="335" t="str">
        <f t="shared" si="68"/>
        <v/>
      </c>
      <c r="K664" s="346" t="str">
        <f t="shared" si="69"/>
        <v/>
      </c>
      <c r="L664" s="335" t="str">
        <f t="shared" si="70"/>
        <v/>
      </c>
      <c r="M664" s="335" t="str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  <v/>
      </c>
      <c r="N664" s="335" t="str">
        <f t="shared" si="71"/>
        <v/>
      </c>
      <c r="O664" s="348">
        <f t="shared" si="72"/>
        <v>0</v>
      </c>
    </row>
    <row r="665" spans="1:15" ht="16" hidden="1" outlineLevel="1">
      <c r="A665" s="335" t="str">
        <f t="shared" si="67"/>
        <v/>
      </c>
      <c r="B665" s="344"/>
      <c r="C665" s="344"/>
      <c r="D665" s="347" t="str">
        <f>IF(C665="","",IFERROR(INDEX(잔액!$Y:$Y,MAX(64,C665)),0))</f>
        <v/>
      </c>
      <c r="E665" s="346" t="str">
        <f>IF(C665="","",IFERROR(INDEX(잔액!$A:$A,MAX(64,C665)),""))</f>
        <v/>
      </c>
      <c r="F665" s="335" t="str">
        <f>IF(C665="","",IFERROR(INDEX(잔액!$C:$C,MAX(64,C665)),""))</f>
        <v/>
      </c>
      <c r="G665" s="335" t="str">
        <f>IF(C665="","",IF(INDEX(잔액!$K:$K,MAX(64,C665))&lt;&gt;"",INDEX(잔액!$K:$K,MAX(64,C665)),INDEX(잔액!$D:$D,MAX(64,C665))))</f>
        <v/>
      </c>
      <c r="H665" s="335" t="s">
        <v>1910</v>
      </c>
      <c r="J665" s="335" t="str">
        <f t="shared" si="68"/>
        <v/>
      </c>
      <c r="K665" s="346" t="str">
        <f t="shared" si="69"/>
        <v/>
      </c>
      <c r="L665" s="335" t="str">
        <f t="shared" si="70"/>
        <v/>
      </c>
      <c r="M665" s="335" t="str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  <v/>
      </c>
      <c r="N665" s="335" t="str">
        <f t="shared" si="71"/>
        <v/>
      </c>
      <c r="O665" s="348">
        <f t="shared" si="72"/>
        <v>0</v>
      </c>
    </row>
    <row r="666" spans="1:15" ht="16" hidden="1" outlineLevel="1">
      <c r="A666" s="335" t="str">
        <f t="shared" si="67"/>
        <v/>
      </c>
      <c r="B666" s="344"/>
      <c r="C666" s="344"/>
      <c r="D666" s="347" t="str">
        <f>IF(C666="","",IFERROR(INDEX(잔액!$Y:$Y,MAX(64,C666)),0))</f>
        <v/>
      </c>
      <c r="E666" s="346" t="str">
        <f>IF(C666="","",IFERROR(INDEX(잔액!$A:$A,MAX(64,C666)),""))</f>
        <v/>
      </c>
      <c r="F666" s="335" t="str">
        <f>IF(C666="","",IFERROR(INDEX(잔액!$C:$C,MAX(64,C666)),""))</f>
        <v/>
      </c>
      <c r="G666" s="335" t="str">
        <f>IF(C666="","",IF(INDEX(잔액!$K:$K,MAX(64,C666))&lt;&gt;"",INDEX(잔액!$K:$K,MAX(64,C666)),INDEX(잔액!$D:$D,MAX(64,C666))))</f>
        <v/>
      </c>
      <c r="H666" s="335" t="s">
        <v>1910</v>
      </c>
      <c r="J666" s="335" t="str">
        <f t="shared" si="68"/>
        <v/>
      </c>
      <c r="K666" s="346" t="str">
        <f t="shared" si="69"/>
        <v/>
      </c>
      <c r="L666" s="335" t="str">
        <f t="shared" si="70"/>
        <v/>
      </c>
      <c r="M666" s="335" t="str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  <v/>
      </c>
      <c r="N666" s="335" t="str">
        <f t="shared" si="71"/>
        <v/>
      </c>
      <c r="O666" s="348">
        <f t="shared" si="72"/>
        <v>0</v>
      </c>
    </row>
    <row r="667" spans="1:15" ht="16" hidden="1" outlineLevel="1">
      <c r="A667" s="335" t="str">
        <f t="shared" si="67"/>
        <v/>
      </c>
      <c r="B667" s="344"/>
      <c r="C667" s="344"/>
      <c r="D667" s="347" t="str">
        <f>IF(C667="","",IFERROR(INDEX(잔액!$Y:$Y,MAX(64,C667)),0))</f>
        <v/>
      </c>
      <c r="E667" s="346" t="str">
        <f>IF(C667="","",IFERROR(INDEX(잔액!$A:$A,MAX(64,C667)),""))</f>
        <v/>
      </c>
      <c r="F667" s="335" t="str">
        <f>IF(C667="","",IFERROR(INDEX(잔액!$C:$C,MAX(64,C667)),""))</f>
        <v/>
      </c>
      <c r="G667" s="335" t="str">
        <f>IF(C667="","",IF(INDEX(잔액!$K:$K,MAX(64,C667))&lt;&gt;"",INDEX(잔액!$K:$K,MAX(64,C667)),INDEX(잔액!$D:$D,MAX(64,C667))))</f>
        <v/>
      </c>
      <c r="H667" s="335" t="s">
        <v>1910</v>
      </c>
      <c r="J667" s="335" t="str">
        <f t="shared" si="68"/>
        <v/>
      </c>
      <c r="K667" s="346" t="str">
        <f t="shared" si="69"/>
        <v/>
      </c>
      <c r="L667" s="335" t="str">
        <f t="shared" si="70"/>
        <v/>
      </c>
      <c r="M667" s="335" t="str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  <v/>
      </c>
      <c r="N667" s="335" t="str">
        <f t="shared" si="71"/>
        <v/>
      </c>
      <c r="O667" s="348">
        <f t="shared" si="72"/>
        <v>0</v>
      </c>
    </row>
    <row r="668" spans="1:15" ht="16" hidden="1" outlineLevel="1">
      <c r="A668" s="335" t="str">
        <f t="shared" si="67"/>
        <v/>
      </c>
      <c r="B668" s="344"/>
      <c r="C668" s="344"/>
      <c r="D668" s="347" t="str">
        <f>IF(C668="","",IFERROR(INDEX(잔액!$Y:$Y,MAX(64,C668)),0))</f>
        <v/>
      </c>
      <c r="E668" s="346" t="str">
        <f>IF(C668="","",IFERROR(INDEX(잔액!$A:$A,MAX(64,C668)),""))</f>
        <v/>
      </c>
      <c r="F668" s="335" t="str">
        <f>IF(C668="","",IFERROR(INDEX(잔액!$C:$C,MAX(64,C668)),""))</f>
        <v/>
      </c>
      <c r="G668" s="335" t="str">
        <f>IF(C668="","",IF(INDEX(잔액!$K:$K,MAX(64,C668))&lt;&gt;"",INDEX(잔액!$K:$K,MAX(64,C668)),INDEX(잔액!$D:$D,MAX(64,C668))))</f>
        <v/>
      </c>
      <c r="H668" s="335" t="s">
        <v>1910</v>
      </c>
      <c r="J668" s="335" t="str">
        <f t="shared" si="68"/>
        <v/>
      </c>
      <c r="K668" s="346" t="str">
        <f t="shared" si="69"/>
        <v/>
      </c>
      <c r="L668" s="335" t="str">
        <f t="shared" si="70"/>
        <v/>
      </c>
      <c r="M668" s="335" t="str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  <v/>
      </c>
      <c r="N668" s="335" t="str">
        <f t="shared" si="71"/>
        <v/>
      </c>
      <c r="O668" s="348">
        <f t="shared" si="72"/>
        <v>0</v>
      </c>
    </row>
    <row r="669" spans="1:15" ht="16" hidden="1" outlineLevel="1">
      <c r="A669" s="335" t="str">
        <f t="shared" si="67"/>
        <v/>
      </c>
      <c r="B669" s="344"/>
      <c r="C669" s="344"/>
      <c r="D669" s="347" t="str">
        <f>IF(C669="","",IFERROR(INDEX(잔액!$Y:$Y,MAX(64,C669)),0))</f>
        <v/>
      </c>
      <c r="E669" s="346" t="str">
        <f>IF(C669="","",IFERROR(INDEX(잔액!$A:$A,MAX(64,C669)),""))</f>
        <v/>
      </c>
      <c r="F669" s="335" t="str">
        <f>IF(C669="","",IFERROR(INDEX(잔액!$C:$C,MAX(64,C669)),""))</f>
        <v/>
      </c>
      <c r="G669" s="335" t="str">
        <f>IF(C669="","",IF(INDEX(잔액!$K:$K,MAX(64,C669))&lt;&gt;"",INDEX(잔액!$K:$K,MAX(64,C669)),INDEX(잔액!$D:$D,MAX(64,C669))))</f>
        <v/>
      </c>
      <c r="H669" s="335" t="s">
        <v>1910</v>
      </c>
      <c r="J669" s="335" t="str">
        <f t="shared" si="68"/>
        <v/>
      </c>
      <c r="K669" s="346" t="str">
        <f t="shared" si="69"/>
        <v/>
      </c>
      <c r="L669" s="335" t="str">
        <f t="shared" si="70"/>
        <v/>
      </c>
      <c r="M669" s="335" t="str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  <v/>
      </c>
      <c r="N669" s="335" t="str">
        <f t="shared" si="71"/>
        <v/>
      </c>
      <c r="O669" s="348">
        <f t="shared" si="72"/>
        <v>0</v>
      </c>
    </row>
    <row r="670" spans="1:15" ht="16" hidden="1" outlineLevel="1">
      <c r="A670" s="335" t="str">
        <f t="shared" si="67"/>
        <v/>
      </c>
      <c r="B670" s="344"/>
      <c r="C670" s="344"/>
      <c r="D670" s="347" t="str">
        <f>IF(C670="","",IFERROR(INDEX(잔액!$Y:$Y,MAX(64,C670)),0))</f>
        <v/>
      </c>
      <c r="E670" s="346" t="str">
        <f>IF(C670="","",IFERROR(INDEX(잔액!$A:$A,MAX(64,C670)),""))</f>
        <v/>
      </c>
      <c r="F670" s="335" t="str">
        <f>IF(C670="","",IFERROR(INDEX(잔액!$C:$C,MAX(64,C670)),""))</f>
        <v/>
      </c>
      <c r="G670" s="335" t="str">
        <f>IF(C670="","",IF(INDEX(잔액!$K:$K,MAX(64,C670))&lt;&gt;"",INDEX(잔액!$K:$K,MAX(64,C670)),INDEX(잔액!$D:$D,MAX(64,C670))))</f>
        <v/>
      </c>
      <c r="H670" s="335" t="s">
        <v>1910</v>
      </c>
      <c r="J670" s="335" t="str">
        <f t="shared" si="68"/>
        <v/>
      </c>
      <c r="K670" s="346" t="str">
        <f t="shared" si="69"/>
        <v/>
      </c>
      <c r="L670" s="335" t="str">
        <f t="shared" si="70"/>
        <v/>
      </c>
      <c r="M670" s="335" t="str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  <v/>
      </c>
      <c r="N670" s="335" t="str">
        <f t="shared" si="71"/>
        <v/>
      </c>
      <c r="O670" s="348">
        <f t="shared" si="72"/>
        <v>0</v>
      </c>
    </row>
    <row r="671" spans="1:15" ht="16" hidden="1" outlineLevel="1">
      <c r="A671" s="335" t="str">
        <f t="shared" si="67"/>
        <v/>
      </c>
      <c r="B671" s="344"/>
      <c r="C671" s="344"/>
      <c r="D671" s="347" t="str">
        <f>IF(C671="","",IFERROR(INDEX(잔액!$Y:$Y,MAX(64,C671)),0))</f>
        <v/>
      </c>
      <c r="E671" s="346" t="str">
        <f>IF(C671="","",IFERROR(INDEX(잔액!$A:$A,MAX(64,C671)),""))</f>
        <v/>
      </c>
      <c r="F671" s="335" t="str">
        <f>IF(C671="","",IFERROR(INDEX(잔액!$C:$C,MAX(64,C671)),""))</f>
        <v/>
      </c>
      <c r="G671" s="335" t="str">
        <f>IF(C671="","",IF(INDEX(잔액!$K:$K,MAX(64,C671))&lt;&gt;"",INDEX(잔액!$K:$K,MAX(64,C671)),INDEX(잔액!$D:$D,MAX(64,C671))))</f>
        <v/>
      </c>
      <c r="H671" s="335" t="s">
        <v>1910</v>
      </c>
      <c r="J671" s="335" t="str">
        <f t="shared" si="68"/>
        <v/>
      </c>
      <c r="K671" s="346" t="str">
        <f t="shared" si="69"/>
        <v/>
      </c>
      <c r="L671" s="335" t="str">
        <f t="shared" si="70"/>
        <v/>
      </c>
      <c r="M671" s="335" t="str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  <v/>
      </c>
      <c r="N671" s="335" t="str">
        <f t="shared" si="71"/>
        <v/>
      </c>
      <c r="O671" s="348">
        <f t="shared" si="72"/>
        <v>0</v>
      </c>
    </row>
    <row r="672" spans="1:15" ht="16" hidden="1" outlineLevel="1">
      <c r="A672" s="335" t="str">
        <f t="shared" si="67"/>
        <v/>
      </c>
      <c r="B672" s="344"/>
      <c r="C672" s="344"/>
      <c r="D672" s="347" t="str">
        <f>IF(C672="","",IFERROR(INDEX(잔액!$Y:$Y,MAX(64,C672)),0))</f>
        <v/>
      </c>
      <c r="E672" s="346" t="str">
        <f>IF(C672="","",IFERROR(INDEX(잔액!$A:$A,MAX(64,C672)),""))</f>
        <v/>
      </c>
      <c r="F672" s="335" t="str">
        <f>IF(C672="","",IFERROR(INDEX(잔액!$C:$C,MAX(64,C672)),""))</f>
        <v/>
      </c>
      <c r="G672" s="335" t="str">
        <f>IF(C672="","",IF(INDEX(잔액!$K:$K,MAX(64,C672))&lt;&gt;"",INDEX(잔액!$K:$K,MAX(64,C672)),INDEX(잔액!$D:$D,MAX(64,C672))))</f>
        <v/>
      </c>
      <c r="H672" s="335" t="s">
        <v>1910</v>
      </c>
      <c r="J672" s="335" t="str">
        <f t="shared" si="68"/>
        <v/>
      </c>
      <c r="K672" s="346" t="str">
        <f t="shared" si="69"/>
        <v/>
      </c>
      <c r="L672" s="335" t="str">
        <f t="shared" si="70"/>
        <v/>
      </c>
      <c r="M672" s="335" t="str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  <v/>
      </c>
      <c r="N672" s="335" t="str">
        <f t="shared" si="71"/>
        <v/>
      </c>
      <c r="O672" s="348">
        <f t="shared" si="72"/>
        <v>0</v>
      </c>
    </row>
    <row r="673" spans="1:15" ht="16" hidden="1" outlineLevel="1">
      <c r="A673" s="335" t="str">
        <f t="shared" si="67"/>
        <v/>
      </c>
      <c r="B673" s="344"/>
      <c r="C673" s="344"/>
      <c r="D673" s="347" t="str">
        <f>IF(C673="","",IFERROR(INDEX(잔액!$Y:$Y,MAX(64,C673)),0))</f>
        <v/>
      </c>
      <c r="E673" s="346" t="str">
        <f>IF(C673="","",IFERROR(INDEX(잔액!$A:$A,MAX(64,C673)),""))</f>
        <v/>
      </c>
      <c r="F673" s="335" t="str">
        <f>IF(C673="","",IFERROR(INDEX(잔액!$C:$C,MAX(64,C673)),""))</f>
        <v/>
      </c>
      <c r="G673" s="335" t="str">
        <f>IF(C673="","",IF(INDEX(잔액!$K:$K,MAX(64,C673))&lt;&gt;"",INDEX(잔액!$K:$K,MAX(64,C673)),INDEX(잔액!$D:$D,MAX(64,C673))))</f>
        <v/>
      </c>
      <c r="H673" s="335" t="s">
        <v>1910</v>
      </c>
      <c r="J673" s="335" t="str">
        <f t="shared" si="68"/>
        <v/>
      </c>
      <c r="K673" s="346" t="str">
        <f t="shared" si="69"/>
        <v/>
      </c>
      <c r="L673" s="335" t="str">
        <f t="shared" si="70"/>
        <v/>
      </c>
      <c r="M673" s="335" t="str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  <v/>
      </c>
      <c r="N673" s="335" t="str">
        <f t="shared" si="71"/>
        <v/>
      </c>
      <c r="O673" s="348">
        <f t="shared" si="72"/>
        <v>0</v>
      </c>
    </row>
    <row r="674" spans="1:15" ht="16" hidden="1" outlineLevel="1">
      <c r="A674" s="335" t="str">
        <f t="shared" si="67"/>
        <v/>
      </c>
      <c r="B674" s="344"/>
      <c r="C674" s="344"/>
      <c r="D674" s="347" t="str">
        <f>IF(C674="","",IFERROR(INDEX(잔액!$Y:$Y,MAX(64,C674)),0))</f>
        <v/>
      </c>
      <c r="E674" s="346" t="str">
        <f>IF(C674="","",IFERROR(INDEX(잔액!$A:$A,MAX(64,C674)),""))</f>
        <v/>
      </c>
      <c r="F674" s="335" t="str">
        <f>IF(C674="","",IFERROR(INDEX(잔액!$C:$C,MAX(64,C674)),""))</f>
        <v/>
      </c>
      <c r="G674" s="335" t="str">
        <f>IF(C674="","",IF(INDEX(잔액!$K:$K,MAX(64,C674))&lt;&gt;"",INDEX(잔액!$K:$K,MAX(64,C674)),INDEX(잔액!$D:$D,MAX(64,C674))))</f>
        <v/>
      </c>
      <c r="H674" s="335" t="s">
        <v>1910</v>
      </c>
      <c r="J674" s="335" t="str">
        <f t="shared" si="68"/>
        <v/>
      </c>
      <c r="K674" s="346" t="str">
        <f t="shared" si="69"/>
        <v/>
      </c>
      <c r="L674" s="335" t="str">
        <f t="shared" si="70"/>
        <v/>
      </c>
      <c r="M674" s="335" t="str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  <v/>
      </c>
      <c r="N674" s="335" t="str">
        <f t="shared" si="71"/>
        <v/>
      </c>
      <c r="O674" s="348">
        <f t="shared" si="72"/>
        <v>0</v>
      </c>
    </row>
    <row r="675" spans="1:15" ht="16" hidden="1" outlineLevel="1">
      <c r="A675" s="335" t="str">
        <f t="shared" si="67"/>
        <v/>
      </c>
      <c r="B675" s="344"/>
      <c r="C675" s="344"/>
      <c r="D675" s="347" t="str">
        <f>IF(C675="","",IFERROR(INDEX(잔액!$Y:$Y,MAX(64,C675)),0))</f>
        <v/>
      </c>
      <c r="E675" s="346" t="str">
        <f>IF(C675="","",IFERROR(INDEX(잔액!$A:$A,MAX(64,C675)),""))</f>
        <v/>
      </c>
      <c r="F675" s="335" t="str">
        <f>IF(C675="","",IFERROR(INDEX(잔액!$C:$C,MAX(64,C675)),""))</f>
        <v/>
      </c>
      <c r="G675" s="335" t="str">
        <f>IF(C675="","",IF(INDEX(잔액!$K:$K,MAX(64,C675))&lt;&gt;"",INDEX(잔액!$K:$K,MAX(64,C675)),INDEX(잔액!$D:$D,MAX(64,C675))))</f>
        <v/>
      </c>
      <c r="H675" s="335" t="s">
        <v>1910</v>
      </c>
      <c r="J675" s="335" t="str">
        <f t="shared" si="68"/>
        <v/>
      </c>
      <c r="K675" s="346" t="str">
        <f t="shared" si="69"/>
        <v/>
      </c>
      <c r="L675" s="335" t="str">
        <f t="shared" si="70"/>
        <v/>
      </c>
      <c r="M675" s="335" t="str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  <v/>
      </c>
      <c r="N675" s="335" t="str">
        <f t="shared" si="71"/>
        <v/>
      </c>
      <c r="O675" s="348">
        <f t="shared" si="72"/>
        <v>0</v>
      </c>
    </row>
    <row r="676" spans="1:15" ht="16" hidden="1" outlineLevel="1">
      <c r="A676" s="335" t="str">
        <f t="shared" si="67"/>
        <v/>
      </c>
      <c r="B676" s="344"/>
      <c r="C676" s="344"/>
      <c r="D676" s="347" t="str">
        <f>IF(C676="","",IFERROR(INDEX(잔액!$Y:$Y,MAX(64,C676)),0))</f>
        <v/>
      </c>
      <c r="E676" s="346" t="str">
        <f>IF(C676="","",IFERROR(INDEX(잔액!$A:$A,MAX(64,C676)),""))</f>
        <v/>
      </c>
      <c r="F676" s="335" t="str">
        <f>IF(C676="","",IFERROR(INDEX(잔액!$C:$C,MAX(64,C676)),""))</f>
        <v/>
      </c>
      <c r="G676" s="335" t="str">
        <f>IF(C676="","",IF(INDEX(잔액!$K:$K,MAX(64,C676))&lt;&gt;"",INDEX(잔액!$K:$K,MAX(64,C676)),INDEX(잔액!$D:$D,MAX(64,C676))))</f>
        <v/>
      </c>
      <c r="H676" s="335" t="s">
        <v>1910</v>
      </c>
      <c r="J676" s="335" t="str">
        <f t="shared" si="68"/>
        <v/>
      </c>
      <c r="K676" s="346" t="str">
        <f t="shared" si="69"/>
        <v/>
      </c>
      <c r="L676" s="335" t="str">
        <f t="shared" si="70"/>
        <v/>
      </c>
      <c r="M676" s="335" t="str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  <v/>
      </c>
      <c r="N676" s="335" t="str">
        <f t="shared" si="71"/>
        <v/>
      </c>
      <c r="O676" s="348">
        <f t="shared" si="72"/>
        <v>0</v>
      </c>
    </row>
    <row r="677" spans="1:15" ht="16" hidden="1" outlineLevel="1">
      <c r="A677" s="335" t="str">
        <f t="shared" si="67"/>
        <v/>
      </c>
      <c r="B677" s="344"/>
      <c r="C677" s="344"/>
      <c r="D677" s="347" t="str">
        <f>IF(C677="","",IFERROR(INDEX(잔액!$Y:$Y,MAX(64,C677)),0))</f>
        <v/>
      </c>
      <c r="E677" s="346" t="str">
        <f>IF(C677="","",IFERROR(INDEX(잔액!$A:$A,MAX(64,C677)),""))</f>
        <v/>
      </c>
      <c r="F677" s="335" t="str">
        <f>IF(C677="","",IFERROR(INDEX(잔액!$C:$C,MAX(64,C677)),""))</f>
        <v/>
      </c>
      <c r="G677" s="335" t="str">
        <f>IF(C677="","",IF(INDEX(잔액!$K:$K,MAX(64,C677))&lt;&gt;"",INDEX(잔액!$K:$K,MAX(64,C677)),INDEX(잔액!$D:$D,MAX(64,C677))))</f>
        <v/>
      </c>
      <c r="H677" s="335" t="s">
        <v>1910</v>
      </c>
      <c r="J677" s="335" t="str">
        <f t="shared" si="68"/>
        <v/>
      </c>
      <c r="K677" s="346" t="str">
        <f t="shared" si="69"/>
        <v/>
      </c>
      <c r="L677" s="335" t="str">
        <f t="shared" si="70"/>
        <v/>
      </c>
      <c r="M677" s="335" t="str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  <v/>
      </c>
      <c r="N677" s="335" t="str">
        <f t="shared" si="71"/>
        <v/>
      </c>
      <c r="O677" s="348">
        <f t="shared" si="72"/>
        <v>0</v>
      </c>
    </row>
    <row r="678" spans="1:15" ht="16" hidden="1" outlineLevel="1">
      <c r="A678" s="335" t="str">
        <f t="shared" si="67"/>
        <v/>
      </c>
      <c r="B678" s="344"/>
      <c r="C678" s="344"/>
      <c r="D678" s="347" t="str">
        <f>IF(C678="","",IFERROR(INDEX(잔액!$Y:$Y,MAX(64,C678)),0))</f>
        <v/>
      </c>
      <c r="E678" s="346" t="str">
        <f>IF(C678="","",IFERROR(INDEX(잔액!$A:$A,MAX(64,C678)),""))</f>
        <v/>
      </c>
      <c r="F678" s="335" t="str">
        <f>IF(C678="","",IFERROR(INDEX(잔액!$C:$C,MAX(64,C678)),""))</f>
        <v/>
      </c>
      <c r="G678" s="335" t="str">
        <f>IF(C678="","",IF(INDEX(잔액!$K:$K,MAX(64,C678))&lt;&gt;"",INDEX(잔액!$K:$K,MAX(64,C678)),INDEX(잔액!$D:$D,MAX(64,C678))))</f>
        <v/>
      </c>
      <c r="H678" s="335" t="s">
        <v>1910</v>
      </c>
      <c r="J678" s="335" t="str">
        <f t="shared" si="68"/>
        <v/>
      </c>
      <c r="K678" s="346" t="str">
        <f t="shared" si="69"/>
        <v/>
      </c>
      <c r="L678" s="335" t="str">
        <f t="shared" si="70"/>
        <v/>
      </c>
      <c r="M678" s="335" t="str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  <v/>
      </c>
      <c r="N678" s="335" t="str">
        <f t="shared" si="71"/>
        <v/>
      </c>
      <c r="O678" s="348">
        <f t="shared" si="72"/>
        <v>0</v>
      </c>
    </row>
    <row r="679" spans="1:15" ht="16" hidden="1" outlineLevel="1">
      <c r="A679" s="335" t="str">
        <f t="shared" si="67"/>
        <v/>
      </c>
      <c r="B679" s="344"/>
      <c r="C679" s="344"/>
      <c r="D679" s="347" t="str">
        <f>IF(C679="","",IFERROR(INDEX(잔액!$Y:$Y,MAX(64,C679)),0))</f>
        <v/>
      </c>
      <c r="E679" s="346" t="str">
        <f>IF(C679="","",IFERROR(INDEX(잔액!$A:$A,MAX(64,C679)),""))</f>
        <v/>
      </c>
      <c r="F679" s="335" t="str">
        <f>IF(C679="","",IFERROR(INDEX(잔액!$C:$C,MAX(64,C679)),""))</f>
        <v/>
      </c>
      <c r="G679" s="335" t="str">
        <f>IF(C679="","",IF(INDEX(잔액!$K:$K,MAX(64,C679))&lt;&gt;"",INDEX(잔액!$K:$K,MAX(64,C679)),INDEX(잔액!$D:$D,MAX(64,C679))))</f>
        <v/>
      </c>
      <c r="H679" s="335" t="s">
        <v>1910</v>
      </c>
      <c r="J679" s="335" t="str">
        <f t="shared" si="68"/>
        <v/>
      </c>
      <c r="K679" s="346" t="str">
        <f t="shared" si="69"/>
        <v/>
      </c>
      <c r="L679" s="335" t="str">
        <f t="shared" si="70"/>
        <v/>
      </c>
      <c r="M679" s="335" t="str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  <v/>
      </c>
      <c r="N679" s="335" t="str">
        <f t="shared" si="71"/>
        <v/>
      </c>
      <c r="O679" s="348">
        <f t="shared" si="72"/>
        <v>0</v>
      </c>
    </row>
    <row r="680" spans="1:15" ht="16" hidden="1" outlineLevel="1">
      <c r="A680" s="335" t="str">
        <f t="shared" si="67"/>
        <v/>
      </c>
      <c r="B680" s="344"/>
      <c r="C680" s="344"/>
      <c r="D680" s="347" t="str">
        <f>IF(C680="","",IFERROR(INDEX(잔액!$Y:$Y,MAX(64,C680)),0))</f>
        <v/>
      </c>
      <c r="E680" s="346" t="str">
        <f>IF(C680="","",IFERROR(INDEX(잔액!$A:$A,MAX(64,C680)),""))</f>
        <v/>
      </c>
      <c r="F680" s="335" t="str">
        <f>IF(C680="","",IFERROR(INDEX(잔액!$C:$C,MAX(64,C680)),""))</f>
        <v/>
      </c>
      <c r="G680" s="335" t="str">
        <f>IF(C680="","",IF(INDEX(잔액!$K:$K,MAX(64,C680))&lt;&gt;"",INDEX(잔액!$K:$K,MAX(64,C680)),INDEX(잔액!$D:$D,MAX(64,C680))))</f>
        <v/>
      </c>
      <c r="H680" s="335" t="s">
        <v>1910</v>
      </c>
      <c r="J680" s="335" t="str">
        <f t="shared" si="68"/>
        <v/>
      </c>
      <c r="K680" s="346" t="str">
        <f t="shared" si="69"/>
        <v/>
      </c>
      <c r="L680" s="335" t="str">
        <f t="shared" si="70"/>
        <v/>
      </c>
      <c r="M680" s="335" t="str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  <v/>
      </c>
      <c r="N680" s="335" t="str">
        <f t="shared" si="71"/>
        <v/>
      </c>
      <c r="O680" s="348">
        <f t="shared" si="72"/>
        <v>0</v>
      </c>
    </row>
    <row r="681" spans="1:15" ht="16" hidden="1" outlineLevel="1">
      <c r="A681" s="335" t="str">
        <f t="shared" si="67"/>
        <v/>
      </c>
      <c r="B681" s="344"/>
      <c r="C681" s="344"/>
      <c r="D681" s="347" t="str">
        <f>IF(C681="","",IFERROR(INDEX(잔액!$Y:$Y,MAX(64,C681)),0))</f>
        <v/>
      </c>
      <c r="E681" s="346" t="str">
        <f>IF(C681="","",IFERROR(INDEX(잔액!$A:$A,MAX(64,C681)),""))</f>
        <v/>
      </c>
      <c r="F681" s="335" t="str">
        <f>IF(C681="","",IFERROR(INDEX(잔액!$C:$C,MAX(64,C681)),""))</f>
        <v/>
      </c>
      <c r="G681" s="335" t="str">
        <f>IF(C681="","",IF(INDEX(잔액!$K:$K,MAX(64,C681))&lt;&gt;"",INDEX(잔액!$K:$K,MAX(64,C681)),INDEX(잔액!$D:$D,MAX(64,C681))))</f>
        <v/>
      </c>
      <c r="H681" s="335" t="s">
        <v>1910</v>
      </c>
      <c r="J681" s="335" t="str">
        <f t="shared" si="68"/>
        <v/>
      </c>
      <c r="K681" s="346" t="str">
        <f t="shared" si="69"/>
        <v/>
      </c>
      <c r="L681" s="335" t="str">
        <f t="shared" si="70"/>
        <v/>
      </c>
      <c r="M681" s="335" t="str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  <v/>
      </c>
      <c r="N681" s="335" t="str">
        <f t="shared" si="71"/>
        <v/>
      </c>
      <c r="O681" s="348">
        <f t="shared" si="72"/>
        <v>0</v>
      </c>
    </row>
    <row r="682" spans="1:15" ht="16" hidden="1" outlineLevel="1">
      <c r="A682" s="335" t="str">
        <f t="shared" si="67"/>
        <v/>
      </c>
      <c r="B682" s="344"/>
      <c r="C682" s="344"/>
      <c r="D682" s="347" t="str">
        <f>IF(C682="","",IFERROR(INDEX(잔액!$Y:$Y,MAX(64,C682)),0))</f>
        <v/>
      </c>
      <c r="E682" s="346" t="str">
        <f>IF(C682="","",IFERROR(INDEX(잔액!$A:$A,MAX(64,C682)),""))</f>
        <v/>
      </c>
      <c r="F682" s="335" t="str">
        <f>IF(C682="","",IFERROR(INDEX(잔액!$C:$C,MAX(64,C682)),""))</f>
        <v/>
      </c>
      <c r="G682" s="335" t="str">
        <f>IF(C682="","",IF(INDEX(잔액!$K:$K,MAX(64,C682))&lt;&gt;"",INDEX(잔액!$K:$K,MAX(64,C682)),INDEX(잔액!$D:$D,MAX(64,C682))))</f>
        <v/>
      </c>
      <c r="H682" s="335" t="s">
        <v>1910</v>
      </c>
      <c r="J682" s="335" t="str">
        <f t="shared" si="68"/>
        <v/>
      </c>
      <c r="K682" s="346" t="str">
        <f t="shared" si="69"/>
        <v/>
      </c>
      <c r="L682" s="335" t="str">
        <f t="shared" si="70"/>
        <v/>
      </c>
      <c r="M682" s="335" t="str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  <v/>
      </c>
      <c r="N682" s="335" t="str">
        <f t="shared" si="71"/>
        <v/>
      </c>
      <c r="O682" s="348">
        <f t="shared" si="72"/>
        <v>0</v>
      </c>
    </row>
    <row r="683" spans="1:15" ht="16" hidden="1" outlineLevel="1">
      <c r="A683" s="335" t="str">
        <f t="shared" si="67"/>
        <v/>
      </c>
      <c r="B683" s="344"/>
      <c r="C683" s="344"/>
      <c r="D683" s="347" t="str">
        <f>IF(C683="","",IFERROR(INDEX(잔액!$Y:$Y,MAX(64,C683)),0))</f>
        <v/>
      </c>
      <c r="E683" s="346" t="str">
        <f>IF(C683="","",IFERROR(INDEX(잔액!$A:$A,MAX(64,C683)),""))</f>
        <v/>
      </c>
      <c r="F683" s="335" t="str">
        <f>IF(C683="","",IFERROR(INDEX(잔액!$C:$C,MAX(64,C683)),""))</f>
        <v/>
      </c>
      <c r="G683" s="335" t="str">
        <f>IF(C683="","",IF(INDEX(잔액!$K:$K,MAX(64,C683))&lt;&gt;"",INDEX(잔액!$K:$K,MAX(64,C683)),INDEX(잔액!$D:$D,MAX(64,C683))))</f>
        <v/>
      </c>
      <c r="H683" s="335" t="s">
        <v>1910</v>
      </c>
      <c r="J683" s="335" t="str">
        <f t="shared" si="68"/>
        <v/>
      </c>
      <c r="K683" s="346" t="str">
        <f t="shared" si="69"/>
        <v/>
      </c>
      <c r="L683" s="335" t="str">
        <f t="shared" si="70"/>
        <v/>
      </c>
      <c r="M683" s="335" t="str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  <v/>
      </c>
      <c r="N683" s="335" t="str">
        <f t="shared" si="71"/>
        <v/>
      </c>
      <c r="O683" s="348">
        <f t="shared" si="72"/>
        <v>0</v>
      </c>
    </row>
    <row r="684" spans="1:15" ht="16" hidden="1" outlineLevel="1">
      <c r="A684" s="335" t="str">
        <f t="shared" si="67"/>
        <v/>
      </c>
      <c r="B684" s="344"/>
      <c r="C684" s="344"/>
      <c r="D684" s="347" t="str">
        <f>IF(C684="","",IFERROR(INDEX(잔액!$Y:$Y,MAX(64,C684)),0))</f>
        <v/>
      </c>
      <c r="E684" s="346" t="str">
        <f>IF(C684="","",IFERROR(INDEX(잔액!$A:$A,MAX(64,C684)),""))</f>
        <v/>
      </c>
      <c r="F684" s="335" t="str">
        <f>IF(C684="","",IFERROR(INDEX(잔액!$C:$C,MAX(64,C684)),""))</f>
        <v/>
      </c>
      <c r="G684" s="335" t="str">
        <f>IF(C684="","",IF(INDEX(잔액!$K:$K,MAX(64,C684))&lt;&gt;"",INDEX(잔액!$K:$K,MAX(64,C684)),INDEX(잔액!$D:$D,MAX(64,C684))))</f>
        <v/>
      </c>
      <c r="H684" s="335" t="s">
        <v>1910</v>
      </c>
      <c r="J684" s="335" t="str">
        <f t="shared" si="68"/>
        <v/>
      </c>
      <c r="K684" s="346" t="str">
        <f t="shared" si="69"/>
        <v/>
      </c>
      <c r="L684" s="335" t="str">
        <f t="shared" si="70"/>
        <v/>
      </c>
      <c r="M684" s="335" t="str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  <v/>
      </c>
      <c r="N684" s="335" t="str">
        <f t="shared" si="71"/>
        <v/>
      </c>
      <c r="O684" s="348">
        <f t="shared" si="72"/>
        <v>0</v>
      </c>
    </row>
    <row r="685" spans="1:15" ht="16" hidden="1" outlineLevel="1">
      <c r="A685" s="335" t="str">
        <f t="shared" si="67"/>
        <v/>
      </c>
      <c r="B685" s="344"/>
      <c r="C685" s="344"/>
      <c r="D685" s="347" t="str">
        <f>IF(C685="","",IFERROR(INDEX(잔액!$Y:$Y,MAX(64,C685)),0))</f>
        <v/>
      </c>
      <c r="E685" s="346" t="str">
        <f>IF(C685="","",IFERROR(INDEX(잔액!$A:$A,MAX(64,C685)),""))</f>
        <v/>
      </c>
      <c r="F685" s="335" t="str">
        <f>IF(C685="","",IFERROR(INDEX(잔액!$C:$C,MAX(64,C685)),""))</f>
        <v/>
      </c>
      <c r="G685" s="335" t="str">
        <f>IF(C685="","",IF(INDEX(잔액!$K:$K,MAX(64,C685))&lt;&gt;"",INDEX(잔액!$K:$K,MAX(64,C685)),INDEX(잔액!$D:$D,MAX(64,C685))))</f>
        <v/>
      </c>
      <c r="H685" s="335" t="s">
        <v>1910</v>
      </c>
      <c r="J685" s="335" t="str">
        <f t="shared" si="68"/>
        <v/>
      </c>
      <c r="K685" s="346" t="str">
        <f t="shared" si="69"/>
        <v/>
      </c>
      <c r="L685" s="335" t="str">
        <f t="shared" si="70"/>
        <v/>
      </c>
      <c r="M685" s="335" t="str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  <v/>
      </c>
      <c r="N685" s="335" t="str">
        <f t="shared" si="71"/>
        <v/>
      </c>
      <c r="O685" s="348">
        <f t="shared" si="72"/>
        <v>0</v>
      </c>
    </row>
    <row r="686" spans="1:15" ht="16" hidden="1" outlineLevel="1">
      <c r="A686" s="335" t="str">
        <f t="shared" ref="A686:A729" si="73">IF(B686="","","S"&amp;ROW())</f>
        <v/>
      </c>
      <c r="B686" s="344"/>
      <c r="C686" s="344"/>
      <c r="D686" s="347" t="str">
        <f>IF(C686="","",IFERROR(INDEX(잔액!$Y:$Y,MAX(64,C686)),0))</f>
        <v/>
      </c>
      <c r="E686" s="346" t="str">
        <f>IF(C686="","",IFERROR(INDEX(잔액!$A:$A,MAX(64,C686)),""))</f>
        <v/>
      </c>
      <c r="F686" s="335" t="str">
        <f>IF(C686="","",IFERROR(INDEX(잔액!$C:$C,MAX(64,C686)),""))</f>
        <v/>
      </c>
      <c r="G686" s="335" t="str">
        <f>IF(C686="","",IF(INDEX(잔액!$K:$K,MAX(64,C686))&lt;&gt;"",INDEX(잔액!$K:$K,MAX(64,C686)),INDEX(잔액!$D:$D,MAX(64,C686))))</f>
        <v/>
      </c>
      <c r="H686" s="335" t="s">
        <v>1910</v>
      </c>
      <c r="J686" s="335" t="str">
        <f t="shared" ref="J686:J729" si="74">IFERROR(INDEX($C$100:$C$399,MATCH(B686,$A$100:$A$399,0)),"")</f>
        <v/>
      </c>
      <c r="K686" s="346" t="str">
        <f t="shared" ref="K686:K729" si="75">IFERROR(INDEX($D$100:$D$399,MATCH(B686,$A$100:$A$399,0)),"")</f>
        <v/>
      </c>
      <c r="L686" s="335" t="str">
        <f t="shared" ref="L686:L729" si="76">IFERROR(INDEX($S$100:$S$399,MATCH(B686,$A$100:$A$399,0)),"")</f>
        <v/>
      </c>
      <c r="M686" s="335" t="str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  <v/>
      </c>
      <c r="N686" s="335" t="str">
        <f t="shared" ref="N686:N729" si="77"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  <v/>
      </c>
      <c r="O686" s="348">
        <f t="shared" ref="O686:O729" si="78">IF(N686="OK",D686,0)</f>
        <v>0</v>
      </c>
    </row>
    <row r="687" spans="1:15" ht="16" hidden="1" outlineLevel="1">
      <c r="A687" s="335" t="str">
        <f t="shared" si="73"/>
        <v/>
      </c>
      <c r="B687" s="344"/>
      <c r="C687" s="344"/>
      <c r="D687" s="347" t="str">
        <f>IF(C687="","",IFERROR(INDEX(잔액!$Y:$Y,MAX(64,C687)),0))</f>
        <v/>
      </c>
      <c r="E687" s="346" t="str">
        <f>IF(C687="","",IFERROR(INDEX(잔액!$A:$A,MAX(64,C687)),""))</f>
        <v/>
      </c>
      <c r="F687" s="335" t="str">
        <f>IF(C687="","",IFERROR(INDEX(잔액!$C:$C,MAX(64,C687)),""))</f>
        <v/>
      </c>
      <c r="G687" s="335" t="str">
        <f>IF(C687="","",IF(INDEX(잔액!$K:$K,MAX(64,C687))&lt;&gt;"",INDEX(잔액!$K:$K,MAX(64,C687)),INDEX(잔액!$D:$D,MAX(64,C687))))</f>
        <v/>
      </c>
      <c r="H687" s="335" t="s">
        <v>1910</v>
      </c>
      <c r="J687" s="335" t="str">
        <f t="shared" si="74"/>
        <v/>
      </c>
      <c r="K687" s="346" t="str">
        <f t="shared" si="75"/>
        <v/>
      </c>
      <c r="L687" s="335" t="str">
        <f t="shared" si="76"/>
        <v/>
      </c>
      <c r="M687" s="335" t="str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  <v/>
      </c>
      <c r="N687" s="335" t="str">
        <f t="shared" si="77"/>
        <v/>
      </c>
      <c r="O687" s="348">
        <f t="shared" si="78"/>
        <v>0</v>
      </c>
    </row>
    <row r="688" spans="1:15" ht="16" hidden="1" outlineLevel="1">
      <c r="A688" s="335" t="str">
        <f t="shared" si="73"/>
        <v/>
      </c>
      <c r="B688" s="344"/>
      <c r="C688" s="344"/>
      <c r="D688" s="347" t="str">
        <f>IF(C688="","",IFERROR(INDEX(잔액!$Y:$Y,MAX(64,C688)),0))</f>
        <v/>
      </c>
      <c r="E688" s="346" t="str">
        <f>IF(C688="","",IFERROR(INDEX(잔액!$A:$A,MAX(64,C688)),""))</f>
        <v/>
      </c>
      <c r="F688" s="335" t="str">
        <f>IF(C688="","",IFERROR(INDEX(잔액!$C:$C,MAX(64,C688)),""))</f>
        <v/>
      </c>
      <c r="G688" s="335" t="str">
        <f>IF(C688="","",IF(INDEX(잔액!$K:$K,MAX(64,C688))&lt;&gt;"",INDEX(잔액!$K:$K,MAX(64,C688)),INDEX(잔액!$D:$D,MAX(64,C688))))</f>
        <v/>
      </c>
      <c r="H688" s="335" t="s">
        <v>1910</v>
      </c>
      <c r="J688" s="335" t="str">
        <f t="shared" si="74"/>
        <v/>
      </c>
      <c r="K688" s="346" t="str">
        <f t="shared" si="75"/>
        <v/>
      </c>
      <c r="L688" s="335" t="str">
        <f t="shared" si="76"/>
        <v/>
      </c>
      <c r="M688" s="335" t="str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  <v/>
      </c>
      <c r="N688" s="335" t="str">
        <f t="shared" si="77"/>
        <v/>
      </c>
      <c r="O688" s="348">
        <f t="shared" si="78"/>
        <v>0</v>
      </c>
    </row>
    <row r="689" spans="1:15" ht="16" hidden="1" outlineLevel="1">
      <c r="A689" s="335" t="str">
        <f t="shared" si="73"/>
        <v/>
      </c>
      <c r="B689" s="344"/>
      <c r="C689" s="344"/>
      <c r="D689" s="347" t="str">
        <f>IF(C689="","",IFERROR(INDEX(잔액!$Y:$Y,MAX(64,C689)),0))</f>
        <v/>
      </c>
      <c r="E689" s="346" t="str">
        <f>IF(C689="","",IFERROR(INDEX(잔액!$A:$A,MAX(64,C689)),""))</f>
        <v/>
      </c>
      <c r="F689" s="335" t="str">
        <f>IF(C689="","",IFERROR(INDEX(잔액!$C:$C,MAX(64,C689)),""))</f>
        <v/>
      </c>
      <c r="G689" s="335" t="str">
        <f>IF(C689="","",IF(INDEX(잔액!$K:$K,MAX(64,C689))&lt;&gt;"",INDEX(잔액!$K:$K,MAX(64,C689)),INDEX(잔액!$D:$D,MAX(64,C689))))</f>
        <v/>
      </c>
      <c r="H689" s="335" t="s">
        <v>1910</v>
      </c>
      <c r="J689" s="335" t="str">
        <f t="shared" si="74"/>
        <v/>
      </c>
      <c r="K689" s="346" t="str">
        <f t="shared" si="75"/>
        <v/>
      </c>
      <c r="L689" s="335" t="str">
        <f t="shared" si="76"/>
        <v/>
      </c>
      <c r="M689" s="335" t="str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  <v/>
      </c>
      <c r="N689" s="335" t="str">
        <f t="shared" si="77"/>
        <v/>
      </c>
      <c r="O689" s="348">
        <f t="shared" si="78"/>
        <v>0</v>
      </c>
    </row>
    <row r="690" spans="1:15" ht="16" hidden="1" outlineLevel="1">
      <c r="A690" s="335" t="str">
        <f t="shared" si="73"/>
        <v/>
      </c>
      <c r="B690" s="344"/>
      <c r="C690" s="344"/>
      <c r="D690" s="347" t="str">
        <f>IF(C690="","",IFERROR(INDEX(잔액!$Y:$Y,MAX(64,C690)),0))</f>
        <v/>
      </c>
      <c r="E690" s="346" t="str">
        <f>IF(C690="","",IFERROR(INDEX(잔액!$A:$A,MAX(64,C690)),""))</f>
        <v/>
      </c>
      <c r="F690" s="335" t="str">
        <f>IF(C690="","",IFERROR(INDEX(잔액!$C:$C,MAX(64,C690)),""))</f>
        <v/>
      </c>
      <c r="G690" s="335" t="str">
        <f>IF(C690="","",IF(INDEX(잔액!$K:$K,MAX(64,C690))&lt;&gt;"",INDEX(잔액!$K:$K,MAX(64,C690)),INDEX(잔액!$D:$D,MAX(64,C690))))</f>
        <v/>
      </c>
      <c r="H690" s="335" t="s">
        <v>1910</v>
      </c>
      <c r="J690" s="335" t="str">
        <f t="shared" si="74"/>
        <v/>
      </c>
      <c r="K690" s="346" t="str">
        <f t="shared" si="75"/>
        <v/>
      </c>
      <c r="L690" s="335" t="str">
        <f t="shared" si="76"/>
        <v/>
      </c>
      <c r="M690" s="335" t="str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  <v/>
      </c>
      <c r="N690" s="335" t="str">
        <f t="shared" si="77"/>
        <v/>
      </c>
      <c r="O690" s="348">
        <f t="shared" si="78"/>
        <v>0</v>
      </c>
    </row>
    <row r="691" spans="1:15" ht="16" hidden="1" outlineLevel="1">
      <c r="A691" s="335" t="str">
        <f t="shared" si="73"/>
        <v/>
      </c>
      <c r="B691" s="344"/>
      <c r="C691" s="344"/>
      <c r="D691" s="347" t="str">
        <f>IF(C691="","",IFERROR(INDEX(잔액!$Y:$Y,MAX(64,C691)),0))</f>
        <v/>
      </c>
      <c r="E691" s="346" t="str">
        <f>IF(C691="","",IFERROR(INDEX(잔액!$A:$A,MAX(64,C691)),""))</f>
        <v/>
      </c>
      <c r="F691" s="335" t="str">
        <f>IF(C691="","",IFERROR(INDEX(잔액!$C:$C,MAX(64,C691)),""))</f>
        <v/>
      </c>
      <c r="G691" s="335" t="str">
        <f>IF(C691="","",IF(INDEX(잔액!$K:$K,MAX(64,C691))&lt;&gt;"",INDEX(잔액!$K:$K,MAX(64,C691)),INDEX(잔액!$D:$D,MAX(64,C691))))</f>
        <v/>
      </c>
      <c r="H691" s="335" t="s">
        <v>1910</v>
      </c>
      <c r="J691" s="335" t="str">
        <f t="shared" si="74"/>
        <v/>
      </c>
      <c r="K691" s="346" t="str">
        <f t="shared" si="75"/>
        <v/>
      </c>
      <c r="L691" s="335" t="str">
        <f t="shared" si="76"/>
        <v/>
      </c>
      <c r="M691" s="335" t="str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  <v/>
      </c>
      <c r="N691" s="335" t="str">
        <f t="shared" si="77"/>
        <v/>
      </c>
      <c r="O691" s="348">
        <f t="shared" si="78"/>
        <v>0</v>
      </c>
    </row>
    <row r="692" spans="1:15" ht="16" hidden="1" outlineLevel="1">
      <c r="A692" s="335" t="str">
        <f t="shared" si="73"/>
        <v/>
      </c>
      <c r="B692" s="344"/>
      <c r="C692" s="344"/>
      <c r="D692" s="347" t="str">
        <f>IF(C692="","",IFERROR(INDEX(잔액!$Y:$Y,MAX(64,C692)),0))</f>
        <v/>
      </c>
      <c r="E692" s="346" t="str">
        <f>IF(C692="","",IFERROR(INDEX(잔액!$A:$A,MAX(64,C692)),""))</f>
        <v/>
      </c>
      <c r="F692" s="335" t="str">
        <f>IF(C692="","",IFERROR(INDEX(잔액!$C:$C,MAX(64,C692)),""))</f>
        <v/>
      </c>
      <c r="G692" s="335" t="str">
        <f>IF(C692="","",IF(INDEX(잔액!$K:$K,MAX(64,C692))&lt;&gt;"",INDEX(잔액!$K:$K,MAX(64,C692)),INDEX(잔액!$D:$D,MAX(64,C692))))</f>
        <v/>
      </c>
      <c r="H692" s="335" t="s">
        <v>1910</v>
      </c>
      <c r="J692" s="335" t="str">
        <f t="shared" si="74"/>
        <v/>
      </c>
      <c r="K692" s="346" t="str">
        <f t="shared" si="75"/>
        <v/>
      </c>
      <c r="L692" s="335" t="str">
        <f t="shared" si="76"/>
        <v/>
      </c>
      <c r="M692" s="335" t="str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  <v/>
      </c>
      <c r="N692" s="335" t="str">
        <f t="shared" si="77"/>
        <v/>
      </c>
      <c r="O692" s="348">
        <f t="shared" si="78"/>
        <v>0</v>
      </c>
    </row>
    <row r="693" spans="1:15" ht="16" hidden="1" outlineLevel="1">
      <c r="A693" s="335" t="str">
        <f t="shared" si="73"/>
        <v/>
      </c>
      <c r="B693" s="344"/>
      <c r="C693" s="344"/>
      <c r="D693" s="347" t="str">
        <f>IF(C693="","",IFERROR(INDEX(잔액!$Y:$Y,MAX(64,C693)),0))</f>
        <v/>
      </c>
      <c r="E693" s="346" t="str">
        <f>IF(C693="","",IFERROR(INDEX(잔액!$A:$A,MAX(64,C693)),""))</f>
        <v/>
      </c>
      <c r="F693" s="335" t="str">
        <f>IF(C693="","",IFERROR(INDEX(잔액!$C:$C,MAX(64,C693)),""))</f>
        <v/>
      </c>
      <c r="G693" s="335" t="str">
        <f>IF(C693="","",IF(INDEX(잔액!$K:$K,MAX(64,C693))&lt;&gt;"",INDEX(잔액!$K:$K,MAX(64,C693)),INDEX(잔액!$D:$D,MAX(64,C693))))</f>
        <v/>
      </c>
      <c r="H693" s="335" t="s">
        <v>1910</v>
      </c>
      <c r="J693" s="335" t="str">
        <f t="shared" si="74"/>
        <v/>
      </c>
      <c r="K693" s="346" t="str">
        <f t="shared" si="75"/>
        <v/>
      </c>
      <c r="L693" s="335" t="str">
        <f t="shared" si="76"/>
        <v/>
      </c>
      <c r="M693" s="335" t="str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  <v/>
      </c>
      <c r="N693" s="335" t="str">
        <f t="shared" si="77"/>
        <v/>
      </c>
      <c r="O693" s="348">
        <f t="shared" si="78"/>
        <v>0</v>
      </c>
    </row>
    <row r="694" spans="1:15" ht="16" hidden="1" outlineLevel="1">
      <c r="A694" s="335" t="str">
        <f t="shared" si="73"/>
        <v/>
      </c>
      <c r="B694" s="344"/>
      <c r="C694" s="344"/>
      <c r="D694" s="347" t="str">
        <f>IF(C694="","",IFERROR(INDEX(잔액!$Y:$Y,MAX(64,C694)),0))</f>
        <v/>
      </c>
      <c r="E694" s="346" t="str">
        <f>IF(C694="","",IFERROR(INDEX(잔액!$A:$A,MAX(64,C694)),""))</f>
        <v/>
      </c>
      <c r="F694" s="335" t="str">
        <f>IF(C694="","",IFERROR(INDEX(잔액!$C:$C,MAX(64,C694)),""))</f>
        <v/>
      </c>
      <c r="G694" s="335" t="str">
        <f>IF(C694="","",IF(INDEX(잔액!$K:$K,MAX(64,C694))&lt;&gt;"",INDEX(잔액!$K:$K,MAX(64,C694)),INDEX(잔액!$D:$D,MAX(64,C694))))</f>
        <v/>
      </c>
      <c r="H694" s="335" t="s">
        <v>1910</v>
      </c>
      <c r="J694" s="335" t="str">
        <f t="shared" si="74"/>
        <v/>
      </c>
      <c r="K694" s="346" t="str">
        <f t="shared" si="75"/>
        <v/>
      </c>
      <c r="L694" s="335" t="str">
        <f t="shared" si="76"/>
        <v/>
      </c>
      <c r="M694" s="335" t="str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  <v/>
      </c>
      <c r="N694" s="335" t="str">
        <f t="shared" si="77"/>
        <v/>
      </c>
      <c r="O694" s="348">
        <f t="shared" si="78"/>
        <v>0</v>
      </c>
    </row>
    <row r="695" spans="1:15" ht="16" hidden="1" outlineLevel="1">
      <c r="A695" s="335" t="str">
        <f t="shared" si="73"/>
        <v/>
      </c>
      <c r="B695" s="344"/>
      <c r="C695" s="344"/>
      <c r="D695" s="347" t="str">
        <f>IF(C695="","",IFERROR(INDEX(잔액!$Y:$Y,MAX(64,C695)),0))</f>
        <v/>
      </c>
      <c r="E695" s="346" t="str">
        <f>IF(C695="","",IFERROR(INDEX(잔액!$A:$A,MAX(64,C695)),""))</f>
        <v/>
      </c>
      <c r="F695" s="335" t="str">
        <f>IF(C695="","",IFERROR(INDEX(잔액!$C:$C,MAX(64,C695)),""))</f>
        <v/>
      </c>
      <c r="G695" s="335" t="str">
        <f>IF(C695="","",IF(INDEX(잔액!$K:$K,MAX(64,C695))&lt;&gt;"",INDEX(잔액!$K:$K,MAX(64,C695)),INDEX(잔액!$D:$D,MAX(64,C695))))</f>
        <v/>
      </c>
      <c r="H695" s="335" t="s">
        <v>1910</v>
      </c>
      <c r="J695" s="335" t="str">
        <f t="shared" si="74"/>
        <v/>
      </c>
      <c r="K695" s="346" t="str">
        <f t="shared" si="75"/>
        <v/>
      </c>
      <c r="L695" s="335" t="str">
        <f t="shared" si="76"/>
        <v/>
      </c>
      <c r="M695" s="335" t="str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  <v/>
      </c>
      <c r="N695" s="335" t="str">
        <f t="shared" si="77"/>
        <v/>
      </c>
      <c r="O695" s="348">
        <f t="shared" si="78"/>
        <v>0</v>
      </c>
    </row>
    <row r="696" spans="1:15" ht="16" hidden="1" outlineLevel="1">
      <c r="A696" s="335" t="str">
        <f t="shared" si="73"/>
        <v/>
      </c>
      <c r="B696" s="344"/>
      <c r="C696" s="344"/>
      <c r="D696" s="347" t="str">
        <f>IF(C696="","",IFERROR(INDEX(잔액!$Y:$Y,MAX(64,C696)),0))</f>
        <v/>
      </c>
      <c r="E696" s="346" t="str">
        <f>IF(C696="","",IFERROR(INDEX(잔액!$A:$A,MAX(64,C696)),""))</f>
        <v/>
      </c>
      <c r="F696" s="335" t="str">
        <f>IF(C696="","",IFERROR(INDEX(잔액!$C:$C,MAX(64,C696)),""))</f>
        <v/>
      </c>
      <c r="G696" s="335" t="str">
        <f>IF(C696="","",IF(INDEX(잔액!$K:$K,MAX(64,C696))&lt;&gt;"",INDEX(잔액!$K:$K,MAX(64,C696)),INDEX(잔액!$D:$D,MAX(64,C696))))</f>
        <v/>
      </c>
      <c r="H696" s="335" t="s">
        <v>1910</v>
      </c>
      <c r="J696" s="335" t="str">
        <f t="shared" si="74"/>
        <v/>
      </c>
      <c r="K696" s="346" t="str">
        <f t="shared" si="75"/>
        <v/>
      </c>
      <c r="L696" s="335" t="str">
        <f t="shared" si="76"/>
        <v/>
      </c>
      <c r="M696" s="335" t="str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  <v/>
      </c>
      <c r="N696" s="335" t="str">
        <f t="shared" si="77"/>
        <v/>
      </c>
      <c r="O696" s="348">
        <f t="shared" si="78"/>
        <v>0</v>
      </c>
    </row>
    <row r="697" spans="1:15" ht="16" hidden="1" outlineLevel="1">
      <c r="A697" s="335" t="str">
        <f t="shared" si="73"/>
        <v/>
      </c>
      <c r="B697" s="344"/>
      <c r="C697" s="344"/>
      <c r="D697" s="347" t="str">
        <f>IF(C697="","",IFERROR(INDEX(잔액!$Y:$Y,MAX(64,C697)),0))</f>
        <v/>
      </c>
      <c r="E697" s="346" t="str">
        <f>IF(C697="","",IFERROR(INDEX(잔액!$A:$A,MAX(64,C697)),""))</f>
        <v/>
      </c>
      <c r="F697" s="335" t="str">
        <f>IF(C697="","",IFERROR(INDEX(잔액!$C:$C,MAX(64,C697)),""))</f>
        <v/>
      </c>
      <c r="G697" s="335" t="str">
        <f>IF(C697="","",IF(INDEX(잔액!$K:$K,MAX(64,C697))&lt;&gt;"",INDEX(잔액!$K:$K,MAX(64,C697)),INDEX(잔액!$D:$D,MAX(64,C697))))</f>
        <v/>
      </c>
      <c r="H697" s="335" t="s">
        <v>1910</v>
      </c>
      <c r="J697" s="335" t="str">
        <f t="shared" si="74"/>
        <v/>
      </c>
      <c r="K697" s="346" t="str">
        <f t="shared" si="75"/>
        <v/>
      </c>
      <c r="L697" s="335" t="str">
        <f t="shared" si="76"/>
        <v/>
      </c>
      <c r="M697" s="335" t="str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  <v/>
      </c>
      <c r="N697" s="335" t="str">
        <f t="shared" si="77"/>
        <v/>
      </c>
      <c r="O697" s="348">
        <f t="shared" si="78"/>
        <v>0</v>
      </c>
    </row>
    <row r="698" spans="1:15" ht="16" hidden="1" outlineLevel="1">
      <c r="A698" s="335" t="str">
        <f t="shared" si="73"/>
        <v/>
      </c>
      <c r="B698" s="344"/>
      <c r="C698" s="344"/>
      <c r="D698" s="347" t="str">
        <f>IF(C698="","",IFERROR(INDEX(잔액!$Y:$Y,MAX(64,C698)),0))</f>
        <v/>
      </c>
      <c r="E698" s="346" t="str">
        <f>IF(C698="","",IFERROR(INDEX(잔액!$A:$A,MAX(64,C698)),""))</f>
        <v/>
      </c>
      <c r="F698" s="335" t="str">
        <f>IF(C698="","",IFERROR(INDEX(잔액!$C:$C,MAX(64,C698)),""))</f>
        <v/>
      </c>
      <c r="G698" s="335" t="str">
        <f>IF(C698="","",IF(INDEX(잔액!$K:$K,MAX(64,C698))&lt;&gt;"",INDEX(잔액!$K:$K,MAX(64,C698)),INDEX(잔액!$D:$D,MAX(64,C698))))</f>
        <v/>
      </c>
      <c r="H698" s="335" t="s">
        <v>1910</v>
      </c>
      <c r="J698" s="335" t="str">
        <f t="shared" si="74"/>
        <v/>
      </c>
      <c r="K698" s="346" t="str">
        <f t="shared" si="75"/>
        <v/>
      </c>
      <c r="L698" s="335" t="str">
        <f t="shared" si="76"/>
        <v/>
      </c>
      <c r="M698" s="335" t="str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  <v/>
      </c>
      <c r="N698" s="335" t="str">
        <f t="shared" si="77"/>
        <v/>
      </c>
      <c r="O698" s="348">
        <f t="shared" si="78"/>
        <v>0</v>
      </c>
    </row>
    <row r="699" spans="1:15" ht="16" hidden="1" outlineLevel="1">
      <c r="A699" s="335" t="str">
        <f t="shared" si="73"/>
        <v/>
      </c>
      <c r="B699" s="344"/>
      <c r="C699" s="344"/>
      <c r="D699" s="347" t="str">
        <f>IF(C699="","",IFERROR(INDEX(잔액!$Y:$Y,MAX(64,C699)),0))</f>
        <v/>
      </c>
      <c r="E699" s="346" t="str">
        <f>IF(C699="","",IFERROR(INDEX(잔액!$A:$A,MAX(64,C699)),""))</f>
        <v/>
      </c>
      <c r="F699" s="335" t="str">
        <f>IF(C699="","",IFERROR(INDEX(잔액!$C:$C,MAX(64,C699)),""))</f>
        <v/>
      </c>
      <c r="G699" s="335" t="str">
        <f>IF(C699="","",IF(INDEX(잔액!$K:$K,MAX(64,C699))&lt;&gt;"",INDEX(잔액!$K:$K,MAX(64,C699)),INDEX(잔액!$D:$D,MAX(64,C699))))</f>
        <v/>
      </c>
      <c r="H699" s="335" t="s">
        <v>1910</v>
      </c>
      <c r="J699" s="335" t="str">
        <f t="shared" si="74"/>
        <v/>
      </c>
      <c r="K699" s="346" t="str">
        <f t="shared" si="75"/>
        <v/>
      </c>
      <c r="L699" s="335" t="str">
        <f t="shared" si="76"/>
        <v/>
      </c>
      <c r="M699" s="335" t="str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  <v/>
      </c>
      <c r="N699" s="335" t="str">
        <f t="shared" si="77"/>
        <v/>
      </c>
      <c r="O699" s="348">
        <f t="shared" si="78"/>
        <v>0</v>
      </c>
    </row>
    <row r="700" spans="1:15" ht="16" hidden="1" outlineLevel="1">
      <c r="A700" s="335" t="str">
        <f t="shared" si="73"/>
        <v/>
      </c>
      <c r="B700" s="344"/>
      <c r="C700" s="344"/>
      <c r="D700" s="347" t="str">
        <f>IF(C700="","",IFERROR(INDEX(잔액!$Y:$Y,MAX(64,C700)),0))</f>
        <v/>
      </c>
      <c r="E700" s="346" t="str">
        <f>IF(C700="","",IFERROR(INDEX(잔액!$A:$A,MAX(64,C700)),""))</f>
        <v/>
      </c>
      <c r="F700" s="335" t="str">
        <f>IF(C700="","",IFERROR(INDEX(잔액!$C:$C,MAX(64,C700)),""))</f>
        <v/>
      </c>
      <c r="G700" s="335" t="str">
        <f>IF(C700="","",IF(INDEX(잔액!$K:$K,MAX(64,C700))&lt;&gt;"",INDEX(잔액!$K:$K,MAX(64,C700)),INDEX(잔액!$D:$D,MAX(64,C700))))</f>
        <v/>
      </c>
      <c r="H700" s="335" t="s">
        <v>1910</v>
      </c>
      <c r="J700" s="335" t="str">
        <f t="shared" si="74"/>
        <v/>
      </c>
      <c r="K700" s="346" t="str">
        <f t="shared" si="75"/>
        <v/>
      </c>
      <c r="L700" s="335" t="str">
        <f t="shared" si="76"/>
        <v/>
      </c>
      <c r="M700" s="335" t="str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  <v/>
      </c>
      <c r="N700" s="335" t="str">
        <f t="shared" si="77"/>
        <v/>
      </c>
      <c r="O700" s="348">
        <f t="shared" si="78"/>
        <v>0</v>
      </c>
    </row>
    <row r="701" spans="1:15" ht="16" hidden="1" outlineLevel="1">
      <c r="A701" s="335" t="str">
        <f t="shared" si="73"/>
        <v/>
      </c>
      <c r="B701" s="344"/>
      <c r="C701" s="344"/>
      <c r="D701" s="347" t="str">
        <f>IF(C701="","",IFERROR(INDEX(잔액!$Y:$Y,MAX(64,C701)),0))</f>
        <v/>
      </c>
      <c r="E701" s="346" t="str">
        <f>IF(C701="","",IFERROR(INDEX(잔액!$A:$A,MAX(64,C701)),""))</f>
        <v/>
      </c>
      <c r="F701" s="335" t="str">
        <f>IF(C701="","",IFERROR(INDEX(잔액!$C:$C,MAX(64,C701)),""))</f>
        <v/>
      </c>
      <c r="G701" s="335" t="str">
        <f>IF(C701="","",IF(INDEX(잔액!$K:$K,MAX(64,C701))&lt;&gt;"",INDEX(잔액!$K:$K,MAX(64,C701)),INDEX(잔액!$D:$D,MAX(64,C701))))</f>
        <v/>
      </c>
      <c r="H701" s="335" t="s">
        <v>1910</v>
      </c>
      <c r="J701" s="335" t="str">
        <f t="shared" si="74"/>
        <v/>
      </c>
      <c r="K701" s="346" t="str">
        <f t="shared" si="75"/>
        <v/>
      </c>
      <c r="L701" s="335" t="str">
        <f t="shared" si="76"/>
        <v/>
      </c>
      <c r="M701" s="335" t="str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  <v/>
      </c>
      <c r="N701" s="335" t="str">
        <f t="shared" si="77"/>
        <v/>
      </c>
      <c r="O701" s="348">
        <f t="shared" si="78"/>
        <v>0</v>
      </c>
    </row>
    <row r="702" spans="1:15" ht="16" hidden="1" outlineLevel="1">
      <c r="A702" s="335" t="str">
        <f t="shared" si="73"/>
        <v/>
      </c>
      <c r="B702" s="344"/>
      <c r="C702" s="344"/>
      <c r="D702" s="347" t="str">
        <f>IF(C702="","",IFERROR(INDEX(잔액!$Y:$Y,MAX(64,C702)),0))</f>
        <v/>
      </c>
      <c r="E702" s="346" t="str">
        <f>IF(C702="","",IFERROR(INDEX(잔액!$A:$A,MAX(64,C702)),""))</f>
        <v/>
      </c>
      <c r="F702" s="335" t="str">
        <f>IF(C702="","",IFERROR(INDEX(잔액!$C:$C,MAX(64,C702)),""))</f>
        <v/>
      </c>
      <c r="G702" s="335" t="str">
        <f>IF(C702="","",IF(INDEX(잔액!$K:$K,MAX(64,C702))&lt;&gt;"",INDEX(잔액!$K:$K,MAX(64,C702)),INDEX(잔액!$D:$D,MAX(64,C702))))</f>
        <v/>
      </c>
      <c r="H702" s="335" t="s">
        <v>1910</v>
      </c>
      <c r="J702" s="335" t="str">
        <f t="shared" si="74"/>
        <v/>
      </c>
      <c r="K702" s="346" t="str">
        <f t="shared" si="75"/>
        <v/>
      </c>
      <c r="L702" s="335" t="str">
        <f t="shared" si="76"/>
        <v/>
      </c>
      <c r="M702" s="335" t="str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  <v/>
      </c>
      <c r="N702" s="335" t="str">
        <f t="shared" si="77"/>
        <v/>
      </c>
      <c r="O702" s="348">
        <f t="shared" si="78"/>
        <v>0</v>
      </c>
    </row>
    <row r="703" spans="1:15" ht="16" hidden="1" outlineLevel="1">
      <c r="A703" s="335" t="str">
        <f t="shared" si="73"/>
        <v/>
      </c>
      <c r="B703" s="344"/>
      <c r="C703" s="344"/>
      <c r="D703" s="347" t="str">
        <f>IF(C703="","",IFERROR(INDEX(잔액!$Y:$Y,MAX(64,C703)),0))</f>
        <v/>
      </c>
      <c r="E703" s="346" t="str">
        <f>IF(C703="","",IFERROR(INDEX(잔액!$A:$A,MAX(64,C703)),""))</f>
        <v/>
      </c>
      <c r="F703" s="335" t="str">
        <f>IF(C703="","",IFERROR(INDEX(잔액!$C:$C,MAX(64,C703)),""))</f>
        <v/>
      </c>
      <c r="G703" s="335" t="str">
        <f>IF(C703="","",IF(INDEX(잔액!$K:$K,MAX(64,C703))&lt;&gt;"",INDEX(잔액!$K:$K,MAX(64,C703)),INDEX(잔액!$D:$D,MAX(64,C703))))</f>
        <v/>
      </c>
      <c r="H703" s="335" t="s">
        <v>1910</v>
      </c>
      <c r="J703" s="335" t="str">
        <f t="shared" si="74"/>
        <v/>
      </c>
      <c r="K703" s="346" t="str">
        <f t="shared" si="75"/>
        <v/>
      </c>
      <c r="L703" s="335" t="str">
        <f t="shared" si="76"/>
        <v/>
      </c>
      <c r="M703" s="335" t="str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  <v/>
      </c>
      <c r="N703" s="335" t="str">
        <f t="shared" si="77"/>
        <v/>
      </c>
      <c r="O703" s="348">
        <f t="shared" si="78"/>
        <v>0</v>
      </c>
    </row>
    <row r="704" spans="1:15" ht="16" hidden="1" outlineLevel="1">
      <c r="A704" s="335" t="str">
        <f t="shared" si="73"/>
        <v/>
      </c>
      <c r="B704" s="344"/>
      <c r="C704" s="344"/>
      <c r="D704" s="347" t="str">
        <f>IF(C704="","",IFERROR(INDEX(잔액!$Y:$Y,MAX(64,C704)),0))</f>
        <v/>
      </c>
      <c r="E704" s="346" t="str">
        <f>IF(C704="","",IFERROR(INDEX(잔액!$A:$A,MAX(64,C704)),""))</f>
        <v/>
      </c>
      <c r="F704" s="335" t="str">
        <f>IF(C704="","",IFERROR(INDEX(잔액!$C:$C,MAX(64,C704)),""))</f>
        <v/>
      </c>
      <c r="G704" s="335" t="str">
        <f>IF(C704="","",IF(INDEX(잔액!$K:$K,MAX(64,C704))&lt;&gt;"",INDEX(잔액!$K:$K,MAX(64,C704)),INDEX(잔액!$D:$D,MAX(64,C704))))</f>
        <v/>
      </c>
      <c r="H704" s="335" t="s">
        <v>1910</v>
      </c>
      <c r="J704" s="335" t="str">
        <f t="shared" si="74"/>
        <v/>
      </c>
      <c r="K704" s="346" t="str">
        <f t="shared" si="75"/>
        <v/>
      </c>
      <c r="L704" s="335" t="str">
        <f t="shared" si="76"/>
        <v/>
      </c>
      <c r="M704" s="335" t="str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  <v/>
      </c>
      <c r="N704" s="335" t="str">
        <f t="shared" si="77"/>
        <v/>
      </c>
      <c r="O704" s="348">
        <f t="shared" si="78"/>
        <v>0</v>
      </c>
    </row>
    <row r="705" spans="1:15" ht="16" hidden="1" outlineLevel="1">
      <c r="A705" s="335" t="str">
        <f t="shared" si="73"/>
        <v/>
      </c>
      <c r="B705" s="344"/>
      <c r="C705" s="344"/>
      <c r="D705" s="347" t="str">
        <f>IF(C705="","",IFERROR(INDEX(잔액!$Y:$Y,MAX(64,C705)),0))</f>
        <v/>
      </c>
      <c r="E705" s="346" t="str">
        <f>IF(C705="","",IFERROR(INDEX(잔액!$A:$A,MAX(64,C705)),""))</f>
        <v/>
      </c>
      <c r="F705" s="335" t="str">
        <f>IF(C705="","",IFERROR(INDEX(잔액!$C:$C,MAX(64,C705)),""))</f>
        <v/>
      </c>
      <c r="G705" s="335" t="str">
        <f>IF(C705="","",IF(INDEX(잔액!$K:$K,MAX(64,C705))&lt;&gt;"",INDEX(잔액!$K:$K,MAX(64,C705)),INDEX(잔액!$D:$D,MAX(64,C705))))</f>
        <v/>
      </c>
      <c r="H705" s="335" t="s">
        <v>1910</v>
      </c>
      <c r="J705" s="335" t="str">
        <f t="shared" si="74"/>
        <v/>
      </c>
      <c r="K705" s="346" t="str">
        <f t="shared" si="75"/>
        <v/>
      </c>
      <c r="L705" s="335" t="str">
        <f t="shared" si="76"/>
        <v/>
      </c>
      <c r="M705" s="335" t="str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  <v/>
      </c>
      <c r="N705" s="335" t="str">
        <f t="shared" si="77"/>
        <v/>
      </c>
      <c r="O705" s="348">
        <f t="shared" si="78"/>
        <v>0</v>
      </c>
    </row>
    <row r="706" spans="1:15" ht="16" hidden="1" outlineLevel="1">
      <c r="A706" s="335" t="str">
        <f t="shared" si="73"/>
        <v/>
      </c>
      <c r="B706" s="344"/>
      <c r="C706" s="344"/>
      <c r="D706" s="347" t="str">
        <f>IF(C706="","",IFERROR(INDEX(잔액!$Y:$Y,MAX(64,C706)),0))</f>
        <v/>
      </c>
      <c r="E706" s="346" t="str">
        <f>IF(C706="","",IFERROR(INDEX(잔액!$A:$A,MAX(64,C706)),""))</f>
        <v/>
      </c>
      <c r="F706" s="335" t="str">
        <f>IF(C706="","",IFERROR(INDEX(잔액!$C:$C,MAX(64,C706)),""))</f>
        <v/>
      </c>
      <c r="G706" s="335" t="str">
        <f>IF(C706="","",IF(INDEX(잔액!$K:$K,MAX(64,C706))&lt;&gt;"",INDEX(잔액!$K:$K,MAX(64,C706)),INDEX(잔액!$D:$D,MAX(64,C706))))</f>
        <v/>
      </c>
      <c r="H706" s="335" t="s">
        <v>1910</v>
      </c>
      <c r="J706" s="335" t="str">
        <f t="shared" si="74"/>
        <v/>
      </c>
      <c r="K706" s="346" t="str">
        <f t="shared" si="75"/>
        <v/>
      </c>
      <c r="L706" s="335" t="str">
        <f t="shared" si="76"/>
        <v/>
      </c>
      <c r="M706" s="335" t="str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  <v/>
      </c>
      <c r="N706" s="335" t="str">
        <f t="shared" si="77"/>
        <v/>
      </c>
      <c r="O706" s="348">
        <f t="shared" si="78"/>
        <v>0</v>
      </c>
    </row>
    <row r="707" spans="1:15" ht="16" hidden="1" outlineLevel="1">
      <c r="A707" s="335" t="str">
        <f t="shared" si="73"/>
        <v/>
      </c>
      <c r="B707" s="344"/>
      <c r="C707" s="344"/>
      <c r="D707" s="347" t="str">
        <f>IF(C707="","",IFERROR(INDEX(잔액!$Y:$Y,MAX(64,C707)),0))</f>
        <v/>
      </c>
      <c r="E707" s="346" t="str">
        <f>IF(C707="","",IFERROR(INDEX(잔액!$A:$A,MAX(64,C707)),""))</f>
        <v/>
      </c>
      <c r="F707" s="335" t="str">
        <f>IF(C707="","",IFERROR(INDEX(잔액!$C:$C,MAX(64,C707)),""))</f>
        <v/>
      </c>
      <c r="G707" s="335" t="str">
        <f>IF(C707="","",IF(INDEX(잔액!$K:$K,MAX(64,C707))&lt;&gt;"",INDEX(잔액!$K:$K,MAX(64,C707)),INDEX(잔액!$D:$D,MAX(64,C707))))</f>
        <v/>
      </c>
      <c r="H707" s="335" t="s">
        <v>1910</v>
      </c>
      <c r="J707" s="335" t="str">
        <f t="shared" si="74"/>
        <v/>
      </c>
      <c r="K707" s="346" t="str">
        <f t="shared" si="75"/>
        <v/>
      </c>
      <c r="L707" s="335" t="str">
        <f t="shared" si="76"/>
        <v/>
      </c>
      <c r="M707" s="335" t="str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  <v/>
      </c>
      <c r="N707" s="335" t="str">
        <f t="shared" si="77"/>
        <v/>
      </c>
      <c r="O707" s="348">
        <f t="shared" si="78"/>
        <v>0</v>
      </c>
    </row>
    <row r="708" spans="1:15" ht="16" hidden="1" outlineLevel="1">
      <c r="A708" s="335" t="str">
        <f t="shared" si="73"/>
        <v/>
      </c>
      <c r="B708" s="344"/>
      <c r="C708" s="344"/>
      <c r="D708" s="347" t="str">
        <f>IF(C708="","",IFERROR(INDEX(잔액!$Y:$Y,MAX(64,C708)),0))</f>
        <v/>
      </c>
      <c r="E708" s="346" t="str">
        <f>IF(C708="","",IFERROR(INDEX(잔액!$A:$A,MAX(64,C708)),""))</f>
        <v/>
      </c>
      <c r="F708" s="335" t="str">
        <f>IF(C708="","",IFERROR(INDEX(잔액!$C:$C,MAX(64,C708)),""))</f>
        <v/>
      </c>
      <c r="G708" s="335" t="str">
        <f>IF(C708="","",IF(INDEX(잔액!$K:$K,MAX(64,C708))&lt;&gt;"",INDEX(잔액!$K:$K,MAX(64,C708)),INDEX(잔액!$D:$D,MAX(64,C708))))</f>
        <v/>
      </c>
      <c r="H708" s="335" t="s">
        <v>1910</v>
      </c>
      <c r="J708" s="335" t="str">
        <f t="shared" si="74"/>
        <v/>
      </c>
      <c r="K708" s="346" t="str">
        <f t="shared" si="75"/>
        <v/>
      </c>
      <c r="L708" s="335" t="str">
        <f t="shared" si="76"/>
        <v/>
      </c>
      <c r="M708" s="335" t="str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  <v/>
      </c>
      <c r="N708" s="335" t="str">
        <f t="shared" si="77"/>
        <v/>
      </c>
      <c r="O708" s="348">
        <f t="shared" si="78"/>
        <v>0</v>
      </c>
    </row>
    <row r="709" spans="1:15" ht="16" hidden="1" outlineLevel="1">
      <c r="A709" s="335" t="str">
        <f t="shared" si="73"/>
        <v/>
      </c>
      <c r="B709" s="344"/>
      <c r="C709" s="344"/>
      <c r="D709" s="347" t="str">
        <f>IF(C709="","",IFERROR(INDEX(잔액!$Y:$Y,MAX(64,C709)),0))</f>
        <v/>
      </c>
      <c r="E709" s="346" t="str">
        <f>IF(C709="","",IFERROR(INDEX(잔액!$A:$A,MAX(64,C709)),""))</f>
        <v/>
      </c>
      <c r="F709" s="335" t="str">
        <f>IF(C709="","",IFERROR(INDEX(잔액!$C:$C,MAX(64,C709)),""))</f>
        <v/>
      </c>
      <c r="G709" s="335" t="str">
        <f>IF(C709="","",IF(INDEX(잔액!$K:$K,MAX(64,C709))&lt;&gt;"",INDEX(잔액!$K:$K,MAX(64,C709)),INDEX(잔액!$D:$D,MAX(64,C709))))</f>
        <v/>
      </c>
      <c r="H709" s="335" t="s">
        <v>1910</v>
      </c>
      <c r="J709" s="335" t="str">
        <f t="shared" si="74"/>
        <v/>
      </c>
      <c r="K709" s="346" t="str">
        <f t="shared" si="75"/>
        <v/>
      </c>
      <c r="L709" s="335" t="str">
        <f t="shared" si="76"/>
        <v/>
      </c>
      <c r="M709" s="335" t="str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  <v/>
      </c>
      <c r="N709" s="335" t="str">
        <f t="shared" si="77"/>
        <v/>
      </c>
      <c r="O709" s="348">
        <f t="shared" si="78"/>
        <v>0</v>
      </c>
    </row>
    <row r="710" spans="1:15" ht="16" hidden="1" outlineLevel="1">
      <c r="A710" s="335" t="str">
        <f t="shared" si="73"/>
        <v/>
      </c>
      <c r="B710" s="344"/>
      <c r="C710" s="344"/>
      <c r="D710" s="347" t="str">
        <f>IF(C710="","",IFERROR(INDEX(잔액!$Y:$Y,MAX(64,C710)),0))</f>
        <v/>
      </c>
      <c r="E710" s="346" t="str">
        <f>IF(C710="","",IFERROR(INDEX(잔액!$A:$A,MAX(64,C710)),""))</f>
        <v/>
      </c>
      <c r="F710" s="335" t="str">
        <f>IF(C710="","",IFERROR(INDEX(잔액!$C:$C,MAX(64,C710)),""))</f>
        <v/>
      </c>
      <c r="G710" s="335" t="str">
        <f>IF(C710="","",IF(INDEX(잔액!$K:$K,MAX(64,C710))&lt;&gt;"",INDEX(잔액!$K:$K,MAX(64,C710)),INDEX(잔액!$D:$D,MAX(64,C710))))</f>
        <v/>
      </c>
      <c r="H710" s="335" t="s">
        <v>1910</v>
      </c>
      <c r="J710" s="335" t="str">
        <f t="shared" si="74"/>
        <v/>
      </c>
      <c r="K710" s="346" t="str">
        <f t="shared" si="75"/>
        <v/>
      </c>
      <c r="L710" s="335" t="str">
        <f t="shared" si="76"/>
        <v/>
      </c>
      <c r="M710" s="335" t="str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  <v/>
      </c>
      <c r="N710" s="335" t="str">
        <f t="shared" si="77"/>
        <v/>
      </c>
      <c r="O710" s="348">
        <f t="shared" si="78"/>
        <v>0</v>
      </c>
    </row>
    <row r="711" spans="1:15" ht="16" hidden="1" outlineLevel="1">
      <c r="A711" s="335" t="str">
        <f t="shared" si="73"/>
        <v/>
      </c>
      <c r="B711" s="344"/>
      <c r="C711" s="344"/>
      <c r="D711" s="347" t="str">
        <f>IF(C711="","",IFERROR(INDEX(잔액!$Y:$Y,MAX(64,C711)),0))</f>
        <v/>
      </c>
      <c r="E711" s="346" t="str">
        <f>IF(C711="","",IFERROR(INDEX(잔액!$A:$A,MAX(64,C711)),""))</f>
        <v/>
      </c>
      <c r="F711" s="335" t="str">
        <f>IF(C711="","",IFERROR(INDEX(잔액!$C:$C,MAX(64,C711)),""))</f>
        <v/>
      </c>
      <c r="G711" s="335" t="str">
        <f>IF(C711="","",IF(INDEX(잔액!$K:$K,MAX(64,C711))&lt;&gt;"",INDEX(잔액!$K:$K,MAX(64,C711)),INDEX(잔액!$D:$D,MAX(64,C711))))</f>
        <v/>
      </c>
      <c r="H711" s="335" t="s">
        <v>1910</v>
      </c>
      <c r="J711" s="335" t="str">
        <f t="shared" si="74"/>
        <v/>
      </c>
      <c r="K711" s="346" t="str">
        <f t="shared" si="75"/>
        <v/>
      </c>
      <c r="L711" s="335" t="str">
        <f t="shared" si="76"/>
        <v/>
      </c>
      <c r="M711" s="335" t="str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  <v/>
      </c>
      <c r="N711" s="335" t="str">
        <f t="shared" si="77"/>
        <v/>
      </c>
      <c r="O711" s="348">
        <f t="shared" si="78"/>
        <v>0</v>
      </c>
    </row>
    <row r="712" spans="1:15" ht="16" hidden="1" outlineLevel="1">
      <c r="A712" s="335" t="str">
        <f t="shared" si="73"/>
        <v/>
      </c>
      <c r="B712" s="344"/>
      <c r="C712" s="344"/>
      <c r="D712" s="347" t="str">
        <f>IF(C712="","",IFERROR(INDEX(잔액!$Y:$Y,MAX(64,C712)),0))</f>
        <v/>
      </c>
      <c r="E712" s="346" t="str">
        <f>IF(C712="","",IFERROR(INDEX(잔액!$A:$A,MAX(64,C712)),""))</f>
        <v/>
      </c>
      <c r="F712" s="335" t="str">
        <f>IF(C712="","",IFERROR(INDEX(잔액!$C:$C,MAX(64,C712)),""))</f>
        <v/>
      </c>
      <c r="G712" s="335" t="str">
        <f>IF(C712="","",IF(INDEX(잔액!$K:$K,MAX(64,C712))&lt;&gt;"",INDEX(잔액!$K:$K,MAX(64,C712)),INDEX(잔액!$D:$D,MAX(64,C712))))</f>
        <v/>
      </c>
      <c r="H712" s="335" t="s">
        <v>1910</v>
      </c>
      <c r="J712" s="335" t="str">
        <f t="shared" si="74"/>
        <v/>
      </c>
      <c r="K712" s="346" t="str">
        <f t="shared" si="75"/>
        <v/>
      </c>
      <c r="L712" s="335" t="str">
        <f t="shared" si="76"/>
        <v/>
      </c>
      <c r="M712" s="335" t="str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  <v/>
      </c>
      <c r="N712" s="335" t="str">
        <f t="shared" si="77"/>
        <v/>
      </c>
      <c r="O712" s="348">
        <f t="shared" si="78"/>
        <v>0</v>
      </c>
    </row>
    <row r="713" spans="1:15" ht="16" hidden="1" outlineLevel="1">
      <c r="A713" s="335" t="str">
        <f t="shared" si="73"/>
        <v/>
      </c>
      <c r="B713" s="344"/>
      <c r="C713" s="344"/>
      <c r="D713" s="347" t="str">
        <f>IF(C713="","",IFERROR(INDEX(잔액!$Y:$Y,MAX(64,C713)),0))</f>
        <v/>
      </c>
      <c r="E713" s="346" t="str">
        <f>IF(C713="","",IFERROR(INDEX(잔액!$A:$A,MAX(64,C713)),""))</f>
        <v/>
      </c>
      <c r="F713" s="335" t="str">
        <f>IF(C713="","",IFERROR(INDEX(잔액!$C:$C,MAX(64,C713)),""))</f>
        <v/>
      </c>
      <c r="G713" s="335" t="str">
        <f>IF(C713="","",IF(INDEX(잔액!$K:$K,MAX(64,C713))&lt;&gt;"",INDEX(잔액!$K:$K,MAX(64,C713)),INDEX(잔액!$D:$D,MAX(64,C713))))</f>
        <v/>
      </c>
      <c r="H713" s="335" t="s">
        <v>1910</v>
      </c>
      <c r="J713" s="335" t="str">
        <f t="shared" si="74"/>
        <v/>
      </c>
      <c r="K713" s="346" t="str">
        <f t="shared" si="75"/>
        <v/>
      </c>
      <c r="L713" s="335" t="str">
        <f t="shared" si="76"/>
        <v/>
      </c>
      <c r="M713" s="335" t="str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  <v/>
      </c>
      <c r="N713" s="335" t="str">
        <f t="shared" si="77"/>
        <v/>
      </c>
      <c r="O713" s="348">
        <f t="shared" si="78"/>
        <v>0</v>
      </c>
    </row>
    <row r="714" spans="1:15" ht="16" hidden="1" outlineLevel="1">
      <c r="A714" s="335" t="str">
        <f t="shared" si="73"/>
        <v/>
      </c>
      <c r="B714" s="344"/>
      <c r="C714" s="344"/>
      <c r="D714" s="347" t="str">
        <f>IF(C714="","",IFERROR(INDEX(잔액!$Y:$Y,MAX(64,C714)),0))</f>
        <v/>
      </c>
      <c r="E714" s="346" t="str">
        <f>IF(C714="","",IFERROR(INDEX(잔액!$A:$A,MAX(64,C714)),""))</f>
        <v/>
      </c>
      <c r="F714" s="335" t="str">
        <f>IF(C714="","",IFERROR(INDEX(잔액!$C:$C,MAX(64,C714)),""))</f>
        <v/>
      </c>
      <c r="G714" s="335" t="str">
        <f>IF(C714="","",IF(INDEX(잔액!$K:$K,MAX(64,C714))&lt;&gt;"",INDEX(잔액!$K:$K,MAX(64,C714)),INDEX(잔액!$D:$D,MAX(64,C714))))</f>
        <v/>
      </c>
      <c r="H714" s="335" t="s">
        <v>1910</v>
      </c>
      <c r="J714" s="335" t="str">
        <f t="shared" si="74"/>
        <v/>
      </c>
      <c r="K714" s="346" t="str">
        <f t="shared" si="75"/>
        <v/>
      </c>
      <c r="L714" s="335" t="str">
        <f t="shared" si="76"/>
        <v/>
      </c>
      <c r="M714" s="335" t="str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  <v/>
      </c>
      <c r="N714" s="335" t="str">
        <f t="shared" si="77"/>
        <v/>
      </c>
      <c r="O714" s="348">
        <f t="shared" si="78"/>
        <v>0</v>
      </c>
    </row>
    <row r="715" spans="1:15" ht="16" hidden="1" outlineLevel="1">
      <c r="A715" s="335" t="str">
        <f t="shared" si="73"/>
        <v/>
      </c>
      <c r="B715" s="344"/>
      <c r="C715" s="344"/>
      <c r="D715" s="347" t="str">
        <f>IF(C715="","",IFERROR(INDEX(잔액!$Y:$Y,MAX(64,C715)),0))</f>
        <v/>
      </c>
      <c r="E715" s="346" t="str">
        <f>IF(C715="","",IFERROR(INDEX(잔액!$A:$A,MAX(64,C715)),""))</f>
        <v/>
      </c>
      <c r="F715" s="335" t="str">
        <f>IF(C715="","",IFERROR(INDEX(잔액!$C:$C,MAX(64,C715)),""))</f>
        <v/>
      </c>
      <c r="G715" s="335" t="str">
        <f>IF(C715="","",IF(INDEX(잔액!$K:$K,MAX(64,C715))&lt;&gt;"",INDEX(잔액!$K:$K,MAX(64,C715)),INDEX(잔액!$D:$D,MAX(64,C715))))</f>
        <v/>
      </c>
      <c r="H715" s="335" t="s">
        <v>1910</v>
      </c>
      <c r="J715" s="335" t="str">
        <f t="shared" si="74"/>
        <v/>
      </c>
      <c r="K715" s="346" t="str">
        <f t="shared" si="75"/>
        <v/>
      </c>
      <c r="L715" s="335" t="str">
        <f t="shared" si="76"/>
        <v/>
      </c>
      <c r="M715" s="335" t="str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  <v/>
      </c>
      <c r="N715" s="335" t="str">
        <f t="shared" si="77"/>
        <v/>
      </c>
      <c r="O715" s="348">
        <f t="shared" si="78"/>
        <v>0</v>
      </c>
    </row>
    <row r="716" spans="1:15" ht="16" hidden="1" outlineLevel="1">
      <c r="A716" s="335" t="str">
        <f t="shared" si="73"/>
        <v/>
      </c>
      <c r="B716" s="344"/>
      <c r="C716" s="344"/>
      <c r="D716" s="347" t="str">
        <f>IF(C716="","",IFERROR(INDEX(잔액!$Y:$Y,MAX(64,C716)),0))</f>
        <v/>
      </c>
      <c r="E716" s="346" t="str">
        <f>IF(C716="","",IFERROR(INDEX(잔액!$A:$A,MAX(64,C716)),""))</f>
        <v/>
      </c>
      <c r="F716" s="335" t="str">
        <f>IF(C716="","",IFERROR(INDEX(잔액!$C:$C,MAX(64,C716)),""))</f>
        <v/>
      </c>
      <c r="G716" s="335" t="str">
        <f>IF(C716="","",IF(INDEX(잔액!$K:$K,MAX(64,C716))&lt;&gt;"",INDEX(잔액!$K:$K,MAX(64,C716)),INDEX(잔액!$D:$D,MAX(64,C716))))</f>
        <v/>
      </c>
      <c r="H716" s="335" t="s">
        <v>1910</v>
      </c>
      <c r="J716" s="335" t="str">
        <f t="shared" si="74"/>
        <v/>
      </c>
      <c r="K716" s="346" t="str">
        <f t="shared" si="75"/>
        <v/>
      </c>
      <c r="L716" s="335" t="str">
        <f t="shared" si="76"/>
        <v/>
      </c>
      <c r="M716" s="335" t="str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  <v/>
      </c>
      <c r="N716" s="335" t="str">
        <f t="shared" si="77"/>
        <v/>
      </c>
      <c r="O716" s="348">
        <f t="shared" si="78"/>
        <v>0</v>
      </c>
    </row>
    <row r="717" spans="1:15" ht="16" hidden="1" outlineLevel="1">
      <c r="A717" s="335" t="str">
        <f t="shared" si="73"/>
        <v/>
      </c>
      <c r="B717" s="344"/>
      <c r="C717" s="344"/>
      <c r="D717" s="347" t="str">
        <f>IF(C717="","",IFERROR(INDEX(잔액!$Y:$Y,MAX(64,C717)),0))</f>
        <v/>
      </c>
      <c r="E717" s="346" t="str">
        <f>IF(C717="","",IFERROR(INDEX(잔액!$A:$A,MAX(64,C717)),""))</f>
        <v/>
      </c>
      <c r="F717" s="335" t="str">
        <f>IF(C717="","",IFERROR(INDEX(잔액!$C:$C,MAX(64,C717)),""))</f>
        <v/>
      </c>
      <c r="G717" s="335" t="str">
        <f>IF(C717="","",IF(INDEX(잔액!$K:$K,MAX(64,C717))&lt;&gt;"",INDEX(잔액!$K:$K,MAX(64,C717)),INDEX(잔액!$D:$D,MAX(64,C717))))</f>
        <v/>
      </c>
      <c r="H717" s="335" t="s">
        <v>1910</v>
      </c>
      <c r="J717" s="335" t="str">
        <f t="shared" si="74"/>
        <v/>
      </c>
      <c r="K717" s="346" t="str">
        <f t="shared" si="75"/>
        <v/>
      </c>
      <c r="L717" s="335" t="str">
        <f t="shared" si="76"/>
        <v/>
      </c>
      <c r="M717" s="335" t="str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  <v/>
      </c>
      <c r="N717" s="335" t="str">
        <f t="shared" si="77"/>
        <v/>
      </c>
      <c r="O717" s="348">
        <f t="shared" si="78"/>
        <v>0</v>
      </c>
    </row>
    <row r="718" spans="1:15" ht="16" hidden="1" outlineLevel="1">
      <c r="A718" s="335" t="str">
        <f t="shared" si="73"/>
        <v/>
      </c>
      <c r="B718" s="344"/>
      <c r="C718" s="344"/>
      <c r="D718" s="347" t="str">
        <f>IF(C718="","",IFERROR(INDEX(잔액!$Y:$Y,MAX(64,C718)),0))</f>
        <v/>
      </c>
      <c r="E718" s="346" t="str">
        <f>IF(C718="","",IFERROR(INDEX(잔액!$A:$A,MAX(64,C718)),""))</f>
        <v/>
      </c>
      <c r="F718" s="335" t="str">
        <f>IF(C718="","",IFERROR(INDEX(잔액!$C:$C,MAX(64,C718)),""))</f>
        <v/>
      </c>
      <c r="G718" s="335" t="str">
        <f>IF(C718="","",IF(INDEX(잔액!$K:$K,MAX(64,C718))&lt;&gt;"",INDEX(잔액!$K:$K,MAX(64,C718)),INDEX(잔액!$D:$D,MAX(64,C718))))</f>
        <v/>
      </c>
      <c r="H718" s="335" t="s">
        <v>1910</v>
      </c>
      <c r="J718" s="335" t="str">
        <f t="shared" si="74"/>
        <v/>
      </c>
      <c r="K718" s="346" t="str">
        <f t="shared" si="75"/>
        <v/>
      </c>
      <c r="L718" s="335" t="str">
        <f t="shared" si="76"/>
        <v/>
      </c>
      <c r="M718" s="335" t="str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  <v/>
      </c>
      <c r="N718" s="335" t="str">
        <f t="shared" si="77"/>
        <v/>
      </c>
      <c r="O718" s="348">
        <f t="shared" si="78"/>
        <v>0</v>
      </c>
    </row>
    <row r="719" spans="1:15" ht="16" hidden="1" outlineLevel="1">
      <c r="A719" s="335" t="str">
        <f t="shared" si="73"/>
        <v/>
      </c>
      <c r="B719" s="344"/>
      <c r="C719" s="344"/>
      <c r="D719" s="347" t="str">
        <f>IF(C719="","",IFERROR(INDEX(잔액!$Y:$Y,MAX(64,C719)),0))</f>
        <v/>
      </c>
      <c r="E719" s="346" t="str">
        <f>IF(C719="","",IFERROR(INDEX(잔액!$A:$A,MAX(64,C719)),""))</f>
        <v/>
      </c>
      <c r="F719" s="335" t="str">
        <f>IF(C719="","",IFERROR(INDEX(잔액!$C:$C,MAX(64,C719)),""))</f>
        <v/>
      </c>
      <c r="G719" s="335" t="str">
        <f>IF(C719="","",IF(INDEX(잔액!$K:$K,MAX(64,C719))&lt;&gt;"",INDEX(잔액!$K:$K,MAX(64,C719)),INDEX(잔액!$D:$D,MAX(64,C719))))</f>
        <v/>
      </c>
      <c r="H719" s="335" t="s">
        <v>1910</v>
      </c>
      <c r="J719" s="335" t="str">
        <f t="shared" si="74"/>
        <v/>
      </c>
      <c r="K719" s="346" t="str">
        <f t="shared" si="75"/>
        <v/>
      </c>
      <c r="L719" s="335" t="str">
        <f t="shared" si="76"/>
        <v/>
      </c>
      <c r="M719" s="335" t="str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  <v/>
      </c>
      <c r="N719" s="335" t="str">
        <f t="shared" si="77"/>
        <v/>
      </c>
      <c r="O719" s="348">
        <f t="shared" si="78"/>
        <v>0</v>
      </c>
    </row>
    <row r="720" spans="1:15" ht="16" hidden="1" outlineLevel="1">
      <c r="A720" s="335" t="str">
        <f t="shared" si="73"/>
        <v/>
      </c>
      <c r="B720" s="344"/>
      <c r="C720" s="344"/>
      <c r="D720" s="347" t="str">
        <f>IF(C720="","",IFERROR(INDEX(잔액!$Y:$Y,MAX(64,C720)),0))</f>
        <v/>
      </c>
      <c r="E720" s="346" t="str">
        <f>IF(C720="","",IFERROR(INDEX(잔액!$A:$A,MAX(64,C720)),""))</f>
        <v/>
      </c>
      <c r="F720" s="335" t="str">
        <f>IF(C720="","",IFERROR(INDEX(잔액!$C:$C,MAX(64,C720)),""))</f>
        <v/>
      </c>
      <c r="G720" s="335" t="str">
        <f>IF(C720="","",IF(INDEX(잔액!$K:$K,MAX(64,C720))&lt;&gt;"",INDEX(잔액!$K:$K,MAX(64,C720)),INDEX(잔액!$D:$D,MAX(64,C720))))</f>
        <v/>
      </c>
      <c r="H720" s="335" t="s">
        <v>1910</v>
      </c>
      <c r="J720" s="335" t="str">
        <f t="shared" si="74"/>
        <v/>
      </c>
      <c r="K720" s="346" t="str">
        <f t="shared" si="75"/>
        <v/>
      </c>
      <c r="L720" s="335" t="str">
        <f t="shared" si="76"/>
        <v/>
      </c>
      <c r="M720" s="335" t="str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  <v/>
      </c>
      <c r="N720" s="335" t="str">
        <f t="shared" si="77"/>
        <v/>
      </c>
      <c r="O720" s="348">
        <f t="shared" si="78"/>
        <v>0</v>
      </c>
    </row>
    <row r="721" spans="1:15" ht="16" hidden="1" outlineLevel="1">
      <c r="A721" s="335" t="str">
        <f t="shared" si="73"/>
        <v/>
      </c>
      <c r="B721" s="344"/>
      <c r="C721" s="344"/>
      <c r="D721" s="347" t="str">
        <f>IF(C721="","",IFERROR(INDEX(잔액!$Y:$Y,MAX(64,C721)),0))</f>
        <v/>
      </c>
      <c r="E721" s="346" t="str">
        <f>IF(C721="","",IFERROR(INDEX(잔액!$A:$A,MAX(64,C721)),""))</f>
        <v/>
      </c>
      <c r="F721" s="335" t="str">
        <f>IF(C721="","",IFERROR(INDEX(잔액!$C:$C,MAX(64,C721)),""))</f>
        <v/>
      </c>
      <c r="G721" s="335" t="str">
        <f>IF(C721="","",IF(INDEX(잔액!$K:$K,MAX(64,C721))&lt;&gt;"",INDEX(잔액!$K:$K,MAX(64,C721)),INDEX(잔액!$D:$D,MAX(64,C721))))</f>
        <v/>
      </c>
      <c r="H721" s="335" t="s">
        <v>1910</v>
      </c>
      <c r="J721" s="335" t="str">
        <f t="shared" si="74"/>
        <v/>
      </c>
      <c r="K721" s="346" t="str">
        <f t="shared" si="75"/>
        <v/>
      </c>
      <c r="L721" s="335" t="str">
        <f t="shared" si="76"/>
        <v/>
      </c>
      <c r="M721" s="335" t="str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  <v/>
      </c>
      <c r="N721" s="335" t="str">
        <f t="shared" si="77"/>
        <v/>
      </c>
      <c r="O721" s="348">
        <f t="shared" si="78"/>
        <v>0</v>
      </c>
    </row>
    <row r="722" spans="1:15" ht="16" hidden="1" outlineLevel="1">
      <c r="A722" s="335" t="str">
        <f t="shared" si="73"/>
        <v/>
      </c>
      <c r="B722" s="344"/>
      <c r="C722" s="344"/>
      <c r="D722" s="347" t="str">
        <f>IF(C722="","",IFERROR(INDEX(잔액!$Y:$Y,MAX(64,C722)),0))</f>
        <v/>
      </c>
      <c r="E722" s="346" t="str">
        <f>IF(C722="","",IFERROR(INDEX(잔액!$A:$A,MAX(64,C722)),""))</f>
        <v/>
      </c>
      <c r="F722" s="335" t="str">
        <f>IF(C722="","",IFERROR(INDEX(잔액!$C:$C,MAX(64,C722)),""))</f>
        <v/>
      </c>
      <c r="G722" s="335" t="str">
        <f>IF(C722="","",IF(INDEX(잔액!$K:$K,MAX(64,C722))&lt;&gt;"",INDEX(잔액!$K:$K,MAX(64,C722)),INDEX(잔액!$D:$D,MAX(64,C722))))</f>
        <v/>
      </c>
      <c r="H722" s="335" t="s">
        <v>1910</v>
      </c>
      <c r="J722" s="335" t="str">
        <f t="shared" si="74"/>
        <v/>
      </c>
      <c r="K722" s="346" t="str">
        <f t="shared" si="75"/>
        <v/>
      </c>
      <c r="L722" s="335" t="str">
        <f t="shared" si="76"/>
        <v/>
      </c>
      <c r="M722" s="335" t="str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  <v/>
      </c>
      <c r="N722" s="335" t="str">
        <f t="shared" si="77"/>
        <v/>
      </c>
      <c r="O722" s="348">
        <f t="shared" si="78"/>
        <v>0</v>
      </c>
    </row>
    <row r="723" spans="1:15" ht="16" hidden="1" outlineLevel="1">
      <c r="A723" s="335" t="str">
        <f t="shared" si="73"/>
        <v/>
      </c>
      <c r="B723" s="344"/>
      <c r="C723" s="344"/>
      <c r="D723" s="347" t="str">
        <f>IF(C723="","",IFERROR(INDEX(잔액!$Y:$Y,MAX(64,C723)),0))</f>
        <v/>
      </c>
      <c r="E723" s="346" t="str">
        <f>IF(C723="","",IFERROR(INDEX(잔액!$A:$A,MAX(64,C723)),""))</f>
        <v/>
      </c>
      <c r="F723" s="335" t="str">
        <f>IF(C723="","",IFERROR(INDEX(잔액!$C:$C,MAX(64,C723)),""))</f>
        <v/>
      </c>
      <c r="G723" s="335" t="str">
        <f>IF(C723="","",IF(INDEX(잔액!$K:$K,MAX(64,C723))&lt;&gt;"",INDEX(잔액!$K:$K,MAX(64,C723)),INDEX(잔액!$D:$D,MAX(64,C723))))</f>
        <v/>
      </c>
      <c r="H723" s="335" t="s">
        <v>1910</v>
      </c>
      <c r="J723" s="335" t="str">
        <f t="shared" si="74"/>
        <v/>
      </c>
      <c r="K723" s="346" t="str">
        <f t="shared" si="75"/>
        <v/>
      </c>
      <c r="L723" s="335" t="str">
        <f t="shared" si="76"/>
        <v/>
      </c>
      <c r="M723" s="335" t="str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  <v/>
      </c>
      <c r="N723" s="335" t="str">
        <f t="shared" si="77"/>
        <v/>
      </c>
      <c r="O723" s="348">
        <f t="shared" si="78"/>
        <v>0</v>
      </c>
    </row>
    <row r="724" spans="1:15" ht="16" hidden="1" outlineLevel="1">
      <c r="A724" s="335" t="str">
        <f t="shared" si="73"/>
        <v/>
      </c>
      <c r="B724" s="344"/>
      <c r="C724" s="344"/>
      <c r="D724" s="347" t="str">
        <f>IF(C724="","",IFERROR(INDEX(잔액!$Y:$Y,MAX(64,C724)),0))</f>
        <v/>
      </c>
      <c r="E724" s="346" t="str">
        <f>IF(C724="","",IFERROR(INDEX(잔액!$A:$A,MAX(64,C724)),""))</f>
        <v/>
      </c>
      <c r="F724" s="335" t="str">
        <f>IF(C724="","",IFERROR(INDEX(잔액!$C:$C,MAX(64,C724)),""))</f>
        <v/>
      </c>
      <c r="G724" s="335" t="str">
        <f>IF(C724="","",IF(INDEX(잔액!$K:$K,MAX(64,C724))&lt;&gt;"",INDEX(잔액!$K:$K,MAX(64,C724)),INDEX(잔액!$D:$D,MAX(64,C724))))</f>
        <v/>
      </c>
      <c r="H724" s="335" t="s">
        <v>1910</v>
      </c>
      <c r="J724" s="335" t="str">
        <f t="shared" si="74"/>
        <v/>
      </c>
      <c r="K724" s="346" t="str">
        <f t="shared" si="75"/>
        <v/>
      </c>
      <c r="L724" s="335" t="str">
        <f t="shared" si="76"/>
        <v/>
      </c>
      <c r="M724" s="335" t="str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  <v/>
      </c>
      <c r="N724" s="335" t="str">
        <f t="shared" si="77"/>
        <v/>
      </c>
      <c r="O724" s="348">
        <f t="shared" si="78"/>
        <v>0</v>
      </c>
    </row>
    <row r="725" spans="1:15" ht="16" hidden="1" outlineLevel="1">
      <c r="A725" s="335" t="str">
        <f t="shared" si="73"/>
        <v/>
      </c>
      <c r="B725" s="344"/>
      <c r="C725" s="344"/>
      <c r="D725" s="347" t="str">
        <f>IF(C725="","",IFERROR(INDEX(잔액!$Y:$Y,MAX(64,C725)),0))</f>
        <v/>
      </c>
      <c r="E725" s="346" t="str">
        <f>IF(C725="","",IFERROR(INDEX(잔액!$A:$A,MAX(64,C725)),""))</f>
        <v/>
      </c>
      <c r="F725" s="335" t="str">
        <f>IF(C725="","",IFERROR(INDEX(잔액!$C:$C,MAX(64,C725)),""))</f>
        <v/>
      </c>
      <c r="G725" s="335" t="str">
        <f>IF(C725="","",IF(INDEX(잔액!$K:$K,MAX(64,C725))&lt;&gt;"",INDEX(잔액!$K:$K,MAX(64,C725)),INDEX(잔액!$D:$D,MAX(64,C725))))</f>
        <v/>
      </c>
      <c r="H725" s="335" t="s">
        <v>1910</v>
      </c>
      <c r="J725" s="335" t="str">
        <f t="shared" si="74"/>
        <v/>
      </c>
      <c r="K725" s="346" t="str">
        <f t="shared" si="75"/>
        <v/>
      </c>
      <c r="L725" s="335" t="str">
        <f t="shared" si="76"/>
        <v/>
      </c>
      <c r="M725" s="335" t="str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  <v/>
      </c>
      <c r="N725" s="335" t="str">
        <f t="shared" si="77"/>
        <v/>
      </c>
      <c r="O725" s="348">
        <f t="shared" si="78"/>
        <v>0</v>
      </c>
    </row>
    <row r="726" spans="1:15" ht="16" hidden="1" outlineLevel="1">
      <c r="A726" s="335" t="str">
        <f t="shared" si="73"/>
        <v/>
      </c>
      <c r="B726" s="344"/>
      <c r="C726" s="344"/>
      <c r="D726" s="347" t="str">
        <f>IF(C726="","",IFERROR(INDEX(잔액!$Y:$Y,MAX(64,C726)),0))</f>
        <v/>
      </c>
      <c r="E726" s="346" t="str">
        <f>IF(C726="","",IFERROR(INDEX(잔액!$A:$A,MAX(64,C726)),""))</f>
        <v/>
      </c>
      <c r="F726" s="335" t="str">
        <f>IF(C726="","",IFERROR(INDEX(잔액!$C:$C,MAX(64,C726)),""))</f>
        <v/>
      </c>
      <c r="G726" s="335" t="str">
        <f>IF(C726="","",IF(INDEX(잔액!$K:$K,MAX(64,C726))&lt;&gt;"",INDEX(잔액!$K:$K,MAX(64,C726)),INDEX(잔액!$D:$D,MAX(64,C726))))</f>
        <v/>
      </c>
      <c r="H726" s="335" t="s">
        <v>1910</v>
      </c>
      <c r="J726" s="335" t="str">
        <f t="shared" si="74"/>
        <v/>
      </c>
      <c r="K726" s="346" t="str">
        <f t="shared" si="75"/>
        <v/>
      </c>
      <c r="L726" s="335" t="str">
        <f t="shared" si="76"/>
        <v/>
      </c>
      <c r="M726" s="335" t="str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  <v/>
      </c>
      <c r="N726" s="335" t="str">
        <f t="shared" si="77"/>
        <v/>
      </c>
      <c r="O726" s="348">
        <f t="shared" si="78"/>
        <v>0</v>
      </c>
    </row>
    <row r="727" spans="1:15" ht="16" hidden="1" outlineLevel="1">
      <c r="A727" s="335" t="str">
        <f t="shared" si="73"/>
        <v/>
      </c>
      <c r="B727" s="344"/>
      <c r="C727" s="344"/>
      <c r="D727" s="347" t="str">
        <f>IF(C727="","",IFERROR(INDEX(잔액!$Y:$Y,MAX(64,C727)),0))</f>
        <v/>
      </c>
      <c r="E727" s="346" t="str">
        <f>IF(C727="","",IFERROR(INDEX(잔액!$A:$A,MAX(64,C727)),""))</f>
        <v/>
      </c>
      <c r="F727" s="335" t="str">
        <f>IF(C727="","",IFERROR(INDEX(잔액!$C:$C,MAX(64,C727)),""))</f>
        <v/>
      </c>
      <c r="G727" s="335" t="str">
        <f>IF(C727="","",IF(INDEX(잔액!$K:$K,MAX(64,C727))&lt;&gt;"",INDEX(잔액!$K:$K,MAX(64,C727)),INDEX(잔액!$D:$D,MAX(64,C727))))</f>
        <v/>
      </c>
      <c r="H727" s="335" t="s">
        <v>1910</v>
      </c>
      <c r="J727" s="335" t="str">
        <f t="shared" si="74"/>
        <v/>
      </c>
      <c r="K727" s="346" t="str">
        <f t="shared" si="75"/>
        <v/>
      </c>
      <c r="L727" s="335" t="str">
        <f t="shared" si="76"/>
        <v/>
      </c>
      <c r="M727" s="335" t="str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  <v/>
      </c>
      <c r="N727" s="335" t="str">
        <f t="shared" si="77"/>
        <v/>
      </c>
      <c r="O727" s="348">
        <f t="shared" si="78"/>
        <v>0</v>
      </c>
    </row>
    <row r="728" spans="1:15" ht="16" hidden="1" outlineLevel="1">
      <c r="A728" s="335" t="str">
        <f t="shared" si="73"/>
        <v/>
      </c>
      <c r="B728" s="344"/>
      <c r="C728" s="344"/>
      <c r="D728" s="347" t="str">
        <f>IF(C728="","",IFERROR(INDEX(잔액!$Y:$Y,MAX(64,C728)),0))</f>
        <v/>
      </c>
      <c r="E728" s="346" t="str">
        <f>IF(C728="","",IFERROR(INDEX(잔액!$A:$A,MAX(64,C728)),""))</f>
        <v/>
      </c>
      <c r="F728" s="335" t="str">
        <f>IF(C728="","",IFERROR(INDEX(잔액!$C:$C,MAX(64,C728)),""))</f>
        <v/>
      </c>
      <c r="G728" s="335" t="str">
        <f>IF(C728="","",IF(INDEX(잔액!$K:$K,MAX(64,C728))&lt;&gt;"",INDEX(잔액!$K:$K,MAX(64,C728)),INDEX(잔액!$D:$D,MAX(64,C728))))</f>
        <v/>
      </c>
      <c r="H728" s="335" t="s">
        <v>1910</v>
      </c>
      <c r="J728" s="335" t="str">
        <f t="shared" si="74"/>
        <v/>
      </c>
      <c r="K728" s="346" t="str">
        <f t="shared" si="75"/>
        <v/>
      </c>
      <c r="L728" s="335" t="str">
        <f t="shared" si="76"/>
        <v/>
      </c>
      <c r="M728" s="335" t="str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  <v/>
      </c>
      <c r="N728" s="335" t="str">
        <f t="shared" si="77"/>
        <v/>
      </c>
      <c r="O728" s="348">
        <f t="shared" si="78"/>
        <v>0</v>
      </c>
    </row>
    <row r="729" spans="1:15" ht="16" hidden="1" outlineLevel="1">
      <c r="A729" s="335" t="str">
        <f t="shared" si="73"/>
        <v/>
      </c>
      <c r="B729" s="344"/>
      <c r="C729" s="344"/>
      <c r="D729" s="347" t="str">
        <f>IF(C729="","",IFERROR(INDEX(잔액!$Y:$Y,MAX(64,C729)),0))</f>
        <v/>
      </c>
      <c r="E729" s="346" t="str">
        <f>IF(C729="","",IFERROR(INDEX(잔액!$A:$A,MAX(64,C729)),""))</f>
        <v/>
      </c>
      <c r="F729" s="335" t="str">
        <f>IF(C729="","",IFERROR(INDEX(잔액!$C:$C,MAX(64,C729)),""))</f>
        <v/>
      </c>
      <c r="G729" s="335" t="str">
        <f>IF(C729="","",IF(INDEX(잔액!$K:$K,MAX(64,C729))&lt;&gt;"",INDEX(잔액!$K:$K,MAX(64,C729)),INDEX(잔액!$D:$D,MAX(64,C729))))</f>
        <v/>
      </c>
      <c r="H729" s="335" t="s">
        <v>1910</v>
      </c>
      <c r="J729" s="335" t="str">
        <f t="shared" si="74"/>
        <v/>
      </c>
      <c r="K729" s="346" t="str">
        <f t="shared" si="75"/>
        <v/>
      </c>
      <c r="L729" s="335" t="str">
        <f t="shared" si="76"/>
        <v/>
      </c>
      <c r="M729" s="335" t="str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  <v/>
      </c>
      <c r="N729" s="335" t="str">
        <f t="shared" si="77"/>
        <v/>
      </c>
      <c r="O729" s="348">
        <f t="shared" si="78"/>
        <v>0</v>
      </c>
    </row>
    <row r="730" spans="1:15">
      <c r="A730" s="401" t="str">
        <f>HYPERLINK("#'예비비'!A1","현황으로 돌아가기 ↑")</f>
        <v>현황으로 돌아가기 ↑</v>
      </c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</row>
  </sheetData>
  <mergeCells count="198">
    <mergeCell ref="A61"/>
    <mergeCell ref="M67:O67"/>
    <mergeCell ref="M68:O68"/>
    <mergeCell ref="F68:H68"/>
    <mergeCell ref="B70:C70"/>
    <mergeCell ref="I71:J71"/>
    <mergeCell ref="I67:J67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B50:C50"/>
    <mergeCell ref="I62:J62"/>
    <mergeCell ref="D66:E66"/>
    <mergeCell ref="I54:J54"/>
    <mergeCell ref="K47:L47"/>
    <mergeCell ref="B51:C51"/>
    <mergeCell ref="K45:L45"/>
    <mergeCell ref="M51:O51"/>
    <mergeCell ref="B71:C71"/>
    <mergeCell ref="D72:E72"/>
    <mergeCell ref="B73:C73"/>
    <mergeCell ref="M56:O56"/>
    <mergeCell ref="I57:J57"/>
    <mergeCell ref="D62:E62"/>
    <mergeCell ref="M52:O52"/>
    <mergeCell ref="K57:L57"/>
    <mergeCell ref="B52:C52"/>
    <mergeCell ref="K73:L73"/>
    <mergeCell ref="K51:L51"/>
    <mergeCell ref="B45:C45"/>
    <mergeCell ref="F61:H61"/>
    <mergeCell ref="I56:J56"/>
    <mergeCell ref="M54:O54"/>
    <mergeCell ref="M69:O69"/>
    <mergeCell ref="I61:J61"/>
    <mergeCell ref="D65:E65"/>
    <mergeCell ref="A2:O2"/>
    <mergeCell ref="I64:J64"/>
    <mergeCell ref="H45"/>
    <mergeCell ref="A16:H16"/>
    <mergeCell ref="I51:J51"/>
    <mergeCell ref="K56:L56"/>
    <mergeCell ref="M71:O71"/>
    <mergeCell ref="K50:L50"/>
    <mergeCell ref="B67:C67"/>
    <mergeCell ref="D44:O44"/>
    <mergeCell ref="F11:H11"/>
    <mergeCell ref="I11:O11"/>
    <mergeCell ref="A12:B12"/>
    <mergeCell ref="C12:E12"/>
    <mergeCell ref="F12:H12"/>
    <mergeCell ref="I12:O12"/>
    <mergeCell ref="A13:B13"/>
    <mergeCell ref="C13:E13"/>
    <mergeCell ref="A15:O15"/>
    <mergeCell ref="B65:C65"/>
    <mergeCell ref="K63:L63"/>
    <mergeCell ref="F45"/>
    <mergeCell ref="M65:O65"/>
    <mergeCell ref="B61:C61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A58:O58"/>
    <mergeCell ref="A30:O30"/>
    <mergeCell ref="I45:J45"/>
    <mergeCell ref="K54:L54"/>
    <mergeCell ref="I47:J47"/>
    <mergeCell ref="F62:H62"/>
    <mergeCell ref="A18:O18"/>
    <mergeCell ref="K65:L65"/>
    <mergeCell ref="M47:O47"/>
    <mergeCell ref="K61:L61"/>
    <mergeCell ref="M62:O62"/>
    <mergeCell ref="D61:E61"/>
    <mergeCell ref="M49:O49"/>
    <mergeCell ref="B55:C55"/>
    <mergeCell ref="I73:J73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A79:O79"/>
    <mergeCell ref="D70:E70"/>
    <mergeCell ref="A76:O76"/>
    <mergeCell ref="M50:O50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F9:H9"/>
    <mergeCell ref="I9:O9"/>
    <mergeCell ref="A10:B10"/>
    <mergeCell ref="C10:E10"/>
    <mergeCell ref="F10:H10"/>
    <mergeCell ref="I10:O10"/>
    <mergeCell ref="A11:B11"/>
    <mergeCell ref="C11:E11"/>
    <mergeCell ref="A4:O4"/>
    <mergeCell ref="M57:O57"/>
    <mergeCell ref="K69:L69"/>
    <mergeCell ref="M73:O73"/>
    <mergeCell ref="D43:O43"/>
    <mergeCell ref="I65:J65"/>
    <mergeCell ref="A6:O6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M72:O72"/>
    <mergeCell ref="B54:C54"/>
    <mergeCell ref="F70:H70"/>
    <mergeCell ref="I72:J72"/>
    <mergeCell ref="F67:H67"/>
    <mergeCell ref="D60:O60"/>
    <mergeCell ref="F63:H63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K72:L72"/>
    <mergeCell ref="I50:J50"/>
    <mergeCell ref="D69:E69"/>
    <mergeCell ref="A39:C39"/>
    <mergeCell ref="A40:O40"/>
    <mergeCell ref="A428:O428"/>
    <mergeCell ref="M46:O46"/>
    <mergeCell ref="D67:E67"/>
    <mergeCell ref="M55:O55"/>
    <mergeCell ref="F66:H66"/>
    <mergeCell ref="I63:J63"/>
    <mergeCell ref="A78:O78"/>
    <mergeCell ref="A400:O400"/>
    <mergeCell ref="F73:H7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14:O14"/>
  </mergeCells>
  <phoneticPr fontId="27" type="noConversion"/>
  <dataValidations count="10">
    <dataValidation type="list" allowBlank="1" showInputMessage="1" showErrorMessage="1" errorTitle="입력 확인" error="목록 또는 허용 범위의 값을 입력하세요." sqref="B3" xr:uid="{00000000-0002-0000-0100-000000000000}">
      <formula1>$AD$1:$AD$12</formula1>
    </dataValidation>
    <dataValidation type="list" allowBlank="1" showInputMessage="1" showErrorMessage="1" errorTitle="입력 확인" error="목록 또는 허용 범위의 값을 입력하세요." sqref="B43" xr:uid="{00000000-0002-0000-0100-000001000000}">
      <formula1>"조회월,미정산,전체"</formula1>
    </dataValidation>
    <dataValidation type="whole" allowBlank="1" showInputMessage="1" showErrorMessage="1" errorTitle="입력 확인" error="목록 또는 허용 범위의 값을 입력하세요." sqref="B44 B60" xr:uid="{00000000-0002-0000-0100-000002000000}">
      <formula1>1</formula1>
      <formula2>999</formula2>
    </dataValidation>
    <dataValidation type="list" allowBlank="1" showInputMessage="1" showErrorMessage="1" errorTitle="입력 확인" error="목록 또는 허용 범위의 값을 입력하세요." sqref="C100:C399" xr:uid="{00000000-0002-0000-0100-000004000000}">
      <formula1>"생활비,명절비,여행비,경조사비,상환비,예비비"</formula1>
    </dataValidation>
    <dataValidation type="whole" allowBlank="1" showInputMessage="1" showErrorMessage="1" errorTitle="입력 확인" error="목록 또는 허용 범위의 값을 입력하세요." sqref="F100:F399" xr:uid="{00000000-0002-0000-0100-000005000000}">
      <formula1>2</formula1>
      <formula2>100000</formula2>
    </dataValidation>
    <dataValidation type="whole" allowBlank="1" showInputMessage="1" showErrorMessage="1" errorTitle="입력 확인" error="목록 또는 허용 범위의 값을 입력하세요." sqref="E100:E399" xr:uid="{00000000-0002-0000-0100-000006000000}">
      <formula1>0</formula1>
      <formula2>1000000000</formula2>
    </dataValidation>
    <dataValidation type="list" allowBlank="1" showInputMessage="1" showErrorMessage="1" errorTitle="입력 확인" error="목록 또는 허용 범위의 값을 입력하세요." sqref="B430:B729" xr:uid="{00000000-0002-0000-0100-000007000000}">
      <formula1>$A$100:$A$399</formula1>
    </dataValidation>
    <dataValidation type="whole" allowBlank="1" showInputMessage="1" showErrorMessage="1" errorTitle="입력 확인" error="목록 또는 허용 범위의 값을 입력하세요." sqref="C430:C729" xr:uid="{00000000-0002-0000-0100-000008000000}">
      <formula1>64</formula1>
      <formula2>500</formula2>
    </dataValidation>
    <dataValidation type="whole" allowBlank="1" showInputMessage="1" showErrorMessage="1" errorTitle="입력 확인" error="목록 또는 허용 범위의 값을 입력하세요." sqref="D430:D729" xr:uid="{00000000-0002-0000-0100-000009000000}">
      <formula1>1</formula1>
      <formula2>1000000000</formula2>
    </dataValidation>
    <dataValidation type="whole" allowBlank="1" showInputMessage="1" showErrorMessage="1" errorTitle="금액 확인" error="0 이상 1,000,000,000 이하 정수를 입력하세요." promptTitle="선택월 사용계획" prompt="해당 월에 쓸 예정 금액을 입력하세요. 미정이면 비워두세요." sqref="D34:O38" xr:uid="{00000000-0002-0000-0100-00000A000000}">
      <formula1>0</formula1>
      <formula2>1000000000</formula2>
    </dataValidation>
  </dataValidations>
  <printOptions horizontalCentered="1"/>
  <pageMargins left="0.75" right="0.75" top="1" bottom="1" header="0.5" footer="0.5"/>
  <pageSetup paperSize="8" fitToHeight="2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AC525"/>
  <sheetViews>
    <sheetView showGridLines="0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415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8">
        <v>46296</v>
      </c>
      <c r="C3" s="12"/>
      <c r="D3" s="421" t="s">
        <v>2384</v>
      </c>
      <c r="E3" s="350"/>
      <c r="F3" s="350"/>
      <c r="G3" s="350"/>
      <c r="H3" s="350"/>
      <c r="I3" s="350"/>
      <c r="J3" s="350"/>
      <c r="K3" s="350"/>
    </row>
    <row r="4" spans="1:12" ht="30" customHeight="1">
      <c r="A4" s="422" t="s">
        <v>2</v>
      </c>
      <c r="B4" s="350"/>
      <c r="C4" s="350"/>
      <c r="D4" s="350"/>
      <c r="E4" s="350"/>
      <c r="F4" s="350"/>
      <c r="G4" s="350"/>
      <c r="H4" s="350"/>
      <c r="I4" s="350"/>
      <c r="J4" s="350"/>
      <c r="K4" s="350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3</v>
      </c>
      <c r="B6" s="30" t="s">
        <v>4</v>
      </c>
      <c r="C6" s="30" t="s">
        <v>5</v>
      </c>
      <c r="D6" s="30" t="s">
        <v>6</v>
      </c>
      <c r="E6" s="30" t="s">
        <v>2385</v>
      </c>
      <c r="F6" s="30" t="s">
        <v>2386</v>
      </c>
      <c r="G6" s="30" t="s">
        <v>7</v>
      </c>
      <c r="H6" s="30" t="s">
        <v>8</v>
      </c>
      <c r="I6" s="30" t="s">
        <v>9</v>
      </c>
      <c r="J6" s="30" t="s">
        <v>10</v>
      </c>
      <c r="K6" s="30" t="s">
        <v>11</v>
      </c>
      <c r="L6" s="86"/>
    </row>
    <row r="7" spans="1:12" ht="24" customHeight="1">
      <c r="A7" s="29" t="s">
        <v>12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137675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4409691</v>
      </c>
      <c r="H7" s="86"/>
      <c r="I7" s="86"/>
      <c r="J7" s="86"/>
      <c r="K7" s="86"/>
      <c r="L7" s="86"/>
    </row>
    <row r="8" spans="1:12" ht="24" customHeight="1">
      <c r="A8" s="29" t="s">
        <v>13</v>
      </c>
      <c r="B8" s="28">
        <f>(SUMIFS($Y$64:$Y$500,$D$64:$D$500,$A8,$A$64:$A$500,"&lt;"&amp;$B$3)-SUMIFS($Y$64:$Y$500,$C$64:$C$500,$A8,$A$64:$A$500,"&lt;"&amp;$B$3))-IFERROR(INDEX(_예비비계산!$BI$81:$BU$86,MATCH($A8,_예비비계산!$BH$81:$BH$86,0),MONTH($B$3)),0)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(SUMIFS($Y$64:$Y$500,$C$64:$C$500,$A8,$H$64:$H$500,$B$3)-D8)+MAX(IFERROR(INDEX(_예비비계산!$BI$81:$BU$86,MATCH($A8,_예비비계산!$BH$81:$BH$86,0),MONTH($B$3)+1),0)-IFERROR(INDEX(_예비비계산!$BI$81:$BU$86,MATCH($A8,_예비비계산!$BH$81:$BH$86,0),MONTH($B$3)),0),0)</f>
        <v>0</v>
      </c>
      <c r="F8" s="28">
        <f>(SUMIFS($Y$64:$Y$500,$D$64:$D$500,$A8,$H$64:$H$500,$B$3)-C8)+MAX(IFERROR(INDEX(_예비비계산!$BI$81:$BU$86,MATCH($A8,_예비비계산!$BH$81:$BH$86,0),MONTH($B$3)),0)-IFERROR(INDEX(_예비비계산!$BI$81:$BU$86,MATCH($A8,_예비비계산!$BH$81:$BH$86,0),MONTH($B$3)+1),0),0)</f>
        <v>0</v>
      </c>
      <c r="G8" s="28">
        <f t="shared" si="5"/>
        <v>0</v>
      </c>
      <c r="H8" s="28">
        <f>IFERROR(INDEX(_예비비계산!$G$45:$T$45,1,MATCH($B$3,_예비비계산!$G$4:$T$4,0)),0)</f>
        <v>0</v>
      </c>
      <c r="I8" s="28">
        <f>IFERROR(INDEX(_예비비계산!$G$47:$T$47,1,MATCH($B$3,_예비비계산!$G$4:$T$4,0)),0)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14</v>
      </c>
      <c r="B9" s="28">
        <f>(SUMIFS($Y$64:$Y$500,$D$64:$D$500,$A9,$A$64:$A$500,"&lt;"&amp;$B$3)-SUMIFS($Y$64:$Y$500,$C$64:$C$500,$A9,$A$64:$A$500,"&lt;"&amp;$B$3))-IFERROR(INDEX(_예비비계산!$BI$81:$BU$86,MATCH($A9,_예비비계산!$BH$81:$BH$86,0),MONTH($B$3)),0)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(SUMIFS($Y$64:$Y$500,$C$64:$C$500,$A9,$H$64:$H$500,$B$3)-D9)+MAX(IFERROR(INDEX(_예비비계산!$BI$81:$BU$86,MATCH($A9,_예비비계산!$BH$81:$BH$86,0),MONTH($B$3)+1),0)-IFERROR(INDEX(_예비비계산!$BI$81:$BU$86,MATCH($A9,_예비비계산!$BH$81:$BH$86,0),MONTH($B$3)),0),0)</f>
        <v>0</v>
      </c>
      <c r="F9" s="28">
        <f>(SUMIFS($Y$64:$Y$500,$D$64:$D$500,$A9,$H$64:$H$500,$B$3)-C9)+MAX(IFERROR(INDEX(_예비비계산!$BI$81:$BU$86,MATCH($A9,_예비비계산!$BH$81:$BH$86,0),MONTH($B$3)),0)-IFERROR(INDEX(_예비비계산!$BI$81:$BU$86,MATCH($A9,_예비비계산!$BH$81:$BH$86,0),MONTH($B$3)+1),0),0)</f>
        <v>0</v>
      </c>
      <c r="G9" s="28">
        <f t="shared" si="5"/>
        <v>1400000</v>
      </c>
      <c r="H9" s="28">
        <f>IFERROR(INDEX(_예비비계산!$G$48:$T$48,1,MATCH($B$3,_예비비계산!$G$4:$T$4,0)),0)</f>
        <v>100000</v>
      </c>
      <c r="I9" s="28">
        <f>IFERROR(INDEX(_예비비계산!$G$50:$T$50,1,MATCH($B$3,_예비비계산!$G$4:$T$4,0)),0)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15</v>
      </c>
      <c r="B10" s="28">
        <f>(SUMIFS($Y$64:$Y$500,$D$64:$D$500,$A10,$A$64:$A$500,"&lt;"&amp;$B$3)-SUMIFS($Y$64:$Y$500,$C$64:$C$500,$A10,$A$64:$A$500,"&lt;"&amp;$B$3))-IFERROR(INDEX(_예비비계산!$BI$81:$BU$86,MATCH($A10,_예비비계산!$BH$81:$BH$86,0),MONTH($B$3)),0)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_예비비계산!$BI$81:$BU$86,MATCH($A10,_예비비계산!$BH$81:$BH$86,0),MONTH($B$3)+1),0)-IFERROR(INDEX(_예비비계산!$BI$81:$BU$86,MATCH($A10,_예비비계산!$BH$81:$BH$86,0),MONTH($B$3)),0),0)</f>
        <v>0</v>
      </c>
      <c r="F10" s="28">
        <f>(SUMIFS($Y$64:$Y$500,$D$64:$D$500,$A10,$H$64:$H$500,$B$3)-C10)+MAX(IFERROR(INDEX(_예비비계산!$BI$81:$BU$86,MATCH($A10,_예비비계산!$BH$81:$BH$86,0),MONTH($B$3)),0)-IFERROR(INDEX(_예비비계산!$BI$81:$BU$86,MATCH($A10,_예비비계산!$BH$81:$BH$86,0),MONTH($B$3)+1),0),0)</f>
        <v>0</v>
      </c>
      <c r="G10" s="28">
        <f t="shared" si="5"/>
        <v>450000</v>
      </c>
      <c r="H10" s="28">
        <f>IFERROR(INDEX(_예비비계산!$G$51:$T$51,1,MATCH($B$3,_예비비계산!$G$4:$T$4,0)),0)</f>
        <v>50000</v>
      </c>
      <c r="I10" s="28">
        <f>MAX(0,IFERROR(INDEX(_예비비계산!$G$53:$T$53,1,MATCH($B$3,_예비비계산!$G$4:$T$4,0)),0)-IFERROR(INDEX(_예비비계산!$G$7:$T$7,1,MATCH($B$3,_예비비계산!$G$4:$T$4,0)),0))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16</v>
      </c>
      <c r="B11" s="28">
        <f>(SUMIFS($Y$64:$Y$500,$D$64:$D$500,$A11,$A$64:$A$500,"&lt;"&amp;$B$3)-SUMIFS($Y$64:$Y$500,$C$64:$C$500,$A11,$A$64:$A$500,"&lt;"&amp;$B$3))-IFERROR(INDEX(_예비비계산!$BI$81:$BU$86,MATCH($A11,_예비비계산!$BH$81:$BH$86,0),MONTH($B$3)),0)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_예비비계산!$BI$81:$BU$86,MATCH($A11,_예비비계산!$BH$81:$BH$86,0),MONTH($B$3)+1),0)-IFERROR(INDEX(_예비비계산!$BI$81:$BU$86,MATCH($A11,_예비비계산!$BH$81:$BH$86,0),MONTH($B$3)),0),0)</f>
        <v>0</v>
      </c>
      <c r="F11" s="28">
        <f>(SUMIFS($Y$64:$Y$500,$D$64:$D$500,$A11,$H$64:$H$500,$B$3)-C11)+MAX(IFERROR(INDEX(_예비비계산!$BI$81:$BU$86,MATCH($A11,_예비비계산!$BH$81:$BH$86,0),MONTH($B$3)),0)-IFERROR(INDEX(_예비비계산!$BI$81:$BU$86,MATCH($A11,_예비비계산!$BH$81:$BH$86,0),MONTH($B$3)+1),0),0)</f>
        <v>0</v>
      </c>
      <c r="G11" s="28">
        <f t="shared" si="5"/>
        <v>300000</v>
      </c>
      <c r="H11" s="28">
        <f>IFERROR(INDEX(_예비비계산!$G$54:$T$54,1,MATCH($B$3,_예비비계산!$G$4:$T$4,0)),0)</f>
        <v>50000</v>
      </c>
      <c r="I11" s="28">
        <f>IFERROR(INDEX(_예비비계산!$G$56:$T$56,1,MATCH($B$3,_예비비계산!$G$4:$T$4,0)),0)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17</v>
      </c>
      <c r="B12" s="28">
        <f>(SUMIFS($Y$64:$Y$500,$D$64:$D$500,$A12,$A$64:$A$500,"&lt;"&amp;$B$3)-SUMIFS($Y$64:$Y$500,$C$64:$C$500,$A12,$A$64:$A$500,"&lt;"&amp;$B$3))-IFERROR(INDEX(_예비비계산!$BI$81:$BU$86,MATCH($A12,_예비비계산!$BH$81:$BH$86,0),MONTH($B$3)),0)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_예비비계산!$BI$81:$BU$86,MATCH($A12,_예비비계산!$BH$81:$BH$86,0),MONTH($B$3)+1),0)-IFERROR(INDEX(_예비비계산!$BI$81:$BU$86,MATCH($A12,_예비비계산!$BH$81:$BH$86,0),MONTH($B$3)),0),0)</f>
        <v>0</v>
      </c>
      <c r="F12" s="28">
        <f>(SUMIFS($Y$64:$Y$500,$D$64:$D$500,$A12,$H$64:$H$500,$B$3)-C12)+MAX(IFERROR(INDEX(_예비비계산!$BI$81:$BU$86,MATCH($A12,_예비비계산!$BH$81:$BH$86,0),MONTH($B$3)),0)-IFERROR(INDEX(_예비비계산!$BI$81:$BU$86,MATCH($A12,_예비비계산!$BH$81:$BH$86,0),MONTH($B$3)+1),0),0)</f>
        <v>0</v>
      </c>
      <c r="G12" s="28">
        <f t="shared" si="5"/>
        <v>0</v>
      </c>
      <c r="H12" s="28">
        <f>IFERROR(INDEX(_예비비계산!$G$57:$T$57,1,MATCH($B$3,_예비비계산!$G$4:$T$4,0)),0)</f>
        <v>0</v>
      </c>
      <c r="I12" s="28">
        <f>IFERROR(INDEX(_예비비계산!$G$59:$T$59,1,MATCH($B$3,_예비비계산!$G$4:$T$4,0)),0)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18</v>
      </c>
      <c r="B13" s="28">
        <f>(SUMIFS($Y$64:$Y$500,$D$64:$D$500,$A13,$A$64:$A$500,"&lt;"&amp;$B$3)-SUMIFS($Y$64:$Y$500,$C$64:$C$500,$A13,$A$64:$A$500,"&lt;"&amp;$B$3))+IFERROR(INDEX(_예비비계산!$BI$81:$BU$86,MATCH($A13,_예비비계산!$BH$81:$BH$86,0),MONTH($B$3)),0)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_예비비계산!$BI$81:$BU$86,MATCH("명절비",_예비비계산!$BH$81:$BH$86,0),MONTH($B$3)),0)-IFERROR(INDEX(_예비비계산!$BI$81:$BU$86,MATCH("명절비",_예비비계산!$BH$81:$BH$86,0),MONTH($B$3)+1),0),0)+MAX(IFERROR(INDEX(_예비비계산!$BI$81:$BU$86,MATCH("여행비",_예비비계산!$BH$81:$BH$86,0),MONTH($B$3)),0)-IFERROR(INDEX(_예비비계산!$BI$81:$BU$86,MATCH("여행비",_예비비계산!$BH$81:$BH$86,0),MONTH($B$3)+1),0),0)+MAX(IFERROR(INDEX(_예비비계산!$BI$81:$BU$86,MATCH("경조사비",_예비비계산!$BH$81:$BH$86,0),MONTH($B$3)),0)-IFERROR(INDEX(_예비비계산!$BI$81:$BU$86,MATCH("경조사비",_예비비계산!$BH$81:$BH$86,0),MONTH($B$3)+1),0),0)+MAX(IFERROR(INDEX(_예비비계산!$BI$81:$BU$86,MATCH("상환비",_예비비계산!$BH$81:$BH$86,0),MONTH($B$3)),0)-IFERROR(INDEX(_예비비계산!$BI$81:$BU$86,MATCH("상환비",_예비비계산!$BH$81:$BH$86,0),MONTH($B$3)+1),0),0)+MAX(IFERROR(INDEX(_예비비계산!$BI$81:$BU$86,MATCH("예비비",_예비비계산!$BH$81:$BH$86,0),MONTH($B$3)),0)-IFERROR(INDEX(_예비비계산!$BI$81:$BU$86,MATCH("예비비",_예비비계산!$BH$81:$BH$86,0),MONTH($B$3)+1),0),0)</f>
        <v>0</v>
      </c>
      <c r="F13" s="28">
        <f>(SUMIFS($Y$64:$Y$500,$D$64:$D$500,$A13,$H$64:$H$500,$B$3)-C13)+MAX(IFERROR(INDEX(_예비비계산!$BI$81:$BU$86,MATCH("명절비",_예비비계산!$BH$81:$BH$86,0),MONTH($B$3)+1),0)-IFERROR(INDEX(_예비비계산!$BI$81:$BU$86,MATCH("명절비",_예비비계산!$BH$81:$BH$86,0),MONTH($B$3)),0),0)+MAX(IFERROR(INDEX(_예비비계산!$BI$81:$BU$86,MATCH("여행비",_예비비계산!$BH$81:$BH$86,0),MONTH($B$3)+1),0)-IFERROR(INDEX(_예비비계산!$BI$81:$BU$86,MATCH("여행비",_예비비계산!$BH$81:$BH$86,0),MONTH($B$3)),0),0)+MAX(IFERROR(INDEX(_예비비계산!$BI$81:$BU$86,MATCH("경조사비",_예비비계산!$BH$81:$BH$86,0),MONTH($B$3)+1),0)-IFERROR(INDEX(_예비비계산!$BI$81:$BU$86,MATCH("경조사비",_예비비계산!$BH$81:$BH$86,0),MONTH($B$3)),0),0)+MAX(IFERROR(INDEX(_예비비계산!$BI$81:$BU$86,MATCH("상환비",_예비비계산!$BH$81:$BH$86,0),MONTH($B$3)+1),0)-IFERROR(INDEX(_예비비계산!$BI$81:$BU$86,MATCH("상환비",_예비비계산!$BH$81:$BH$86,0),MONTH($B$3)),0),0)+MAX(IFERROR(INDEX(_예비비계산!$BI$81:$BU$86,MATCH("예비비",_예비비계산!$BH$81:$BH$86,0),MONTH($B$3)+1),0)-IFERROR(INDEX(_예비비계산!$BI$81:$BU$86,MATCH("예비비",_예비비계산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19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20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21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137675</v>
      </c>
      <c r="E16" s="32">
        <f t="shared" si="7"/>
        <v>2598839</v>
      </c>
      <c r="F16" s="32">
        <f t="shared" si="7"/>
        <v>748510</v>
      </c>
      <c r="G16" s="32">
        <f t="shared" si="7"/>
        <v>6559691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22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423" t="s">
        <v>2387</v>
      </c>
      <c r="B18" s="424"/>
      <c r="C18" s="424"/>
      <c r="D18" s="424"/>
      <c r="E18" s="424"/>
      <c r="F18" s="424"/>
      <c r="G18" s="424"/>
      <c r="H18" s="424"/>
      <c r="I18" s="424"/>
      <c r="J18" s="424"/>
      <c r="K18" s="424"/>
      <c r="L18" s="424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417" t="s">
        <v>23</v>
      </c>
      <c r="B20" s="376"/>
      <c r="C20" s="376"/>
      <c r="D20" s="376"/>
      <c r="E20" s="376"/>
      <c r="F20" s="376"/>
      <c r="G20" s="376"/>
      <c r="H20" s="376"/>
      <c r="I20" s="376"/>
      <c r="J20" s="376"/>
      <c r="K20" s="376"/>
      <c r="L20" s="377"/>
    </row>
    <row r="21" spans="1:22" ht="24" customHeight="1">
      <c r="A21" s="418" t="s">
        <v>24</v>
      </c>
      <c r="B21" s="377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413" t="s">
        <v>12</v>
      </c>
      <c r="B22" s="377"/>
      <c r="C22" s="92">
        <f t="shared" ref="C22:L22" si="8">IF(C$21&gt;MAX($A$64:$A$500),"",SUMIFS($Y$64:$Y$500,$D$64:$D$500,$A22,$A$64:$A$500,"&lt;"&amp;EDATE(C$21,1))-SUMIFS($Y$64:$Y$500,$C$64:$C$500,$A22,$A$64:$A$500,"&lt;"&amp;EDATE(C$21,1)))</f>
        <v>993611</v>
      </c>
      <c r="D22" s="92">
        <f t="shared" si="8"/>
        <v>944667</v>
      </c>
      <c r="E22" s="92">
        <f t="shared" si="8"/>
        <v>1062089</v>
      </c>
      <c r="F22" s="92">
        <f t="shared" si="8"/>
        <v>626802</v>
      </c>
      <c r="G22" s="92">
        <f t="shared" si="8"/>
        <v>-498498</v>
      </c>
      <c r="H22" s="92">
        <f t="shared" si="8"/>
        <v>0</v>
      </c>
      <c r="I22" s="92">
        <f t="shared" si="8"/>
        <v>6388603</v>
      </c>
      <c r="J22" s="92">
        <f t="shared" si="8"/>
        <v>4409691</v>
      </c>
      <c r="K22" s="92" t="str">
        <f t="shared" si="8"/>
        <v/>
      </c>
      <c r="L22" s="92" t="str">
        <f t="shared" si="8"/>
        <v/>
      </c>
    </row>
    <row r="23" spans="1:22" ht="24" customHeight="1">
      <c r="A23" s="413" t="s">
        <v>13</v>
      </c>
      <c r="B23" s="377"/>
      <c r="C23" s="92">
        <f>IF(C$21&gt;MAX($A$64:$A$500),"",SUMIFS($Y$64:$Y$500,$D$64:$D$500,$A23,$A$64:$A$500,"&lt;"&amp;EDATE(C$21,1))-SUMIFS($Y$64:$Y$500,$C$64:$C$500,$A23,$A$64:$A$500,"&lt;"&amp;EDATE(C$21,1))-IFERROR(INDEX(_예비비계산!$BI$81:$BU$86,MATCH($A23,_예비비계산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_예비비계산!$BI$81:$BU$86,MATCH($A23,_예비비계산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_예비비계산!$BI$81:$BU$86,MATCH($A23,_예비비계산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_예비비계산!$BI$81:$BU$86,MATCH($A23,_예비비계산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_예비비계산!$BI$81:$BU$86,MATCH($A23,_예비비계산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_예비비계산!$BI$81:$BU$86,MATCH($A23,_예비비계산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_예비비계산!$BI$81:$BU$86,MATCH($A23,_예비비계산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_예비비계산!$BI$81:$BU$86,MATCH($A23,_예비비계산!$BH$81:$BH$86,0),MONTH(J$21)+1),0))</f>
        <v>0</v>
      </c>
      <c r="K23" s="92" t="str">
        <f>IF(K$21&gt;MAX($A$64:$A$500),"",SUMIFS($Y$64:$Y$500,$D$64:$D$500,$A23,$A$64:$A$500,"&lt;"&amp;EDATE(K$21,1))-SUMIFS($Y$64:$Y$500,$C$64:$C$500,$A23,$A$64:$A$500,"&lt;"&amp;EDATE(K$21,1))-IFERROR(INDEX(_예비비계산!$BI$81:$BU$86,MATCH($A23,_예비비계산!$BH$81:$BH$86,0),MONTH(K$21)+1),0))</f>
        <v/>
      </c>
      <c r="L23" s="92" t="str">
        <f>IF(L$21&gt;MAX($A$64:$A$500),"",SUMIFS($Y$64:$Y$500,$D$64:$D$500,$A23,$A$64:$A$500,"&lt;"&amp;EDATE(L$21,1))-SUMIFS($Y$64:$Y$500,$C$64:$C$500,$A23,$A$64:$A$500,"&lt;"&amp;EDATE(L$21,1))-IFERROR(INDEX(_예비비계산!$BI$81:$BU$86,MATCH($A23,_예비비계산!$BH$81:$BH$86,0),MONTH(L$21)+1),0))</f>
        <v/>
      </c>
    </row>
    <row r="24" spans="1:22" ht="24" customHeight="1">
      <c r="A24" s="413" t="s">
        <v>14</v>
      </c>
      <c r="B24" s="377"/>
      <c r="C24" s="92">
        <f>IF(C$21&gt;MAX($A$64:$A$500),"",SUMIFS($Y$64:$Y$500,$D$64:$D$500,$A24,$A$64:$A$500,"&lt;"&amp;EDATE(C$21,1))-SUMIFS($Y$64:$Y$500,$C$64:$C$500,$A24,$A$64:$A$500,"&lt;"&amp;EDATE(C$21,1))-IFERROR(INDEX(_예비비계산!$BI$81:$BU$86,MATCH($A24,_예비비계산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_예비비계산!$BI$81:$BU$86,MATCH($A24,_예비비계산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_예비비계산!$BI$81:$BU$86,MATCH($A24,_예비비계산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_예비비계산!$BI$81:$BU$86,MATCH($A24,_예비비계산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_예비비계산!$BI$81:$BU$86,MATCH($A24,_예비비계산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_예비비계산!$BI$81:$BU$86,MATCH($A24,_예비비계산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_예비비계산!$BI$81:$BU$86,MATCH($A24,_예비비계산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_예비비계산!$BI$81:$BU$86,MATCH($A24,_예비비계산!$BH$81:$BH$86,0),MONTH(J$21)+1),0))</f>
        <v>1400000</v>
      </c>
      <c r="K24" s="92" t="str">
        <f>IF(K$21&gt;MAX($A$64:$A$500),"",SUMIFS($Y$64:$Y$500,$D$64:$D$500,$A24,$A$64:$A$500,"&lt;"&amp;EDATE(K$21,1))-SUMIFS($Y$64:$Y$500,$C$64:$C$500,$A24,$A$64:$A$500,"&lt;"&amp;EDATE(K$21,1))-IFERROR(INDEX(_예비비계산!$BI$81:$BU$86,MATCH($A24,_예비비계산!$BH$81:$BH$86,0),MONTH(K$21)+1),0))</f>
        <v/>
      </c>
      <c r="L24" s="92" t="str">
        <f>IF(L$21&gt;MAX($A$64:$A$500),"",SUMIFS($Y$64:$Y$500,$D$64:$D$500,$A24,$A$64:$A$500,"&lt;"&amp;EDATE(L$21,1))-SUMIFS($Y$64:$Y$500,$C$64:$C$500,$A24,$A$64:$A$500,"&lt;"&amp;EDATE(L$21,1))-IFERROR(INDEX(_예비비계산!$BI$81:$BU$86,MATCH($A24,_예비비계산!$BH$81:$BH$86,0),MONTH(L$21)+1),0))</f>
        <v/>
      </c>
    </row>
    <row r="25" spans="1:22" ht="24" customHeight="1">
      <c r="A25" s="413" t="s">
        <v>15</v>
      </c>
      <c r="B25" s="377"/>
      <c r="C25" s="92">
        <f>IF(C$21&gt;MAX($A$64:$A$500),"",SUMIFS($Y$64:$Y$500,$D$64:$D$500,$A25,$A$64:$A$500,"&lt;"&amp;EDATE(C$21,1))-SUMIFS($Y$64:$Y$500,$C$64:$C$500,$A25,$A$64:$A$500,"&lt;"&amp;EDATE(C$21,1))-IFERROR(INDEX(_예비비계산!$BI$81:$BU$86,MATCH($A25,_예비비계산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_예비비계산!$BI$81:$BU$86,MATCH($A25,_예비비계산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_예비비계산!$BI$81:$BU$86,MATCH($A25,_예비비계산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_예비비계산!$BI$81:$BU$86,MATCH($A25,_예비비계산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_예비비계산!$BI$81:$BU$86,MATCH($A25,_예비비계산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_예비비계산!$BI$81:$BU$86,MATCH($A25,_예비비계산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_예비비계산!$BI$81:$BU$86,MATCH($A25,_예비비계산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_예비비계산!$BI$81:$BU$86,MATCH($A25,_예비비계산!$BH$81:$BH$86,0),MONTH(J$21)+1),0))</f>
        <v>450000</v>
      </c>
      <c r="K25" s="92" t="str">
        <f>IF(K$21&gt;MAX($A$64:$A$500),"",SUMIFS($Y$64:$Y$500,$D$64:$D$500,$A25,$A$64:$A$500,"&lt;"&amp;EDATE(K$21,1))-SUMIFS($Y$64:$Y$500,$C$64:$C$500,$A25,$A$64:$A$500,"&lt;"&amp;EDATE(K$21,1))-IFERROR(INDEX(_예비비계산!$BI$81:$BU$86,MATCH($A25,_예비비계산!$BH$81:$BH$86,0),MONTH(K$21)+1),0))</f>
        <v/>
      </c>
      <c r="L25" s="92" t="str">
        <f>IF(L$21&gt;MAX($A$64:$A$500),"",SUMIFS($Y$64:$Y$500,$D$64:$D$500,$A25,$A$64:$A$500,"&lt;"&amp;EDATE(L$21,1))-SUMIFS($Y$64:$Y$500,$C$64:$C$500,$A25,$A$64:$A$500,"&lt;"&amp;EDATE(L$21,1))-IFERROR(INDEX(_예비비계산!$BI$81:$BU$86,MATCH($A25,_예비비계산!$BH$81:$BH$86,0),MONTH(L$21)+1),0))</f>
        <v/>
      </c>
    </row>
    <row r="26" spans="1:22" ht="24" customHeight="1">
      <c r="A26" s="413" t="s">
        <v>16</v>
      </c>
      <c r="B26" s="377"/>
      <c r="C26" s="92">
        <f>IF(C$21&gt;MAX($A$64:$A$500),"",SUMIFS($Y$64:$Y$500,$D$64:$D$500,$A26,$A$64:$A$500,"&lt;"&amp;EDATE(C$21,1))-SUMIFS($Y$64:$Y$500,$C$64:$C$500,$A26,$A$64:$A$500,"&lt;"&amp;EDATE(C$21,1))-IFERROR(INDEX(_예비비계산!$BI$81:$BU$86,MATCH($A26,_예비비계산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_예비비계산!$BI$81:$BU$86,MATCH($A26,_예비비계산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_예비비계산!$BI$81:$BU$86,MATCH($A26,_예비비계산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_예비비계산!$BI$81:$BU$86,MATCH($A26,_예비비계산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_예비비계산!$BI$81:$BU$86,MATCH($A26,_예비비계산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_예비비계산!$BI$81:$BU$86,MATCH($A26,_예비비계산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_예비비계산!$BI$81:$BU$86,MATCH($A26,_예비비계산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_예비비계산!$BI$81:$BU$86,MATCH($A26,_예비비계산!$BH$81:$BH$86,0),MONTH(J$21)+1),0))</f>
        <v>300000</v>
      </c>
      <c r="K26" s="92" t="str">
        <f>IF(K$21&gt;MAX($A$64:$A$500),"",SUMIFS($Y$64:$Y$500,$D$64:$D$500,$A26,$A$64:$A$500,"&lt;"&amp;EDATE(K$21,1))-SUMIFS($Y$64:$Y$500,$C$64:$C$500,$A26,$A$64:$A$500,"&lt;"&amp;EDATE(K$21,1))-IFERROR(INDEX(_예비비계산!$BI$81:$BU$86,MATCH($A26,_예비비계산!$BH$81:$BH$86,0),MONTH(K$21)+1),0))</f>
        <v/>
      </c>
      <c r="L26" s="92" t="str">
        <f>IF(L$21&gt;MAX($A$64:$A$500),"",SUMIFS($Y$64:$Y$500,$D$64:$D$500,$A26,$A$64:$A$500,"&lt;"&amp;EDATE(L$21,1))-SUMIFS($Y$64:$Y$500,$C$64:$C$500,$A26,$A$64:$A$500,"&lt;"&amp;EDATE(L$21,1))-IFERROR(INDEX(_예비비계산!$BI$81:$BU$86,MATCH($A26,_예비비계산!$BH$81:$BH$86,0),MONTH(L$21)+1),0))</f>
        <v/>
      </c>
    </row>
    <row r="27" spans="1:22" ht="24" customHeight="1">
      <c r="A27" s="413" t="s">
        <v>17</v>
      </c>
      <c r="B27" s="377"/>
      <c r="C27" s="92">
        <f>IF(C$21&gt;MAX($A$64:$A$500),"",SUMIFS($Y$64:$Y$500,$D$64:$D$500,$A27,$A$64:$A$500,"&lt;"&amp;EDATE(C$21,1))-SUMIFS($Y$64:$Y$500,$C$64:$C$500,$A27,$A$64:$A$500,"&lt;"&amp;EDATE(C$21,1))-IFERROR(INDEX(_예비비계산!$BI$81:$BU$86,MATCH($A27,_예비비계산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_예비비계산!$BI$81:$BU$86,MATCH($A27,_예비비계산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_예비비계산!$BI$81:$BU$86,MATCH($A27,_예비비계산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_예비비계산!$BI$81:$BU$86,MATCH($A27,_예비비계산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_예비비계산!$BI$81:$BU$86,MATCH($A27,_예비비계산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_예비비계산!$BI$81:$BU$86,MATCH($A27,_예비비계산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_예비비계산!$BI$81:$BU$86,MATCH($A27,_예비비계산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_예비비계산!$BI$81:$BU$86,MATCH($A27,_예비비계산!$BH$81:$BH$86,0),MONTH(J$21)+1),0))</f>
        <v>0</v>
      </c>
      <c r="K27" s="92" t="str">
        <f>IF(K$21&gt;MAX($A$64:$A$500),"",SUMIFS($Y$64:$Y$500,$D$64:$D$500,$A27,$A$64:$A$500,"&lt;"&amp;EDATE(K$21,1))-SUMIFS($Y$64:$Y$500,$C$64:$C$500,$A27,$A$64:$A$500,"&lt;"&amp;EDATE(K$21,1))-IFERROR(INDEX(_예비비계산!$BI$81:$BU$86,MATCH($A27,_예비비계산!$BH$81:$BH$86,0),MONTH(K$21)+1),0))</f>
        <v/>
      </c>
      <c r="L27" s="92" t="str">
        <f>IF(L$21&gt;MAX($A$64:$A$500),"",SUMIFS($Y$64:$Y$500,$D$64:$D$500,$A27,$A$64:$A$500,"&lt;"&amp;EDATE(L$21,1))-SUMIFS($Y$64:$Y$500,$C$64:$C$500,$A27,$A$64:$A$500,"&lt;"&amp;EDATE(L$21,1))-IFERROR(INDEX(_예비비계산!$BI$81:$BU$86,MATCH($A27,_예비비계산!$BH$81:$BH$86,0),MONTH(L$21)+1),0))</f>
        <v/>
      </c>
    </row>
    <row r="28" spans="1:22" ht="24" customHeight="1">
      <c r="A28" s="413" t="s">
        <v>18</v>
      </c>
      <c r="B28" s="377"/>
      <c r="C28" s="92">
        <f>IF(C$21&gt;MAX($A$64:$A$500),"",SUMIFS($Y$64:$Y$500,$D$64:$D$500,$A28,$A$64:$A$500,"&lt;"&amp;EDATE(C$21,1))-SUMIFS($Y$64:$Y$500,$C$64:$C$500,$A28,$A$64:$A$500,"&lt;"&amp;EDATE(C$21,1))+IFERROR(INDEX(_예비비계산!$BI$81:$BU$86,MATCH($A28,_예비비계산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_예비비계산!$BI$81:$BU$86,MATCH($A28,_예비비계산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_예비비계산!$BI$81:$BU$86,MATCH($A28,_예비비계산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_예비비계산!$BI$81:$BU$86,MATCH($A28,_예비비계산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_예비비계산!$BI$81:$BU$86,MATCH($A28,_예비비계산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_예비비계산!$BI$81:$BU$86,MATCH($A28,_예비비계산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_예비비계산!$BI$81:$BU$86,MATCH($A28,_예비비계산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_예비비계산!$BI$81:$BU$86,MATCH($A28,_예비비계산!$BH$81:$BH$86,0),MONTH(J$21)+1),0))</f>
        <v>0</v>
      </c>
      <c r="K28" s="92" t="str">
        <f>IF(K$21&gt;MAX($A$64:$A$500),"",SUMIFS($Y$64:$Y$500,$D$64:$D$500,$A28,$A$64:$A$500,"&lt;"&amp;EDATE(K$21,1))-SUMIFS($Y$64:$Y$500,$C$64:$C$500,$A28,$A$64:$A$500,"&lt;"&amp;EDATE(K$21,1))+IFERROR(INDEX(_예비비계산!$BI$81:$BU$86,MATCH($A28,_예비비계산!$BH$81:$BH$86,0),MONTH(K$21)+1),0))</f>
        <v/>
      </c>
      <c r="L28" s="92" t="str">
        <f>IF(L$21&gt;MAX($A$64:$A$500),"",SUMIFS($Y$64:$Y$500,$D$64:$D$500,$A28,$A$64:$A$500,"&lt;"&amp;EDATE(L$21,1))-SUMIFS($Y$64:$Y$500,$C$64:$C$500,$A28,$A$64:$A$500,"&lt;"&amp;EDATE(L$21,1))+IFERROR(INDEX(_예비비계산!$BI$81:$BU$86,MATCH($A28,_예비비계산!$BH$81:$BH$86,0),MONTH(L$21)+1),0))</f>
        <v/>
      </c>
    </row>
    <row r="29" spans="1:22" ht="24" customHeight="1">
      <c r="A29" s="413" t="s">
        <v>19</v>
      </c>
      <c r="B29" s="377"/>
      <c r="C29" s="92">
        <f t="shared" ref="C29:L30" si="9">IF(C$21&gt;MAX($A$64:$A$500),"",SUMIFS($Y$64:$Y$500,$D$64:$D$500,$A29,$A$64:$A$500,"&lt;"&amp;EDATE(C$21,1))-SUMIFS($Y$64:$Y$500,$C$64:$C$500,$A29,$A$64:$A$500,"&lt;"&amp;EDATE(C$21,1)))</f>
        <v>0</v>
      </c>
      <c r="D29" s="92">
        <f t="shared" si="9"/>
        <v>2151</v>
      </c>
      <c r="E29" s="92">
        <f t="shared" si="9"/>
        <v>1137</v>
      </c>
      <c r="F29" s="92">
        <f t="shared" si="9"/>
        <v>4897</v>
      </c>
      <c r="G29" s="92">
        <f t="shared" si="9"/>
        <v>27858</v>
      </c>
      <c r="H29" s="92">
        <f t="shared" si="9"/>
        <v>0</v>
      </c>
      <c r="I29" s="92">
        <f t="shared" si="9"/>
        <v>0</v>
      </c>
      <c r="J29" s="92">
        <f t="shared" si="9"/>
        <v>0</v>
      </c>
      <c r="K29" s="92" t="str">
        <f t="shared" si="9"/>
        <v/>
      </c>
      <c r="L29" s="92" t="str">
        <f t="shared" si="9"/>
        <v/>
      </c>
    </row>
    <row r="30" spans="1:22" ht="24" customHeight="1">
      <c r="A30" s="413" t="s">
        <v>20</v>
      </c>
      <c r="B30" s="377"/>
      <c r="C30" s="92">
        <f t="shared" si="9"/>
        <v>2042224</v>
      </c>
      <c r="D30" s="92">
        <f t="shared" si="9"/>
        <v>2548910</v>
      </c>
      <c r="E30" s="92">
        <f t="shared" si="9"/>
        <v>2042174</v>
      </c>
      <c r="F30" s="92">
        <f t="shared" si="9"/>
        <v>6188750</v>
      </c>
      <c r="G30" s="92">
        <f t="shared" si="9"/>
        <v>11338850</v>
      </c>
      <c r="H30" s="92">
        <f t="shared" si="9"/>
        <v>9495719</v>
      </c>
      <c r="I30" s="92">
        <f t="shared" si="9"/>
        <v>0</v>
      </c>
      <c r="J30" s="92">
        <f t="shared" si="9"/>
        <v>0</v>
      </c>
      <c r="K30" s="92" t="str">
        <f t="shared" si="9"/>
        <v/>
      </c>
      <c r="L30" s="92" t="str">
        <f t="shared" si="9"/>
        <v/>
      </c>
    </row>
    <row r="31" spans="1:22" ht="24" customHeight="1">
      <c r="A31" s="423" t="s">
        <v>25</v>
      </c>
      <c r="B31" s="424"/>
      <c r="C31" s="424"/>
      <c r="D31" s="424"/>
      <c r="E31" s="424"/>
      <c r="F31" s="424"/>
      <c r="G31" s="424"/>
      <c r="H31" s="424"/>
      <c r="I31" s="424"/>
      <c r="J31" s="424"/>
      <c r="K31" s="424"/>
      <c r="L31" s="424"/>
    </row>
    <row r="32" spans="1:22" ht="24" customHeight="1">
      <c r="A32" s="420" t="s">
        <v>21</v>
      </c>
      <c r="B32" s="377"/>
      <c r="C32" s="93">
        <f t="shared" ref="C32:L32" si="10">IF(C$21&gt;MAX($A$64:$A$500),"",SUM(C22:C30))</f>
        <v>4807335</v>
      </c>
      <c r="D32" s="93">
        <f t="shared" si="10"/>
        <v>5445728</v>
      </c>
      <c r="E32" s="93">
        <f t="shared" si="10"/>
        <v>4705400</v>
      </c>
      <c r="F32" s="93">
        <f t="shared" si="10"/>
        <v>8620449</v>
      </c>
      <c r="G32" s="93">
        <f t="shared" si="10"/>
        <v>12918210</v>
      </c>
      <c r="H32" s="93">
        <f t="shared" si="10"/>
        <v>11495719</v>
      </c>
      <c r="I32" s="93">
        <f t="shared" si="10"/>
        <v>8538603</v>
      </c>
      <c r="J32" s="93">
        <f t="shared" si="10"/>
        <v>6559691</v>
      </c>
      <c r="K32" s="93" t="str">
        <f t="shared" si="10"/>
        <v/>
      </c>
      <c r="L32" s="93" t="str">
        <f t="shared" si="10"/>
        <v/>
      </c>
      <c r="V32" s="80"/>
    </row>
    <row r="33" spans="1:28" ht="30" customHeight="1">
      <c r="A33" s="412" t="s">
        <v>2388</v>
      </c>
      <c r="B33" s="350"/>
      <c r="C33" s="350"/>
      <c r="D33" s="350"/>
      <c r="E33" s="350"/>
      <c r="F33" s="350"/>
      <c r="G33" s="350"/>
      <c r="H33" s="350"/>
      <c r="I33" s="350"/>
      <c r="J33" s="350"/>
      <c r="K33" s="350"/>
      <c r="L33" s="350"/>
    </row>
    <row r="34" spans="1:28" ht="24" customHeight="1">
      <c r="A34" s="417" t="s">
        <v>26</v>
      </c>
      <c r="B34" s="376"/>
      <c r="C34" s="376"/>
      <c r="D34" s="376"/>
      <c r="E34" s="376"/>
      <c r="F34" s="376"/>
      <c r="G34" s="376"/>
      <c r="H34" s="376"/>
      <c r="I34" s="376"/>
      <c r="J34" s="376"/>
      <c r="K34" s="376"/>
      <c r="L34" s="377"/>
    </row>
    <row r="35" spans="1:28" ht="24" customHeight="1">
      <c r="A35" s="86" t="s">
        <v>2389</v>
      </c>
      <c r="B35" s="303">
        <f>MONTH($B$3)</f>
        <v>10</v>
      </c>
      <c r="C35" s="86"/>
      <c r="D35" s="303" t="s">
        <v>27</v>
      </c>
      <c r="E35" s="304">
        <v>1</v>
      </c>
      <c r="F35" s="303">
        <f>MAX(1,ROUNDUP(COUNTIFS($H$64:$H$500,$V$35,$P$64:$P$500,"내역")/22,0))</f>
        <v>1</v>
      </c>
      <c r="G35" s="303" t="s">
        <v>28</v>
      </c>
      <c r="H35" s="304">
        <v>1</v>
      </c>
      <c r="I35" s="303">
        <f>MAX(1,ROUNDUP(COUNTIFS($H$64:$H$500,$V$35,$P$64:$P$500,"이체")/22,0))</f>
        <v>1</v>
      </c>
      <c r="J35" s="410" t="str">
        <f>"표시: 내역 "&amp;$AA$35&amp;"/"&amp;$F$35&amp;" · 이체 "&amp;$AB$35&amp;"/"&amp;$I$35</f>
        <v>표시: 내역 1/1 · 이체 1/1</v>
      </c>
      <c r="K35" s="350"/>
      <c r="L35" s="350"/>
      <c r="M35" s="80"/>
      <c r="N35" s="80"/>
      <c r="V35" s="80">
        <f>$B$3</f>
        <v>46296</v>
      </c>
      <c r="AA35">
        <f>MIN(MAX(1,IFERROR(INT($E$35),1)),$F$35)</f>
        <v>1</v>
      </c>
      <c r="AB35">
        <f>MIN(MAX(1,IFERROR(INT($H$35),1)),$I$35)</f>
        <v>1</v>
      </c>
    </row>
    <row r="36" spans="1:28" ht="24" customHeight="1">
      <c r="A36" s="420" t="str">
        <f>"WRAP 입금·사용 ("&amp;COUNTIFS($H$64:$H$500,$V$35,$P$64:$P$500,"내역")&amp;"건)"</f>
        <v>WRAP 입금·사용 (5건)</v>
      </c>
      <c r="B36" s="376"/>
      <c r="C36" s="376"/>
      <c r="D36" s="376"/>
      <c r="E36" s="376"/>
      <c r="F36" s="377"/>
      <c r="G36" s="425" t="str">
        <f>"WRAP 계좌이체 ("&amp;COUNTIFS($H$64:$H$500,$V$35,$P$64:$P$500,"이체")&amp;"건)"</f>
        <v>WRAP 계좌이체 (12건)</v>
      </c>
      <c r="H36" s="376"/>
      <c r="I36" s="376"/>
      <c r="J36" s="376"/>
      <c r="K36" s="376"/>
      <c r="L36" s="377"/>
      <c r="M36" s="80"/>
      <c r="N36" s="80"/>
    </row>
    <row r="37" spans="1:28" ht="24" customHeight="1">
      <c r="A37" s="94" t="s">
        <v>29</v>
      </c>
      <c r="B37" s="94" t="s">
        <v>3</v>
      </c>
      <c r="C37" s="419" t="s">
        <v>30</v>
      </c>
      <c r="D37" s="376"/>
      <c r="E37" s="377"/>
      <c r="F37" s="94" t="s">
        <v>31</v>
      </c>
      <c r="G37" s="94" t="s">
        <v>29</v>
      </c>
      <c r="H37" s="94" t="s">
        <v>32</v>
      </c>
      <c r="I37" s="94" t="s">
        <v>33</v>
      </c>
      <c r="J37" s="94" t="s">
        <v>31</v>
      </c>
      <c r="K37" s="419" t="s">
        <v>30</v>
      </c>
      <c r="L37" s="377"/>
      <c r="M37" s="80"/>
      <c r="N37" s="80"/>
    </row>
    <row r="38" spans="1:28" ht="24" customHeight="1">
      <c r="A38" s="305">
        <f t="shared" ref="A38:A59" si="11">IF($M38=0,"",INDEX($U$64:$U$500,$M38))</f>
        <v>46314.866669293981</v>
      </c>
      <c r="B38" s="306" t="str">
        <f t="shared" ref="B38:B59" si="12">IF($M38=0,"",INDEX($Q$64:$Q$500,$M38))</f>
        <v>생활비</v>
      </c>
      <c r="C38" s="414" t="str">
        <f t="shared" ref="C38:C59" si="13">IF($M38=0,"",INDEX($F$64:$F$500,$M38))</f>
        <v>보증보험료</v>
      </c>
      <c r="D38" s="376"/>
      <c r="E38" s="377"/>
      <c r="F38" s="307">
        <f t="shared" ref="F38:F59" si="14">IF($M38=0,"",INDEX($T$64:$T$500,$M38))</f>
        <v>-110075</v>
      </c>
      <c r="G38" s="305">
        <f t="shared" ref="G38:G59" si="15">IF($N38=0,"",INDEX($U$64:$U$500,$N38))</f>
        <v>46310.958796296298</v>
      </c>
      <c r="H38" s="306" t="str">
        <f t="shared" ref="H38:H59" si="16">SUBSTITUTE(IF($N38=0,"",IF(INDEX($J$64:$J$500,$N38)&lt;&gt;"",INDEX($J$64:$J$500,$N38),INDEX($C$64:$C$500,$N38))),"미래에셋_WRAP형CMA","미래에셋 WRAP")</f>
        <v>미래에셋 WRAP</v>
      </c>
      <c r="I38" s="306" t="str">
        <f t="shared" ref="I38:I59" si="17">SUBSTITUTE(IF($N38=0,"",IF(INDEX($K$64:$K$500,$N38)&lt;&gt;"",INDEX($K$64:$K$500,$N38),INDEX($D$64:$D$500,$N38))),"미래에셋_WRAP형CMA","미래에셋 WRAP")</f>
        <v>미래에셋 WRAP</v>
      </c>
      <c r="J38" s="308">
        <f t="shared" ref="J38:J59" si="18">IF($N38=0,"",INDEX($E$64:$E$500,$N38))</f>
        <v>61000</v>
      </c>
      <c r="K38" s="414" t="str">
        <f t="shared" ref="K38:K59" si="19">IF($N38=0,"",INDEX($F$64:$F$500,$N38))</f>
        <v>생신 잔금 임시보관 → 생활비</v>
      </c>
      <c r="L38" s="377"/>
      <c r="M38" s="80">
        <f>IFERROR(MATCH(TEXT($V$35,"yyyymm")&amp;"_내역_"&amp;(38-37+($AA$35-1)*22),$R$64:$R$500,0),0)</f>
        <v>186</v>
      </c>
      <c r="N38" s="80">
        <f>IFERROR(MATCH(TEXT($V$35,"yyyymm")&amp;"_이체_"&amp;(38-37+($AB$35-1)*22),$R$64:$R$500,0),0)</f>
        <v>184</v>
      </c>
    </row>
    <row r="39" spans="1:28" ht="24" customHeight="1">
      <c r="A39" s="305">
        <f t="shared" si="11"/>
        <v>46312.667370740739</v>
      </c>
      <c r="B39" s="306" t="str">
        <f t="shared" si="12"/>
        <v>생활비</v>
      </c>
      <c r="C39" s="414" t="str">
        <f t="shared" si="13"/>
        <v>외부출금 · 카카오페이 충전</v>
      </c>
      <c r="D39" s="376"/>
      <c r="E39" s="377"/>
      <c r="F39" s="307">
        <f t="shared" si="14"/>
        <v>-15700</v>
      </c>
      <c r="G39" s="305">
        <f t="shared" si="15"/>
        <v>46310.93959303241</v>
      </c>
      <c r="H39" s="306" t="str">
        <f t="shared" si="16"/>
        <v>가족통장</v>
      </c>
      <c r="I39" s="306" t="str">
        <f t="shared" si="17"/>
        <v>미래에셋 WRAP</v>
      </c>
      <c r="J39" s="308">
        <f t="shared" si="18"/>
        <v>61000</v>
      </c>
      <c r="K39" s="414" t="str">
        <f t="shared" si="19"/>
        <v>부모 생신 미사용 원금 회수</v>
      </c>
      <c r="L39" s="377"/>
      <c r="M39" s="80">
        <f>IFERROR(MATCH(TEXT($V$35,"yyyymm")&amp;"_내역_"&amp;(39-37+($AA$35-1)*22),$R$64:$R$500,0),0)</f>
        <v>185</v>
      </c>
      <c r="N39" s="80">
        <f>IFERROR(MATCH(TEXT($V$35,"yyyymm")&amp;"_이체_"&amp;(39-37+($AB$35-1)*22),$R$64:$R$500,0),0)</f>
        <v>183</v>
      </c>
    </row>
    <row r="40" spans="1:28" ht="24" customHeight="1">
      <c r="A40" s="305">
        <f t="shared" si="11"/>
        <v>46308.859037118054</v>
      </c>
      <c r="B40" s="306" t="str">
        <f t="shared" si="12"/>
        <v>생활비</v>
      </c>
      <c r="C40" s="414" t="str">
        <f t="shared" si="13"/>
        <v>미래에셋 WRAP 이자</v>
      </c>
      <c r="D40" s="376"/>
      <c r="E40" s="377"/>
      <c r="F40" s="307">
        <f t="shared" si="14"/>
        <v>535</v>
      </c>
      <c r="G40" s="305">
        <f t="shared" si="15"/>
        <v>46308.851395949067</v>
      </c>
      <c r="H40" s="306" t="str">
        <f t="shared" si="16"/>
        <v>신한은행V2</v>
      </c>
      <c r="I40" s="306" t="str">
        <f t="shared" si="17"/>
        <v>미래에셋 WRAP</v>
      </c>
      <c r="J40" s="308">
        <f t="shared" si="18"/>
        <v>22210</v>
      </c>
      <c r="K40" s="414" t="str">
        <f t="shared" si="19"/>
        <v>신한은행V2 → 미래에셋 WRAP</v>
      </c>
      <c r="L40" s="377"/>
      <c r="M40" s="80">
        <f>IFERROR(MATCH(TEXT($V$35,"yyyymm")&amp;"_내역_"&amp;(40-37+($AA$35-1)*22),$R$64:$R$500,0),0)</f>
        <v>182</v>
      </c>
      <c r="N40" s="80">
        <f>IFERROR(MATCH(TEXT($V$35,"yyyymm")&amp;"_이체_"&amp;(40-37+($AB$35-1)*22),$R$64:$R$500,0),0)</f>
        <v>168</v>
      </c>
    </row>
    <row r="41" spans="1:28" ht="24" customHeight="1">
      <c r="A41" s="305">
        <f t="shared" si="11"/>
        <v>46307.843067106478</v>
      </c>
      <c r="B41" s="306" t="str">
        <f t="shared" si="12"/>
        <v>생활비</v>
      </c>
      <c r="C41" s="414" t="str">
        <f t="shared" si="13"/>
        <v>미래에셋 WRAP 이자</v>
      </c>
      <c r="D41" s="376"/>
      <c r="E41" s="377"/>
      <c r="F41" s="307">
        <f t="shared" si="14"/>
        <v>8557</v>
      </c>
      <c r="G41" s="305">
        <f t="shared" si="15"/>
        <v>46308.850696064823</v>
      </c>
      <c r="H41" s="306" t="str">
        <f t="shared" si="16"/>
        <v>미래에셋 WRAP</v>
      </c>
      <c r="I41" s="306" t="str">
        <f t="shared" si="17"/>
        <v>토스뱅크</v>
      </c>
      <c r="J41" s="308">
        <f t="shared" si="18"/>
        <v>236270</v>
      </c>
      <c r="K41" s="414" t="str">
        <f t="shared" si="19"/>
        <v>미래에셋 WRAP → 토스뱅크</v>
      </c>
      <c r="L41" s="377"/>
      <c r="M41" s="80">
        <f>IFERROR(MATCH(TEXT($V$35,"yyyymm")&amp;"_내역_"&amp;(41-37+($AA$35-1)*22),$R$64:$R$500,0),0)</f>
        <v>175</v>
      </c>
      <c r="N41" s="80">
        <f>IFERROR(MATCH(TEXT($V$35,"yyyymm")&amp;"_이체_"&amp;(41-37+($AB$35-1)*22),$R$64:$R$500,0),0)</f>
        <v>169</v>
      </c>
    </row>
    <row r="42" spans="1:28" ht="24" customHeight="1">
      <c r="A42" s="305">
        <f t="shared" si="11"/>
        <v>46297.622223078703</v>
      </c>
      <c r="B42" s="306" t="str">
        <f t="shared" si="12"/>
        <v>생활비</v>
      </c>
      <c r="C42" s="414" t="str">
        <f t="shared" si="13"/>
        <v>두끼떡볶이</v>
      </c>
      <c r="D42" s="376"/>
      <c r="E42" s="377"/>
      <c r="F42" s="307">
        <f t="shared" si="14"/>
        <v>-11900</v>
      </c>
      <c r="G42" s="305">
        <f t="shared" si="15"/>
        <v>46308.85000755787</v>
      </c>
      <c r="H42" s="306" t="str">
        <f t="shared" si="16"/>
        <v>미래에셋 WRAP</v>
      </c>
      <c r="I42" s="306" t="str">
        <f t="shared" si="17"/>
        <v>우리은행</v>
      </c>
      <c r="J42" s="308">
        <f t="shared" si="18"/>
        <v>246568</v>
      </c>
      <c r="K42" s="414" t="str">
        <f t="shared" si="19"/>
        <v>미래에셋 WRAP → 우리은행</v>
      </c>
      <c r="L42" s="377"/>
      <c r="M42" s="80">
        <f>IFERROR(MATCH(TEXT($V$35,"yyyymm")&amp;"_내역_"&amp;(42-37+($AA$35-1)*22),$R$64:$R$500,0),0)</f>
        <v>179</v>
      </c>
      <c r="N42" s="80">
        <f>IFERROR(MATCH(TEXT($V$35,"yyyymm")&amp;"_이체_"&amp;(42-37+($AB$35-1)*22),$R$64:$R$500,0),0)</f>
        <v>170</v>
      </c>
    </row>
    <row r="43" spans="1:28" ht="24" customHeight="1">
      <c r="A43" s="305" t="str">
        <f t="shared" si="11"/>
        <v/>
      </c>
      <c r="B43" s="306" t="str">
        <f t="shared" si="12"/>
        <v/>
      </c>
      <c r="C43" s="414" t="str">
        <f t="shared" si="13"/>
        <v/>
      </c>
      <c r="D43" s="376"/>
      <c r="E43" s="377"/>
      <c r="F43" s="307" t="str">
        <f t="shared" si="14"/>
        <v/>
      </c>
      <c r="G43" s="305">
        <f t="shared" si="15"/>
        <v>46308.848613587958</v>
      </c>
      <c r="H43" s="306" t="str">
        <f t="shared" si="16"/>
        <v>미래에셋 WRAP</v>
      </c>
      <c r="I43" s="306" t="str">
        <f t="shared" si="17"/>
        <v>국민은행</v>
      </c>
      <c r="J43" s="308">
        <f t="shared" si="18"/>
        <v>360550</v>
      </c>
      <c r="K43" s="414" t="str">
        <f t="shared" si="19"/>
        <v>미래에셋 WRAP → 국민은행</v>
      </c>
      <c r="L43" s="377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8" ht="24" customHeight="1">
      <c r="A44" s="305" t="str">
        <f t="shared" si="11"/>
        <v/>
      </c>
      <c r="B44" s="306" t="str">
        <f t="shared" si="12"/>
        <v/>
      </c>
      <c r="C44" s="414" t="str">
        <f t="shared" si="13"/>
        <v/>
      </c>
      <c r="D44" s="376"/>
      <c r="E44" s="377"/>
      <c r="F44" s="307" t="str">
        <f t="shared" si="14"/>
        <v/>
      </c>
      <c r="G44" s="305">
        <f t="shared" si="15"/>
        <v>46308.847924930553</v>
      </c>
      <c r="H44" s="306" t="str">
        <f t="shared" si="16"/>
        <v>미래에셋 WRAP</v>
      </c>
      <c r="I44" s="306" t="str">
        <f t="shared" si="17"/>
        <v>토스뱅크</v>
      </c>
      <c r="J44" s="308">
        <f t="shared" si="18"/>
        <v>798746</v>
      </c>
      <c r="K44" s="414" t="str">
        <f t="shared" si="19"/>
        <v>미래에셋 WRAP → 토스뱅크</v>
      </c>
      <c r="L44" s="377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8" ht="24" customHeight="1">
      <c r="A45" s="305" t="str">
        <f t="shared" si="11"/>
        <v/>
      </c>
      <c r="B45" s="306" t="str">
        <f t="shared" si="12"/>
        <v/>
      </c>
      <c r="C45" s="414" t="str">
        <f t="shared" si="13"/>
        <v/>
      </c>
      <c r="D45" s="376"/>
      <c r="E45" s="377"/>
      <c r="F45" s="307" t="str">
        <f t="shared" si="14"/>
        <v/>
      </c>
      <c r="G45" s="305">
        <f t="shared" si="15"/>
        <v>46308.845837777779</v>
      </c>
      <c r="H45" s="306" t="str">
        <f t="shared" si="16"/>
        <v>토스뱅크</v>
      </c>
      <c r="I45" s="306" t="str">
        <f t="shared" si="17"/>
        <v>미래에셋 WRAP</v>
      </c>
      <c r="J45" s="308">
        <f t="shared" si="18"/>
        <v>604300</v>
      </c>
      <c r="K45" s="414" t="str">
        <f t="shared" si="19"/>
        <v>토스뱅크 → 미래에셋 WRAP</v>
      </c>
      <c r="L45" s="377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8" ht="24" customHeight="1">
      <c r="A46" s="305" t="str">
        <f t="shared" si="11"/>
        <v/>
      </c>
      <c r="B46" s="306" t="str">
        <f t="shared" si="12"/>
        <v/>
      </c>
      <c r="C46" s="414" t="str">
        <f t="shared" si="13"/>
        <v/>
      </c>
      <c r="D46" s="376"/>
      <c r="E46" s="377"/>
      <c r="F46" s="307" t="str">
        <f t="shared" si="14"/>
        <v/>
      </c>
      <c r="G46" s="305">
        <f t="shared" si="15"/>
        <v>46308.749010173611</v>
      </c>
      <c r="H46" s="306" t="str">
        <f t="shared" si="16"/>
        <v>미래에셋 WRAP</v>
      </c>
      <c r="I46" s="306" t="str">
        <f t="shared" si="17"/>
        <v>새마을금고</v>
      </c>
      <c r="J46" s="308">
        <f t="shared" si="18"/>
        <v>753905</v>
      </c>
      <c r="K46" s="414" t="str">
        <f t="shared" si="19"/>
        <v>미래에셋 WRAP → 새마을금고</v>
      </c>
      <c r="L46" s="377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8" ht="24" customHeight="1">
      <c r="A47" s="305" t="str">
        <f t="shared" si="11"/>
        <v/>
      </c>
      <c r="B47" s="306" t="str">
        <f t="shared" si="12"/>
        <v/>
      </c>
      <c r="C47" s="414" t="str">
        <f t="shared" si="13"/>
        <v/>
      </c>
      <c r="D47" s="376"/>
      <c r="E47" s="377"/>
      <c r="F47" s="307" t="str">
        <f t="shared" si="14"/>
        <v/>
      </c>
      <c r="G47" s="305">
        <f t="shared" si="15"/>
        <v>46307.825001041667</v>
      </c>
      <c r="H47" s="306" t="str">
        <f t="shared" si="16"/>
        <v>미래에셋 WRAP</v>
      </c>
      <c r="I47" s="306" t="str">
        <f t="shared" si="17"/>
        <v>카카오뱅크</v>
      </c>
      <c r="J47" s="308">
        <f t="shared" si="18"/>
        <v>1390</v>
      </c>
      <c r="K47" s="414" t="str">
        <f t="shared" si="19"/>
        <v>미래에셋 WRAP → 카카오뱅크</v>
      </c>
      <c r="L47" s="377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8" ht="24" customHeight="1">
      <c r="A48" s="305" t="str">
        <f t="shared" si="11"/>
        <v/>
      </c>
      <c r="B48" s="306" t="str">
        <f t="shared" si="12"/>
        <v/>
      </c>
      <c r="C48" s="414" t="str">
        <f t="shared" si="13"/>
        <v/>
      </c>
      <c r="D48" s="376"/>
      <c r="E48" s="377"/>
      <c r="F48" s="307" t="str">
        <f t="shared" si="14"/>
        <v/>
      </c>
      <c r="G48" s="305">
        <f t="shared" si="15"/>
        <v>46307.824310555552</v>
      </c>
      <c r="H48" s="306" t="str">
        <f t="shared" si="16"/>
        <v>미래에셋 WRAP</v>
      </c>
      <c r="I48" s="306" t="str">
        <f t="shared" si="17"/>
        <v>신한은행</v>
      </c>
      <c r="J48" s="308">
        <f t="shared" si="18"/>
        <v>90410</v>
      </c>
      <c r="K48" s="414" t="str">
        <f t="shared" si="19"/>
        <v>미래에셋 WRAP → 신한은행</v>
      </c>
      <c r="L48" s="377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6" ht="24" customHeight="1">
      <c r="A49" s="305" t="str">
        <f t="shared" si="11"/>
        <v/>
      </c>
      <c r="B49" s="306" t="str">
        <f t="shared" si="12"/>
        <v/>
      </c>
      <c r="C49" s="414" t="str">
        <f t="shared" si="13"/>
        <v/>
      </c>
      <c r="D49" s="376"/>
      <c r="E49" s="377"/>
      <c r="F49" s="307" t="str">
        <f t="shared" si="14"/>
        <v/>
      </c>
      <c r="G49" s="305">
        <f t="shared" si="15"/>
        <v>46299.620147118047</v>
      </c>
      <c r="H49" s="306" t="str">
        <f t="shared" si="16"/>
        <v>미래에셋 WRAP</v>
      </c>
      <c r="I49" s="306" t="str">
        <f t="shared" si="17"/>
        <v>모임통장</v>
      </c>
      <c r="J49" s="308">
        <f t="shared" si="18"/>
        <v>50000</v>
      </c>
      <c r="K49" s="414" t="str">
        <f t="shared" si="19"/>
        <v>미래에셋 WRAP → 모임통장</v>
      </c>
      <c r="L49" s="377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6" ht="24" customHeight="1">
      <c r="A50" s="305" t="str">
        <f t="shared" si="11"/>
        <v/>
      </c>
      <c r="B50" s="306" t="str">
        <f t="shared" si="12"/>
        <v/>
      </c>
      <c r="C50" s="414" t="str">
        <f t="shared" si="13"/>
        <v/>
      </c>
      <c r="D50" s="376"/>
      <c r="E50" s="377"/>
      <c r="F50" s="307" t="str">
        <f t="shared" si="14"/>
        <v/>
      </c>
      <c r="G50" s="305" t="str">
        <f t="shared" si="15"/>
        <v/>
      </c>
      <c r="H50" s="306" t="str">
        <f t="shared" si="16"/>
        <v/>
      </c>
      <c r="I50" s="306" t="str">
        <f t="shared" si="17"/>
        <v/>
      </c>
      <c r="J50" s="308" t="str">
        <f t="shared" si="18"/>
        <v/>
      </c>
      <c r="K50" s="414" t="str">
        <f t="shared" si="19"/>
        <v/>
      </c>
      <c r="L50" s="377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6" ht="24" customHeight="1">
      <c r="A51" s="305" t="str">
        <f t="shared" si="11"/>
        <v/>
      </c>
      <c r="B51" s="306" t="str">
        <f t="shared" si="12"/>
        <v/>
      </c>
      <c r="C51" s="414" t="str">
        <f t="shared" si="13"/>
        <v/>
      </c>
      <c r="D51" s="376"/>
      <c r="E51" s="377"/>
      <c r="F51" s="307" t="str">
        <f t="shared" si="14"/>
        <v/>
      </c>
      <c r="G51" s="305" t="str">
        <f t="shared" si="15"/>
        <v/>
      </c>
      <c r="H51" s="306" t="str">
        <f t="shared" si="16"/>
        <v/>
      </c>
      <c r="I51" s="306" t="str">
        <f t="shared" si="17"/>
        <v/>
      </c>
      <c r="J51" s="308" t="str">
        <f t="shared" si="18"/>
        <v/>
      </c>
      <c r="K51" s="414" t="str">
        <f t="shared" si="19"/>
        <v/>
      </c>
      <c r="L51" s="377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6" ht="24" customHeight="1">
      <c r="A52" s="305" t="str">
        <f t="shared" si="11"/>
        <v/>
      </c>
      <c r="B52" s="306" t="str">
        <f t="shared" si="12"/>
        <v/>
      </c>
      <c r="C52" s="414" t="str">
        <f t="shared" si="13"/>
        <v/>
      </c>
      <c r="D52" s="376"/>
      <c r="E52" s="377"/>
      <c r="F52" s="307" t="str">
        <f t="shared" si="14"/>
        <v/>
      </c>
      <c r="G52" s="305" t="str">
        <f t="shared" si="15"/>
        <v/>
      </c>
      <c r="H52" s="306" t="str">
        <f t="shared" si="16"/>
        <v/>
      </c>
      <c r="I52" s="306" t="str">
        <f t="shared" si="17"/>
        <v/>
      </c>
      <c r="J52" s="308" t="str">
        <f t="shared" si="18"/>
        <v/>
      </c>
      <c r="K52" s="414" t="str">
        <f t="shared" si="19"/>
        <v/>
      </c>
      <c r="L52" s="377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6" ht="24" customHeight="1">
      <c r="A53" s="305" t="str">
        <f t="shared" si="11"/>
        <v/>
      </c>
      <c r="B53" s="306" t="str">
        <f t="shared" si="12"/>
        <v/>
      </c>
      <c r="C53" s="414" t="str">
        <f t="shared" si="13"/>
        <v/>
      </c>
      <c r="D53" s="376"/>
      <c r="E53" s="377"/>
      <c r="F53" s="307" t="str">
        <f t="shared" si="14"/>
        <v/>
      </c>
      <c r="G53" s="305" t="str">
        <f t="shared" si="15"/>
        <v/>
      </c>
      <c r="H53" s="306" t="str">
        <f t="shared" si="16"/>
        <v/>
      </c>
      <c r="I53" s="306" t="str">
        <f t="shared" si="17"/>
        <v/>
      </c>
      <c r="J53" s="308" t="str">
        <f t="shared" si="18"/>
        <v/>
      </c>
      <c r="K53" s="414" t="str">
        <f t="shared" si="19"/>
        <v/>
      </c>
      <c r="L53" s="377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6" ht="24" customHeight="1">
      <c r="A54" s="305" t="str">
        <f t="shared" si="11"/>
        <v/>
      </c>
      <c r="B54" s="306" t="str">
        <f t="shared" si="12"/>
        <v/>
      </c>
      <c r="C54" s="414" t="str">
        <f t="shared" si="13"/>
        <v/>
      </c>
      <c r="D54" s="376"/>
      <c r="E54" s="377"/>
      <c r="F54" s="307" t="str">
        <f t="shared" si="14"/>
        <v/>
      </c>
      <c r="G54" s="305" t="str">
        <f t="shared" si="15"/>
        <v/>
      </c>
      <c r="H54" s="306" t="str">
        <f t="shared" si="16"/>
        <v/>
      </c>
      <c r="I54" s="306" t="str">
        <f t="shared" si="17"/>
        <v/>
      </c>
      <c r="J54" s="308" t="str">
        <f t="shared" si="18"/>
        <v/>
      </c>
      <c r="K54" s="414" t="str">
        <f t="shared" si="19"/>
        <v/>
      </c>
      <c r="L54" s="377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6" ht="24" customHeight="1">
      <c r="A55" s="305" t="str">
        <f t="shared" si="11"/>
        <v/>
      </c>
      <c r="B55" s="306" t="str">
        <f t="shared" si="12"/>
        <v/>
      </c>
      <c r="C55" s="414" t="str">
        <f t="shared" si="13"/>
        <v/>
      </c>
      <c r="D55" s="376"/>
      <c r="E55" s="377"/>
      <c r="F55" s="307" t="str">
        <f t="shared" si="14"/>
        <v/>
      </c>
      <c r="G55" s="305" t="str">
        <f t="shared" si="15"/>
        <v/>
      </c>
      <c r="H55" s="306" t="str">
        <f t="shared" si="16"/>
        <v/>
      </c>
      <c r="I55" s="306" t="str">
        <f t="shared" si="17"/>
        <v/>
      </c>
      <c r="J55" s="308" t="str">
        <f t="shared" si="18"/>
        <v/>
      </c>
      <c r="K55" s="414" t="str">
        <f t="shared" si="19"/>
        <v/>
      </c>
      <c r="L55" s="377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6" ht="24" customHeight="1">
      <c r="A56" s="305" t="str">
        <f t="shared" si="11"/>
        <v/>
      </c>
      <c r="B56" s="306" t="str">
        <f t="shared" si="12"/>
        <v/>
      </c>
      <c r="C56" s="414" t="str">
        <f t="shared" si="13"/>
        <v/>
      </c>
      <c r="D56" s="376"/>
      <c r="E56" s="377"/>
      <c r="F56" s="307" t="str">
        <f t="shared" si="14"/>
        <v/>
      </c>
      <c r="G56" s="305" t="str">
        <f t="shared" si="15"/>
        <v/>
      </c>
      <c r="H56" s="306" t="str">
        <f t="shared" si="16"/>
        <v/>
      </c>
      <c r="I56" s="306" t="str">
        <f t="shared" si="17"/>
        <v/>
      </c>
      <c r="J56" s="308" t="str">
        <f t="shared" si="18"/>
        <v/>
      </c>
      <c r="K56" s="414" t="str">
        <f t="shared" si="19"/>
        <v/>
      </c>
      <c r="L56" s="377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6" ht="24" customHeight="1">
      <c r="A57" s="305" t="str">
        <f t="shared" si="11"/>
        <v/>
      </c>
      <c r="B57" s="306" t="str">
        <f t="shared" si="12"/>
        <v/>
      </c>
      <c r="C57" s="414" t="str">
        <f t="shared" si="13"/>
        <v/>
      </c>
      <c r="D57" s="376"/>
      <c r="E57" s="377"/>
      <c r="F57" s="307" t="str">
        <f t="shared" si="14"/>
        <v/>
      </c>
      <c r="G57" s="305" t="str">
        <f t="shared" si="15"/>
        <v/>
      </c>
      <c r="H57" s="306" t="str">
        <f t="shared" si="16"/>
        <v/>
      </c>
      <c r="I57" s="306" t="str">
        <f t="shared" si="17"/>
        <v/>
      </c>
      <c r="J57" s="308" t="str">
        <f t="shared" si="18"/>
        <v/>
      </c>
      <c r="K57" s="414" t="str">
        <f t="shared" si="19"/>
        <v/>
      </c>
      <c r="L57" s="377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6" ht="24" customHeight="1">
      <c r="A58" s="305" t="str">
        <f t="shared" si="11"/>
        <v/>
      </c>
      <c r="B58" s="306" t="str">
        <f t="shared" si="12"/>
        <v/>
      </c>
      <c r="C58" s="414" t="str">
        <f t="shared" si="13"/>
        <v/>
      </c>
      <c r="D58" s="376"/>
      <c r="E58" s="377"/>
      <c r="F58" s="307" t="str">
        <f t="shared" si="14"/>
        <v/>
      </c>
      <c r="G58" s="305" t="str">
        <f t="shared" si="15"/>
        <v/>
      </c>
      <c r="H58" s="306" t="str">
        <f t="shared" si="16"/>
        <v/>
      </c>
      <c r="I58" s="306" t="str">
        <f t="shared" si="17"/>
        <v/>
      </c>
      <c r="J58" s="308" t="str">
        <f t="shared" si="18"/>
        <v/>
      </c>
      <c r="K58" s="414" t="str">
        <f t="shared" si="19"/>
        <v/>
      </c>
      <c r="L58" s="377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6" ht="24" customHeight="1">
      <c r="A59" s="305" t="str">
        <f t="shared" si="11"/>
        <v/>
      </c>
      <c r="B59" s="306" t="str">
        <f t="shared" si="12"/>
        <v/>
      </c>
      <c r="C59" s="414" t="str">
        <f t="shared" si="13"/>
        <v/>
      </c>
      <c r="D59" s="376"/>
      <c r="E59" s="377"/>
      <c r="F59" s="307" t="str">
        <f t="shared" si="14"/>
        <v/>
      </c>
      <c r="G59" s="305" t="str">
        <f t="shared" si="15"/>
        <v/>
      </c>
      <c r="H59" s="306" t="str">
        <f t="shared" si="16"/>
        <v/>
      </c>
      <c r="I59" s="306" t="str">
        <f t="shared" si="17"/>
        <v/>
      </c>
      <c r="J59" s="308" t="str">
        <f t="shared" si="18"/>
        <v/>
      </c>
      <c r="K59" s="414" t="str">
        <f t="shared" si="19"/>
        <v/>
      </c>
      <c r="L59" s="377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6" ht="40" customHeight="1">
      <c r="A60" s="412" t="s">
        <v>2390</v>
      </c>
      <c r="B60" s="350"/>
      <c r="C60" s="350"/>
      <c r="D60" s="350"/>
      <c r="E60" s="350"/>
      <c r="F60" s="350"/>
      <c r="G60" s="350"/>
      <c r="H60" s="350"/>
      <c r="I60" s="350"/>
      <c r="J60" s="350"/>
      <c r="K60" s="350"/>
      <c r="L60" s="350"/>
    </row>
    <row r="62" spans="1:26">
      <c r="A62" s="416" t="s">
        <v>2391</v>
      </c>
      <c r="B62" s="376"/>
      <c r="C62" s="376"/>
      <c r="D62" s="376"/>
      <c r="E62" s="376"/>
      <c r="F62" s="376"/>
      <c r="G62" s="376"/>
      <c r="H62" s="376"/>
      <c r="I62" s="376"/>
      <c r="J62" s="376"/>
      <c r="K62" s="376"/>
      <c r="L62" s="377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6" hidden="1" outlineLevel="1">
      <c r="A63" s="82" t="s">
        <v>29</v>
      </c>
      <c r="B63" s="82" t="s">
        <v>34</v>
      </c>
      <c r="C63" s="82" t="s">
        <v>35</v>
      </c>
      <c r="D63" s="82" t="s">
        <v>36</v>
      </c>
      <c r="E63" s="82" t="s">
        <v>31</v>
      </c>
      <c r="F63" s="82" t="s">
        <v>30</v>
      </c>
      <c r="G63" s="82" t="s">
        <v>37</v>
      </c>
      <c r="H63" s="82" t="s">
        <v>38</v>
      </c>
      <c r="I63" s="82" t="s">
        <v>39</v>
      </c>
      <c r="J63" s="82" t="s">
        <v>32</v>
      </c>
      <c r="K63" s="82" t="s">
        <v>33</v>
      </c>
      <c r="L63" s="82" t="s">
        <v>40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41</v>
      </c>
      <c r="X63" s="82" t="s">
        <v>42</v>
      </c>
      <c r="Y63" s="82" t="s">
        <v>43</v>
      </c>
    </row>
    <row r="64" spans="1:26" ht="40" hidden="1" customHeight="1" outlineLevel="1">
      <c r="A64" s="83">
        <v>46082</v>
      </c>
      <c r="B64" s="84" t="s">
        <v>44</v>
      </c>
      <c r="C64" s="84" t="s">
        <v>45</v>
      </c>
      <c r="D64" s="84" t="s">
        <v>12</v>
      </c>
      <c r="E64" s="85">
        <v>229000</v>
      </c>
      <c r="F64" s="89" t="s">
        <v>46</v>
      </c>
      <c r="G64" s="90" t="s">
        <v>47</v>
      </c>
      <c r="H64" s="87">
        <f t="shared" ref="H64:H127" si="20">IF(A64="","",DATE(YEAR(A64),MONTH(A64),1))</f>
        <v>46082</v>
      </c>
      <c r="I64" s="88" t="str">
        <f t="shared" ref="I64:I127" si="21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48</v>
      </c>
      <c r="M64" s="81"/>
      <c r="N64" s="81"/>
      <c r="O64" s="81"/>
      <c r="P64" s="81" t="str">
        <f t="shared" ref="P64:P127" si="22">IF(Q64="","",IF(Q64="이체","이체","내역"))</f>
        <v>내역</v>
      </c>
      <c r="Q64" s="81" t="str">
        <f t="shared" ref="Q64:Q127" si="23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4">IF(Q64="","",D64)</f>
        <v>생활비</v>
      </c>
      <c r="T64" s="81">
        <f t="shared" ref="T64:T127" si="25">IF(Q64="","",IF(Q64="이체",E64,IF(D64=Q64,E64,-E64)))</f>
        <v>229000</v>
      </c>
      <c r="U64" s="81">
        <f t="shared" ref="U64:U127" si="26">IF(Q64="","",IF(ISNUMBER(SEARCH("날짜 미기록",G64)),"날짜 미기록",A64))</f>
        <v>46082</v>
      </c>
      <c r="V64" s="81"/>
      <c r="Y64">
        <f t="shared" ref="Y64:Y127" si="27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6" ht="40" hidden="1" customHeight="1" outlineLevel="1">
      <c r="A65" s="83">
        <v>46082</v>
      </c>
      <c r="B65" s="84" t="s">
        <v>44</v>
      </c>
      <c r="C65" s="84" t="s">
        <v>45</v>
      </c>
      <c r="D65" s="84" t="s">
        <v>13</v>
      </c>
      <c r="E65" s="85">
        <v>50000</v>
      </c>
      <c r="F65" s="89" t="s">
        <v>46</v>
      </c>
      <c r="G65" s="90" t="s">
        <v>47</v>
      </c>
      <c r="H65" s="87">
        <f t="shared" si="20"/>
        <v>46082</v>
      </c>
      <c r="I65" s="88" t="str">
        <f t="shared" si="21"/>
        <v>OK</v>
      </c>
      <c r="J65" s="81"/>
      <c r="K65" s="81"/>
      <c r="L65" s="81" t="s">
        <v>48</v>
      </c>
      <c r="M65" s="81"/>
      <c r="N65" s="81"/>
      <c r="O65" s="81"/>
      <c r="P65" s="81" t="str">
        <f t="shared" si="22"/>
        <v>내역</v>
      </c>
      <c r="Q65" s="81" t="str">
        <f t="shared" si="23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4"/>
        <v>명절비</v>
      </c>
      <c r="T65" s="81">
        <f t="shared" si="25"/>
        <v>50000</v>
      </c>
      <c r="U65" s="81">
        <f t="shared" si="26"/>
        <v>46082</v>
      </c>
      <c r="V65" s="81"/>
      <c r="Y65">
        <f t="shared" si="27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6" ht="40" hidden="1" customHeight="1" outlineLevel="1">
      <c r="A66" s="83">
        <v>46082</v>
      </c>
      <c r="B66" s="84" t="s">
        <v>44</v>
      </c>
      <c r="C66" s="84" t="s">
        <v>45</v>
      </c>
      <c r="D66" s="84" t="s">
        <v>14</v>
      </c>
      <c r="E66" s="85">
        <v>1200000</v>
      </c>
      <c r="F66" s="89" t="s">
        <v>46</v>
      </c>
      <c r="G66" s="90" t="s">
        <v>47</v>
      </c>
      <c r="H66" s="87">
        <f t="shared" si="20"/>
        <v>46082</v>
      </c>
      <c r="I66" s="88" t="str">
        <f t="shared" si="21"/>
        <v>OK</v>
      </c>
      <c r="J66" s="81"/>
      <c r="K66" s="81"/>
      <c r="L66" s="81" t="s">
        <v>48</v>
      </c>
      <c r="M66" s="81"/>
      <c r="N66" s="81"/>
      <c r="O66" s="81"/>
      <c r="P66" s="81" t="str">
        <f t="shared" si="22"/>
        <v>내역</v>
      </c>
      <c r="Q66" s="81" t="str">
        <f t="shared" si="23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4"/>
        <v>여행비</v>
      </c>
      <c r="T66" s="81">
        <f t="shared" si="25"/>
        <v>1200000</v>
      </c>
      <c r="U66" s="81">
        <f t="shared" si="26"/>
        <v>46082</v>
      </c>
      <c r="V66" s="81"/>
      <c r="Y66">
        <f t="shared" si="27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6" ht="40" hidden="1" customHeight="1" outlineLevel="1">
      <c r="A67" s="83">
        <v>46082</v>
      </c>
      <c r="B67" s="84" t="s">
        <v>44</v>
      </c>
      <c r="C67" s="84" t="s">
        <v>45</v>
      </c>
      <c r="D67" s="84" t="s">
        <v>16</v>
      </c>
      <c r="E67" s="85">
        <v>300000</v>
      </c>
      <c r="F67" s="89" t="s">
        <v>46</v>
      </c>
      <c r="G67" s="90" t="s">
        <v>47</v>
      </c>
      <c r="H67" s="87">
        <f t="shared" si="20"/>
        <v>46082</v>
      </c>
      <c r="I67" s="88" t="str">
        <f t="shared" si="21"/>
        <v>OK</v>
      </c>
      <c r="J67" s="81"/>
      <c r="K67" s="81"/>
      <c r="L67" s="81" t="s">
        <v>48</v>
      </c>
      <c r="M67" s="81"/>
      <c r="N67" s="81"/>
      <c r="O67" s="81"/>
      <c r="P67" s="81" t="str">
        <f t="shared" si="22"/>
        <v>내역</v>
      </c>
      <c r="Q67" s="81" t="str">
        <f t="shared" si="23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4"/>
        <v>상환비</v>
      </c>
      <c r="T67" s="81">
        <f t="shared" si="25"/>
        <v>300000</v>
      </c>
      <c r="U67" s="81">
        <f t="shared" si="26"/>
        <v>46082</v>
      </c>
      <c r="V67" s="81"/>
      <c r="Y67">
        <f t="shared" si="27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6" ht="40" hidden="1" customHeight="1" outlineLevel="1">
      <c r="A68" s="83">
        <v>46082</v>
      </c>
      <c r="B68" s="84" t="s">
        <v>44</v>
      </c>
      <c r="C68" s="84" t="s">
        <v>45</v>
      </c>
      <c r="D68" s="84" t="s">
        <v>20</v>
      </c>
      <c r="E68" s="85">
        <v>2042224</v>
      </c>
      <c r="F68" s="89" t="s">
        <v>46</v>
      </c>
      <c r="G68" s="90" t="s">
        <v>49</v>
      </c>
      <c r="H68" s="87">
        <f t="shared" si="20"/>
        <v>46082</v>
      </c>
      <c r="I68" s="88" t="str">
        <f t="shared" si="21"/>
        <v>OK</v>
      </c>
      <c r="J68" s="81"/>
      <c r="K68" s="81"/>
      <c r="L68" s="81" t="s">
        <v>48</v>
      </c>
      <c r="M68" s="81"/>
      <c r="N68" s="81"/>
      <c r="O68" s="81"/>
      <c r="P68" s="81" t="str">
        <f t="shared" si="22"/>
        <v>내역</v>
      </c>
      <c r="Q68" s="81" t="str">
        <f t="shared" si="23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4"/>
        <v>임시보관</v>
      </c>
      <c r="T68" s="81">
        <f t="shared" si="25"/>
        <v>2042224</v>
      </c>
      <c r="U68" s="81">
        <f t="shared" si="26"/>
        <v>46082</v>
      </c>
      <c r="V68" s="81"/>
      <c r="Y68">
        <f t="shared" si="27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6" ht="40" hidden="1" customHeight="1" outlineLevel="1">
      <c r="A69" s="83">
        <v>46082</v>
      </c>
      <c r="B69" s="84" t="s">
        <v>50</v>
      </c>
      <c r="C69" s="84" t="s">
        <v>45</v>
      </c>
      <c r="D69" s="84" t="s">
        <v>12</v>
      </c>
      <c r="E69" s="85">
        <v>782611</v>
      </c>
      <c r="F69" s="89" t="s">
        <v>51</v>
      </c>
      <c r="G69" s="90" t="s">
        <v>52</v>
      </c>
      <c r="H69" s="87">
        <f t="shared" si="20"/>
        <v>46082</v>
      </c>
      <c r="I69" s="88" t="str">
        <f t="shared" si="21"/>
        <v>OK</v>
      </c>
      <c r="J69" s="81"/>
      <c r="K69" s="81"/>
      <c r="L69" s="81" t="s">
        <v>48</v>
      </c>
      <c r="M69" s="81"/>
      <c r="N69" s="81"/>
      <c r="O69" s="81"/>
      <c r="P69" s="81" t="str">
        <f t="shared" si="22"/>
        <v>내역</v>
      </c>
      <c r="Q69" s="81" t="str">
        <f t="shared" si="23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4"/>
        <v>생활비</v>
      </c>
      <c r="T69" s="81">
        <f t="shared" si="25"/>
        <v>782611</v>
      </c>
      <c r="U69" s="81" t="str">
        <f t="shared" si="26"/>
        <v>날짜 미기록</v>
      </c>
      <c r="V69" s="81"/>
      <c r="Y69">
        <f t="shared" si="27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6" ht="40" hidden="1" customHeight="1" outlineLevel="1">
      <c r="A70" s="83">
        <v>46082</v>
      </c>
      <c r="B70" s="84" t="s">
        <v>53</v>
      </c>
      <c r="C70" s="84" t="s">
        <v>12</v>
      </c>
      <c r="D70" s="84" t="s">
        <v>54</v>
      </c>
      <c r="E70" s="85">
        <v>18000</v>
      </c>
      <c r="F70" s="89" t="s">
        <v>55</v>
      </c>
      <c r="G70" s="90" t="s">
        <v>52</v>
      </c>
      <c r="H70" s="87">
        <f t="shared" si="20"/>
        <v>46082</v>
      </c>
      <c r="I70" s="88" t="str">
        <f t="shared" si="21"/>
        <v>OK</v>
      </c>
      <c r="J70" s="81"/>
      <c r="K70" s="81"/>
      <c r="L70" s="81" t="s">
        <v>48</v>
      </c>
      <c r="M70" s="81"/>
      <c r="N70" s="81"/>
      <c r="O70" s="81"/>
      <c r="P70" s="81" t="str">
        <f t="shared" si="22"/>
        <v>내역</v>
      </c>
      <c r="Q70" s="81" t="str">
        <f t="shared" si="23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4"/>
        <v>지출</v>
      </c>
      <c r="T70" s="81">
        <f t="shared" si="25"/>
        <v>-18000</v>
      </c>
      <c r="U70" s="81" t="str">
        <f t="shared" si="26"/>
        <v>날짜 미기록</v>
      </c>
      <c r="V70" s="81"/>
      <c r="Y70">
        <f t="shared" si="27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6" ht="40" hidden="1" customHeight="1" outlineLevel="1">
      <c r="A71" s="83">
        <v>46082</v>
      </c>
      <c r="B71" s="84" t="s">
        <v>56</v>
      </c>
      <c r="C71" s="84" t="s">
        <v>57</v>
      </c>
      <c r="D71" s="84" t="s">
        <v>13</v>
      </c>
      <c r="E71" s="85">
        <v>50000</v>
      </c>
      <c r="F71" s="89" t="s">
        <v>58</v>
      </c>
      <c r="G71" s="90" t="s">
        <v>52</v>
      </c>
      <c r="H71" s="87">
        <f t="shared" si="20"/>
        <v>46082</v>
      </c>
      <c r="I71" s="88" t="str">
        <f t="shared" si="21"/>
        <v>OK</v>
      </c>
      <c r="J71" s="81"/>
      <c r="K71" s="81"/>
      <c r="L71" s="81" t="s">
        <v>48</v>
      </c>
      <c r="M71" s="81"/>
      <c r="N71" s="81"/>
      <c r="O71" s="81"/>
      <c r="P71" s="81" t="str">
        <f t="shared" si="22"/>
        <v>내역</v>
      </c>
      <c r="Q71" s="81" t="str">
        <f t="shared" si="23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4"/>
        <v>명절비</v>
      </c>
      <c r="T71" s="81">
        <f t="shared" si="25"/>
        <v>50000</v>
      </c>
      <c r="U71" s="81" t="str">
        <f t="shared" si="26"/>
        <v>날짜 미기록</v>
      </c>
      <c r="V71" s="81"/>
      <c r="Y71">
        <f t="shared" si="27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6" ht="40" hidden="1" customHeight="1" outlineLevel="1">
      <c r="A72" s="83">
        <v>46082</v>
      </c>
      <c r="B72" s="84" t="s">
        <v>56</v>
      </c>
      <c r="C72" s="84" t="s">
        <v>57</v>
      </c>
      <c r="D72" s="84" t="s">
        <v>14</v>
      </c>
      <c r="E72" s="85">
        <v>100000</v>
      </c>
      <c r="F72" s="89" t="s">
        <v>59</v>
      </c>
      <c r="G72" s="90" t="s">
        <v>52</v>
      </c>
      <c r="H72" s="87">
        <f t="shared" si="20"/>
        <v>46082</v>
      </c>
      <c r="I72" s="88" t="str">
        <f t="shared" si="21"/>
        <v>OK</v>
      </c>
      <c r="J72" s="81"/>
      <c r="K72" s="81"/>
      <c r="L72" s="81" t="s">
        <v>48</v>
      </c>
      <c r="M72" s="81"/>
      <c r="N72" s="81"/>
      <c r="O72" s="81"/>
      <c r="P72" s="81" t="str">
        <f t="shared" si="22"/>
        <v>내역</v>
      </c>
      <c r="Q72" s="81" t="str">
        <f t="shared" si="23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4"/>
        <v>여행비</v>
      </c>
      <c r="T72" s="81">
        <f t="shared" si="25"/>
        <v>100000</v>
      </c>
      <c r="U72" s="81" t="str">
        <f t="shared" si="26"/>
        <v>날짜 미기록</v>
      </c>
      <c r="V72" s="81"/>
      <c r="Y72">
        <f t="shared" si="27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6" ht="40" hidden="1" customHeight="1" outlineLevel="1">
      <c r="A73" s="83">
        <v>46082</v>
      </c>
      <c r="B73" s="84" t="s">
        <v>56</v>
      </c>
      <c r="C73" s="84" t="s">
        <v>57</v>
      </c>
      <c r="D73" s="84" t="s">
        <v>16</v>
      </c>
      <c r="E73" s="85">
        <v>50000</v>
      </c>
      <c r="F73" s="89" t="s">
        <v>60</v>
      </c>
      <c r="G73" s="90" t="s">
        <v>52</v>
      </c>
      <c r="H73" s="87">
        <f t="shared" si="20"/>
        <v>46082</v>
      </c>
      <c r="I73" s="88" t="str">
        <f t="shared" si="21"/>
        <v>OK</v>
      </c>
      <c r="J73" s="81"/>
      <c r="K73" s="81"/>
      <c r="L73" s="81" t="s">
        <v>48</v>
      </c>
      <c r="M73" s="81"/>
      <c r="N73" s="81"/>
      <c r="O73" s="81"/>
      <c r="P73" s="81" t="str">
        <f t="shared" si="22"/>
        <v>내역</v>
      </c>
      <c r="Q73" s="81" t="str">
        <f t="shared" si="23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4"/>
        <v>상환비</v>
      </c>
      <c r="T73" s="81">
        <f t="shared" si="25"/>
        <v>50000</v>
      </c>
      <c r="U73" s="81" t="str">
        <f t="shared" si="26"/>
        <v>날짜 미기록</v>
      </c>
      <c r="V73" s="81"/>
      <c r="Y73">
        <f t="shared" si="27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6" ht="40" hidden="1" customHeight="1" outlineLevel="1">
      <c r="A74" s="83">
        <v>46113</v>
      </c>
      <c r="B74" s="84" t="s">
        <v>50</v>
      </c>
      <c r="C74" s="84" t="s">
        <v>45</v>
      </c>
      <c r="D74" s="84" t="s">
        <v>12</v>
      </c>
      <c r="E74" s="85">
        <v>200000</v>
      </c>
      <c r="F74" s="89" t="s">
        <v>61</v>
      </c>
      <c r="G74" s="90" t="s">
        <v>52</v>
      </c>
      <c r="H74" s="87">
        <f t="shared" si="20"/>
        <v>46113</v>
      </c>
      <c r="I74" s="88" t="str">
        <f t="shared" si="21"/>
        <v>OK</v>
      </c>
      <c r="J74" s="81"/>
      <c r="K74" s="81"/>
      <c r="L74" s="81" t="s">
        <v>48</v>
      </c>
      <c r="M74" s="81"/>
      <c r="N74" s="81"/>
      <c r="O74" s="81"/>
      <c r="P74" s="81" t="str">
        <f t="shared" si="22"/>
        <v>내역</v>
      </c>
      <c r="Q74" s="81" t="str">
        <f t="shared" si="23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4"/>
        <v>생활비</v>
      </c>
      <c r="T74" s="81">
        <f t="shared" si="25"/>
        <v>200000</v>
      </c>
      <c r="U74" s="81" t="str">
        <f t="shared" si="26"/>
        <v>날짜 미기록</v>
      </c>
      <c r="V74" s="81"/>
      <c r="Y74">
        <f t="shared" si="27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6" ht="40" hidden="1" customHeight="1" outlineLevel="1">
      <c r="A75" s="83">
        <v>46113</v>
      </c>
      <c r="B75" s="84" t="s">
        <v>53</v>
      </c>
      <c r="C75" s="84" t="s">
        <v>12</v>
      </c>
      <c r="D75" s="84" t="s">
        <v>54</v>
      </c>
      <c r="E75" s="85">
        <v>51300</v>
      </c>
      <c r="F75" s="89" t="s">
        <v>62</v>
      </c>
      <c r="G75" s="90" t="s">
        <v>52</v>
      </c>
      <c r="H75" s="87">
        <f t="shared" si="20"/>
        <v>46113</v>
      </c>
      <c r="I75" s="88" t="str">
        <f t="shared" si="21"/>
        <v>OK</v>
      </c>
      <c r="J75" s="81"/>
      <c r="K75" s="81"/>
      <c r="L75" s="81" t="s">
        <v>48</v>
      </c>
      <c r="M75" s="81"/>
      <c r="N75" s="81"/>
      <c r="O75" s="81"/>
      <c r="P75" s="81" t="str">
        <f t="shared" si="22"/>
        <v>내역</v>
      </c>
      <c r="Q75" s="81" t="str">
        <f t="shared" si="23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4"/>
        <v>지출</v>
      </c>
      <c r="T75" s="81">
        <f t="shared" si="25"/>
        <v>-51300</v>
      </c>
      <c r="U75" s="81" t="str">
        <f t="shared" si="26"/>
        <v>날짜 미기록</v>
      </c>
      <c r="V75" s="81"/>
      <c r="Y75">
        <f t="shared" si="27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6" ht="40" hidden="1" customHeight="1" outlineLevel="1">
      <c r="A76" s="83">
        <v>46113</v>
      </c>
      <c r="B76" s="84" t="s">
        <v>53</v>
      </c>
      <c r="C76" s="84" t="s">
        <v>12</v>
      </c>
      <c r="D76" s="84" t="s">
        <v>54</v>
      </c>
      <c r="E76" s="85">
        <v>9500</v>
      </c>
      <c r="F76" s="89" t="s">
        <v>63</v>
      </c>
      <c r="G76" s="90" t="s">
        <v>52</v>
      </c>
      <c r="H76" s="87">
        <f t="shared" si="20"/>
        <v>46113</v>
      </c>
      <c r="I76" s="88" t="str">
        <f t="shared" si="21"/>
        <v>OK</v>
      </c>
      <c r="J76" s="81"/>
      <c r="K76" s="81"/>
      <c r="L76" s="81" t="s">
        <v>48</v>
      </c>
      <c r="M76" s="81"/>
      <c r="N76" s="81"/>
      <c r="O76" s="81"/>
      <c r="P76" s="81" t="str">
        <f t="shared" si="22"/>
        <v>내역</v>
      </c>
      <c r="Q76" s="81" t="str">
        <f t="shared" si="23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4"/>
        <v>지출</v>
      </c>
      <c r="T76" s="81">
        <f t="shared" si="25"/>
        <v>-9500</v>
      </c>
      <c r="U76" s="81" t="str">
        <f t="shared" si="26"/>
        <v>날짜 미기록</v>
      </c>
      <c r="V76" s="81"/>
      <c r="Y76">
        <f t="shared" si="27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6" ht="40" hidden="1" customHeight="1" outlineLevel="1">
      <c r="A77" s="83">
        <v>46113</v>
      </c>
      <c r="B77" s="84" t="s">
        <v>53</v>
      </c>
      <c r="C77" s="84" t="s">
        <v>12</v>
      </c>
      <c r="D77" s="84" t="s">
        <v>54</v>
      </c>
      <c r="E77" s="85">
        <v>16000</v>
      </c>
      <c r="F77" s="89" t="s">
        <v>64</v>
      </c>
      <c r="G77" s="90" t="s">
        <v>52</v>
      </c>
      <c r="H77" s="87">
        <f t="shared" si="20"/>
        <v>46113</v>
      </c>
      <c r="I77" s="88" t="str">
        <f t="shared" si="21"/>
        <v>OK</v>
      </c>
      <c r="J77" s="81"/>
      <c r="K77" s="81"/>
      <c r="L77" s="81" t="s">
        <v>48</v>
      </c>
      <c r="M77" s="81"/>
      <c r="N77" s="81"/>
      <c r="O77" s="81"/>
      <c r="P77" s="81" t="str">
        <f t="shared" si="22"/>
        <v>내역</v>
      </c>
      <c r="Q77" s="81" t="str">
        <f t="shared" si="23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4"/>
        <v>지출</v>
      </c>
      <c r="T77" s="81">
        <f t="shared" si="25"/>
        <v>-16000</v>
      </c>
      <c r="U77" s="81" t="str">
        <f t="shared" si="26"/>
        <v>날짜 미기록</v>
      </c>
      <c r="V77" s="81"/>
      <c r="Y77">
        <f t="shared" si="27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6" ht="40" hidden="1" customHeight="1" outlineLevel="1">
      <c r="A78" s="83">
        <v>46113</v>
      </c>
      <c r="B78" s="84" t="s">
        <v>65</v>
      </c>
      <c r="C78" s="84" t="s">
        <v>12</v>
      </c>
      <c r="D78" s="84" t="s">
        <v>45</v>
      </c>
      <c r="E78" s="85">
        <v>252552</v>
      </c>
      <c r="F78" s="89" t="s">
        <v>66</v>
      </c>
      <c r="G78" s="90" t="s">
        <v>52</v>
      </c>
      <c r="H78" s="87">
        <f t="shared" si="20"/>
        <v>46113</v>
      </c>
      <c r="I78" s="88" t="str">
        <f t="shared" si="21"/>
        <v>OK</v>
      </c>
      <c r="J78" s="81"/>
      <c r="K78" s="81"/>
      <c r="L78" s="81" t="s">
        <v>48</v>
      </c>
      <c r="M78" s="81"/>
      <c r="N78" s="81"/>
      <c r="O78" s="81"/>
      <c r="P78" s="81" t="str">
        <f t="shared" si="22"/>
        <v>이체</v>
      </c>
      <c r="Q78" s="81" t="str">
        <f t="shared" si="23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4"/>
        <v>외부</v>
      </c>
      <c r="T78" s="81">
        <f t="shared" si="25"/>
        <v>252552</v>
      </c>
      <c r="U78" s="81" t="str">
        <f t="shared" si="26"/>
        <v>날짜 미기록</v>
      </c>
      <c r="V78" s="81"/>
      <c r="Y78">
        <f t="shared" si="27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6" ht="40" hidden="1" customHeight="1" outlineLevel="1">
      <c r="A79" s="83">
        <v>46113</v>
      </c>
      <c r="B79" s="84" t="s">
        <v>65</v>
      </c>
      <c r="C79" s="84" t="s">
        <v>45</v>
      </c>
      <c r="D79" s="84" t="s">
        <v>12</v>
      </c>
      <c r="E79" s="85">
        <v>58908</v>
      </c>
      <c r="F79" s="89" t="s">
        <v>67</v>
      </c>
      <c r="G79" s="90" t="s">
        <v>52</v>
      </c>
      <c r="H79" s="87">
        <f t="shared" si="20"/>
        <v>46113</v>
      </c>
      <c r="I79" s="88" t="str">
        <f t="shared" si="21"/>
        <v>OK</v>
      </c>
      <c r="J79" s="81"/>
      <c r="K79" s="81"/>
      <c r="L79" s="81" t="s">
        <v>48</v>
      </c>
      <c r="M79" s="81"/>
      <c r="N79" s="81"/>
      <c r="O79" s="81"/>
      <c r="P79" s="81" t="str">
        <f t="shared" si="22"/>
        <v/>
      </c>
      <c r="Q79" s="81" t="str">
        <f t="shared" si="23"/>
        <v/>
      </c>
      <c r="R79" s="81" t="str">
        <f>IF(P79="","",TEXT(H79,"yyyymm")&amp;"_"&amp;P79&amp;"_"&amp;(COUNTIFS($H$64:$H$500,H79,$P$64:$P$500,P79,$A$64:$A$500,"&gt;"&amp;A79)+COUNTIFS($H$64:H79,H79,$P$64:P79,P79,$A$64:A79,A79)))</f>
        <v/>
      </c>
      <c r="S79" s="81" t="str">
        <f t="shared" si="24"/>
        <v/>
      </c>
      <c r="T79" s="81" t="str">
        <f t="shared" si="25"/>
        <v/>
      </c>
      <c r="U79" s="81" t="str">
        <f t="shared" si="26"/>
        <v/>
      </c>
      <c r="V79" s="81"/>
      <c r="Y79">
        <f t="shared" si="27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6" ht="40" hidden="1" customHeight="1" outlineLevel="1">
      <c r="A80" s="83">
        <v>46113</v>
      </c>
      <c r="B80" s="84" t="s">
        <v>65</v>
      </c>
      <c r="C80" s="84" t="s">
        <v>45</v>
      </c>
      <c r="D80" s="84" t="s">
        <v>12</v>
      </c>
      <c r="E80" s="85">
        <v>21500</v>
      </c>
      <c r="F80" s="89" t="s">
        <v>68</v>
      </c>
      <c r="G80" s="90" t="s">
        <v>52</v>
      </c>
      <c r="H80" s="87">
        <f t="shared" si="20"/>
        <v>46113</v>
      </c>
      <c r="I80" s="88" t="str">
        <f t="shared" si="21"/>
        <v>OK</v>
      </c>
      <c r="J80" s="81"/>
      <c r="K80" s="81"/>
      <c r="L80" s="81" t="s">
        <v>48</v>
      </c>
      <c r="M80" s="81"/>
      <c r="N80" s="81"/>
      <c r="O80" s="81"/>
      <c r="P80" s="81" t="str">
        <f t="shared" si="22"/>
        <v/>
      </c>
      <c r="Q80" s="81" t="str">
        <f t="shared" si="23"/>
        <v/>
      </c>
      <c r="R80" s="81" t="str">
        <f>IF(P80="","",TEXT(H80,"yyyymm")&amp;"_"&amp;P80&amp;"_"&amp;(COUNTIFS($H$64:$H$500,H80,$P$64:$P$500,P80,$A$64:$A$500,"&gt;"&amp;A80)+COUNTIFS($H$64:H80,H80,$P$64:P80,P80,$A$64:A80,A80)))</f>
        <v/>
      </c>
      <c r="S80" s="81" t="str">
        <f t="shared" si="24"/>
        <v/>
      </c>
      <c r="T80" s="81" t="str">
        <f t="shared" si="25"/>
        <v/>
      </c>
      <c r="U80" s="81" t="str">
        <f t="shared" si="26"/>
        <v/>
      </c>
      <c r="V80" s="81"/>
      <c r="Y80">
        <f t="shared" si="27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6" ht="40" hidden="1" customHeight="1" outlineLevel="1">
      <c r="A81" s="83">
        <v>46113</v>
      </c>
      <c r="B81" s="84" t="s">
        <v>56</v>
      </c>
      <c r="C81" s="84" t="s">
        <v>57</v>
      </c>
      <c r="D81" s="84" t="s">
        <v>13</v>
      </c>
      <c r="E81" s="85">
        <v>100000</v>
      </c>
      <c r="F81" s="89" t="s">
        <v>58</v>
      </c>
      <c r="G81" s="90" t="s">
        <v>52</v>
      </c>
      <c r="H81" s="87">
        <f t="shared" si="20"/>
        <v>46113</v>
      </c>
      <c r="I81" s="88" t="str">
        <f t="shared" si="21"/>
        <v>OK</v>
      </c>
      <c r="J81" s="81"/>
      <c r="K81" s="81"/>
      <c r="L81" s="81" t="s">
        <v>48</v>
      </c>
      <c r="M81" s="81"/>
      <c r="N81" s="81"/>
      <c r="O81" s="81"/>
      <c r="P81" s="81" t="str">
        <f t="shared" si="22"/>
        <v>내역</v>
      </c>
      <c r="Q81" s="81" t="str">
        <f t="shared" si="23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4"/>
        <v>명절비</v>
      </c>
      <c r="T81" s="81">
        <f t="shared" si="25"/>
        <v>100000</v>
      </c>
      <c r="U81" s="81" t="str">
        <f t="shared" si="26"/>
        <v>날짜 미기록</v>
      </c>
      <c r="V81" s="81"/>
      <c r="Y81">
        <f t="shared" si="27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6" ht="40" hidden="1" customHeight="1" outlineLevel="1">
      <c r="A82" s="83">
        <v>46113</v>
      </c>
      <c r="B82" s="84" t="s">
        <v>56</v>
      </c>
      <c r="C82" s="84" t="s">
        <v>57</v>
      </c>
      <c r="D82" s="84" t="s">
        <v>14</v>
      </c>
      <c r="E82" s="85">
        <v>100000</v>
      </c>
      <c r="F82" s="89" t="s">
        <v>59</v>
      </c>
      <c r="G82" s="90" t="s">
        <v>52</v>
      </c>
      <c r="H82" s="87">
        <f t="shared" si="20"/>
        <v>46113</v>
      </c>
      <c r="I82" s="88" t="str">
        <f t="shared" si="21"/>
        <v>OK</v>
      </c>
      <c r="J82" s="81"/>
      <c r="K82" s="81"/>
      <c r="L82" s="81" t="s">
        <v>48</v>
      </c>
      <c r="M82" s="81"/>
      <c r="N82" s="81"/>
      <c r="O82" s="81"/>
      <c r="P82" s="81" t="str">
        <f t="shared" si="22"/>
        <v>내역</v>
      </c>
      <c r="Q82" s="81" t="str">
        <f t="shared" si="23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4"/>
        <v>여행비</v>
      </c>
      <c r="T82" s="81">
        <f t="shared" si="25"/>
        <v>100000</v>
      </c>
      <c r="U82" s="81" t="str">
        <f t="shared" si="26"/>
        <v>날짜 미기록</v>
      </c>
      <c r="V82" s="81"/>
      <c r="Y82">
        <f t="shared" si="27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6" ht="40" hidden="1" customHeight="1" outlineLevel="1">
      <c r="A83" s="83">
        <v>46113</v>
      </c>
      <c r="B83" s="84" t="s">
        <v>50</v>
      </c>
      <c r="C83" s="84" t="s">
        <v>45</v>
      </c>
      <c r="D83" s="84" t="s">
        <v>19</v>
      </c>
      <c r="E83" s="85">
        <v>868</v>
      </c>
      <c r="F83" s="89" t="s">
        <v>69</v>
      </c>
      <c r="G83" s="90" t="s">
        <v>52</v>
      </c>
      <c r="H83" s="87">
        <f t="shared" si="20"/>
        <v>46113</v>
      </c>
      <c r="I83" s="88" t="str">
        <f t="shared" si="21"/>
        <v>OK</v>
      </c>
      <c r="J83" s="81"/>
      <c r="K83" s="81"/>
      <c r="L83" s="81" t="s">
        <v>48</v>
      </c>
      <c r="M83" s="81"/>
      <c r="N83" s="81"/>
      <c r="O83" s="81"/>
      <c r="P83" s="81" t="str">
        <f t="shared" si="22"/>
        <v>내역</v>
      </c>
      <c r="Q83" s="81" t="str">
        <f t="shared" si="23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4"/>
        <v>금융</v>
      </c>
      <c r="T83" s="81">
        <f t="shared" si="25"/>
        <v>868</v>
      </c>
      <c r="U83" s="81" t="str">
        <f t="shared" si="26"/>
        <v>날짜 미기록</v>
      </c>
      <c r="V83" s="81"/>
      <c r="Y83">
        <f t="shared" si="27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6" ht="40" hidden="1" customHeight="1" outlineLevel="1">
      <c r="A84" s="83">
        <v>46113</v>
      </c>
      <c r="B84" s="84" t="s">
        <v>50</v>
      </c>
      <c r="C84" s="84" t="s">
        <v>45</v>
      </c>
      <c r="D84" s="84" t="s">
        <v>19</v>
      </c>
      <c r="E84" s="85">
        <v>1283</v>
      </c>
      <c r="F84" s="89" t="s">
        <v>69</v>
      </c>
      <c r="G84" s="90" t="s">
        <v>52</v>
      </c>
      <c r="H84" s="87">
        <f t="shared" si="20"/>
        <v>46113</v>
      </c>
      <c r="I84" s="88" t="str">
        <f t="shared" si="21"/>
        <v>OK</v>
      </c>
      <c r="J84" s="81"/>
      <c r="K84" s="81"/>
      <c r="L84" s="81" t="s">
        <v>48</v>
      </c>
      <c r="M84" s="81"/>
      <c r="N84" s="81"/>
      <c r="O84" s="81"/>
      <c r="P84" s="81" t="str">
        <f t="shared" si="22"/>
        <v>내역</v>
      </c>
      <c r="Q84" s="81" t="str">
        <f t="shared" si="23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4"/>
        <v>금융</v>
      </c>
      <c r="T84" s="81">
        <f t="shared" si="25"/>
        <v>1283</v>
      </c>
      <c r="U84" s="81" t="str">
        <f t="shared" si="26"/>
        <v>날짜 미기록</v>
      </c>
      <c r="V84" s="81"/>
      <c r="Y84">
        <f t="shared" si="27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6" ht="40" hidden="1" customHeight="1" outlineLevel="1">
      <c r="A85" s="83">
        <v>46113</v>
      </c>
      <c r="B85" s="84" t="s">
        <v>50</v>
      </c>
      <c r="C85" s="84" t="s">
        <v>45</v>
      </c>
      <c r="D85" s="84" t="s">
        <v>20</v>
      </c>
      <c r="E85" s="85">
        <v>1991720</v>
      </c>
      <c r="F85" s="89" t="s">
        <v>70</v>
      </c>
      <c r="G85" s="90" t="s">
        <v>52</v>
      </c>
      <c r="H85" s="87">
        <f t="shared" si="20"/>
        <v>46113</v>
      </c>
      <c r="I85" s="88" t="str">
        <f t="shared" si="21"/>
        <v>OK</v>
      </c>
      <c r="J85" s="81"/>
      <c r="K85" s="81"/>
      <c r="L85" s="81" t="s">
        <v>48</v>
      </c>
      <c r="M85" s="81"/>
      <c r="N85" s="81"/>
      <c r="O85" s="81"/>
      <c r="P85" s="81" t="str">
        <f t="shared" si="22"/>
        <v>내역</v>
      </c>
      <c r="Q85" s="81" t="str">
        <f t="shared" si="23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4"/>
        <v>임시보관</v>
      </c>
      <c r="T85" s="81">
        <f t="shared" si="25"/>
        <v>1991720</v>
      </c>
      <c r="U85" s="81" t="str">
        <f t="shared" si="26"/>
        <v>날짜 미기록</v>
      </c>
      <c r="V85" s="81"/>
      <c r="Y85">
        <f t="shared" si="27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6" ht="40" hidden="1" customHeight="1" outlineLevel="1">
      <c r="A86" s="83">
        <v>46113</v>
      </c>
      <c r="B86" s="84" t="s">
        <v>50</v>
      </c>
      <c r="C86" s="84" t="s">
        <v>45</v>
      </c>
      <c r="D86" s="84" t="s">
        <v>20</v>
      </c>
      <c r="E86" s="85">
        <v>558000</v>
      </c>
      <c r="F86" s="89" t="s">
        <v>71</v>
      </c>
      <c r="G86" s="90" t="s">
        <v>52</v>
      </c>
      <c r="H86" s="87">
        <f t="shared" si="20"/>
        <v>46113</v>
      </c>
      <c r="I86" s="88" t="str">
        <f t="shared" si="21"/>
        <v>OK</v>
      </c>
      <c r="J86" s="81"/>
      <c r="K86" s="81"/>
      <c r="L86" s="81" t="s">
        <v>48</v>
      </c>
      <c r="M86" s="81"/>
      <c r="N86" s="81"/>
      <c r="O86" s="81"/>
      <c r="P86" s="81" t="str">
        <f t="shared" si="22"/>
        <v>내역</v>
      </c>
      <c r="Q86" s="81" t="str">
        <f t="shared" si="23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4"/>
        <v>임시보관</v>
      </c>
      <c r="T86" s="81">
        <f t="shared" si="25"/>
        <v>558000</v>
      </c>
      <c r="U86" s="81" t="str">
        <f t="shared" si="26"/>
        <v>날짜 미기록</v>
      </c>
      <c r="V86" s="81"/>
      <c r="Y86">
        <f t="shared" si="27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6" ht="40" hidden="1" customHeight="1" outlineLevel="1">
      <c r="A87" s="83">
        <v>46113</v>
      </c>
      <c r="B87" s="84" t="s">
        <v>50</v>
      </c>
      <c r="C87" s="84" t="s">
        <v>45</v>
      </c>
      <c r="D87" s="84" t="s">
        <v>20</v>
      </c>
      <c r="E87" s="85">
        <v>3419</v>
      </c>
      <c r="F87" s="89" t="s">
        <v>72</v>
      </c>
      <c r="G87" s="90" t="s">
        <v>52</v>
      </c>
      <c r="H87" s="87">
        <f t="shared" si="20"/>
        <v>46113</v>
      </c>
      <c r="I87" s="88" t="str">
        <f t="shared" si="21"/>
        <v>OK</v>
      </c>
      <c r="J87" s="81"/>
      <c r="K87" s="81"/>
      <c r="L87" s="81" t="s">
        <v>48</v>
      </c>
      <c r="M87" s="81"/>
      <c r="N87" s="81"/>
      <c r="O87" s="81"/>
      <c r="P87" s="81" t="str">
        <f t="shared" si="22"/>
        <v>내역</v>
      </c>
      <c r="Q87" s="81" t="str">
        <f t="shared" si="23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4"/>
        <v>임시보관</v>
      </c>
      <c r="T87" s="81">
        <f t="shared" si="25"/>
        <v>3419</v>
      </c>
      <c r="U87" s="81" t="str">
        <f t="shared" si="26"/>
        <v>날짜 미기록</v>
      </c>
      <c r="V87" s="81"/>
      <c r="Y87">
        <f t="shared" si="27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6" ht="40" hidden="1" customHeight="1" outlineLevel="1">
      <c r="A88" s="83">
        <v>46113</v>
      </c>
      <c r="B88" s="84" t="s">
        <v>53</v>
      </c>
      <c r="C88" s="84" t="s">
        <v>20</v>
      </c>
      <c r="D88" s="84" t="s">
        <v>54</v>
      </c>
      <c r="E88" s="85">
        <v>550000</v>
      </c>
      <c r="F88" s="89" t="s">
        <v>73</v>
      </c>
      <c r="G88" s="90" t="s">
        <v>52</v>
      </c>
      <c r="H88" s="87">
        <f t="shared" si="20"/>
        <v>46113</v>
      </c>
      <c r="I88" s="88" t="str">
        <f t="shared" si="21"/>
        <v>OK</v>
      </c>
      <c r="J88" s="81"/>
      <c r="K88" s="81"/>
      <c r="L88" s="81" t="s">
        <v>48</v>
      </c>
      <c r="M88" s="81"/>
      <c r="N88" s="81"/>
      <c r="O88" s="81"/>
      <c r="P88" s="81" t="str">
        <f t="shared" si="22"/>
        <v>내역</v>
      </c>
      <c r="Q88" s="81" t="str">
        <f t="shared" si="23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4"/>
        <v>지출</v>
      </c>
      <c r="T88" s="81">
        <f t="shared" si="25"/>
        <v>-550000</v>
      </c>
      <c r="U88" s="81" t="str">
        <f t="shared" si="26"/>
        <v>날짜 미기록</v>
      </c>
      <c r="V88" s="81"/>
      <c r="Y88">
        <f t="shared" si="27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6" ht="40" hidden="1" customHeight="1" outlineLevel="1">
      <c r="A89" s="83">
        <v>46113</v>
      </c>
      <c r="B89" s="84" t="s">
        <v>53</v>
      </c>
      <c r="C89" s="84" t="s">
        <v>20</v>
      </c>
      <c r="D89" s="84" t="s">
        <v>54</v>
      </c>
      <c r="E89" s="85">
        <v>371200</v>
      </c>
      <c r="F89" s="89" t="s">
        <v>74</v>
      </c>
      <c r="G89" s="90" t="s">
        <v>52</v>
      </c>
      <c r="H89" s="87">
        <f t="shared" si="20"/>
        <v>46113</v>
      </c>
      <c r="I89" s="88" t="str">
        <f t="shared" si="21"/>
        <v>OK</v>
      </c>
      <c r="J89" s="81"/>
      <c r="K89" s="81"/>
      <c r="L89" s="81" t="s">
        <v>48</v>
      </c>
      <c r="M89" s="81"/>
      <c r="N89" s="81"/>
      <c r="O89" s="81"/>
      <c r="P89" s="81" t="str">
        <f t="shared" si="22"/>
        <v>내역</v>
      </c>
      <c r="Q89" s="81" t="str">
        <f t="shared" si="23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4"/>
        <v>지출</v>
      </c>
      <c r="T89" s="81">
        <f t="shared" si="25"/>
        <v>-371200</v>
      </c>
      <c r="U89" s="81" t="str">
        <f t="shared" si="26"/>
        <v>날짜 미기록</v>
      </c>
      <c r="V89" s="81"/>
      <c r="Y89">
        <f t="shared" si="27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6" ht="40" hidden="1" customHeight="1" outlineLevel="1">
      <c r="A90" s="83">
        <v>46113</v>
      </c>
      <c r="B90" s="84" t="s">
        <v>53</v>
      </c>
      <c r="C90" s="84" t="s">
        <v>20</v>
      </c>
      <c r="D90" s="84" t="s">
        <v>54</v>
      </c>
      <c r="E90" s="85">
        <v>663684</v>
      </c>
      <c r="F90" s="89" t="s">
        <v>75</v>
      </c>
      <c r="G90" s="90" t="s">
        <v>52</v>
      </c>
      <c r="H90" s="87">
        <f t="shared" si="20"/>
        <v>46113</v>
      </c>
      <c r="I90" s="88" t="str">
        <f t="shared" si="21"/>
        <v>OK</v>
      </c>
      <c r="J90" s="81"/>
      <c r="K90" s="81"/>
      <c r="L90" s="81" t="s">
        <v>48</v>
      </c>
      <c r="M90" s="81"/>
      <c r="N90" s="81"/>
      <c r="O90" s="81"/>
      <c r="P90" s="81" t="str">
        <f t="shared" si="22"/>
        <v>내역</v>
      </c>
      <c r="Q90" s="81" t="str">
        <f t="shared" si="23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4"/>
        <v>지출</v>
      </c>
      <c r="T90" s="81">
        <f t="shared" si="25"/>
        <v>-663684</v>
      </c>
      <c r="U90" s="81" t="str">
        <f t="shared" si="26"/>
        <v>날짜 미기록</v>
      </c>
      <c r="V90" s="81"/>
      <c r="Y90">
        <f t="shared" si="27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6" ht="40" hidden="1" customHeight="1" outlineLevel="1">
      <c r="A91" s="83">
        <v>46113</v>
      </c>
      <c r="B91" s="84" t="s">
        <v>53</v>
      </c>
      <c r="C91" s="84" t="s">
        <v>20</v>
      </c>
      <c r="D91" s="84" t="s">
        <v>54</v>
      </c>
      <c r="E91" s="85">
        <v>604883</v>
      </c>
      <c r="F91" s="89" t="s">
        <v>76</v>
      </c>
      <c r="G91" s="90" t="s">
        <v>52</v>
      </c>
      <c r="H91" s="87">
        <f t="shared" si="20"/>
        <v>46113</v>
      </c>
      <c r="I91" s="88" t="str">
        <f t="shared" si="21"/>
        <v>OK</v>
      </c>
      <c r="J91" s="81"/>
      <c r="K91" s="81"/>
      <c r="L91" s="81" t="s">
        <v>48</v>
      </c>
      <c r="M91" s="81"/>
      <c r="N91" s="81"/>
      <c r="O91" s="81"/>
      <c r="P91" s="81" t="str">
        <f t="shared" si="22"/>
        <v>내역</v>
      </c>
      <c r="Q91" s="81" t="str">
        <f t="shared" si="23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4"/>
        <v>지출</v>
      </c>
      <c r="T91" s="81">
        <f t="shared" si="25"/>
        <v>-604883</v>
      </c>
      <c r="U91" s="81" t="str">
        <f t="shared" si="26"/>
        <v>날짜 미기록</v>
      </c>
      <c r="V91" s="81"/>
      <c r="Y91">
        <f t="shared" si="27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6" ht="40" hidden="1" customHeight="1" outlineLevel="1">
      <c r="A92" s="83">
        <v>46113</v>
      </c>
      <c r="B92" s="84" t="s">
        <v>53</v>
      </c>
      <c r="C92" s="84" t="s">
        <v>20</v>
      </c>
      <c r="D92" s="84" t="s">
        <v>54</v>
      </c>
      <c r="E92" s="85">
        <v>50330</v>
      </c>
      <c r="F92" s="89" t="s">
        <v>77</v>
      </c>
      <c r="G92" s="90" t="s">
        <v>52</v>
      </c>
      <c r="H92" s="87">
        <f t="shared" si="20"/>
        <v>46113</v>
      </c>
      <c r="I92" s="88" t="str">
        <f t="shared" si="21"/>
        <v>OK</v>
      </c>
      <c r="J92" s="81"/>
      <c r="K92" s="81"/>
      <c r="L92" s="81" t="s">
        <v>48</v>
      </c>
      <c r="M92" s="81"/>
      <c r="N92" s="81"/>
      <c r="O92" s="81"/>
      <c r="P92" s="81" t="str">
        <f t="shared" si="22"/>
        <v>내역</v>
      </c>
      <c r="Q92" s="81" t="str">
        <f t="shared" si="23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4"/>
        <v>지출</v>
      </c>
      <c r="T92" s="81">
        <f t="shared" si="25"/>
        <v>-50330</v>
      </c>
      <c r="U92" s="81" t="str">
        <f t="shared" si="26"/>
        <v>날짜 미기록</v>
      </c>
      <c r="V92" s="81"/>
      <c r="Y92">
        <f t="shared" si="27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6" ht="40" hidden="1" customHeight="1" outlineLevel="1">
      <c r="A93" s="83">
        <v>46113</v>
      </c>
      <c r="B93" s="84" t="s">
        <v>65</v>
      </c>
      <c r="C93" s="84" t="s">
        <v>45</v>
      </c>
      <c r="D93" s="84" t="s">
        <v>20</v>
      </c>
      <c r="E93" s="85">
        <v>252552</v>
      </c>
      <c r="F93" s="89" t="s">
        <v>78</v>
      </c>
      <c r="G93" s="90" t="s">
        <v>52</v>
      </c>
      <c r="H93" s="87">
        <f t="shared" si="20"/>
        <v>46113</v>
      </c>
      <c r="I93" s="88" t="str">
        <f t="shared" si="21"/>
        <v>OK</v>
      </c>
      <c r="J93" s="81"/>
      <c r="K93" s="81"/>
      <c r="L93" s="81" t="s">
        <v>48</v>
      </c>
      <c r="M93" s="81"/>
      <c r="N93" s="81"/>
      <c r="O93" s="81"/>
      <c r="P93" s="81" t="str">
        <f t="shared" si="22"/>
        <v/>
      </c>
      <c r="Q93" s="81" t="str">
        <f t="shared" si="23"/>
        <v/>
      </c>
      <c r="R93" s="81" t="str">
        <f>IF(P93="","",TEXT(H93,"yyyymm")&amp;"_"&amp;P93&amp;"_"&amp;(COUNTIFS($H$64:$H$500,H93,$P$64:$P$500,P93,$A$64:$A$500,"&gt;"&amp;A93)+COUNTIFS($H$64:H93,H93,$P$64:P93,P93,$A$64:A93,A93)))</f>
        <v/>
      </c>
      <c r="S93" s="81" t="str">
        <f t="shared" si="24"/>
        <v/>
      </c>
      <c r="T93" s="81" t="str">
        <f t="shared" si="25"/>
        <v/>
      </c>
      <c r="U93" s="81" t="str">
        <f t="shared" si="26"/>
        <v/>
      </c>
      <c r="V93" s="81"/>
      <c r="Y93">
        <f t="shared" si="27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6" ht="40" hidden="1" customHeight="1" outlineLevel="1">
      <c r="A94" s="83">
        <v>46113</v>
      </c>
      <c r="B94" s="84" t="s">
        <v>65</v>
      </c>
      <c r="C94" s="84" t="s">
        <v>20</v>
      </c>
      <c r="D94" s="84" t="s">
        <v>45</v>
      </c>
      <c r="E94" s="85">
        <v>58908</v>
      </c>
      <c r="F94" s="89" t="s">
        <v>79</v>
      </c>
      <c r="G94" s="90" t="s">
        <v>52</v>
      </c>
      <c r="H94" s="87">
        <f t="shared" si="20"/>
        <v>46113</v>
      </c>
      <c r="I94" s="88" t="str">
        <f t="shared" si="21"/>
        <v>OK</v>
      </c>
      <c r="J94" s="81"/>
      <c r="K94" s="81"/>
      <c r="L94" s="81" t="s">
        <v>48</v>
      </c>
      <c r="M94" s="81"/>
      <c r="N94" s="81"/>
      <c r="O94" s="81"/>
      <c r="P94" s="81" t="str">
        <f t="shared" si="22"/>
        <v>이체</v>
      </c>
      <c r="Q94" s="81" t="str">
        <f t="shared" si="23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4"/>
        <v>외부</v>
      </c>
      <c r="T94" s="81">
        <f t="shared" si="25"/>
        <v>58908</v>
      </c>
      <c r="U94" s="81" t="str">
        <f t="shared" si="26"/>
        <v>날짜 미기록</v>
      </c>
      <c r="V94" s="81"/>
      <c r="Y94">
        <f t="shared" si="27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6" ht="40" hidden="1" customHeight="1" outlineLevel="1">
      <c r="A95" s="83">
        <v>46113</v>
      </c>
      <c r="B95" s="84" t="s">
        <v>65</v>
      </c>
      <c r="C95" s="84" t="s">
        <v>18</v>
      </c>
      <c r="D95" s="84" t="s">
        <v>45</v>
      </c>
      <c r="E95" s="85">
        <v>21500</v>
      </c>
      <c r="F95" s="89" t="s">
        <v>80</v>
      </c>
      <c r="G95" s="90" t="s">
        <v>52</v>
      </c>
      <c r="H95" s="87">
        <f t="shared" si="20"/>
        <v>46113</v>
      </c>
      <c r="I95" s="88" t="str">
        <f t="shared" si="21"/>
        <v>OK</v>
      </c>
      <c r="J95" s="81"/>
      <c r="K95" s="81"/>
      <c r="L95" s="81" t="s">
        <v>48</v>
      </c>
      <c r="M95" s="81"/>
      <c r="N95" s="81"/>
      <c r="O95" s="81"/>
      <c r="P95" s="81" t="str">
        <f t="shared" si="22"/>
        <v>이체</v>
      </c>
      <c r="Q95" s="81" t="str">
        <f t="shared" si="23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4"/>
        <v>외부</v>
      </c>
      <c r="T95" s="81">
        <f t="shared" si="25"/>
        <v>21500</v>
      </c>
      <c r="U95" s="81" t="str">
        <f t="shared" si="26"/>
        <v>날짜 미기록</v>
      </c>
      <c r="V95" s="81"/>
      <c r="Y95">
        <f t="shared" si="27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6" ht="40" hidden="1" customHeight="1" outlineLevel="1">
      <c r="A96" s="83">
        <v>46143</v>
      </c>
      <c r="B96" s="84" t="s">
        <v>50</v>
      </c>
      <c r="C96" s="84" t="s">
        <v>45</v>
      </c>
      <c r="D96" s="84" t="s">
        <v>12</v>
      </c>
      <c r="E96" s="85">
        <v>50000</v>
      </c>
      <c r="F96" s="89" t="s">
        <v>81</v>
      </c>
      <c r="G96" s="90" t="s">
        <v>52</v>
      </c>
      <c r="H96" s="87">
        <f t="shared" si="20"/>
        <v>46143</v>
      </c>
      <c r="I96" s="88" t="str">
        <f t="shared" si="21"/>
        <v>OK</v>
      </c>
      <c r="J96" s="81"/>
      <c r="K96" s="81"/>
      <c r="L96" s="81" t="s">
        <v>48</v>
      </c>
      <c r="M96" s="81"/>
      <c r="N96" s="81"/>
      <c r="O96" s="81"/>
      <c r="P96" s="81" t="str">
        <f t="shared" si="22"/>
        <v>내역</v>
      </c>
      <c r="Q96" s="81" t="str">
        <f t="shared" si="23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4"/>
        <v>생활비</v>
      </c>
      <c r="T96" s="81">
        <f t="shared" si="25"/>
        <v>50000</v>
      </c>
      <c r="U96" s="81" t="str">
        <f t="shared" si="26"/>
        <v>날짜 미기록</v>
      </c>
      <c r="V96" s="81"/>
      <c r="Y96">
        <f t="shared" si="27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6" ht="40" hidden="1" customHeight="1" outlineLevel="1">
      <c r="A97" s="83">
        <v>46143</v>
      </c>
      <c r="B97" s="84" t="s">
        <v>65</v>
      </c>
      <c r="C97" s="84" t="s">
        <v>45</v>
      </c>
      <c r="D97" s="84" t="s">
        <v>12</v>
      </c>
      <c r="E97" s="85">
        <v>51100</v>
      </c>
      <c r="F97" s="89" t="s">
        <v>82</v>
      </c>
      <c r="G97" s="90" t="s">
        <v>52</v>
      </c>
      <c r="H97" s="87">
        <f t="shared" si="20"/>
        <v>46143</v>
      </c>
      <c r="I97" s="88" t="str">
        <f t="shared" si="21"/>
        <v>OK</v>
      </c>
      <c r="J97" s="81"/>
      <c r="K97" s="81"/>
      <c r="L97" s="81" t="s">
        <v>48</v>
      </c>
      <c r="M97" s="81"/>
      <c r="N97" s="81"/>
      <c r="O97" s="81"/>
      <c r="P97" s="81" t="str">
        <f t="shared" si="22"/>
        <v/>
      </c>
      <c r="Q97" s="81" t="str">
        <f t="shared" si="23"/>
        <v/>
      </c>
      <c r="R97" s="81" t="str">
        <f>IF(P97="","",TEXT(H97,"yyyymm")&amp;"_"&amp;P97&amp;"_"&amp;(COUNTIFS($H$64:$H$500,H97,$P$64:$P$500,P97,$A$64:$A$500,"&gt;"&amp;A97)+COUNTIFS($H$64:H97,H97,$P$64:P97,P97,$A$64:A97,A97)))</f>
        <v/>
      </c>
      <c r="S97" s="81" t="str">
        <f t="shared" si="24"/>
        <v/>
      </c>
      <c r="T97" s="81" t="str">
        <f t="shared" si="25"/>
        <v/>
      </c>
      <c r="U97" s="81" t="str">
        <f t="shared" si="26"/>
        <v/>
      </c>
      <c r="V97" s="81"/>
      <c r="Y97">
        <f t="shared" si="27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6" ht="40" hidden="1" customHeight="1" outlineLevel="1">
      <c r="A98" s="83">
        <v>46143</v>
      </c>
      <c r="B98" s="84" t="s">
        <v>65</v>
      </c>
      <c r="C98" s="84" t="s">
        <v>12</v>
      </c>
      <c r="D98" s="84" t="s">
        <v>45</v>
      </c>
      <c r="E98" s="85">
        <v>179831</v>
      </c>
      <c r="F98" s="89" t="s">
        <v>83</v>
      </c>
      <c r="G98" s="90" t="s">
        <v>52</v>
      </c>
      <c r="H98" s="87">
        <f t="shared" si="20"/>
        <v>46143</v>
      </c>
      <c r="I98" s="88" t="str">
        <f t="shared" si="21"/>
        <v>OK</v>
      </c>
      <c r="J98" s="81"/>
      <c r="K98" s="81"/>
      <c r="L98" s="81" t="s">
        <v>48</v>
      </c>
      <c r="M98" s="81"/>
      <c r="N98" s="81"/>
      <c r="O98" s="81"/>
      <c r="P98" s="81" t="str">
        <f t="shared" si="22"/>
        <v>이체</v>
      </c>
      <c r="Q98" s="81" t="str">
        <f t="shared" si="23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4"/>
        <v>외부</v>
      </c>
      <c r="T98" s="81">
        <f t="shared" si="25"/>
        <v>179831</v>
      </c>
      <c r="U98" s="81" t="str">
        <f t="shared" si="26"/>
        <v>날짜 미기록</v>
      </c>
      <c r="V98" s="81"/>
      <c r="Y98">
        <f t="shared" si="27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6" ht="40" hidden="1" customHeight="1" outlineLevel="1">
      <c r="A99" s="83">
        <v>46143</v>
      </c>
      <c r="B99" s="84" t="s">
        <v>65</v>
      </c>
      <c r="C99" s="84" t="s">
        <v>45</v>
      </c>
      <c r="D99" s="84" t="s">
        <v>12</v>
      </c>
      <c r="E99" s="85">
        <v>160133</v>
      </c>
      <c r="F99" s="89" t="s">
        <v>84</v>
      </c>
      <c r="G99" s="90" t="s">
        <v>52</v>
      </c>
      <c r="H99" s="87">
        <f t="shared" si="20"/>
        <v>46143</v>
      </c>
      <c r="I99" s="88" t="str">
        <f t="shared" si="21"/>
        <v>OK</v>
      </c>
      <c r="J99" s="81"/>
      <c r="K99" s="81"/>
      <c r="L99" s="81" t="s">
        <v>48</v>
      </c>
      <c r="M99" s="81"/>
      <c r="N99" s="81"/>
      <c r="O99" s="81"/>
      <c r="P99" s="81" t="str">
        <f t="shared" si="22"/>
        <v/>
      </c>
      <c r="Q99" s="81" t="str">
        <f t="shared" si="23"/>
        <v/>
      </c>
      <c r="R99" s="81" t="str">
        <f>IF(P99="","",TEXT(H99,"yyyymm")&amp;"_"&amp;P99&amp;"_"&amp;(COUNTIFS($H$64:$H$500,H99,$P$64:$P$500,P99,$A$64:$A$500,"&gt;"&amp;A99)+COUNTIFS($H$64:H99,H99,$P$64:P99,P99,$A$64:A99,A99)))</f>
        <v/>
      </c>
      <c r="S99" s="81" t="str">
        <f t="shared" si="24"/>
        <v/>
      </c>
      <c r="T99" s="81" t="str">
        <f t="shared" si="25"/>
        <v/>
      </c>
      <c r="U99" s="81" t="str">
        <f t="shared" si="26"/>
        <v/>
      </c>
      <c r="V99" s="81"/>
      <c r="Y99">
        <f t="shared" si="27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6" ht="40" hidden="1" customHeight="1" outlineLevel="1">
      <c r="A100" s="83">
        <v>46143</v>
      </c>
      <c r="B100" s="84" t="s">
        <v>65</v>
      </c>
      <c r="C100" s="84" t="s">
        <v>45</v>
      </c>
      <c r="D100" s="84" t="s">
        <v>12</v>
      </c>
      <c r="E100" s="85">
        <v>36020</v>
      </c>
      <c r="F100" s="89" t="s">
        <v>85</v>
      </c>
      <c r="G100" s="90" t="s">
        <v>52</v>
      </c>
      <c r="H100" s="87">
        <f t="shared" si="20"/>
        <v>46143</v>
      </c>
      <c r="I100" s="88" t="str">
        <f t="shared" si="21"/>
        <v>OK</v>
      </c>
      <c r="J100" s="81"/>
      <c r="K100" s="81"/>
      <c r="L100" s="81" t="s">
        <v>48</v>
      </c>
      <c r="M100" s="81"/>
      <c r="N100" s="81"/>
      <c r="O100" s="81"/>
      <c r="P100" s="81" t="str">
        <f t="shared" si="22"/>
        <v/>
      </c>
      <c r="Q100" s="81" t="str">
        <f t="shared" si="23"/>
        <v/>
      </c>
      <c r="R100" s="81" t="str">
        <f>IF(P100="","",TEXT(H100,"yyyymm")&amp;"_"&amp;P100&amp;"_"&amp;(COUNTIFS($H$64:$H$500,H100,$P$64:$P$500,P100,$A$64:$A$500,"&gt;"&amp;A100)+COUNTIFS($H$64:H100,H100,$P$64:P100,P100,$A$64:A100,A100)))</f>
        <v/>
      </c>
      <c r="S100" s="81" t="str">
        <f t="shared" si="24"/>
        <v/>
      </c>
      <c r="T100" s="81" t="str">
        <f t="shared" si="25"/>
        <v/>
      </c>
      <c r="U100" s="81" t="str">
        <f t="shared" si="26"/>
        <v/>
      </c>
      <c r="V100" s="81"/>
      <c r="Y100">
        <f t="shared" si="27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6" ht="40" hidden="1" customHeight="1" outlineLevel="1">
      <c r="A101" s="83">
        <v>46143</v>
      </c>
      <c r="B101" s="84" t="s">
        <v>56</v>
      </c>
      <c r="C101" s="84" t="s">
        <v>57</v>
      </c>
      <c r="D101" s="84" t="s">
        <v>13</v>
      </c>
      <c r="E101" s="85">
        <v>50000</v>
      </c>
      <c r="F101" s="89" t="s">
        <v>58</v>
      </c>
      <c r="G101" s="90" t="s">
        <v>52</v>
      </c>
      <c r="H101" s="87">
        <f t="shared" si="20"/>
        <v>46143</v>
      </c>
      <c r="I101" s="88" t="str">
        <f t="shared" si="21"/>
        <v>OK</v>
      </c>
      <c r="J101" s="81"/>
      <c r="K101" s="81"/>
      <c r="L101" s="81" t="s">
        <v>48</v>
      </c>
      <c r="M101" s="81"/>
      <c r="N101" s="81"/>
      <c r="O101" s="81"/>
      <c r="P101" s="81" t="str">
        <f t="shared" si="22"/>
        <v>내역</v>
      </c>
      <c r="Q101" s="81" t="str">
        <f t="shared" si="23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4"/>
        <v>명절비</v>
      </c>
      <c r="T101" s="81">
        <f t="shared" si="25"/>
        <v>50000</v>
      </c>
      <c r="U101" s="81" t="str">
        <f t="shared" si="26"/>
        <v>날짜 미기록</v>
      </c>
      <c r="V101" s="81"/>
      <c r="Y101">
        <f t="shared" si="27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6" ht="40" hidden="1" customHeight="1" outlineLevel="1">
      <c r="A102" s="83">
        <v>46143</v>
      </c>
      <c r="B102" s="84" t="s">
        <v>86</v>
      </c>
      <c r="C102" s="84" t="s">
        <v>13</v>
      </c>
      <c r="D102" s="84" t="s">
        <v>54</v>
      </c>
      <c r="E102" s="85">
        <v>148900</v>
      </c>
      <c r="F102" s="89" t="s">
        <v>87</v>
      </c>
      <c r="G102" s="90" t="s">
        <v>52</v>
      </c>
      <c r="H102" s="87">
        <f t="shared" si="20"/>
        <v>46143</v>
      </c>
      <c r="I102" s="88" t="str">
        <f t="shared" si="21"/>
        <v>OK</v>
      </c>
      <c r="J102" s="81"/>
      <c r="K102" s="81"/>
      <c r="L102" s="81" t="s">
        <v>48</v>
      </c>
      <c r="M102" s="81"/>
      <c r="N102" s="81"/>
      <c r="O102" s="81"/>
      <c r="P102" s="81" t="str">
        <f t="shared" si="22"/>
        <v>내역</v>
      </c>
      <c r="Q102" s="81" t="str">
        <f t="shared" si="23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4"/>
        <v>지출</v>
      </c>
      <c r="T102" s="81">
        <f t="shared" si="25"/>
        <v>-148900</v>
      </c>
      <c r="U102" s="81" t="str">
        <f t="shared" si="26"/>
        <v>날짜 미기록</v>
      </c>
      <c r="V102" s="81"/>
      <c r="Y102">
        <f t="shared" si="27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6" ht="40" hidden="1" customHeight="1" outlineLevel="1">
      <c r="A103" s="83">
        <v>46143</v>
      </c>
      <c r="B103" s="84" t="s">
        <v>65</v>
      </c>
      <c r="C103" s="84" t="s">
        <v>13</v>
      </c>
      <c r="D103" s="84" t="s">
        <v>45</v>
      </c>
      <c r="E103" s="85">
        <v>51100</v>
      </c>
      <c r="F103" s="89" t="s">
        <v>79</v>
      </c>
      <c r="G103" s="90" t="s">
        <v>52</v>
      </c>
      <c r="H103" s="87">
        <f t="shared" si="20"/>
        <v>46143</v>
      </c>
      <c r="I103" s="88" t="str">
        <f t="shared" si="21"/>
        <v>OK</v>
      </c>
      <c r="J103" s="81"/>
      <c r="K103" s="81"/>
      <c r="L103" s="81" t="s">
        <v>48</v>
      </c>
      <c r="M103" s="81"/>
      <c r="N103" s="81"/>
      <c r="O103" s="81"/>
      <c r="P103" s="81" t="str">
        <f t="shared" si="22"/>
        <v>이체</v>
      </c>
      <c r="Q103" s="81" t="str">
        <f t="shared" si="23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4"/>
        <v>외부</v>
      </c>
      <c r="T103" s="81">
        <f t="shared" si="25"/>
        <v>51100</v>
      </c>
      <c r="U103" s="81" t="str">
        <f t="shared" si="26"/>
        <v>날짜 미기록</v>
      </c>
      <c r="V103" s="81"/>
      <c r="Y103">
        <f t="shared" si="27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6" ht="40" hidden="1" customHeight="1" outlineLevel="1">
      <c r="A104" s="83">
        <v>46143</v>
      </c>
      <c r="B104" s="84" t="s">
        <v>56</v>
      </c>
      <c r="C104" s="84" t="s">
        <v>57</v>
      </c>
      <c r="D104" s="84" t="s">
        <v>14</v>
      </c>
      <c r="E104" s="85">
        <v>100000</v>
      </c>
      <c r="F104" s="89" t="s">
        <v>59</v>
      </c>
      <c r="G104" s="90" t="s">
        <v>52</v>
      </c>
      <c r="H104" s="87">
        <f t="shared" si="20"/>
        <v>46143</v>
      </c>
      <c r="I104" s="88" t="str">
        <f t="shared" si="21"/>
        <v>OK</v>
      </c>
      <c r="J104" s="81"/>
      <c r="K104" s="81"/>
      <c r="L104" s="81" t="s">
        <v>48</v>
      </c>
      <c r="M104" s="81"/>
      <c r="N104" s="81"/>
      <c r="O104" s="81"/>
      <c r="P104" s="81" t="str">
        <f t="shared" si="22"/>
        <v>내역</v>
      </c>
      <c r="Q104" s="81" t="str">
        <f t="shared" si="23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4"/>
        <v>여행비</v>
      </c>
      <c r="T104" s="81">
        <f t="shared" si="25"/>
        <v>100000</v>
      </c>
      <c r="U104" s="81" t="str">
        <f t="shared" si="26"/>
        <v>날짜 미기록</v>
      </c>
      <c r="V104" s="81"/>
      <c r="Y104">
        <f t="shared" si="27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6" ht="40" hidden="1" customHeight="1" outlineLevel="1">
      <c r="A105" s="83">
        <v>46143</v>
      </c>
      <c r="B105" s="84" t="s">
        <v>56</v>
      </c>
      <c r="C105" s="84" t="s">
        <v>57</v>
      </c>
      <c r="D105" s="84" t="s">
        <v>15</v>
      </c>
      <c r="E105" s="85">
        <v>50000</v>
      </c>
      <c r="F105" s="89" t="s">
        <v>88</v>
      </c>
      <c r="G105" s="90" t="s">
        <v>52</v>
      </c>
      <c r="H105" s="87">
        <f t="shared" si="20"/>
        <v>46143</v>
      </c>
      <c r="I105" s="88" t="str">
        <f t="shared" si="21"/>
        <v>OK</v>
      </c>
      <c r="J105" s="81"/>
      <c r="K105" s="81"/>
      <c r="L105" s="81" t="s">
        <v>48</v>
      </c>
      <c r="M105" s="81"/>
      <c r="N105" s="81"/>
      <c r="O105" s="81"/>
      <c r="P105" s="81" t="str">
        <f t="shared" si="22"/>
        <v>내역</v>
      </c>
      <c r="Q105" s="81" t="str">
        <f t="shared" si="23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4"/>
        <v>경조사비</v>
      </c>
      <c r="T105" s="81">
        <f t="shared" si="25"/>
        <v>50000</v>
      </c>
      <c r="U105" s="81" t="str">
        <f t="shared" si="26"/>
        <v>날짜 미기록</v>
      </c>
      <c r="V105" s="81"/>
      <c r="Y105">
        <f t="shared" si="27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6" ht="40" hidden="1" customHeight="1" outlineLevel="1">
      <c r="A106" s="83">
        <v>46143</v>
      </c>
      <c r="B106" s="84" t="s">
        <v>86</v>
      </c>
      <c r="C106" s="84" t="s">
        <v>16</v>
      </c>
      <c r="D106" s="84" t="s">
        <v>54</v>
      </c>
      <c r="E106" s="85">
        <v>313980</v>
      </c>
      <c r="F106" s="89" t="s">
        <v>89</v>
      </c>
      <c r="G106" s="90" t="s">
        <v>52</v>
      </c>
      <c r="H106" s="87">
        <f t="shared" si="20"/>
        <v>46143</v>
      </c>
      <c r="I106" s="88" t="str">
        <f t="shared" si="21"/>
        <v>OK</v>
      </c>
      <c r="J106" s="81"/>
      <c r="K106" s="81"/>
      <c r="L106" s="81" t="s">
        <v>48</v>
      </c>
      <c r="M106" s="81"/>
      <c r="N106" s="81"/>
      <c r="O106" s="81"/>
      <c r="P106" s="81" t="str">
        <f t="shared" si="22"/>
        <v>내역</v>
      </c>
      <c r="Q106" s="81" t="str">
        <f t="shared" si="23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4"/>
        <v>지출</v>
      </c>
      <c r="T106" s="81">
        <f t="shared" si="25"/>
        <v>-313980</v>
      </c>
      <c r="U106" s="81" t="str">
        <f t="shared" si="26"/>
        <v>날짜 미기록</v>
      </c>
      <c r="V106" s="81"/>
      <c r="Y106">
        <f t="shared" si="27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6" ht="40" hidden="1" customHeight="1" outlineLevel="1">
      <c r="A107" s="83">
        <v>46143</v>
      </c>
      <c r="B107" s="84" t="s">
        <v>65</v>
      </c>
      <c r="C107" s="84" t="s">
        <v>16</v>
      </c>
      <c r="D107" s="84" t="s">
        <v>45</v>
      </c>
      <c r="E107" s="85">
        <v>36020</v>
      </c>
      <c r="F107" s="89" t="s">
        <v>79</v>
      </c>
      <c r="G107" s="90" t="s">
        <v>52</v>
      </c>
      <c r="H107" s="87">
        <f t="shared" si="20"/>
        <v>46143</v>
      </c>
      <c r="I107" s="88" t="str">
        <f t="shared" si="21"/>
        <v>OK</v>
      </c>
      <c r="J107" s="81"/>
      <c r="K107" s="81"/>
      <c r="L107" s="81" t="s">
        <v>48</v>
      </c>
      <c r="M107" s="81"/>
      <c r="N107" s="81"/>
      <c r="O107" s="81"/>
      <c r="P107" s="81" t="str">
        <f t="shared" si="22"/>
        <v>이체</v>
      </c>
      <c r="Q107" s="81" t="str">
        <f t="shared" si="23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4"/>
        <v>외부</v>
      </c>
      <c r="T107" s="81">
        <f t="shared" si="25"/>
        <v>36020</v>
      </c>
      <c r="U107" s="81" t="str">
        <f t="shared" si="26"/>
        <v>날짜 미기록</v>
      </c>
      <c r="V107" s="81"/>
      <c r="Y107">
        <f t="shared" si="27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6" ht="40" hidden="1" customHeight="1" outlineLevel="1">
      <c r="A108" s="83">
        <v>46143</v>
      </c>
      <c r="B108" s="84" t="s">
        <v>50</v>
      </c>
      <c r="C108" s="84" t="s">
        <v>45</v>
      </c>
      <c r="D108" s="84" t="s">
        <v>19</v>
      </c>
      <c r="E108" s="85">
        <v>151317</v>
      </c>
      <c r="F108" s="89" t="s">
        <v>69</v>
      </c>
      <c r="G108" s="90" t="s">
        <v>52</v>
      </c>
      <c r="H108" s="87">
        <f t="shared" si="20"/>
        <v>46143</v>
      </c>
      <c r="I108" s="88" t="str">
        <f t="shared" si="21"/>
        <v>OK</v>
      </c>
      <c r="J108" s="81"/>
      <c r="K108" s="81"/>
      <c r="L108" s="81" t="s">
        <v>48</v>
      </c>
      <c r="M108" s="81"/>
      <c r="N108" s="81"/>
      <c r="O108" s="81"/>
      <c r="P108" s="81" t="str">
        <f t="shared" si="22"/>
        <v>내역</v>
      </c>
      <c r="Q108" s="81" t="str">
        <f t="shared" si="23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4"/>
        <v>금융</v>
      </c>
      <c r="T108" s="81">
        <f t="shared" si="25"/>
        <v>151317</v>
      </c>
      <c r="U108" s="81" t="str">
        <f t="shared" si="26"/>
        <v>날짜 미기록</v>
      </c>
      <c r="V108" s="81"/>
      <c r="Y108">
        <f t="shared" si="27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6" ht="40" hidden="1" customHeight="1" outlineLevel="1">
      <c r="A109" s="83">
        <v>46143</v>
      </c>
      <c r="B109" s="84" t="s">
        <v>50</v>
      </c>
      <c r="C109" s="84" t="s">
        <v>45</v>
      </c>
      <c r="D109" s="84" t="s">
        <v>19</v>
      </c>
      <c r="E109" s="85">
        <v>849</v>
      </c>
      <c r="F109" s="89" t="s">
        <v>69</v>
      </c>
      <c r="G109" s="90" t="s">
        <v>52</v>
      </c>
      <c r="H109" s="87">
        <f t="shared" si="20"/>
        <v>46143</v>
      </c>
      <c r="I109" s="88" t="str">
        <f t="shared" si="21"/>
        <v>OK</v>
      </c>
      <c r="J109" s="81"/>
      <c r="K109" s="81"/>
      <c r="L109" s="81" t="s">
        <v>48</v>
      </c>
      <c r="M109" s="81"/>
      <c r="N109" s="81"/>
      <c r="O109" s="81"/>
      <c r="P109" s="81" t="str">
        <f t="shared" si="22"/>
        <v>내역</v>
      </c>
      <c r="Q109" s="81" t="str">
        <f t="shared" si="23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4"/>
        <v>금융</v>
      </c>
      <c r="T109" s="81">
        <f t="shared" si="25"/>
        <v>849</v>
      </c>
      <c r="U109" s="81" t="str">
        <f t="shared" si="26"/>
        <v>날짜 미기록</v>
      </c>
      <c r="V109" s="81"/>
      <c r="Y109">
        <f t="shared" si="27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6" ht="40" hidden="1" customHeight="1" outlineLevel="1">
      <c r="A110" s="83">
        <v>46143</v>
      </c>
      <c r="B110" s="84" t="s">
        <v>50</v>
      </c>
      <c r="C110" s="84" t="s">
        <v>45</v>
      </c>
      <c r="D110" s="84" t="s">
        <v>19</v>
      </c>
      <c r="E110" s="85">
        <v>5816</v>
      </c>
      <c r="F110" s="89" t="s">
        <v>69</v>
      </c>
      <c r="G110" s="90" t="s">
        <v>52</v>
      </c>
      <c r="H110" s="87">
        <f t="shared" si="20"/>
        <v>46143</v>
      </c>
      <c r="I110" s="88" t="str">
        <f t="shared" si="21"/>
        <v>OK</v>
      </c>
      <c r="J110" s="81"/>
      <c r="K110" s="81"/>
      <c r="L110" s="81" t="s">
        <v>48</v>
      </c>
      <c r="M110" s="81"/>
      <c r="N110" s="81"/>
      <c r="O110" s="81"/>
      <c r="P110" s="81" t="str">
        <f t="shared" si="22"/>
        <v>내역</v>
      </c>
      <c r="Q110" s="81" t="str">
        <f t="shared" si="23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4"/>
        <v>금융</v>
      </c>
      <c r="T110" s="81">
        <f t="shared" si="25"/>
        <v>5816</v>
      </c>
      <c r="U110" s="81" t="str">
        <f t="shared" si="26"/>
        <v>날짜 미기록</v>
      </c>
      <c r="V110" s="81"/>
      <c r="Y110">
        <f t="shared" si="27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6" ht="40" hidden="1" customHeight="1" outlineLevel="1">
      <c r="A111" s="83">
        <v>46143</v>
      </c>
      <c r="B111" s="84" t="s">
        <v>50</v>
      </c>
      <c r="C111" s="84" t="s">
        <v>45</v>
      </c>
      <c r="D111" s="84" t="s">
        <v>19</v>
      </c>
      <c r="E111" s="85">
        <v>1137</v>
      </c>
      <c r="F111" s="89" t="s">
        <v>69</v>
      </c>
      <c r="G111" s="90" t="s">
        <v>52</v>
      </c>
      <c r="H111" s="87">
        <f t="shared" si="20"/>
        <v>46143</v>
      </c>
      <c r="I111" s="88" t="str">
        <f t="shared" si="21"/>
        <v>OK</v>
      </c>
      <c r="J111" s="81"/>
      <c r="K111" s="81"/>
      <c r="L111" s="81" t="s">
        <v>48</v>
      </c>
      <c r="M111" s="81"/>
      <c r="N111" s="81"/>
      <c r="O111" s="81"/>
      <c r="P111" s="81" t="str">
        <f t="shared" si="22"/>
        <v>내역</v>
      </c>
      <c r="Q111" s="81" t="str">
        <f t="shared" si="23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4"/>
        <v>금융</v>
      </c>
      <c r="T111" s="81">
        <f t="shared" si="25"/>
        <v>1137</v>
      </c>
      <c r="U111" s="81" t="str">
        <f t="shared" si="26"/>
        <v>날짜 미기록</v>
      </c>
      <c r="V111" s="81"/>
      <c r="Y111">
        <f t="shared" si="27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6" ht="40" hidden="1" customHeight="1" outlineLevel="1">
      <c r="A112" s="83">
        <v>46143</v>
      </c>
      <c r="B112" s="84" t="s">
        <v>65</v>
      </c>
      <c r="C112" s="84" t="s">
        <v>19</v>
      </c>
      <c r="D112" s="84" t="s">
        <v>45</v>
      </c>
      <c r="E112" s="85">
        <v>160133</v>
      </c>
      <c r="F112" s="89" t="s">
        <v>79</v>
      </c>
      <c r="G112" s="90" t="s">
        <v>52</v>
      </c>
      <c r="H112" s="87">
        <f t="shared" si="20"/>
        <v>46143</v>
      </c>
      <c r="I112" s="88" t="str">
        <f t="shared" si="21"/>
        <v>OK</v>
      </c>
      <c r="J112" s="81"/>
      <c r="K112" s="81"/>
      <c r="L112" s="81" t="s">
        <v>48</v>
      </c>
      <c r="M112" s="81"/>
      <c r="N112" s="81"/>
      <c r="O112" s="81"/>
      <c r="P112" s="81" t="str">
        <f t="shared" si="22"/>
        <v>이체</v>
      </c>
      <c r="Q112" s="81" t="str">
        <f t="shared" si="23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4"/>
        <v>외부</v>
      </c>
      <c r="T112" s="81">
        <f t="shared" si="25"/>
        <v>160133</v>
      </c>
      <c r="U112" s="81" t="str">
        <f t="shared" si="26"/>
        <v>날짜 미기록</v>
      </c>
      <c r="V112" s="81"/>
      <c r="Y112">
        <f t="shared" si="27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6" ht="40" hidden="1" customHeight="1" outlineLevel="1">
      <c r="A113" s="83">
        <v>46143</v>
      </c>
      <c r="B113" s="84" t="s">
        <v>50</v>
      </c>
      <c r="C113" s="84" t="s">
        <v>45</v>
      </c>
      <c r="D113" s="84" t="s">
        <v>20</v>
      </c>
      <c r="E113" s="85">
        <v>2042174</v>
      </c>
      <c r="F113" s="89" t="s">
        <v>70</v>
      </c>
      <c r="G113" s="90" t="s">
        <v>52</v>
      </c>
      <c r="H113" s="87">
        <f t="shared" si="20"/>
        <v>46143</v>
      </c>
      <c r="I113" s="88" t="str">
        <f t="shared" si="21"/>
        <v>OK</v>
      </c>
      <c r="J113" s="81"/>
      <c r="K113" s="81"/>
      <c r="L113" s="81" t="s">
        <v>48</v>
      </c>
      <c r="M113" s="81"/>
      <c r="N113" s="81"/>
      <c r="O113" s="81"/>
      <c r="P113" s="81" t="str">
        <f t="shared" si="22"/>
        <v>내역</v>
      </c>
      <c r="Q113" s="81" t="str">
        <f t="shared" si="23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4"/>
        <v>임시보관</v>
      </c>
      <c r="T113" s="81">
        <f t="shared" si="25"/>
        <v>2042174</v>
      </c>
      <c r="U113" s="81" t="str">
        <f t="shared" si="26"/>
        <v>날짜 미기록</v>
      </c>
      <c r="V113" s="81"/>
      <c r="Y113">
        <f t="shared" si="27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6" ht="40" hidden="1" customHeight="1" outlineLevel="1">
      <c r="A114" s="83">
        <v>46143</v>
      </c>
      <c r="B114" s="84" t="s">
        <v>53</v>
      </c>
      <c r="C114" s="84" t="s">
        <v>20</v>
      </c>
      <c r="D114" s="84" t="s">
        <v>54</v>
      </c>
      <c r="E114" s="85">
        <v>550000</v>
      </c>
      <c r="F114" s="89" t="s">
        <v>73</v>
      </c>
      <c r="G114" s="90" t="s">
        <v>52</v>
      </c>
      <c r="H114" s="87">
        <f t="shared" si="20"/>
        <v>46143</v>
      </c>
      <c r="I114" s="88" t="str">
        <f t="shared" si="21"/>
        <v>OK</v>
      </c>
      <c r="J114" s="81"/>
      <c r="K114" s="81"/>
      <c r="L114" s="81" t="s">
        <v>48</v>
      </c>
      <c r="M114" s="81"/>
      <c r="N114" s="81"/>
      <c r="O114" s="81"/>
      <c r="P114" s="81" t="str">
        <f t="shared" si="22"/>
        <v>내역</v>
      </c>
      <c r="Q114" s="81" t="str">
        <f t="shared" si="23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4"/>
        <v>지출</v>
      </c>
      <c r="T114" s="81">
        <f t="shared" si="25"/>
        <v>-550000</v>
      </c>
      <c r="U114" s="81" t="str">
        <f t="shared" si="26"/>
        <v>날짜 미기록</v>
      </c>
      <c r="V114" s="81"/>
      <c r="Y114">
        <f t="shared" si="27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6" ht="40" hidden="1" customHeight="1" outlineLevel="1">
      <c r="A115" s="83">
        <v>46143</v>
      </c>
      <c r="B115" s="84" t="s">
        <v>53</v>
      </c>
      <c r="C115" s="84" t="s">
        <v>20</v>
      </c>
      <c r="D115" s="84" t="s">
        <v>54</v>
      </c>
      <c r="E115" s="85">
        <v>34170</v>
      </c>
      <c r="F115" s="89" t="s">
        <v>90</v>
      </c>
      <c r="G115" s="90" t="s">
        <v>52</v>
      </c>
      <c r="H115" s="87">
        <f t="shared" si="20"/>
        <v>46143</v>
      </c>
      <c r="I115" s="88" t="str">
        <f t="shared" si="21"/>
        <v>OK</v>
      </c>
      <c r="J115" s="81"/>
      <c r="K115" s="81"/>
      <c r="L115" s="81" t="s">
        <v>48</v>
      </c>
      <c r="M115" s="81"/>
      <c r="N115" s="81"/>
      <c r="O115" s="81"/>
      <c r="P115" s="81" t="str">
        <f t="shared" si="22"/>
        <v>내역</v>
      </c>
      <c r="Q115" s="81" t="str">
        <f t="shared" si="23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4"/>
        <v>지출</v>
      </c>
      <c r="T115" s="81">
        <f t="shared" si="25"/>
        <v>-34170</v>
      </c>
      <c r="U115" s="81" t="str">
        <f t="shared" si="26"/>
        <v>날짜 미기록</v>
      </c>
      <c r="V115" s="81"/>
      <c r="Y115">
        <f t="shared" si="27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6" ht="40" hidden="1" customHeight="1" outlineLevel="1">
      <c r="A116" s="83">
        <v>46143</v>
      </c>
      <c r="B116" s="84" t="s">
        <v>53</v>
      </c>
      <c r="C116" s="84" t="s">
        <v>20</v>
      </c>
      <c r="D116" s="84" t="s">
        <v>54</v>
      </c>
      <c r="E116" s="85">
        <v>428190</v>
      </c>
      <c r="F116" s="89" t="s">
        <v>91</v>
      </c>
      <c r="G116" s="90" t="s">
        <v>52</v>
      </c>
      <c r="H116" s="87">
        <f t="shared" si="20"/>
        <v>46143</v>
      </c>
      <c r="I116" s="88" t="str">
        <f t="shared" si="21"/>
        <v>OK</v>
      </c>
      <c r="J116" s="81"/>
      <c r="K116" s="81"/>
      <c r="L116" s="81" t="s">
        <v>48</v>
      </c>
      <c r="M116" s="81"/>
      <c r="N116" s="81"/>
      <c r="O116" s="81"/>
      <c r="P116" s="81" t="str">
        <f t="shared" si="22"/>
        <v>내역</v>
      </c>
      <c r="Q116" s="81" t="str">
        <f t="shared" si="23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4"/>
        <v>지출</v>
      </c>
      <c r="T116" s="81">
        <f t="shared" si="25"/>
        <v>-428190</v>
      </c>
      <c r="U116" s="81" t="str">
        <f t="shared" si="26"/>
        <v>날짜 미기록</v>
      </c>
      <c r="V116" s="81"/>
      <c r="Y116">
        <f t="shared" si="27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6" ht="40" hidden="1" customHeight="1" outlineLevel="1">
      <c r="A117" s="83">
        <v>46143</v>
      </c>
      <c r="B117" s="84" t="s">
        <v>53</v>
      </c>
      <c r="C117" s="84" t="s">
        <v>20</v>
      </c>
      <c r="D117" s="84" t="s">
        <v>54</v>
      </c>
      <c r="E117" s="85">
        <v>12000</v>
      </c>
      <c r="F117" s="89" t="s">
        <v>74</v>
      </c>
      <c r="G117" s="90" t="s">
        <v>52</v>
      </c>
      <c r="H117" s="87">
        <f t="shared" si="20"/>
        <v>46143</v>
      </c>
      <c r="I117" s="88" t="str">
        <f t="shared" si="21"/>
        <v>OK</v>
      </c>
      <c r="J117" s="81"/>
      <c r="K117" s="81"/>
      <c r="L117" s="81" t="s">
        <v>48</v>
      </c>
      <c r="M117" s="81"/>
      <c r="N117" s="81"/>
      <c r="O117" s="81"/>
      <c r="P117" s="81" t="str">
        <f t="shared" si="22"/>
        <v>내역</v>
      </c>
      <c r="Q117" s="81" t="str">
        <f t="shared" si="23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4"/>
        <v>지출</v>
      </c>
      <c r="T117" s="81">
        <f t="shared" si="25"/>
        <v>-12000</v>
      </c>
      <c r="U117" s="81" t="str">
        <f t="shared" si="26"/>
        <v>날짜 미기록</v>
      </c>
      <c r="V117" s="81"/>
      <c r="Y117">
        <f t="shared" si="27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6" ht="40" hidden="1" customHeight="1" outlineLevel="1">
      <c r="A118" s="83">
        <v>46143</v>
      </c>
      <c r="B118" s="84" t="s">
        <v>53</v>
      </c>
      <c r="C118" s="84" t="s">
        <v>20</v>
      </c>
      <c r="D118" s="84" t="s">
        <v>54</v>
      </c>
      <c r="E118" s="85">
        <v>666160</v>
      </c>
      <c r="F118" s="89" t="s">
        <v>75</v>
      </c>
      <c r="G118" s="90" t="s">
        <v>52</v>
      </c>
      <c r="H118" s="87">
        <f t="shared" si="20"/>
        <v>46143</v>
      </c>
      <c r="I118" s="88" t="str">
        <f t="shared" si="21"/>
        <v>OK</v>
      </c>
      <c r="J118" s="81"/>
      <c r="K118" s="81"/>
      <c r="L118" s="81" t="s">
        <v>48</v>
      </c>
      <c r="M118" s="81"/>
      <c r="N118" s="81"/>
      <c r="O118" s="81"/>
      <c r="P118" s="81" t="str">
        <f t="shared" si="22"/>
        <v>내역</v>
      </c>
      <c r="Q118" s="81" t="str">
        <f t="shared" si="23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4"/>
        <v>지출</v>
      </c>
      <c r="T118" s="81">
        <f t="shared" si="25"/>
        <v>-666160</v>
      </c>
      <c r="U118" s="81" t="str">
        <f t="shared" si="26"/>
        <v>날짜 미기록</v>
      </c>
      <c r="V118" s="81"/>
      <c r="Y118">
        <f t="shared" si="27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6" ht="40" hidden="1" customHeight="1" outlineLevel="1">
      <c r="A119" s="83">
        <v>46143</v>
      </c>
      <c r="B119" s="84" t="s">
        <v>53</v>
      </c>
      <c r="C119" s="84" t="s">
        <v>20</v>
      </c>
      <c r="D119" s="84" t="s">
        <v>54</v>
      </c>
      <c r="E119" s="85">
        <v>257470</v>
      </c>
      <c r="F119" s="89" t="s">
        <v>77</v>
      </c>
      <c r="G119" s="90" t="s">
        <v>52</v>
      </c>
      <c r="H119" s="87">
        <f t="shared" si="20"/>
        <v>46143</v>
      </c>
      <c r="I119" s="88" t="str">
        <f t="shared" si="21"/>
        <v>OK</v>
      </c>
      <c r="J119" s="81"/>
      <c r="K119" s="81"/>
      <c r="L119" s="81" t="s">
        <v>48</v>
      </c>
      <c r="M119" s="81"/>
      <c r="N119" s="81"/>
      <c r="O119" s="81"/>
      <c r="P119" s="81" t="str">
        <f t="shared" si="22"/>
        <v>내역</v>
      </c>
      <c r="Q119" s="81" t="str">
        <f t="shared" si="23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4"/>
        <v>지출</v>
      </c>
      <c r="T119" s="81">
        <f t="shared" si="25"/>
        <v>-257470</v>
      </c>
      <c r="U119" s="81" t="str">
        <f t="shared" si="26"/>
        <v>날짜 미기록</v>
      </c>
      <c r="V119" s="81"/>
      <c r="Y119">
        <f t="shared" si="27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6" ht="40" hidden="1" customHeight="1" outlineLevel="1">
      <c r="A120" s="83">
        <v>46143</v>
      </c>
      <c r="B120" s="84" t="s">
        <v>53</v>
      </c>
      <c r="C120" s="84" t="s">
        <v>20</v>
      </c>
      <c r="D120" s="84" t="s">
        <v>54</v>
      </c>
      <c r="E120" s="85">
        <v>725751</v>
      </c>
      <c r="F120" s="89" t="s">
        <v>76</v>
      </c>
      <c r="G120" s="90" t="s">
        <v>52</v>
      </c>
      <c r="H120" s="87">
        <f t="shared" si="20"/>
        <v>46143</v>
      </c>
      <c r="I120" s="88" t="str">
        <f t="shared" si="21"/>
        <v>OK</v>
      </c>
      <c r="J120" s="81"/>
      <c r="K120" s="81"/>
      <c r="L120" s="81" t="s">
        <v>48</v>
      </c>
      <c r="M120" s="81"/>
      <c r="N120" s="81"/>
      <c r="O120" s="81"/>
      <c r="P120" s="81" t="str">
        <f t="shared" si="22"/>
        <v>내역</v>
      </c>
      <c r="Q120" s="81" t="str">
        <f t="shared" si="23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4"/>
        <v>지출</v>
      </c>
      <c r="T120" s="81">
        <f t="shared" si="25"/>
        <v>-725751</v>
      </c>
      <c r="U120" s="81" t="str">
        <f t="shared" si="26"/>
        <v>날짜 미기록</v>
      </c>
      <c r="V120" s="81"/>
      <c r="Y120">
        <f t="shared" si="27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6" ht="40" hidden="1" customHeight="1" outlineLevel="1">
      <c r="A121" s="83">
        <v>46143</v>
      </c>
      <c r="B121" s="84" t="s">
        <v>53</v>
      </c>
      <c r="C121" s="84" t="s">
        <v>20</v>
      </c>
      <c r="D121" s="84" t="s">
        <v>54</v>
      </c>
      <c r="E121" s="85">
        <v>55000</v>
      </c>
      <c r="F121" s="89" t="s">
        <v>92</v>
      </c>
      <c r="G121" s="90" t="s">
        <v>52</v>
      </c>
      <c r="H121" s="87">
        <f t="shared" si="20"/>
        <v>46143</v>
      </c>
      <c r="I121" s="88" t="str">
        <f t="shared" si="21"/>
        <v>OK</v>
      </c>
      <c r="J121" s="81"/>
      <c r="K121" s="81"/>
      <c r="L121" s="81" t="s">
        <v>48</v>
      </c>
      <c r="M121" s="81"/>
      <c r="N121" s="81"/>
      <c r="O121" s="81"/>
      <c r="P121" s="81" t="str">
        <f t="shared" si="22"/>
        <v>내역</v>
      </c>
      <c r="Q121" s="81" t="str">
        <f t="shared" si="23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4"/>
        <v>지출</v>
      </c>
      <c r="T121" s="81">
        <f t="shared" si="25"/>
        <v>-55000</v>
      </c>
      <c r="U121" s="81" t="str">
        <f t="shared" si="26"/>
        <v>날짜 미기록</v>
      </c>
      <c r="V121" s="81"/>
      <c r="Y121">
        <f t="shared" si="27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6" ht="40" hidden="1" customHeight="1" outlineLevel="1">
      <c r="A122" s="83">
        <v>46143</v>
      </c>
      <c r="B122" s="84" t="s">
        <v>65</v>
      </c>
      <c r="C122" s="84" t="s">
        <v>45</v>
      </c>
      <c r="D122" s="84" t="s">
        <v>20</v>
      </c>
      <c r="E122" s="85">
        <v>179831</v>
      </c>
      <c r="F122" s="89" t="s">
        <v>93</v>
      </c>
      <c r="G122" s="90" t="s">
        <v>52</v>
      </c>
      <c r="H122" s="87">
        <f t="shared" si="20"/>
        <v>46143</v>
      </c>
      <c r="I122" s="88" t="str">
        <f t="shared" si="21"/>
        <v>OK</v>
      </c>
      <c r="J122" s="81"/>
      <c r="K122" s="81"/>
      <c r="L122" s="81" t="s">
        <v>48</v>
      </c>
      <c r="M122" s="81"/>
      <c r="N122" s="81"/>
      <c r="O122" s="81"/>
      <c r="P122" s="81" t="str">
        <f t="shared" si="22"/>
        <v/>
      </c>
      <c r="Q122" s="81" t="str">
        <f t="shared" si="23"/>
        <v/>
      </c>
      <c r="R122" s="81" t="str">
        <f>IF(P122="","",TEXT(H122,"yyyymm")&amp;"_"&amp;P122&amp;"_"&amp;(COUNTIFS($H$64:$H$500,H122,$P$64:$P$500,P122,$A$64:$A$500,"&gt;"&amp;A122)+COUNTIFS($H$64:H122,H122,$P$64:P122,P122,$A$64:A122,A122)))</f>
        <v/>
      </c>
      <c r="S122" s="81" t="str">
        <f t="shared" si="24"/>
        <v/>
      </c>
      <c r="T122" s="81" t="str">
        <f t="shared" si="25"/>
        <v/>
      </c>
      <c r="U122" s="81" t="str">
        <f t="shared" si="26"/>
        <v/>
      </c>
      <c r="V122" s="81"/>
      <c r="Y122">
        <f t="shared" si="27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6" ht="40" hidden="1" customHeight="1" outlineLevel="1">
      <c r="A123" s="83">
        <v>46174</v>
      </c>
      <c r="B123" s="84" t="s">
        <v>53</v>
      </c>
      <c r="C123" s="84" t="s">
        <v>12</v>
      </c>
      <c r="D123" s="84" t="s">
        <v>54</v>
      </c>
      <c r="E123" s="85">
        <v>14000</v>
      </c>
      <c r="F123" s="89" t="s">
        <v>94</v>
      </c>
      <c r="G123" s="90" t="s">
        <v>52</v>
      </c>
      <c r="H123" s="87">
        <f t="shared" si="20"/>
        <v>46174</v>
      </c>
      <c r="I123" s="88" t="str">
        <f t="shared" si="21"/>
        <v>OK</v>
      </c>
      <c r="J123" s="81"/>
      <c r="K123" s="81"/>
      <c r="L123" s="81" t="s">
        <v>48</v>
      </c>
      <c r="M123" s="81"/>
      <c r="N123" s="81"/>
      <c r="O123" s="81"/>
      <c r="P123" s="81" t="str">
        <f t="shared" si="22"/>
        <v>내역</v>
      </c>
      <c r="Q123" s="81" t="str">
        <f t="shared" si="23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4"/>
        <v>지출</v>
      </c>
      <c r="T123" s="81">
        <f t="shared" si="25"/>
        <v>-14000</v>
      </c>
      <c r="U123" s="81" t="str">
        <f t="shared" si="26"/>
        <v>날짜 미기록</v>
      </c>
      <c r="V123" s="81"/>
      <c r="Y123">
        <f t="shared" si="27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6" ht="40" hidden="1" customHeight="1" outlineLevel="1">
      <c r="A124" s="83">
        <v>46174</v>
      </c>
      <c r="B124" s="84" t="s">
        <v>53</v>
      </c>
      <c r="C124" s="84" t="s">
        <v>12</v>
      </c>
      <c r="D124" s="84" t="s">
        <v>54</v>
      </c>
      <c r="E124" s="85">
        <v>14000</v>
      </c>
      <c r="F124" s="89" t="s">
        <v>95</v>
      </c>
      <c r="G124" s="90" t="s">
        <v>52</v>
      </c>
      <c r="H124" s="87">
        <f t="shared" si="20"/>
        <v>46174</v>
      </c>
      <c r="I124" s="88" t="str">
        <f t="shared" si="21"/>
        <v>OK</v>
      </c>
      <c r="J124" s="81"/>
      <c r="K124" s="81"/>
      <c r="L124" s="81" t="s">
        <v>48</v>
      </c>
      <c r="M124" s="81"/>
      <c r="N124" s="81"/>
      <c r="O124" s="81"/>
      <c r="P124" s="81" t="str">
        <f t="shared" si="22"/>
        <v>내역</v>
      </c>
      <c r="Q124" s="81" t="str">
        <f t="shared" si="23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4"/>
        <v>지출</v>
      </c>
      <c r="T124" s="81">
        <f t="shared" si="25"/>
        <v>-14000</v>
      </c>
      <c r="U124" s="81" t="str">
        <f t="shared" si="26"/>
        <v>날짜 미기록</v>
      </c>
      <c r="V124" s="81"/>
      <c r="Y124">
        <f t="shared" si="27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6" ht="40" hidden="1" customHeight="1" outlineLevel="1">
      <c r="A125" s="83">
        <v>46174</v>
      </c>
      <c r="B125" s="84" t="s">
        <v>53</v>
      </c>
      <c r="C125" s="84" t="s">
        <v>12</v>
      </c>
      <c r="D125" s="84" t="s">
        <v>54</v>
      </c>
      <c r="E125" s="85">
        <v>40000</v>
      </c>
      <c r="F125" s="89" t="s">
        <v>96</v>
      </c>
      <c r="G125" s="90" t="s">
        <v>52</v>
      </c>
      <c r="H125" s="87">
        <f t="shared" si="20"/>
        <v>46174</v>
      </c>
      <c r="I125" s="88" t="str">
        <f t="shared" si="21"/>
        <v>OK</v>
      </c>
      <c r="J125" s="81"/>
      <c r="K125" s="81"/>
      <c r="L125" s="81" t="s">
        <v>48</v>
      </c>
      <c r="M125" s="81"/>
      <c r="N125" s="81"/>
      <c r="O125" s="81"/>
      <c r="P125" s="81" t="str">
        <f t="shared" si="22"/>
        <v>내역</v>
      </c>
      <c r="Q125" s="81" t="str">
        <f t="shared" si="23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4"/>
        <v>지출</v>
      </c>
      <c r="T125" s="81">
        <f t="shared" si="25"/>
        <v>-40000</v>
      </c>
      <c r="U125" s="81" t="str">
        <f t="shared" si="26"/>
        <v>날짜 미기록</v>
      </c>
      <c r="V125" s="81"/>
      <c r="Y125">
        <f t="shared" si="27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6" ht="40" hidden="1" customHeight="1" outlineLevel="1">
      <c r="A126" s="83">
        <v>46174</v>
      </c>
      <c r="B126" s="84" t="s">
        <v>53</v>
      </c>
      <c r="C126" s="84" t="s">
        <v>12</v>
      </c>
      <c r="D126" s="84" t="s">
        <v>54</v>
      </c>
      <c r="E126" s="85">
        <v>10000</v>
      </c>
      <c r="F126" s="89" t="s">
        <v>97</v>
      </c>
      <c r="G126" s="90" t="s">
        <v>52</v>
      </c>
      <c r="H126" s="87">
        <f t="shared" si="20"/>
        <v>46174</v>
      </c>
      <c r="I126" s="88" t="str">
        <f t="shared" si="21"/>
        <v>OK</v>
      </c>
      <c r="J126" s="81"/>
      <c r="K126" s="81"/>
      <c r="L126" s="81" t="s">
        <v>48</v>
      </c>
      <c r="M126" s="81"/>
      <c r="N126" s="81"/>
      <c r="O126" s="81"/>
      <c r="P126" s="81" t="str">
        <f t="shared" si="22"/>
        <v>내역</v>
      </c>
      <c r="Q126" s="81" t="str">
        <f t="shared" si="23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4"/>
        <v>지출</v>
      </c>
      <c r="T126" s="81">
        <f t="shared" si="25"/>
        <v>-10000</v>
      </c>
      <c r="U126" s="81" t="str">
        <f t="shared" si="26"/>
        <v>날짜 미기록</v>
      </c>
      <c r="V126" s="81"/>
      <c r="Y126">
        <f t="shared" si="27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6" ht="40" hidden="1" customHeight="1" outlineLevel="1">
      <c r="A127" s="83">
        <v>46174</v>
      </c>
      <c r="B127" s="84" t="s">
        <v>53</v>
      </c>
      <c r="C127" s="84" t="s">
        <v>12</v>
      </c>
      <c r="D127" s="84" t="s">
        <v>54</v>
      </c>
      <c r="E127" s="85">
        <v>12000</v>
      </c>
      <c r="F127" s="89" t="s">
        <v>98</v>
      </c>
      <c r="G127" s="90" t="s">
        <v>52</v>
      </c>
      <c r="H127" s="87">
        <f t="shared" si="20"/>
        <v>46174</v>
      </c>
      <c r="I127" s="88" t="str">
        <f t="shared" si="21"/>
        <v>OK</v>
      </c>
      <c r="J127" s="81"/>
      <c r="K127" s="81"/>
      <c r="L127" s="81" t="s">
        <v>48</v>
      </c>
      <c r="M127" s="81"/>
      <c r="N127" s="81"/>
      <c r="O127" s="81"/>
      <c r="P127" s="81" t="str">
        <f t="shared" si="22"/>
        <v>내역</v>
      </c>
      <c r="Q127" s="81" t="str">
        <f t="shared" si="23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4"/>
        <v>지출</v>
      </c>
      <c r="T127" s="81">
        <f t="shared" si="25"/>
        <v>-12000</v>
      </c>
      <c r="U127" s="81" t="str">
        <f t="shared" si="26"/>
        <v>날짜 미기록</v>
      </c>
      <c r="V127" s="81"/>
      <c r="Y127">
        <f t="shared" si="27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6" ht="40" hidden="1" customHeight="1" outlineLevel="1">
      <c r="A128" s="83">
        <v>46174</v>
      </c>
      <c r="B128" s="84" t="s">
        <v>65</v>
      </c>
      <c r="C128" s="84" t="s">
        <v>12</v>
      </c>
      <c r="D128" s="84" t="s">
        <v>45</v>
      </c>
      <c r="E128" s="85">
        <v>345287</v>
      </c>
      <c r="F128" s="89" t="s">
        <v>83</v>
      </c>
      <c r="G128" s="90" t="s">
        <v>52</v>
      </c>
      <c r="H128" s="87">
        <f t="shared" ref="H128:H191" si="28">IF(A128="","",DATE(YEAR(A128),MONTH(A128),1))</f>
        <v>46174</v>
      </c>
      <c r="I128" s="88" t="str">
        <f t="shared" ref="I128:I191" si="29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48</v>
      </c>
      <c r="M128" s="81"/>
      <c r="N128" s="81"/>
      <c r="O128" s="81"/>
      <c r="P128" s="81" t="str">
        <f t="shared" ref="P128:P191" si="30">IF(Q128="","",IF(Q128="이체","이체","내역"))</f>
        <v>이체</v>
      </c>
      <c r="Q128" s="81" t="str">
        <f t="shared" ref="Q128:Q191" si="31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2">IF(Q128="","",D128)</f>
        <v>외부</v>
      </c>
      <c r="T128" s="81">
        <f t="shared" ref="T128:T191" si="33">IF(Q128="","",IF(Q128="이체",E128,IF(D128=Q128,E128,-E128)))</f>
        <v>345287</v>
      </c>
      <c r="U128" s="81" t="str">
        <f t="shared" ref="U128:U191" si="34">IF(Q128="","",IF(ISNUMBER(SEARCH("날짜 미기록",G128)),"날짜 미기록",A128))</f>
        <v>날짜 미기록</v>
      </c>
      <c r="V128" s="81"/>
      <c r="Y128">
        <f t="shared" ref="Y128:Y191" si="35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6" ht="40" hidden="1" customHeight="1" outlineLevel="1">
      <c r="A129" s="83">
        <v>46174</v>
      </c>
      <c r="B129" s="84" t="s">
        <v>56</v>
      </c>
      <c r="C129" s="84" t="s">
        <v>57</v>
      </c>
      <c r="D129" s="84" t="s">
        <v>13</v>
      </c>
      <c r="E129" s="85">
        <v>50000</v>
      </c>
      <c r="F129" s="89" t="s">
        <v>58</v>
      </c>
      <c r="G129" s="90" t="s">
        <v>52</v>
      </c>
      <c r="H129" s="87">
        <f t="shared" si="28"/>
        <v>46174</v>
      </c>
      <c r="I129" s="88" t="str">
        <f t="shared" si="29"/>
        <v>OK</v>
      </c>
      <c r="J129" s="81"/>
      <c r="K129" s="81"/>
      <c r="L129" s="81" t="s">
        <v>48</v>
      </c>
      <c r="M129" s="81"/>
      <c r="N129" s="81"/>
      <c r="O129" s="81"/>
      <c r="P129" s="81" t="str">
        <f t="shared" si="30"/>
        <v>내역</v>
      </c>
      <c r="Q129" s="81" t="str">
        <f t="shared" si="31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2"/>
        <v>명절비</v>
      </c>
      <c r="T129" s="81">
        <f t="shared" si="33"/>
        <v>50000</v>
      </c>
      <c r="U129" s="81" t="str">
        <f t="shared" si="34"/>
        <v>날짜 미기록</v>
      </c>
      <c r="V129" s="81"/>
      <c r="Y129">
        <f t="shared" si="35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6" ht="40" hidden="1" customHeight="1" outlineLevel="1">
      <c r="A130" s="83">
        <v>46174</v>
      </c>
      <c r="B130" s="84" t="s">
        <v>56</v>
      </c>
      <c r="C130" s="84" t="s">
        <v>57</v>
      </c>
      <c r="D130" s="84" t="s">
        <v>15</v>
      </c>
      <c r="E130" s="85">
        <v>50000</v>
      </c>
      <c r="F130" s="89" t="s">
        <v>99</v>
      </c>
      <c r="G130" s="90" t="s">
        <v>52</v>
      </c>
      <c r="H130" s="87">
        <f t="shared" si="28"/>
        <v>46174</v>
      </c>
      <c r="I130" s="88" t="str">
        <f t="shared" si="29"/>
        <v>OK</v>
      </c>
      <c r="J130" s="81"/>
      <c r="K130" s="81"/>
      <c r="L130" s="81" t="s">
        <v>48</v>
      </c>
      <c r="M130" s="81"/>
      <c r="N130" s="81"/>
      <c r="O130" s="81"/>
      <c r="P130" s="81" t="str">
        <f t="shared" si="30"/>
        <v>내역</v>
      </c>
      <c r="Q130" s="81" t="str">
        <f t="shared" si="31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2"/>
        <v>경조사비</v>
      </c>
      <c r="T130" s="81">
        <f t="shared" si="33"/>
        <v>50000</v>
      </c>
      <c r="U130" s="81" t="str">
        <f t="shared" si="34"/>
        <v>날짜 미기록</v>
      </c>
      <c r="V130" s="81"/>
      <c r="Y130">
        <f t="shared" si="35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6" ht="40" hidden="1" customHeight="1" outlineLevel="1">
      <c r="A131" s="83">
        <v>46174</v>
      </c>
      <c r="B131" s="84" t="s">
        <v>56</v>
      </c>
      <c r="C131" s="84" t="s">
        <v>57</v>
      </c>
      <c r="D131" s="84" t="s">
        <v>14</v>
      </c>
      <c r="E131" s="85">
        <v>100000</v>
      </c>
      <c r="F131" s="89" t="s">
        <v>59</v>
      </c>
      <c r="G131" s="90" t="s">
        <v>52</v>
      </c>
      <c r="H131" s="87">
        <f t="shared" si="28"/>
        <v>46174</v>
      </c>
      <c r="I131" s="88" t="str">
        <f t="shared" si="29"/>
        <v>OK</v>
      </c>
      <c r="J131" s="81"/>
      <c r="K131" s="81"/>
      <c r="L131" s="81" t="s">
        <v>48</v>
      </c>
      <c r="M131" s="81"/>
      <c r="N131" s="81"/>
      <c r="O131" s="81"/>
      <c r="P131" s="81" t="str">
        <f t="shared" si="30"/>
        <v>내역</v>
      </c>
      <c r="Q131" s="81" t="str">
        <f t="shared" si="31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2"/>
        <v>여행비</v>
      </c>
      <c r="T131" s="81">
        <f t="shared" si="33"/>
        <v>100000</v>
      </c>
      <c r="U131" s="81" t="str">
        <f t="shared" si="34"/>
        <v>날짜 미기록</v>
      </c>
      <c r="V131" s="81"/>
      <c r="Y131">
        <f t="shared" si="35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6" ht="40" hidden="1" customHeight="1" outlineLevel="1">
      <c r="A132" s="83">
        <v>46174</v>
      </c>
      <c r="B132" s="84" t="s">
        <v>50</v>
      </c>
      <c r="C132" s="84" t="s">
        <v>45</v>
      </c>
      <c r="D132" s="84" t="s">
        <v>19</v>
      </c>
      <c r="E132" s="85">
        <v>1418</v>
      </c>
      <c r="F132" s="89" t="s">
        <v>69</v>
      </c>
      <c r="G132" s="90" t="s">
        <v>52</v>
      </c>
      <c r="H132" s="87">
        <f t="shared" si="28"/>
        <v>46174</v>
      </c>
      <c r="I132" s="88" t="str">
        <f t="shared" si="29"/>
        <v>OK</v>
      </c>
      <c r="J132" s="81"/>
      <c r="K132" s="81"/>
      <c r="L132" s="81" t="s">
        <v>48</v>
      </c>
      <c r="M132" s="81"/>
      <c r="N132" s="81"/>
      <c r="O132" s="81"/>
      <c r="P132" s="81" t="str">
        <f t="shared" si="30"/>
        <v>내역</v>
      </c>
      <c r="Q132" s="81" t="str">
        <f t="shared" si="31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2"/>
        <v>금융</v>
      </c>
      <c r="T132" s="81">
        <f t="shared" si="33"/>
        <v>1418</v>
      </c>
      <c r="U132" s="81" t="str">
        <f t="shared" si="34"/>
        <v>날짜 미기록</v>
      </c>
      <c r="V132" s="81"/>
      <c r="Y132">
        <f t="shared" si="35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6" ht="40" hidden="1" customHeight="1" outlineLevel="1">
      <c r="A133" s="83">
        <v>46174</v>
      </c>
      <c r="B133" s="84" t="s">
        <v>50</v>
      </c>
      <c r="C133" s="84" t="s">
        <v>45</v>
      </c>
      <c r="D133" s="84" t="s">
        <v>19</v>
      </c>
      <c r="E133" s="85">
        <v>1293</v>
      </c>
      <c r="F133" s="89" t="s">
        <v>69</v>
      </c>
      <c r="G133" s="90" t="s">
        <v>52</v>
      </c>
      <c r="H133" s="87">
        <f t="shared" si="28"/>
        <v>46174</v>
      </c>
      <c r="I133" s="88" t="str">
        <f t="shared" si="29"/>
        <v>OK</v>
      </c>
      <c r="J133" s="81"/>
      <c r="K133" s="81"/>
      <c r="L133" s="81" t="s">
        <v>48</v>
      </c>
      <c r="M133" s="81"/>
      <c r="N133" s="81"/>
      <c r="O133" s="81"/>
      <c r="P133" s="81" t="str">
        <f t="shared" si="30"/>
        <v>내역</v>
      </c>
      <c r="Q133" s="81" t="str">
        <f t="shared" si="31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2"/>
        <v>금융</v>
      </c>
      <c r="T133" s="81">
        <f t="shared" si="33"/>
        <v>1293</v>
      </c>
      <c r="U133" s="81" t="str">
        <f t="shared" si="34"/>
        <v>날짜 미기록</v>
      </c>
      <c r="V133" s="81"/>
      <c r="Y133">
        <f t="shared" si="35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6" ht="40" hidden="1" customHeight="1" outlineLevel="1">
      <c r="A134" s="83">
        <v>46174</v>
      </c>
      <c r="B134" s="84" t="s">
        <v>50</v>
      </c>
      <c r="C134" s="84" t="s">
        <v>45</v>
      </c>
      <c r="D134" s="84" t="s">
        <v>19</v>
      </c>
      <c r="E134" s="85">
        <v>1049</v>
      </c>
      <c r="F134" s="89" t="s">
        <v>69</v>
      </c>
      <c r="G134" s="90" t="s">
        <v>52</v>
      </c>
      <c r="H134" s="87">
        <f t="shared" si="28"/>
        <v>46174</v>
      </c>
      <c r="I134" s="88" t="str">
        <f t="shared" si="29"/>
        <v>OK</v>
      </c>
      <c r="J134" s="81"/>
      <c r="K134" s="81"/>
      <c r="L134" s="81" t="s">
        <v>48</v>
      </c>
      <c r="M134" s="81"/>
      <c r="N134" s="81"/>
      <c r="O134" s="81"/>
      <c r="P134" s="81" t="str">
        <f t="shared" si="30"/>
        <v>내역</v>
      </c>
      <c r="Q134" s="81" t="str">
        <f t="shared" si="31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2"/>
        <v>금융</v>
      </c>
      <c r="T134" s="81">
        <f t="shared" si="33"/>
        <v>1049</v>
      </c>
      <c r="U134" s="81" t="str">
        <f t="shared" si="34"/>
        <v>날짜 미기록</v>
      </c>
      <c r="V134" s="81"/>
      <c r="Y134">
        <f t="shared" si="35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6" ht="40" hidden="1" customHeight="1" outlineLevel="1">
      <c r="A135" s="83">
        <v>46174</v>
      </c>
      <c r="B135" s="84" t="s">
        <v>50</v>
      </c>
      <c r="C135" s="84" t="s">
        <v>45</v>
      </c>
      <c r="D135" s="84" t="s">
        <v>20</v>
      </c>
      <c r="E135" s="85">
        <v>6188750</v>
      </c>
      <c r="F135" s="89" t="s">
        <v>50</v>
      </c>
      <c r="G135" s="90" t="s">
        <v>52</v>
      </c>
      <c r="H135" s="87">
        <f t="shared" si="28"/>
        <v>46174</v>
      </c>
      <c r="I135" s="88" t="str">
        <f t="shared" si="29"/>
        <v>OK</v>
      </c>
      <c r="J135" s="81"/>
      <c r="K135" s="81"/>
      <c r="L135" s="81" t="s">
        <v>48</v>
      </c>
      <c r="M135" s="81"/>
      <c r="N135" s="81"/>
      <c r="O135" s="81"/>
      <c r="P135" s="81" t="str">
        <f t="shared" si="30"/>
        <v>내역</v>
      </c>
      <c r="Q135" s="81" t="str">
        <f t="shared" si="31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2"/>
        <v>임시보관</v>
      </c>
      <c r="T135" s="81">
        <f t="shared" si="33"/>
        <v>6188750</v>
      </c>
      <c r="U135" s="81" t="str">
        <f t="shared" si="34"/>
        <v>날짜 미기록</v>
      </c>
      <c r="V135" s="81"/>
      <c r="Y135">
        <f t="shared" si="35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6" ht="40" hidden="1" customHeight="1" outlineLevel="1">
      <c r="A136" s="83">
        <v>46174</v>
      </c>
      <c r="B136" s="84" t="s">
        <v>53</v>
      </c>
      <c r="C136" s="84" t="s">
        <v>20</v>
      </c>
      <c r="D136" s="84" t="s">
        <v>54</v>
      </c>
      <c r="E136" s="85">
        <v>550000</v>
      </c>
      <c r="F136" s="89" t="s">
        <v>73</v>
      </c>
      <c r="G136" s="90" t="s">
        <v>52</v>
      </c>
      <c r="H136" s="87">
        <f t="shared" si="28"/>
        <v>46174</v>
      </c>
      <c r="I136" s="88" t="str">
        <f t="shared" si="29"/>
        <v>OK</v>
      </c>
      <c r="J136" s="81"/>
      <c r="K136" s="81"/>
      <c r="L136" s="81" t="s">
        <v>48</v>
      </c>
      <c r="M136" s="81"/>
      <c r="N136" s="81"/>
      <c r="O136" s="81"/>
      <c r="P136" s="81" t="str">
        <f t="shared" si="30"/>
        <v>내역</v>
      </c>
      <c r="Q136" s="81" t="str">
        <f t="shared" si="31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2"/>
        <v>지출</v>
      </c>
      <c r="T136" s="81">
        <f t="shared" si="33"/>
        <v>-550000</v>
      </c>
      <c r="U136" s="81" t="str">
        <f t="shared" si="34"/>
        <v>날짜 미기록</v>
      </c>
      <c r="V136" s="81"/>
      <c r="Y136">
        <f t="shared" si="35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6" ht="40" hidden="1" customHeight="1" outlineLevel="1">
      <c r="A137" s="83">
        <v>46174</v>
      </c>
      <c r="B137" s="84" t="s">
        <v>53</v>
      </c>
      <c r="C137" s="84" t="s">
        <v>20</v>
      </c>
      <c r="D137" s="84" t="s">
        <v>54</v>
      </c>
      <c r="E137" s="85">
        <v>1200</v>
      </c>
      <c r="F137" s="89" t="s">
        <v>100</v>
      </c>
      <c r="G137" s="90" t="s">
        <v>52</v>
      </c>
      <c r="H137" s="87">
        <f t="shared" si="28"/>
        <v>46174</v>
      </c>
      <c r="I137" s="88" t="str">
        <f t="shared" si="29"/>
        <v>OK</v>
      </c>
      <c r="J137" s="81"/>
      <c r="K137" s="81"/>
      <c r="L137" s="81" t="s">
        <v>48</v>
      </c>
      <c r="M137" s="81"/>
      <c r="N137" s="81"/>
      <c r="O137" s="81"/>
      <c r="P137" s="81" t="str">
        <f t="shared" si="30"/>
        <v>내역</v>
      </c>
      <c r="Q137" s="81" t="str">
        <f t="shared" si="31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2"/>
        <v>지출</v>
      </c>
      <c r="T137" s="81">
        <f t="shared" si="33"/>
        <v>-1200</v>
      </c>
      <c r="U137" s="81" t="str">
        <f t="shared" si="34"/>
        <v>날짜 미기록</v>
      </c>
      <c r="V137" s="81"/>
      <c r="Y137">
        <f t="shared" si="35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6" ht="40" hidden="1" customHeight="1" outlineLevel="1">
      <c r="A138" s="83">
        <v>46174</v>
      </c>
      <c r="B138" s="84" t="s">
        <v>53</v>
      </c>
      <c r="C138" s="84" t="s">
        <v>20</v>
      </c>
      <c r="D138" s="84" t="s">
        <v>54</v>
      </c>
      <c r="E138" s="85">
        <v>178820</v>
      </c>
      <c r="F138" s="89" t="s">
        <v>91</v>
      </c>
      <c r="G138" s="90" t="s">
        <v>52</v>
      </c>
      <c r="H138" s="87">
        <f t="shared" si="28"/>
        <v>46174</v>
      </c>
      <c r="I138" s="88" t="str">
        <f t="shared" si="29"/>
        <v>OK</v>
      </c>
      <c r="J138" s="81"/>
      <c r="K138" s="81"/>
      <c r="L138" s="81" t="s">
        <v>48</v>
      </c>
      <c r="M138" s="81"/>
      <c r="N138" s="81"/>
      <c r="O138" s="81"/>
      <c r="P138" s="81" t="str">
        <f t="shared" si="30"/>
        <v>내역</v>
      </c>
      <c r="Q138" s="81" t="str">
        <f t="shared" si="31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2"/>
        <v>지출</v>
      </c>
      <c r="T138" s="81">
        <f t="shared" si="33"/>
        <v>-178820</v>
      </c>
      <c r="U138" s="81" t="str">
        <f t="shared" si="34"/>
        <v>날짜 미기록</v>
      </c>
      <c r="V138" s="81"/>
      <c r="Y138">
        <f t="shared" si="35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6" ht="40" hidden="1" customHeight="1" outlineLevel="1">
      <c r="A139" s="83">
        <v>46174</v>
      </c>
      <c r="B139" s="84" t="s">
        <v>53</v>
      </c>
      <c r="C139" s="84" t="s">
        <v>20</v>
      </c>
      <c r="D139" s="84" t="s">
        <v>54</v>
      </c>
      <c r="E139" s="85">
        <v>56770</v>
      </c>
      <c r="F139" s="89" t="s">
        <v>101</v>
      </c>
      <c r="G139" s="90" t="s">
        <v>52</v>
      </c>
      <c r="H139" s="87">
        <f t="shared" si="28"/>
        <v>46174</v>
      </c>
      <c r="I139" s="88" t="str">
        <f t="shared" si="29"/>
        <v>OK</v>
      </c>
      <c r="J139" s="81"/>
      <c r="K139" s="81"/>
      <c r="L139" s="81" t="s">
        <v>48</v>
      </c>
      <c r="M139" s="81"/>
      <c r="N139" s="81"/>
      <c r="O139" s="81"/>
      <c r="P139" s="81" t="str">
        <f t="shared" si="30"/>
        <v>내역</v>
      </c>
      <c r="Q139" s="81" t="str">
        <f t="shared" si="31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2"/>
        <v>지출</v>
      </c>
      <c r="T139" s="81">
        <f t="shared" si="33"/>
        <v>-56770</v>
      </c>
      <c r="U139" s="81" t="str">
        <f t="shared" si="34"/>
        <v>날짜 미기록</v>
      </c>
      <c r="V139" s="81"/>
      <c r="Y139">
        <f t="shared" si="35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6" ht="40" hidden="1" customHeight="1" outlineLevel="1">
      <c r="A140" s="83">
        <v>46174</v>
      </c>
      <c r="B140" s="84" t="s">
        <v>53</v>
      </c>
      <c r="C140" s="84" t="s">
        <v>20</v>
      </c>
      <c r="D140" s="84" t="s">
        <v>54</v>
      </c>
      <c r="E140" s="85">
        <v>601612</v>
      </c>
      <c r="F140" s="89" t="s">
        <v>75</v>
      </c>
      <c r="G140" s="90" t="s">
        <v>52</v>
      </c>
      <c r="H140" s="87">
        <f t="shared" si="28"/>
        <v>46174</v>
      </c>
      <c r="I140" s="88" t="str">
        <f t="shared" si="29"/>
        <v>OK</v>
      </c>
      <c r="J140" s="81"/>
      <c r="K140" s="81"/>
      <c r="L140" s="81" t="s">
        <v>48</v>
      </c>
      <c r="M140" s="81"/>
      <c r="N140" s="81"/>
      <c r="O140" s="81"/>
      <c r="P140" s="81" t="str">
        <f t="shared" si="30"/>
        <v>내역</v>
      </c>
      <c r="Q140" s="81" t="str">
        <f t="shared" si="31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2"/>
        <v>지출</v>
      </c>
      <c r="T140" s="81">
        <f t="shared" si="33"/>
        <v>-601612</v>
      </c>
      <c r="U140" s="81" t="str">
        <f t="shared" si="34"/>
        <v>날짜 미기록</v>
      </c>
      <c r="V140" s="81"/>
      <c r="Y140">
        <f t="shared" si="35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6" ht="40" hidden="1" customHeight="1" outlineLevel="1">
      <c r="A141" s="83">
        <v>46174</v>
      </c>
      <c r="B141" s="84" t="s">
        <v>53</v>
      </c>
      <c r="C141" s="84" t="s">
        <v>20</v>
      </c>
      <c r="D141" s="84" t="s">
        <v>54</v>
      </c>
      <c r="E141" s="85">
        <v>821239</v>
      </c>
      <c r="F141" s="89" t="s">
        <v>76</v>
      </c>
      <c r="G141" s="90" t="s">
        <v>52</v>
      </c>
      <c r="H141" s="87">
        <f t="shared" si="28"/>
        <v>46174</v>
      </c>
      <c r="I141" s="88" t="str">
        <f t="shared" si="29"/>
        <v>OK</v>
      </c>
      <c r="J141" s="81"/>
      <c r="K141" s="81"/>
      <c r="L141" s="81" t="s">
        <v>48</v>
      </c>
      <c r="M141" s="81"/>
      <c r="N141" s="81"/>
      <c r="O141" s="81"/>
      <c r="P141" s="81" t="str">
        <f t="shared" si="30"/>
        <v>내역</v>
      </c>
      <c r="Q141" s="81" t="str">
        <f t="shared" si="31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2"/>
        <v>지출</v>
      </c>
      <c r="T141" s="81">
        <f t="shared" si="33"/>
        <v>-821239</v>
      </c>
      <c r="U141" s="81" t="str">
        <f t="shared" si="34"/>
        <v>날짜 미기록</v>
      </c>
      <c r="V141" s="81"/>
      <c r="Y141">
        <f t="shared" si="35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6" ht="40" hidden="1" customHeight="1" outlineLevel="1">
      <c r="A142" s="83">
        <v>46174</v>
      </c>
      <c r="B142" s="84" t="s">
        <v>53</v>
      </c>
      <c r="C142" s="84" t="s">
        <v>20</v>
      </c>
      <c r="D142" s="84" t="s">
        <v>54</v>
      </c>
      <c r="E142" s="85">
        <v>177820</v>
      </c>
      <c r="F142" s="89" t="s">
        <v>102</v>
      </c>
      <c r="G142" s="90" t="s">
        <v>52</v>
      </c>
      <c r="H142" s="87">
        <f t="shared" si="28"/>
        <v>46174</v>
      </c>
      <c r="I142" s="88" t="str">
        <f t="shared" si="29"/>
        <v>OK</v>
      </c>
      <c r="J142" s="81"/>
      <c r="K142" s="81"/>
      <c r="L142" s="81" t="s">
        <v>48</v>
      </c>
      <c r="M142" s="81"/>
      <c r="N142" s="81"/>
      <c r="O142" s="81"/>
      <c r="P142" s="81" t="str">
        <f t="shared" si="30"/>
        <v>내역</v>
      </c>
      <c r="Q142" s="81" t="str">
        <f t="shared" si="31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2"/>
        <v>지출</v>
      </c>
      <c r="T142" s="81">
        <f t="shared" si="33"/>
        <v>-177820</v>
      </c>
      <c r="U142" s="81" t="str">
        <f t="shared" si="34"/>
        <v>날짜 미기록</v>
      </c>
      <c r="V142" s="81"/>
      <c r="Y142">
        <f t="shared" si="35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6" ht="40" hidden="1" customHeight="1" outlineLevel="1">
      <c r="A143" s="83">
        <v>46174</v>
      </c>
      <c r="B143" s="84" t="s">
        <v>65</v>
      </c>
      <c r="C143" s="84" t="s">
        <v>45</v>
      </c>
      <c r="D143" s="84" t="s">
        <v>20</v>
      </c>
      <c r="E143" s="85">
        <v>345287</v>
      </c>
      <c r="F143" s="89" t="s">
        <v>93</v>
      </c>
      <c r="G143" s="90" t="s">
        <v>52</v>
      </c>
      <c r="H143" s="87">
        <f t="shared" si="28"/>
        <v>46174</v>
      </c>
      <c r="I143" s="88" t="str">
        <f t="shared" si="29"/>
        <v>OK</v>
      </c>
      <c r="J143" s="81"/>
      <c r="K143" s="81"/>
      <c r="L143" s="81" t="s">
        <v>48</v>
      </c>
      <c r="M143" s="81"/>
      <c r="N143" s="81"/>
      <c r="O143" s="81"/>
      <c r="P143" s="81" t="str">
        <f t="shared" si="30"/>
        <v/>
      </c>
      <c r="Q143" s="81" t="str">
        <f t="shared" si="31"/>
        <v/>
      </c>
      <c r="R143" s="81" t="str">
        <f>IF(P143="","",TEXT(H143,"yyyymm")&amp;"_"&amp;P143&amp;"_"&amp;(COUNTIFS($H$64:$H$500,H143,$P$64:$P$500,P143,$A$64:$A$500,"&gt;"&amp;A143)+COUNTIFS($H$64:H143,H143,$P$64:P143,P143,$A$64:A143,A143)))</f>
        <v/>
      </c>
      <c r="S143" s="81" t="str">
        <f t="shared" si="32"/>
        <v/>
      </c>
      <c r="T143" s="81" t="str">
        <f t="shared" si="33"/>
        <v/>
      </c>
      <c r="U143" s="81" t="str">
        <f t="shared" si="34"/>
        <v/>
      </c>
      <c r="V143" s="81"/>
      <c r="Y143">
        <f t="shared" si="35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6" ht="40" hidden="1" customHeight="1" outlineLevel="1">
      <c r="A144" s="83">
        <v>46204</v>
      </c>
      <c r="B144" s="84" t="s">
        <v>53</v>
      </c>
      <c r="C144" s="84" t="s">
        <v>12</v>
      </c>
      <c r="D144" s="84" t="s">
        <v>54</v>
      </c>
      <c r="E144" s="85">
        <v>280000</v>
      </c>
      <c r="F144" s="89" t="s">
        <v>103</v>
      </c>
      <c r="G144" s="90" t="s">
        <v>52</v>
      </c>
      <c r="H144" s="87">
        <f t="shared" si="28"/>
        <v>46204</v>
      </c>
      <c r="I144" s="88" t="str">
        <f t="shared" si="29"/>
        <v>OK</v>
      </c>
      <c r="J144" s="81"/>
      <c r="K144" s="81"/>
      <c r="L144" s="81" t="s">
        <v>48</v>
      </c>
      <c r="M144" s="81"/>
      <c r="N144" s="81"/>
      <c r="O144" s="81"/>
      <c r="P144" s="81" t="str">
        <f t="shared" si="30"/>
        <v>내역</v>
      </c>
      <c r="Q144" s="81" t="str">
        <f t="shared" si="31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2"/>
        <v>지출</v>
      </c>
      <c r="T144" s="81">
        <f t="shared" si="33"/>
        <v>-280000</v>
      </c>
      <c r="U144" s="81" t="str">
        <f t="shared" si="34"/>
        <v>날짜 미기록</v>
      </c>
      <c r="V144" s="81"/>
      <c r="Y144">
        <f t="shared" si="35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6" ht="40" hidden="1" customHeight="1" outlineLevel="1">
      <c r="A145" s="83">
        <v>46204</v>
      </c>
      <c r="B145" s="84" t="s">
        <v>53</v>
      </c>
      <c r="C145" s="84" t="s">
        <v>12</v>
      </c>
      <c r="D145" s="84" t="s">
        <v>54</v>
      </c>
      <c r="E145" s="85">
        <v>10000</v>
      </c>
      <c r="F145" s="89" t="s">
        <v>104</v>
      </c>
      <c r="G145" s="90" t="s">
        <v>52</v>
      </c>
      <c r="H145" s="87">
        <f t="shared" si="28"/>
        <v>46204</v>
      </c>
      <c r="I145" s="88" t="str">
        <f t="shared" si="29"/>
        <v>OK</v>
      </c>
      <c r="J145" s="81"/>
      <c r="K145" s="81"/>
      <c r="L145" s="81" t="s">
        <v>48</v>
      </c>
      <c r="M145" s="81"/>
      <c r="N145" s="81"/>
      <c r="O145" s="81"/>
      <c r="P145" s="81" t="str">
        <f t="shared" si="30"/>
        <v>내역</v>
      </c>
      <c r="Q145" s="81" t="str">
        <f t="shared" si="31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2"/>
        <v>지출</v>
      </c>
      <c r="T145" s="81">
        <f t="shared" si="33"/>
        <v>-10000</v>
      </c>
      <c r="U145" s="81" t="str">
        <f t="shared" si="34"/>
        <v>날짜 미기록</v>
      </c>
      <c r="V145" s="81"/>
      <c r="Y145">
        <f t="shared" si="35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6" ht="40" hidden="1" customHeight="1" outlineLevel="1">
      <c r="A146" s="83">
        <v>46204</v>
      </c>
      <c r="B146" s="84" t="s">
        <v>53</v>
      </c>
      <c r="C146" s="84" t="s">
        <v>12</v>
      </c>
      <c r="D146" s="84" t="s">
        <v>54</v>
      </c>
      <c r="E146" s="85">
        <v>30000</v>
      </c>
      <c r="F146" s="89" t="s">
        <v>105</v>
      </c>
      <c r="G146" s="90" t="s">
        <v>52</v>
      </c>
      <c r="H146" s="87">
        <f t="shared" si="28"/>
        <v>46204</v>
      </c>
      <c r="I146" s="88" t="str">
        <f t="shared" si="29"/>
        <v>OK</v>
      </c>
      <c r="J146" s="81"/>
      <c r="K146" s="81"/>
      <c r="L146" s="81" t="s">
        <v>48</v>
      </c>
      <c r="M146" s="81"/>
      <c r="N146" s="81"/>
      <c r="O146" s="81"/>
      <c r="P146" s="81" t="str">
        <f t="shared" si="30"/>
        <v>내역</v>
      </c>
      <c r="Q146" s="81" t="str">
        <f t="shared" si="31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2"/>
        <v>지출</v>
      </c>
      <c r="T146" s="81">
        <f t="shared" si="33"/>
        <v>-30000</v>
      </c>
      <c r="U146" s="81" t="str">
        <f t="shared" si="34"/>
        <v>날짜 미기록</v>
      </c>
      <c r="V146" s="81"/>
      <c r="Y146">
        <f t="shared" si="35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6" ht="40" hidden="1" customHeight="1" outlineLevel="1">
      <c r="A147" s="83">
        <v>46204</v>
      </c>
      <c r="B147" s="84" t="s">
        <v>53</v>
      </c>
      <c r="C147" s="84" t="s">
        <v>12</v>
      </c>
      <c r="D147" s="84" t="s">
        <v>54</v>
      </c>
      <c r="E147" s="85">
        <v>20000</v>
      </c>
      <c r="F147" s="89" t="s">
        <v>96</v>
      </c>
      <c r="G147" s="90" t="s">
        <v>52</v>
      </c>
      <c r="H147" s="87">
        <f t="shared" si="28"/>
        <v>46204</v>
      </c>
      <c r="I147" s="88" t="str">
        <f t="shared" si="29"/>
        <v>OK</v>
      </c>
      <c r="J147" s="81"/>
      <c r="K147" s="81"/>
      <c r="L147" s="81" t="s">
        <v>48</v>
      </c>
      <c r="M147" s="81"/>
      <c r="N147" s="81"/>
      <c r="O147" s="81"/>
      <c r="P147" s="81" t="str">
        <f t="shared" si="30"/>
        <v>내역</v>
      </c>
      <c r="Q147" s="81" t="str">
        <f t="shared" si="31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2"/>
        <v>지출</v>
      </c>
      <c r="T147" s="81">
        <f t="shared" si="33"/>
        <v>-20000</v>
      </c>
      <c r="U147" s="81" t="str">
        <f t="shared" si="34"/>
        <v>날짜 미기록</v>
      </c>
      <c r="V147" s="81"/>
      <c r="Y147">
        <f t="shared" si="35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6" ht="40" hidden="1" customHeight="1" outlineLevel="1">
      <c r="A148" s="83">
        <v>46204</v>
      </c>
      <c r="B148" s="84" t="s">
        <v>53</v>
      </c>
      <c r="C148" s="84" t="s">
        <v>12</v>
      </c>
      <c r="D148" s="84" t="s">
        <v>54</v>
      </c>
      <c r="E148" s="85">
        <v>25000</v>
      </c>
      <c r="F148" s="89" t="s">
        <v>106</v>
      </c>
      <c r="G148" s="90" t="s">
        <v>52</v>
      </c>
      <c r="H148" s="87">
        <f t="shared" si="28"/>
        <v>46204</v>
      </c>
      <c r="I148" s="88" t="str">
        <f t="shared" si="29"/>
        <v>OK</v>
      </c>
      <c r="J148" s="81"/>
      <c r="K148" s="81"/>
      <c r="L148" s="81" t="s">
        <v>48</v>
      </c>
      <c r="M148" s="81"/>
      <c r="N148" s="81"/>
      <c r="O148" s="81"/>
      <c r="P148" s="81" t="str">
        <f t="shared" si="30"/>
        <v>내역</v>
      </c>
      <c r="Q148" s="81" t="str">
        <f t="shared" si="31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2"/>
        <v>지출</v>
      </c>
      <c r="T148" s="81">
        <f t="shared" si="33"/>
        <v>-25000</v>
      </c>
      <c r="U148" s="81" t="str">
        <f t="shared" si="34"/>
        <v>날짜 미기록</v>
      </c>
      <c r="V148" s="81"/>
      <c r="Y148">
        <f t="shared" si="35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6" ht="40" hidden="1" customHeight="1" outlineLevel="1">
      <c r="A149" s="83">
        <v>46204</v>
      </c>
      <c r="B149" s="84" t="s">
        <v>53</v>
      </c>
      <c r="C149" s="84" t="s">
        <v>12</v>
      </c>
      <c r="D149" s="84" t="s">
        <v>54</v>
      </c>
      <c r="E149" s="85">
        <v>10000</v>
      </c>
      <c r="F149" s="89" t="s">
        <v>107</v>
      </c>
      <c r="G149" s="90" t="s">
        <v>52</v>
      </c>
      <c r="H149" s="87">
        <f t="shared" si="28"/>
        <v>46204</v>
      </c>
      <c r="I149" s="88" t="str">
        <f t="shared" si="29"/>
        <v>OK</v>
      </c>
      <c r="J149" s="81"/>
      <c r="K149" s="81"/>
      <c r="L149" s="81" t="s">
        <v>48</v>
      </c>
      <c r="M149" s="81"/>
      <c r="N149" s="81"/>
      <c r="O149" s="81"/>
      <c r="P149" s="81" t="str">
        <f t="shared" si="30"/>
        <v>내역</v>
      </c>
      <c r="Q149" s="81" t="str">
        <f t="shared" si="31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2"/>
        <v>지출</v>
      </c>
      <c r="T149" s="81">
        <f t="shared" si="33"/>
        <v>-10000</v>
      </c>
      <c r="U149" s="81" t="str">
        <f t="shared" si="34"/>
        <v>날짜 미기록</v>
      </c>
      <c r="V149" s="81"/>
      <c r="Y149">
        <f t="shared" si="35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6" ht="40" hidden="1" customHeight="1" outlineLevel="1">
      <c r="A150" s="83">
        <v>46204</v>
      </c>
      <c r="B150" s="84" t="s">
        <v>53</v>
      </c>
      <c r="C150" s="84" t="s">
        <v>12</v>
      </c>
      <c r="D150" s="84" t="s">
        <v>54</v>
      </c>
      <c r="E150" s="85">
        <v>28800</v>
      </c>
      <c r="F150" s="89" t="s">
        <v>97</v>
      </c>
      <c r="G150" s="90" t="s">
        <v>52</v>
      </c>
      <c r="H150" s="87">
        <f t="shared" si="28"/>
        <v>46204</v>
      </c>
      <c r="I150" s="88" t="str">
        <f t="shared" si="29"/>
        <v>OK</v>
      </c>
      <c r="J150" s="81"/>
      <c r="K150" s="81"/>
      <c r="L150" s="81" t="s">
        <v>48</v>
      </c>
      <c r="M150" s="81"/>
      <c r="N150" s="81"/>
      <c r="O150" s="81"/>
      <c r="P150" s="81" t="str">
        <f t="shared" si="30"/>
        <v>내역</v>
      </c>
      <c r="Q150" s="81" t="str">
        <f t="shared" si="31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2"/>
        <v>지출</v>
      </c>
      <c r="T150" s="81">
        <f t="shared" si="33"/>
        <v>-28800</v>
      </c>
      <c r="U150" s="81" t="str">
        <f t="shared" si="34"/>
        <v>날짜 미기록</v>
      </c>
      <c r="V150" s="81"/>
      <c r="Y150">
        <f t="shared" si="35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6" ht="40" hidden="1" customHeight="1" outlineLevel="1">
      <c r="A151" s="83">
        <v>46204</v>
      </c>
      <c r="B151" s="84" t="s">
        <v>53</v>
      </c>
      <c r="C151" s="84" t="s">
        <v>12</v>
      </c>
      <c r="D151" s="84" t="s">
        <v>54</v>
      </c>
      <c r="E151" s="85">
        <v>16500</v>
      </c>
      <c r="F151" s="89" t="s">
        <v>108</v>
      </c>
      <c r="G151" s="90" t="s">
        <v>52</v>
      </c>
      <c r="H151" s="87">
        <f t="shared" si="28"/>
        <v>46204</v>
      </c>
      <c r="I151" s="88" t="str">
        <f t="shared" si="29"/>
        <v>OK</v>
      </c>
      <c r="J151" s="81"/>
      <c r="K151" s="81"/>
      <c r="L151" s="81" t="s">
        <v>48</v>
      </c>
      <c r="M151" s="81"/>
      <c r="N151" s="81"/>
      <c r="O151" s="81"/>
      <c r="P151" s="81" t="str">
        <f t="shared" si="30"/>
        <v>내역</v>
      </c>
      <c r="Q151" s="81" t="str">
        <f t="shared" si="31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2"/>
        <v>지출</v>
      </c>
      <c r="T151" s="81">
        <f t="shared" si="33"/>
        <v>-16500</v>
      </c>
      <c r="U151" s="81" t="str">
        <f t="shared" si="34"/>
        <v>날짜 미기록</v>
      </c>
      <c r="V151" s="81"/>
      <c r="Y151">
        <f t="shared" si="35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6" ht="40" hidden="1" customHeight="1" outlineLevel="1">
      <c r="A152" s="83">
        <v>46204</v>
      </c>
      <c r="B152" s="84" t="s">
        <v>53</v>
      </c>
      <c r="C152" s="84" t="s">
        <v>12</v>
      </c>
      <c r="D152" s="84" t="s">
        <v>54</v>
      </c>
      <c r="E152" s="85">
        <v>140000</v>
      </c>
      <c r="F152" s="89" t="s">
        <v>109</v>
      </c>
      <c r="G152" s="90" t="s">
        <v>52</v>
      </c>
      <c r="H152" s="87">
        <f t="shared" si="28"/>
        <v>46204</v>
      </c>
      <c r="I152" s="88" t="str">
        <f t="shared" si="29"/>
        <v>OK</v>
      </c>
      <c r="J152" s="81"/>
      <c r="K152" s="81"/>
      <c r="L152" s="81" t="s">
        <v>48</v>
      </c>
      <c r="M152" s="81"/>
      <c r="N152" s="81"/>
      <c r="O152" s="81"/>
      <c r="P152" s="81" t="str">
        <f t="shared" si="30"/>
        <v>내역</v>
      </c>
      <c r="Q152" s="81" t="str">
        <f t="shared" si="31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2"/>
        <v>지출</v>
      </c>
      <c r="T152" s="81">
        <f t="shared" si="33"/>
        <v>-140000</v>
      </c>
      <c r="U152" s="81" t="str">
        <f t="shared" si="34"/>
        <v>날짜 미기록</v>
      </c>
      <c r="V152" s="81"/>
      <c r="Y152">
        <f t="shared" si="35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6" ht="40" hidden="1" customHeight="1" outlineLevel="1">
      <c r="A153" s="83">
        <v>46204</v>
      </c>
      <c r="B153" s="84" t="s">
        <v>53</v>
      </c>
      <c r="C153" s="84" t="s">
        <v>12</v>
      </c>
      <c r="D153" s="84" t="s">
        <v>54</v>
      </c>
      <c r="E153" s="85">
        <v>540000</v>
      </c>
      <c r="F153" s="89" t="s">
        <v>110</v>
      </c>
      <c r="G153" s="90" t="s">
        <v>111</v>
      </c>
      <c r="H153" s="87">
        <f t="shared" si="28"/>
        <v>46204</v>
      </c>
      <c r="I153" s="88" t="str">
        <f t="shared" si="29"/>
        <v>OK</v>
      </c>
      <c r="J153" s="81"/>
      <c r="K153" s="81"/>
      <c r="L153" s="81" t="s">
        <v>48</v>
      </c>
      <c r="M153" s="81"/>
      <c r="N153" s="81"/>
      <c r="O153" s="81"/>
      <c r="P153" s="81" t="str">
        <f t="shared" si="30"/>
        <v>내역</v>
      </c>
      <c r="Q153" s="81" t="str">
        <f t="shared" si="31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2"/>
        <v>지출</v>
      </c>
      <c r="T153" s="81">
        <f t="shared" si="33"/>
        <v>-540000</v>
      </c>
      <c r="U153" s="81" t="str">
        <f t="shared" si="34"/>
        <v>날짜 미기록</v>
      </c>
      <c r="V153" s="81"/>
      <c r="Y153">
        <f t="shared" si="35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6" ht="40" hidden="1" customHeight="1" outlineLevel="1">
      <c r="A154" s="83">
        <v>46204</v>
      </c>
      <c r="B154" s="84" t="s">
        <v>53</v>
      </c>
      <c r="C154" s="84" t="s">
        <v>12</v>
      </c>
      <c r="D154" s="84" t="s">
        <v>54</v>
      </c>
      <c r="E154" s="85">
        <v>25000</v>
      </c>
      <c r="F154" s="89" t="s">
        <v>112</v>
      </c>
      <c r="G154" s="90" t="s">
        <v>52</v>
      </c>
      <c r="H154" s="87">
        <f t="shared" si="28"/>
        <v>46204</v>
      </c>
      <c r="I154" s="88" t="str">
        <f t="shared" si="29"/>
        <v>OK</v>
      </c>
      <c r="J154" s="81"/>
      <c r="K154" s="81"/>
      <c r="L154" s="81" t="s">
        <v>48</v>
      </c>
      <c r="M154" s="81"/>
      <c r="N154" s="81"/>
      <c r="O154" s="81"/>
      <c r="P154" s="81" t="str">
        <f t="shared" si="30"/>
        <v>내역</v>
      </c>
      <c r="Q154" s="81" t="str">
        <f t="shared" si="31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2"/>
        <v>지출</v>
      </c>
      <c r="T154" s="81">
        <f t="shared" si="33"/>
        <v>-25000</v>
      </c>
      <c r="U154" s="81" t="str">
        <f t="shared" si="34"/>
        <v>날짜 미기록</v>
      </c>
      <c r="V154" s="81"/>
      <c r="Y154">
        <f t="shared" si="35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6" ht="40" hidden="1" customHeight="1" outlineLevel="1">
      <c r="A155" s="83">
        <v>46204</v>
      </c>
      <c r="B155" s="84" t="s">
        <v>56</v>
      </c>
      <c r="C155" s="84" t="s">
        <v>57</v>
      </c>
      <c r="D155" s="84" t="s">
        <v>13</v>
      </c>
      <c r="E155" s="85">
        <v>100000</v>
      </c>
      <c r="F155" s="89" t="s">
        <v>58</v>
      </c>
      <c r="G155" s="90" t="s">
        <v>52</v>
      </c>
      <c r="H155" s="87">
        <f t="shared" si="28"/>
        <v>46204</v>
      </c>
      <c r="I155" s="88" t="str">
        <f t="shared" si="29"/>
        <v>OK</v>
      </c>
      <c r="J155" s="81"/>
      <c r="K155" s="81"/>
      <c r="L155" s="81" t="s">
        <v>48</v>
      </c>
      <c r="M155" s="81"/>
      <c r="N155" s="81"/>
      <c r="O155" s="81"/>
      <c r="P155" s="81" t="str">
        <f t="shared" si="30"/>
        <v>내역</v>
      </c>
      <c r="Q155" s="81" t="str">
        <f t="shared" si="31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2"/>
        <v>명절비</v>
      </c>
      <c r="T155" s="81">
        <f t="shared" si="33"/>
        <v>100000</v>
      </c>
      <c r="U155" s="81" t="str">
        <f t="shared" si="34"/>
        <v>날짜 미기록</v>
      </c>
      <c r="V155" s="81"/>
      <c r="Y155">
        <f t="shared" si="35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6" ht="40" hidden="1" customHeight="1" outlineLevel="1">
      <c r="A156" s="83">
        <v>46204</v>
      </c>
      <c r="B156" s="84" t="s">
        <v>56</v>
      </c>
      <c r="C156" s="84" t="s">
        <v>57</v>
      </c>
      <c r="D156" s="84" t="s">
        <v>15</v>
      </c>
      <c r="E156" s="85">
        <v>50000</v>
      </c>
      <c r="F156" s="89" t="s">
        <v>99</v>
      </c>
      <c r="G156" s="90" t="s">
        <v>52</v>
      </c>
      <c r="H156" s="87">
        <f t="shared" si="28"/>
        <v>46204</v>
      </c>
      <c r="I156" s="88" t="str">
        <f t="shared" si="29"/>
        <v>OK</v>
      </c>
      <c r="J156" s="81"/>
      <c r="K156" s="81"/>
      <c r="L156" s="81" t="s">
        <v>48</v>
      </c>
      <c r="M156" s="81"/>
      <c r="N156" s="81"/>
      <c r="O156" s="81"/>
      <c r="P156" s="81" t="str">
        <f t="shared" si="30"/>
        <v>내역</v>
      </c>
      <c r="Q156" s="81" t="str">
        <f t="shared" si="31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2"/>
        <v>경조사비</v>
      </c>
      <c r="T156" s="81">
        <f t="shared" si="33"/>
        <v>50000</v>
      </c>
      <c r="U156" s="81" t="str">
        <f t="shared" si="34"/>
        <v>날짜 미기록</v>
      </c>
      <c r="V156" s="81"/>
      <c r="Y156">
        <f t="shared" si="35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6" ht="40" hidden="1" customHeight="1" outlineLevel="1">
      <c r="A157" s="83">
        <v>46204</v>
      </c>
      <c r="B157" s="84" t="s">
        <v>56</v>
      </c>
      <c r="C157" s="84" t="s">
        <v>57</v>
      </c>
      <c r="D157" s="84" t="s">
        <v>16</v>
      </c>
      <c r="E157" s="85">
        <v>100000</v>
      </c>
      <c r="F157" s="89" t="s">
        <v>60</v>
      </c>
      <c r="G157" s="90" t="s">
        <v>52</v>
      </c>
      <c r="H157" s="87">
        <f t="shared" si="28"/>
        <v>46204</v>
      </c>
      <c r="I157" s="88" t="str">
        <f t="shared" si="29"/>
        <v>OK</v>
      </c>
      <c r="J157" s="81"/>
      <c r="K157" s="81"/>
      <c r="L157" s="81" t="s">
        <v>48</v>
      </c>
      <c r="M157" s="81"/>
      <c r="N157" s="81"/>
      <c r="O157" s="81"/>
      <c r="P157" s="81" t="str">
        <f t="shared" si="30"/>
        <v>내역</v>
      </c>
      <c r="Q157" s="81" t="str">
        <f t="shared" si="31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2"/>
        <v>상환비</v>
      </c>
      <c r="T157" s="81">
        <f t="shared" si="33"/>
        <v>100000</v>
      </c>
      <c r="U157" s="81" t="str">
        <f t="shared" si="34"/>
        <v>날짜 미기록</v>
      </c>
      <c r="V157" s="81"/>
      <c r="Y157">
        <f t="shared" si="35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6" ht="40" hidden="1" customHeight="1" outlineLevel="1">
      <c r="A158" s="83">
        <v>46204</v>
      </c>
      <c r="B158" s="84" t="s">
        <v>50</v>
      </c>
      <c r="C158" s="84" t="s">
        <v>45</v>
      </c>
      <c r="D158" s="84" t="s">
        <v>19</v>
      </c>
      <c r="E158" s="85">
        <v>4448</v>
      </c>
      <c r="F158" s="89" t="s">
        <v>69</v>
      </c>
      <c r="G158" s="90" t="s">
        <v>52</v>
      </c>
      <c r="H158" s="87">
        <f t="shared" si="28"/>
        <v>46204</v>
      </c>
      <c r="I158" s="88" t="str">
        <f t="shared" si="29"/>
        <v>OK</v>
      </c>
      <c r="J158" s="81"/>
      <c r="K158" s="81"/>
      <c r="L158" s="81" t="s">
        <v>48</v>
      </c>
      <c r="M158" s="81"/>
      <c r="N158" s="81"/>
      <c r="O158" s="81"/>
      <c r="P158" s="81" t="str">
        <f t="shared" si="30"/>
        <v>내역</v>
      </c>
      <c r="Q158" s="81" t="str">
        <f t="shared" si="31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2"/>
        <v>금융</v>
      </c>
      <c r="T158" s="81">
        <f t="shared" si="33"/>
        <v>4448</v>
      </c>
      <c r="U158" s="81" t="str">
        <f t="shared" si="34"/>
        <v>날짜 미기록</v>
      </c>
      <c r="V158" s="81"/>
      <c r="Y158">
        <f t="shared" si="35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6" ht="40" hidden="1" customHeight="1" outlineLevel="1">
      <c r="A159" s="83">
        <v>46204</v>
      </c>
      <c r="B159" s="84" t="s">
        <v>50</v>
      </c>
      <c r="C159" s="84" t="s">
        <v>45</v>
      </c>
      <c r="D159" s="84" t="s">
        <v>19</v>
      </c>
      <c r="E159" s="85">
        <v>821</v>
      </c>
      <c r="F159" s="89" t="s">
        <v>113</v>
      </c>
      <c r="G159" s="90" t="s">
        <v>52</v>
      </c>
      <c r="H159" s="87">
        <f t="shared" si="28"/>
        <v>46204</v>
      </c>
      <c r="I159" s="88" t="str">
        <f t="shared" si="29"/>
        <v>OK</v>
      </c>
      <c r="J159" s="81"/>
      <c r="K159" s="81"/>
      <c r="L159" s="81" t="s">
        <v>48</v>
      </c>
      <c r="M159" s="81"/>
      <c r="N159" s="81"/>
      <c r="O159" s="81"/>
      <c r="P159" s="81" t="str">
        <f t="shared" si="30"/>
        <v>내역</v>
      </c>
      <c r="Q159" s="81" t="str">
        <f t="shared" si="31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2"/>
        <v>금융</v>
      </c>
      <c r="T159" s="81">
        <f t="shared" si="33"/>
        <v>821</v>
      </c>
      <c r="U159" s="81" t="str">
        <f t="shared" si="34"/>
        <v>날짜 미기록</v>
      </c>
      <c r="V159" s="81"/>
      <c r="Y159">
        <f t="shared" si="35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6" ht="40" hidden="1" customHeight="1" outlineLevel="1">
      <c r="A160" s="83">
        <v>46204</v>
      </c>
      <c r="B160" s="84" t="s">
        <v>50</v>
      </c>
      <c r="C160" s="84" t="s">
        <v>45</v>
      </c>
      <c r="D160" s="84" t="s">
        <v>19</v>
      </c>
      <c r="E160" s="85">
        <v>2905</v>
      </c>
      <c r="F160" s="89" t="s">
        <v>69</v>
      </c>
      <c r="G160" s="90" t="s">
        <v>52</v>
      </c>
      <c r="H160" s="87">
        <f t="shared" si="28"/>
        <v>46204</v>
      </c>
      <c r="I160" s="88" t="str">
        <f t="shared" si="29"/>
        <v>OK</v>
      </c>
      <c r="J160" s="81"/>
      <c r="K160" s="81"/>
      <c r="L160" s="81" t="s">
        <v>48</v>
      </c>
      <c r="M160" s="81"/>
      <c r="N160" s="81"/>
      <c r="O160" s="81"/>
      <c r="P160" s="81" t="str">
        <f t="shared" si="30"/>
        <v>내역</v>
      </c>
      <c r="Q160" s="81" t="str">
        <f t="shared" si="31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2"/>
        <v>금융</v>
      </c>
      <c r="T160" s="81">
        <f t="shared" si="33"/>
        <v>2905</v>
      </c>
      <c r="U160" s="81" t="str">
        <f t="shared" si="34"/>
        <v>날짜 미기록</v>
      </c>
      <c r="V160" s="81"/>
      <c r="Y160">
        <f t="shared" si="35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6" ht="40" hidden="1" customHeight="1" outlineLevel="1">
      <c r="A161" s="83">
        <v>46204</v>
      </c>
      <c r="B161" s="84" t="s">
        <v>50</v>
      </c>
      <c r="C161" s="84" t="s">
        <v>45</v>
      </c>
      <c r="D161" s="84" t="s">
        <v>19</v>
      </c>
      <c r="E161" s="85">
        <v>2263</v>
      </c>
      <c r="F161" s="89" t="s">
        <v>69</v>
      </c>
      <c r="G161" s="90" t="s">
        <v>52</v>
      </c>
      <c r="H161" s="87">
        <f t="shared" si="28"/>
        <v>46204</v>
      </c>
      <c r="I161" s="88" t="str">
        <f t="shared" si="29"/>
        <v>OK</v>
      </c>
      <c r="J161" s="81"/>
      <c r="K161" s="81"/>
      <c r="L161" s="81" t="s">
        <v>48</v>
      </c>
      <c r="M161" s="81"/>
      <c r="N161" s="81"/>
      <c r="O161" s="81"/>
      <c r="P161" s="81" t="str">
        <f t="shared" si="30"/>
        <v>내역</v>
      </c>
      <c r="Q161" s="81" t="str">
        <f t="shared" si="31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2"/>
        <v>금융</v>
      </c>
      <c r="T161" s="81">
        <f t="shared" si="33"/>
        <v>2263</v>
      </c>
      <c r="U161" s="81" t="str">
        <f t="shared" si="34"/>
        <v>날짜 미기록</v>
      </c>
      <c r="V161" s="81"/>
      <c r="Y161">
        <f t="shared" si="35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6" ht="40" hidden="1" customHeight="1" outlineLevel="1">
      <c r="A162" s="83">
        <v>46204</v>
      </c>
      <c r="B162" s="84" t="s">
        <v>50</v>
      </c>
      <c r="C162" s="84" t="s">
        <v>45</v>
      </c>
      <c r="D162" s="84" t="s">
        <v>19</v>
      </c>
      <c r="E162" s="85">
        <v>27858</v>
      </c>
      <c r="F162" s="89" t="s">
        <v>69</v>
      </c>
      <c r="G162" s="90" t="s">
        <v>52</v>
      </c>
      <c r="H162" s="87">
        <f t="shared" si="28"/>
        <v>46204</v>
      </c>
      <c r="I162" s="88" t="str">
        <f t="shared" si="29"/>
        <v>OK</v>
      </c>
      <c r="J162" s="81"/>
      <c r="K162" s="81"/>
      <c r="L162" s="81" t="s">
        <v>48</v>
      </c>
      <c r="M162" s="81"/>
      <c r="N162" s="81"/>
      <c r="O162" s="81"/>
      <c r="P162" s="81" t="str">
        <f t="shared" si="30"/>
        <v>내역</v>
      </c>
      <c r="Q162" s="81" t="str">
        <f t="shared" si="31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2"/>
        <v>금융</v>
      </c>
      <c r="T162" s="81">
        <f t="shared" si="33"/>
        <v>27858</v>
      </c>
      <c r="U162" s="81" t="str">
        <f t="shared" si="34"/>
        <v>날짜 미기록</v>
      </c>
      <c r="V162" s="81"/>
      <c r="Y162">
        <f t="shared" si="35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6" ht="40" hidden="1" customHeight="1" outlineLevel="1">
      <c r="A163" s="83">
        <v>46204</v>
      </c>
      <c r="B163" s="84" t="s">
        <v>65</v>
      </c>
      <c r="C163" s="84" t="s">
        <v>19</v>
      </c>
      <c r="D163" s="84" t="s">
        <v>45</v>
      </c>
      <c r="E163" s="85">
        <v>15334</v>
      </c>
      <c r="F163" s="89" t="s">
        <v>83</v>
      </c>
      <c r="G163" s="90" t="s">
        <v>52</v>
      </c>
      <c r="H163" s="87">
        <f t="shared" si="28"/>
        <v>46204</v>
      </c>
      <c r="I163" s="88" t="str">
        <f t="shared" si="29"/>
        <v>OK</v>
      </c>
      <c r="J163" s="81"/>
      <c r="K163" s="81"/>
      <c r="L163" s="81" t="s">
        <v>48</v>
      </c>
      <c r="M163" s="81"/>
      <c r="N163" s="81"/>
      <c r="O163" s="81"/>
      <c r="P163" s="81" t="str">
        <f t="shared" si="30"/>
        <v>이체</v>
      </c>
      <c r="Q163" s="81" t="str">
        <f t="shared" si="31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2"/>
        <v>외부</v>
      </c>
      <c r="T163" s="81">
        <f t="shared" si="33"/>
        <v>15334</v>
      </c>
      <c r="U163" s="81" t="str">
        <f t="shared" si="34"/>
        <v>날짜 미기록</v>
      </c>
      <c r="V163" s="81"/>
      <c r="Y163">
        <f t="shared" si="35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6" ht="40" hidden="1" customHeight="1" outlineLevel="1">
      <c r="A164" s="83">
        <v>46204</v>
      </c>
      <c r="B164" s="84" t="s">
        <v>50</v>
      </c>
      <c r="C164" s="84" t="s">
        <v>45</v>
      </c>
      <c r="D164" s="84" t="s">
        <v>20</v>
      </c>
      <c r="E164" s="85">
        <v>7434473</v>
      </c>
      <c r="F164" s="89" t="s">
        <v>114</v>
      </c>
      <c r="G164" s="90" t="s">
        <v>52</v>
      </c>
      <c r="H164" s="87">
        <f t="shared" si="28"/>
        <v>46204</v>
      </c>
      <c r="I164" s="88" t="str">
        <f t="shared" si="29"/>
        <v>OK</v>
      </c>
      <c r="J164" s="81"/>
      <c r="K164" s="81"/>
      <c r="L164" s="81" t="s">
        <v>48</v>
      </c>
      <c r="M164" s="81"/>
      <c r="N164" s="81"/>
      <c r="O164" s="81"/>
      <c r="P164" s="81" t="str">
        <f t="shared" si="30"/>
        <v>내역</v>
      </c>
      <c r="Q164" s="81" t="str">
        <f t="shared" si="31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2"/>
        <v>임시보관</v>
      </c>
      <c r="T164" s="81">
        <f t="shared" si="33"/>
        <v>7434473</v>
      </c>
      <c r="U164" s="81" t="str">
        <f t="shared" si="34"/>
        <v>날짜 미기록</v>
      </c>
      <c r="V164" s="81"/>
      <c r="Y164">
        <f t="shared" si="35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6" ht="40" hidden="1" customHeight="1" outlineLevel="1">
      <c r="A165" s="83">
        <v>46204</v>
      </c>
      <c r="B165" s="84" t="s">
        <v>50</v>
      </c>
      <c r="C165" s="84" t="s">
        <v>45</v>
      </c>
      <c r="D165" s="84" t="s">
        <v>20</v>
      </c>
      <c r="E165" s="85">
        <v>250000</v>
      </c>
      <c r="F165" s="89" t="s">
        <v>115</v>
      </c>
      <c r="G165" s="90" t="s">
        <v>52</v>
      </c>
      <c r="H165" s="87">
        <f t="shared" si="28"/>
        <v>46204</v>
      </c>
      <c r="I165" s="88" t="str">
        <f t="shared" si="29"/>
        <v>OK</v>
      </c>
      <c r="J165" s="81"/>
      <c r="K165" s="81"/>
      <c r="L165" s="81" t="s">
        <v>48</v>
      </c>
      <c r="M165" s="81"/>
      <c r="N165" s="81"/>
      <c r="O165" s="81"/>
      <c r="P165" s="81" t="str">
        <f t="shared" si="30"/>
        <v>내역</v>
      </c>
      <c r="Q165" s="81" t="str">
        <f t="shared" si="31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2"/>
        <v>임시보관</v>
      </c>
      <c r="T165" s="81">
        <f t="shared" si="33"/>
        <v>250000</v>
      </c>
      <c r="U165" s="81" t="str">
        <f t="shared" si="34"/>
        <v>날짜 미기록</v>
      </c>
      <c r="V165" s="81"/>
      <c r="Y165">
        <f t="shared" si="35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6" ht="40" hidden="1" customHeight="1" outlineLevel="1">
      <c r="A166" s="83">
        <v>46204</v>
      </c>
      <c r="B166" s="84" t="s">
        <v>53</v>
      </c>
      <c r="C166" s="84" t="s">
        <v>20</v>
      </c>
      <c r="D166" s="84" t="s">
        <v>54</v>
      </c>
      <c r="E166" s="85">
        <v>550000</v>
      </c>
      <c r="F166" s="89" t="s">
        <v>73</v>
      </c>
      <c r="G166" s="90" t="s">
        <v>52</v>
      </c>
      <c r="H166" s="87">
        <f t="shared" si="28"/>
        <v>46204</v>
      </c>
      <c r="I166" s="88" t="str">
        <f t="shared" si="29"/>
        <v>OK</v>
      </c>
      <c r="J166" s="81"/>
      <c r="K166" s="81"/>
      <c r="L166" s="81" t="s">
        <v>48</v>
      </c>
      <c r="M166" s="81"/>
      <c r="N166" s="81"/>
      <c r="O166" s="81"/>
      <c r="P166" s="81" t="str">
        <f t="shared" si="30"/>
        <v>내역</v>
      </c>
      <c r="Q166" s="81" t="str">
        <f t="shared" si="31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2"/>
        <v>지출</v>
      </c>
      <c r="T166" s="81">
        <f t="shared" si="33"/>
        <v>-550000</v>
      </c>
      <c r="U166" s="81" t="str">
        <f t="shared" si="34"/>
        <v>날짜 미기록</v>
      </c>
      <c r="V166" s="81"/>
      <c r="Y166">
        <f t="shared" si="35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6" ht="40" hidden="1" customHeight="1" outlineLevel="1">
      <c r="A167" s="83">
        <v>46204</v>
      </c>
      <c r="B167" s="84" t="s">
        <v>53</v>
      </c>
      <c r="C167" s="84" t="s">
        <v>20</v>
      </c>
      <c r="D167" s="84" t="s">
        <v>54</v>
      </c>
      <c r="E167" s="85">
        <v>1200</v>
      </c>
      <c r="F167" s="89" t="s">
        <v>116</v>
      </c>
      <c r="G167" s="90" t="s">
        <v>52</v>
      </c>
      <c r="H167" s="87">
        <f t="shared" si="28"/>
        <v>46204</v>
      </c>
      <c r="I167" s="88" t="str">
        <f t="shared" si="29"/>
        <v>OK</v>
      </c>
      <c r="J167" s="81"/>
      <c r="K167" s="81"/>
      <c r="L167" s="81" t="s">
        <v>48</v>
      </c>
      <c r="M167" s="81"/>
      <c r="N167" s="81"/>
      <c r="O167" s="81"/>
      <c r="P167" s="81" t="str">
        <f t="shared" si="30"/>
        <v>내역</v>
      </c>
      <c r="Q167" s="81" t="str">
        <f t="shared" si="31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2"/>
        <v>지출</v>
      </c>
      <c r="T167" s="81">
        <f t="shared" si="33"/>
        <v>-1200</v>
      </c>
      <c r="U167" s="81" t="str">
        <f t="shared" si="34"/>
        <v>날짜 미기록</v>
      </c>
      <c r="V167" s="81"/>
      <c r="Y167">
        <f t="shared" si="35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6" ht="40" hidden="1" customHeight="1" outlineLevel="1">
      <c r="A168" s="83">
        <v>46204</v>
      </c>
      <c r="B168" s="84" t="s">
        <v>53</v>
      </c>
      <c r="C168" s="84" t="s">
        <v>20</v>
      </c>
      <c r="D168" s="84" t="s">
        <v>54</v>
      </c>
      <c r="E168" s="85">
        <v>55000</v>
      </c>
      <c r="F168" s="89" t="s">
        <v>117</v>
      </c>
      <c r="G168" s="90" t="s">
        <v>52</v>
      </c>
      <c r="H168" s="87">
        <f t="shared" si="28"/>
        <v>46204</v>
      </c>
      <c r="I168" s="88" t="str">
        <f t="shared" si="29"/>
        <v>OK</v>
      </c>
      <c r="J168" s="81"/>
      <c r="K168" s="81"/>
      <c r="L168" s="81" t="s">
        <v>48</v>
      </c>
      <c r="M168" s="81"/>
      <c r="N168" s="81"/>
      <c r="O168" s="81"/>
      <c r="P168" s="81" t="str">
        <f t="shared" si="30"/>
        <v>내역</v>
      </c>
      <c r="Q168" s="81" t="str">
        <f t="shared" si="31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2"/>
        <v>지출</v>
      </c>
      <c r="T168" s="81">
        <f t="shared" si="33"/>
        <v>-55000</v>
      </c>
      <c r="U168" s="81" t="str">
        <f t="shared" si="34"/>
        <v>날짜 미기록</v>
      </c>
      <c r="V168" s="81"/>
      <c r="Y168">
        <f t="shared" si="35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6" ht="40" hidden="1" customHeight="1" outlineLevel="1">
      <c r="A169" s="83">
        <v>46204</v>
      </c>
      <c r="B169" s="84" t="s">
        <v>53</v>
      </c>
      <c r="C169" s="84" t="s">
        <v>20</v>
      </c>
      <c r="D169" s="84" t="s">
        <v>54</v>
      </c>
      <c r="E169" s="85">
        <v>265210</v>
      </c>
      <c r="F169" s="89" t="s">
        <v>118</v>
      </c>
      <c r="G169" s="90" t="s">
        <v>52</v>
      </c>
      <c r="H169" s="87">
        <f t="shared" si="28"/>
        <v>46204</v>
      </c>
      <c r="I169" s="88" t="str">
        <f t="shared" si="29"/>
        <v>OK</v>
      </c>
      <c r="J169" s="81"/>
      <c r="K169" s="81"/>
      <c r="L169" s="81" t="s">
        <v>48</v>
      </c>
      <c r="M169" s="81"/>
      <c r="N169" s="81"/>
      <c r="O169" s="81"/>
      <c r="P169" s="81" t="str">
        <f t="shared" si="30"/>
        <v>내역</v>
      </c>
      <c r="Q169" s="81" t="str">
        <f t="shared" si="31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2"/>
        <v>지출</v>
      </c>
      <c r="T169" s="81">
        <f t="shared" si="33"/>
        <v>-265210</v>
      </c>
      <c r="U169" s="81" t="str">
        <f t="shared" si="34"/>
        <v>날짜 미기록</v>
      </c>
      <c r="V169" s="81"/>
      <c r="Y169">
        <f t="shared" si="35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6" ht="40" hidden="1" customHeight="1" outlineLevel="1">
      <c r="A170" s="83">
        <v>46204</v>
      </c>
      <c r="B170" s="84" t="s">
        <v>53</v>
      </c>
      <c r="C170" s="84" t="s">
        <v>20</v>
      </c>
      <c r="D170" s="84" t="s">
        <v>54</v>
      </c>
      <c r="E170" s="85">
        <v>743852</v>
      </c>
      <c r="F170" s="89" t="s">
        <v>76</v>
      </c>
      <c r="G170" s="90" t="s">
        <v>52</v>
      </c>
      <c r="H170" s="87">
        <f t="shared" si="28"/>
        <v>46204</v>
      </c>
      <c r="I170" s="88" t="str">
        <f t="shared" si="29"/>
        <v>OK</v>
      </c>
      <c r="J170" s="81"/>
      <c r="K170" s="81"/>
      <c r="L170" s="81" t="s">
        <v>48</v>
      </c>
      <c r="M170" s="81"/>
      <c r="N170" s="81"/>
      <c r="O170" s="81"/>
      <c r="P170" s="81" t="str">
        <f t="shared" si="30"/>
        <v>내역</v>
      </c>
      <c r="Q170" s="81" t="str">
        <f t="shared" si="31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2"/>
        <v>지출</v>
      </c>
      <c r="T170" s="81">
        <f t="shared" si="33"/>
        <v>-743852</v>
      </c>
      <c r="U170" s="81" t="str">
        <f t="shared" si="34"/>
        <v>날짜 미기록</v>
      </c>
      <c r="V170" s="81"/>
      <c r="Y170">
        <f t="shared" si="35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6" ht="40" hidden="1" customHeight="1" outlineLevel="1">
      <c r="A171" s="83">
        <v>46204</v>
      </c>
      <c r="B171" s="84" t="s">
        <v>53</v>
      </c>
      <c r="C171" s="84" t="s">
        <v>20</v>
      </c>
      <c r="D171" s="84" t="s">
        <v>54</v>
      </c>
      <c r="E171" s="85">
        <v>202700</v>
      </c>
      <c r="F171" s="89" t="s">
        <v>102</v>
      </c>
      <c r="G171" s="90" t="s">
        <v>52</v>
      </c>
      <c r="H171" s="87">
        <f t="shared" si="28"/>
        <v>46204</v>
      </c>
      <c r="I171" s="88" t="str">
        <f t="shared" si="29"/>
        <v>OK</v>
      </c>
      <c r="J171" s="81"/>
      <c r="K171" s="81"/>
      <c r="L171" s="81" t="s">
        <v>48</v>
      </c>
      <c r="M171" s="81"/>
      <c r="N171" s="81"/>
      <c r="O171" s="81"/>
      <c r="P171" s="81" t="str">
        <f t="shared" si="30"/>
        <v>내역</v>
      </c>
      <c r="Q171" s="81" t="str">
        <f t="shared" si="31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2"/>
        <v>지출</v>
      </c>
      <c r="T171" s="81">
        <f t="shared" si="33"/>
        <v>-202700</v>
      </c>
      <c r="U171" s="81" t="str">
        <f t="shared" si="34"/>
        <v>날짜 미기록</v>
      </c>
      <c r="V171" s="81"/>
      <c r="Y171">
        <f t="shared" si="35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6" ht="40" hidden="1" customHeight="1" outlineLevel="1">
      <c r="A172" s="83">
        <v>46204</v>
      </c>
      <c r="B172" s="84" t="s">
        <v>53</v>
      </c>
      <c r="C172" s="84" t="s">
        <v>20</v>
      </c>
      <c r="D172" s="84" t="s">
        <v>54</v>
      </c>
      <c r="E172" s="85">
        <v>731745</v>
      </c>
      <c r="F172" s="89" t="s">
        <v>75</v>
      </c>
      <c r="G172" s="90" t="s">
        <v>52</v>
      </c>
      <c r="H172" s="87">
        <f t="shared" si="28"/>
        <v>46204</v>
      </c>
      <c r="I172" s="88" t="str">
        <f t="shared" si="29"/>
        <v>OK</v>
      </c>
      <c r="J172" s="81"/>
      <c r="K172" s="81"/>
      <c r="L172" s="81" t="s">
        <v>48</v>
      </c>
      <c r="M172" s="81"/>
      <c r="N172" s="81"/>
      <c r="O172" s="81"/>
      <c r="P172" s="81" t="str">
        <f t="shared" si="30"/>
        <v>내역</v>
      </c>
      <c r="Q172" s="81" t="str">
        <f t="shared" si="31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2"/>
        <v>지출</v>
      </c>
      <c r="T172" s="81">
        <f t="shared" si="33"/>
        <v>-731745</v>
      </c>
      <c r="U172" s="81" t="str">
        <f t="shared" si="34"/>
        <v>날짜 미기록</v>
      </c>
      <c r="V172" s="81"/>
      <c r="Y172">
        <f t="shared" si="35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6" ht="40" hidden="1" customHeight="1" outlineLevel="1">
      <c r="A173" s="83">
        <v>46204</v>
      </c>
      <c r="B173" s="84" t="s">
        <v>65</v>
      </c>
      <c r="C173" s="84" t="s">
        <v>45</v>
      </c>
      <c r="D173" s="84" t="s">
        <v>20</v>
      </c>
      <c r="E173" s="85">
        <v>15334</v>
      </c>
      <c r="F173" s="89" t="s">
        <v>84</v>
      </c>
      <c r="G173" s="90" t="s">
        <v>52</v>
      </c>
      <c r="H173" s="87">
        <f t="shared" si="28"/>
        <v>46204</v>
      </c>
      <c r="I173" s="88" t="str">
        <f t="shared" si="29"/>
        <v>OK</v>
      </c>
      <c r="J173" s="81"/>
      <c r="K173" s="81"/>
      <c r="L173" s="81" t="s">
        <v>48</v>
      </c>
      <c r="M173" s="81"/>
      <c r="N173" s="81"/>
      <c r="O173" s="81"/>
      <c r="P173" s="81" t="str">
        <f t="shared" si="30"/>
        <v/>
      </c>
      <c r="Q173" s="81" t="str">
        <f t="shared" si="31"/>
        <v/>
      </c>
      <c r="R173" s="81" t="str">
        <f>IF(P173="","",TEXT(H173,"yyyymm")&amp;"_"&amp;P173&amp;"_"&amp;(COUNTIFS($H$64:$H$500,H173,$P$64:$P$500,P173,$A$64:$A$500,"&gt;"&amp;A173)+COUNTIFS($H$64:H173,H173,$P$64:P173,P173,$A$64:A173,A173)))</f>
        <v/>
      </c>
      <c r="S173" s="81" t="str">
        <f t="shared" si="32"/>
        <v/>
      </c>
      <c r="T173" s="81" t="str">
        <f t="shared" si="33"/>
        <v/>
      </c>
      <c r="U173" s="81" t="str">
        <f t="shared" si="34"/>
        <v/>
      </c>
      <c r="V173" s="81"/>
      <c r="Y173">
        <f t="shared" si="35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6" ht="40" hidden="1" customHeight="1" outlineLevel="1">
      <c r="A174" s="83">
        <v>46235</v>
      </c>
      <c r="B174" s="84" t="s">
        <v>50</v>
      </c>
      <c r="C174" s="84" t="s">
        <v>45</v>
      </c>
      <c r="D174" s="84" t="s">
        <v>12</v>
      </c>
      <c r="E174" s="85">
        <v>19600</v>
      </c>
      <c r="F174" s="89" t="s">
        <v>119</v>
      </c>
      <c r="G174" s="90" t="s">
        <v>52</v>
      </c>
      <c r="H174" s="87">
        <f t="shared" si="28"/>
        <v>46235</v>
      </c>
      <c r="I174" s="88" t="str">
        <f t="shared" si="29"/>
        <v>OK</v>
      </c>
      <c r="J174" s="81"/>
      <c r="K174" s="81"/>
      <c r="L174" s="81" t="s">
        <v>48</v>
      </c>
      <c r="M174" s="81"/>
      <c r="N174" s="81"/>
      <c r="O174" s="81"/>
      <c r="P174" s="81" t="str">
        <f t="shared" si="30"/>
        <v>내역</v>
      </c>
      <c r="Q174" s="81" t="str">
        <f t="shared" si="31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2"/>
        <v>생활비</v>
      </c>
      <c r="T174" s="81">
        <f t="shared" si="33"/>
        <v>19600</v>
      </c>
      <c r="U174" s="81" t="str">
        <f t="shared" si="34"/>
        <v>날짜 미기록</v>
      </c>
      <c r="V174" s="81"/>
      <c r="Y174">
        <f t="shared" si="35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6" ht="40" hidden="1" customHeight="1" outlineLevel="1">
      <c r="A175" s="83">
        <v>46235</v>
      </c>
      <c r="B175" s="84" t="s">
        <v>53</v>
      </c>
      <c r="C175" s="84" t="s">
        <v>12</v>
      </c>
      <c r="D175" s="84" t="s">
        <v>54</v>
      </c>
      <c r="E175" s="85">
        <v>5000</v>
      </c>
      <c r="F175" s="89" t="s">
        <v>97</v>
      </c>
      <c r="G175" s="90" t="s">
        <v>52</v>
      </c>
      <c r="H175" s="87">
        <f t="shared" si="28"/>
        <v>46235</v>
      </c>
      <c r="I175" s="88" t="str">
        <f t="shared" si="29"/>
        <v>OK</v>
      </c>
      <c r="J175" s="81"/>
      <c r="K175" s="81"/>
      <c r="L175" s="81" t="s">
        <v>48</v>
      </c>
      <c r="M175" s="81"/>
      <c r="N175" s="81"/>
      <c r="O175" s="81"/>
      <c r="P175" s="81" t="str">
        <f t="shared" si="30"/>
        <v>내역</v>
      </c>
      <c r="Q175" s="81" t="str">
        <f t="shared" si="31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2"/>
        <v>지출</v>
      </c>
      <c r="T175" s="81">
        <f t="shared" si="33"/>
        <v>-5000</v>
      </c>
      <c r="U175" s="81" t="str">
        <f t="shared" si="34"/>
        <v>날짜 미기록</v>
      </c>
      <c r="V175" s="81"/>
      <c r="Y175">
        <f t="shared" si="35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6" ht="40" hidden="1" customHeight="1" outlineLevel="1">
      <c r="A176" s="83">
        <v>46235</v>
      </c>
      <c r="B176" s="84" t="s">
        <v>53</v>
      </c>
      <c r="C176" s="84" t="s">
        <v>12</v>
      </c>
      <c r="D176" s="84" t="s">
        <v>54</v>
      </c>
      <c r="E176" s="85">
        <v>35000</v>
      </c>
      <c r="F176" s="89" t="s">
        <v>120</v>
      </c>
      <c r="G176" s="90" t="s">
        <v>52</v>
      </c>
      <c r="H176" s="87">
        <f t="shared" si="28"/>
        <v>46235</v>
      </c>
      <c r="I176" s="88" t="str">
        <f t="shared" si="29"/>
        <v>OK</v>
      </c>
      <c r="J176" s="81"/>
      <c r="K176" s="81"/>
      <c r="L176" s="81" t="s">
        <v>48</v>
      </c>
      <c r="M176" s="81"/>
      <c r="N176" s="81"/>
      <c r="O176" s="81"/>
      <c r="P176" s="81" t="str">
        <f t="shared" si="30"/>
        <v>내역</v>
      </c>
      <c r="Q176" s="81" t="str">
        <f t="shared" si="31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2"/>
        <v>지출</v>
      </c>
      <c r="T176" s="81">
        <f t="shared" si="33"/>
        <v>-35000</v>
      </c>
      <c r="U176" s="81" t="str">
        <f t="shared" si="34"/>
        <v>날짜 미기록</v>
      </c>
      <c r="V176" s="81"/>
      <c r="Y176">
        <f t="shared" si="35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6" ht="40" hidden="1" customHeight="1" outlineLevel="1">
      <c r="A177" s="83">
        <v>46235</v>
      </c>
      <c r="B177" s="84" t="s">
        <v>53</v>
      </c>
      <c r="C177" s="84" t="s">
        <v>12</v>
      </c>
      <c r="D177" s="84" t="s">
        <v>54</v>
      </c>
      <c r="E177" s="85">
        <v>6300</v>
      </c>
      <c r="F177" s="89" t="s">
        <v>121</v>
      </c>
      <c r="G177" s="90" t="s">
        <v>52</v>
      </c>
      <c r="H177" s="87">
        <f t="shared" si="28"/>
        <v>46235</v>
      </c>
      <c r="I177" s="88" t="str">
        <f t="shared" si="29"/>
        <v>OK</v>
      </c>
      <c r="J177" s="81"/>
      <c r="K177" s="81"/>
      <c r="L177" s="81" t="s">
        <v>48</v>
      </c>
      <c r="M177" s="81"/>
      <c r="N177" s="81"/>
      <c r="O177" s="81"/>
      <c r="P177" s="81" t="str">
        <f t="shared" si="30"/>
        <v>내역</v>
      </c>
      <c r="Q177" s="81" t="str">
        <f t="shared" si="31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2"/>
        <v>지출</v>
      </c>
      <c r="T177" s="81">
        <f t="shared" si="33"/>
        <v>-6300</v>
      </c>
      <c r="U177" s="81" t="str">
        <f t="shared" si="34"/>
        <v>날짜 미기록</v>
      </c>
      <c r="V177" s="81"/>
      <c r="Y177">
        <f t="shared" si="35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6" ht="40" hidden="1" customHeight="1" outlineLevel="1">
      <c r="A178" s="83">
        <v>46235</v>
      </c>
      <c r="B178" s="84" t="s">
        <v>53</v>
      </c>
      <c r="C178" s="84" t="s">
        <v>12</v>
      </c>
      <c r="D178" s="84" t="s">
        <v>54</v>
      </c>
      <c r="E178" s="85">
        <v>10000</v>
      </c>
      <c r="F178" s="89" t="s">
        <v>122</v>
      </c>
      <c r="G178" s="90" t="s">
        <v>52</v>
      </c>
      <c r="H178" s="87">
        <f t="shared" si="28"/>
        <v>46235</v>
      </c>
      <c r="I178" s="88" t="str">
        <f t="shared" si="29"/>
        <v>OK</v>
      </c>
      <c r="J178" s="81"/>
      <c r="K178" s="81"/>
      <c r="L178" s="81" t="s">
        <v>48</v>
      </c>
      <c r="M178" s="81"/>
      <c r="N178" s="81"/>
      <c r="O178" s="81"/>
      <c r="P178" s="81" t="str">
        <f t="shared" si="30"/>
        <v>내역</v>
      </c>
      <c r="Q178" s="81" t="str">
        <f t="shared" si="31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2"/>
        <v>지출</v>
      </c>
      <c r="T178" s="81">
        <f t="shared" si="33"/>
        <v>-10000</v>
      </c>
      <c r="U178" s="81" t="str">
        <f t="shared" si="34"/>
        <v>날짜 미기록</v>
      </c>
      <c r="V178" s="81"/>
      <c r="Y178">
        <f t="shared" si="35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6" ht="40" hidden="1" customHeight="1" outlineLevel="1">
      <c r="A179" s="83">
        <v>46235</v>
      </c>
      <c r="B179" s="84" t="s">
        <v>53</v>
      </c>
      <c r="C179" s="84" t="s">
        <v>12</v>
      </c>
      <c r="D179" s="84" t="s">
        <v>54</v>
      </c>
      <c r="E179" s="85">
        <v>50000</v>
      </c>
      <c r="F179" s="89" t="s">
        <v>106</v>
      </c>
      <c r="G179" s="90" t="s">
        <v>52</v>
      </c>
      <c r="H179" s="87">
        <f t="shared" si="28"/>
        <v>46235</v>
      </c>
      <c r="I179" s="88" t="str">
        <f t="shared" si="29"/>
        <v>OK</v>
      </c>
      <c r="J179" s="81"/>
      <c r="K179" s="81"/>
      <c r="L179" s="81" t="s">
        <v>48</v>
      </c>
      <c r="M179" s="81"/>
      <c r="N179" s="81"/>
      <c r="O179" s="81"/>
      <c r="P179" s="81" t="str">
        <f t="shared" si="30"/>
        <v>내역</v>
      </c>
      <c r="Q179" s="81" t="str">
        <f t="shared" si="31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2"/>
        <v>지출</v>
      </c>
      <c r="T179" s="81">
        <f t="shared" si="33"/>
        <v>-50000</v>
      </c>
      <c r="U179" s="81" t="str">
        <f t="shared" si="34"/>
        <v>날짜 미기록</v>
      </c>
      <c r="V179" s="81"/>
      <c r="Y179">
        <f t="shared" si="35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6" ht="40" hidden="1" customHeight="1" outlineLevel="1">
      <c r="A180" s="83">
        <v>46235</v>
      </c>
      <c r="B180" s="84" t="s">
        <v>53</v>
      </c>
      <c r="C180" s="84" t="s">
        <v>12</v>
      </c>
      <c r="D180" s="84" t="s">
        <v>54</v>
      </c>
      <c r="E180" s="85">
        <v>7448</v>
      </c>
      <c r="F180" s="89" t="s">
        <v>123</v>
      </c>
      <c r="G180" s="90" t="s">
        <v>52</v>
      </c>
      <c r="H180" s="87">
        <f t="shared" si="28"/>
        <v>46235</v>
      </c>
      <c r="I180" s="88" t="str">
        <f t="shared" si="29"/>
        <v>OK</v>
      </c>
      <c r="J180" s="81"/>
      <c r="K180" s="81"/>
      <c r="L180" s="81" t="s">
        <v>48</v>
      </c>
      <c r="M180" s="81"/>
      <c r="N180" s="81"/>
      <c r="O180" s="81"/>
      <c r="P180" s="81" t="str">
        <f t="shared" si="30"/>
        <v>내역</v>
      </c>
      <c r="Q180" s="81" t="str">
        <f t="shared" si="31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2"/>
        <v>지출</v>
      </c>
      <c r="T180" s="81">
        <f t="shared" si="33"/>
        <v>-7448</v>
      </c>
      <c r="U180" s="81" t="str">
        <f t="shared" si="34"/>
        <v>날짜 미기록</v>
      </c>
      <c r="V180" s="81"/>
      <c r="Y180">
        <f t="shared" si="35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6" ht="40" hidden="1" customHeight="1" outlineLevel="1">
      <c r="A181" s="83">
        <v>46235</v>
      </c>
      <c r="B181" s="84" t="s">
        <v>53</v>
      </c>
      <c r="C181" s="84" t="s">
        <v>12</v>
      </c>
      <c r="D181" s="84" t="s">
        <v>54</v>
      </c>
      <c r="E181" s="85">
        <v>34000</v>
      </c>
      <c r="F181" s="89" t="s">
        <v>124</v>
      </c>
      <c r="G181" s="90" t="s">
        <v>52</v>
      </c>
      <c r="H181" s="87">
        <f t="shared" si="28"/>
        <v>46235</v>
      </c>
      <c r="I181" s="88" t="str">
        <f t="shared" si="29"/>
        <v>OK</v>
      </c>
      <c r="J181" s="81"/>
      <c r="K181" s="81"/>
      <c r="L181" s="81" t="s">
        <v>48</v>
      </c>
      <c r="M181" s="81"/>
      <c r="N181" s="81"/>
      <c r="O181" s="81"/>
      <c r="P181" s="81" t="str">
        <f t="shared" si="30"/>
        <v>내역</v>
      </c>
      <c r="Q181" s="81" t="str">
        <f t="shared" si="31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2"/>
        <v>지출</v>
      </c>
      <c r="T181" s="81">
        <f t="shared" si="33"/>
        <v>-34000</v>
      </c>
      <c r="U181" s="81" t="str">
        <f t="shared" si="34"/>
        <v>날짜 미기록</v>
      </c>
      <c r="V181" s="81"/>
      <c r="Y181">
        <f t="shared" si="35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6" ht="40" hidden="1" customHeight="1" outlineLevel="1">
      <c r="A182" s="83">
        <v>46235</v>
      </c>
      <c r="B182" s="84" t="s">
        <v>53</v>
      </c>
      <c r="C182" s="84" t="s">
        <v>12</v>
      </c>
      <c r="D182" s="84" t="s">
        <v>54</v>
      </c>
      <c r="E182" s="85">
        <v>8500</v>
      </c>
      <c r="F182" s="89" t="s">
        <v>108</v>
      </c>
      <c r="G182" s="90" t="s">
        <v>52</v>
      </c>
      <c r="H182" s="87">
        <f t="shared" si="28"/>
        <v>46235</v>
      </c>
      <c r="I182" s="88" t="str">
        <f t="shared" si="29"/>
        <v>OK</v>
      </c>
      <c r="J182" s="81"/>
      <c r="K182" s="81"/>
      <c r="L182" s="81" t="s">
        <v>48</v>
      </c>
      <c r="M182" s="81"/>
      <c r="N182" s="81"/>
      <c r="O182" s="81"/>
      <c r="P182" s="81" t="str">
        <f t="shared" si="30"/>
        <v>내역</v>
      </c>
      <c r="Q182" s="81" t="str">
        <f t="shared" si="31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2"/>
        <v>지출</v>
      </c>
      <c r="T182" s="81">
        <f t="shared" si="33"/>
        <v>-8500</v>
      </c>
      <c r="U182" s="81" t="str">
        <f t="shared" si="34"/>
        <v>날짜 미기록</v>
      </c>
      <c r="V182" s="81"/>
      <c r="Y182">
        <f t="shared" si="35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6" ht="40" hidden="1" customHeight="1" outlineLevel="1">
      <c r="A183" s="83">
        <v>46235</v>
      </c>
      <c r="B183" s="84" t="s">
        <v>53</v>
      </c>
      <c r="C183" s="84" t="s">
        <v>12</v>
      </c>
      <c r="D183" s="84" t="s">
        <v>54</v>
      </c>
      <c r="E183" s="85">
        <v>5000</v>
      </c>
      <c r="F183" s="89" t="s">
        <v>97</v>
      </c>
      <c r="G183" s="90" t="s">
        <v>52</v>
      </c>
      <c r="H183" s="87">
        <f t="shared" si="28"/>
        <v>46235</v>
      </c>
      <c r="I183" s="88" t="str">
        <f t="shared" si="29"/>
        <v>OK</v>
      </c>
      <c r="J183" s="81"/>
      <c r="K183" s="81"/>
      <c r="L183" s="81" t="s">
        <v>48</v>
      </c>
      <c r="M183" s="81"/>
      <c r="N183" s="81"/>
      <c r="O183" s="81"/>
      <c r="P183" s="81" t="str">
        <f t="shared" si="30"/>
        <v>내역</v>
      </c>
      <c r="Q183" s="81" t="str">
        <f t="shared" si="31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2"/>
        <v>지출</v>
      </c>
      <c r="T183" s="81">
        <f t="shared" si="33"/>
        <v>-5000</v>
      </c>
      <c r="U183" s="81" t="str">
        <f t="shared" si="34"/>
        <v>날짜 미기록</v>
      </c>
      <c r="V183" s="81"/>
      <c r="Y183">
        <f t="shared" si="35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6" ht="40" hidden="1" customHeight="1" outlineLevel="1">
      <c r="A184" s="83">
        <v>46235</v>
      </c>
      <c r="B184" s="84" t="s">
        <v>65</v>
      </c>
      <c r="C184" s="84" t="s">
        <v>45</v>
      </c>
      <c r="D184" s="84" t="s">
        <v>12</v>
      </c>
      <c r="E184" s="85">
        <v>54948</v>
      </c>
      <c r="F184" s="89" t="s">
        <v>125</v>
      </c>
      <c r="G184" s="90" t="s">
        <v>52</v>
      </c>
      <c r="H184" s="87">
        <f t="shared" si="28"/>
        <v>46235</v>
      </c>
      <c r="I184" s="88" t="str">
        <f t="shared" si="29"/>
        <v>OK</v>
      </c>
      <c r="J184" s="81"/>
      <c r="K184" s="81"/>
      <c r="L184" s="81" t="s">
        <v>48</v>
      </c>
      <c r="M184" s="81"/>
      <c r="N184" s="81"/>
      <c r="O184" s="81"/>
      <c r="P184" s="81" t="str">
        <f t="shared" si="30"/>
        <v/>
      </c>
      <c r="Q184" s="81" t="str">
        <f t="shared" si="31"/>
        <v/>
      </c>
      <c r="R184" s="81" t="str">
        <f>IF(P184="","",TEXT(H184,"yyyymm")&amp;"_"&amp;P184&amp;"_"&amp;(COUNTIFS($H$64:$H$500,H184,$P$64:$P$500,P184,$A$64:$A$500,"&gt;"&amp;A184)+COUNTIFS($H$64:H184,H184,$P$64:P184,P184,$A$64:A184,A184)))</f>
        <v/>
      </c>
      <c r="S184" s="81" t="str">
        <f t="shared" si="32"/>
        <v/>
      </c>
      <c r="T184" s="81" t="str">
        <f t="shared" si="33"/>
        <v/>
      </c>
      <c r="U184" s="81" t="str">
        <f t="shared" si="34"/>
        <v/>
      </c>
      <c r="V184" s="81"/>
      <c r="Y184">
        <f t="shared" si="35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6" ht="40" hidden="1" customHeight="1" outlineLevel="1">
      <c r="A185" s="83">
        <v>46235</v>
      </c>
      <c r="B185" s="84" t="s">
        <v>65</v>
      </c>
      <c r="C185" s="84" t="s">
        <v>45</v>
      </c>
      <c r="D185" s="84" t="s">
        <v>12</v>
      </c>
      <c r="E185" s="85">
        <v>585198</v>
      </c>
      <c r="F185" s="89" t="s">
        <v>126</v>
      </c>
      <c r="G185" s="90" t="s">
        <v>52</v>
      </c>
      <c r="H185" s="87">
        <f t="shared" si="28"/>
        <v>46235</v>
      </c>
      <c r="I185" s="88" t="str">
        <f t="shared" si="29"/>
        <v>OK</v>
      </c>
      <c r="J185" s="81"/>
      <c r="K185" s="81"/>
      <c r="L185" s="81" t="s">
        <v>48</v>
      </c>
      <c r="M185" s="81"/>
      <c r="N185" s="81"/>
      <c r="O185" s="81"/>
      <c r="P185" s="81" t="str">
        <f t="shared" si="30"/>
        <v/>
      </c>
      <c r="Q185" s="81" t="str">
        <f t="shared" si="31"/>
        <v/>
      </c>
      <c r="R185" s="81" t="str">
        <f>IF(P185="","",TEXT(H185,"yyyymm")&amp;"_"&amp;P185&amp;"_"&amp;(COUNTIFS($H$64:$H$500,H185,$P$64:$P$500,P185,$A$64:$A$500,"&gt;"&amp;A185)+COUNTIFS($H$64:H185,H185,$P$64:P185,P185,$A$64:A185,A185)))</f>
        <v/>
      </c>
      <c r="S185" s="81" t="str">
        <f t="shared" si="32"/>
        <v/>
      </c>
      <c r="T185" s="81" t="str">
        <f t="shared" si="33"/>
        <v/>
      </c>
      <c r="U185" s="81" t="str">
        <f t="shared" si="34"/>
        <v/>
      </c>
      <c r="V185" s="81"/>
      <c r="Y185">
        <f t="shared" si="35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6" ht="40" hidden="1" customHeight="1" outlineLevel="1">
      <c r="A186" s="83">
        <v>46235</v>
      </c>
      <c r="B186" s="84" t="s">
        <v>56</v>
      </c>
      <c r="C186" s="84" t="s">
        <v>57</v>
      </c>
      <c r="D186" s="84" t="s">
        <v>13</v>
      </c>
      <c r="E186" s="85">
        <v>100000</v>
      </c>
      <c r="F186" s="89" t="s">
        <v>58</v>
      </c>
      <c r="G186" s="90" t="s">
        <v>52</v>
      </c>
      <c r="H186" s="87">
        <f t="shared" si="28"/>
        <v>46235</v>
      </c>
      <c r="I186" s="88" t="str">
        <f t="shared" si="29"/>
        <v>OK</v>
      </c>
      <c r="J186" s="81"/>
      <c r="K186" s="81"/>
      <c r="L186" s="81" t="s">
        <v>48</v>
      </c>
      <c r="M186" s="81"/>
      <c r="N186" s="81"/>
      <c r="O186" s="81"/>
      <c r="P186" s="81" t="str">
        <f t="shared" si="30"/>
        <v>내역</v>
      </c>
      <c r="Q186" s="81" t="str">
        <f t="shared" si="31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2"/>
        <v>명절비</v>
      </c>
      <c r="T186" s="81">
        <f t="shared" si="33"/>
        <v>100000</v>
      </c>
      <c r="U186" s="81" t="str">
        <f t="shared" si="34"/>
        <v>날짜 미기록</v>
      </c>
      <c r="V186" s="81"/>
      <c r="Y186">
        <f t="shared" si="35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6" ht="40" hidden="1" customHeight="1" outlineLevel="1">
      <c r="A187" s="83">
        <v>46235</v>
      </c>
      <c r="B187" s="84" t="s">
        <v>56</v>
      </c>
      <c r="C187" s="84" t="s">
        <v>57</v>
      </c>
      <c r="D187" s="84" t="s">
        <v>15</v>
      </c>
      <c r="E187" s="85">
        <v>50000</v>
      </c>
      <c r="F187" s="89" t="s">
        <v>99</v>
      </c>
      <c r="G187" s="90" t="s">
        <v>52</v>
      </c>
      <c r="H187" s="87">
        <f t="shared" si="28"/>
        <v>46235</v>
      </c>
      <c r="I187" s="88" t="str">
        <f t="shared" si="29"/>
        <v>OK</v>
      </c>
      <c r="J187" s="81"/>
      <c r="K187" s="81"/>
      <c r="L187" s="81" t="s">
        <v>48</v>
      </c>
      <c r="M187" s="81"/>
      <c r="N187" s="81"/>
      <c r="O187" s="81"/>
      <c r="P187" s="81" t="str">
        <f t="shared" si="30"/>
        <v>내역</v>
      </c>
      <c r="Q187" s="81" t="str">
        <f t="shared" si="31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2"/>
        <v>경조사비</v>
      </c>
      <c r="T187" s="81">
        <f t="shared" si="33"/>
        <v>50000</v>
      </c>
      <c r="U187" s="81" t="str">
        <f t="shared" si="34"/>
        <v>날짜 미기록</v>
      </c>
      <c r="V187" s="81"/>
      <c r="Y187">
        <f t="shared" si="35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6" ht="40" hidden="1" customHeight="1" outlineLevel="1">
      <c r="A188" s="83">
        <v>46235</v>
      </c>
      <c r="B188" s="84" t="s">
        <v>86</v>
      </c>
      <c r="C188" s="84" t="s">
        <v>14</v>
      </c>
      <c r="D188" s="84" t="s">
        <v>54</v>
      </c>
      <c r="E188" s="85">
        <v>300000</v>
      </c>
      <c r="F188" s="89" t="s">
        <v>127</v>
      </c>
      <c r="G188" s="90" t="s">
        <v>52</v>
      </c>
      <c r="H188" s="87">
        <f t="shared" si="28"/>
        <v>46235</v>
      </c>
      <c r="I188" s="88" t="str">
        <f t="shared" si="29"/>
        <v>OK</v>
      </c>
      <c r="J188" s="81"/>
      <c r="K188" s="81"/>
      <c r="L188" s="81" t="s">
        <v>48</v>
      </c>
      <c r="M188" s="81"/>
      <c r="N188" s="81"/>
      <c r="O188" s="81"/>
      <c r="P188" s="81" t="str">
        <f t="shared" si="30"/>
        <v>내역</v>
      </c>
      <c r="Q188" s="81" t="str">
        <f t="shared" si="31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2"/>
        <v>지출</v>
      </c>
      <c r="T188" s="81">
        <f t="shared" si="33"/>
        <v>-300000</v>
      </c>
      <c r="U188" s="81" t="str">
        <f t="shared" si="34"/>
        <v>날짜 미기록</v>
      </c>
      <c r="V188" s="81"/>
      <c r="Y188">
        <f t="shared" si="35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6" ht="40" hidden="1" customHeight="1" outlineLevel="1">
      <c r="A189" s="83">
        <v>46235</v>
      </c>
      <c r="B189" s="84" t="s">
        <v>56</v>
      </c>
      <c r="C189" s="84" t="s">
        <v>57</v>
      </c>
      <c r="D189" s="84" t="s">
        <v>16</v>
      </c>
      <c r="E189" s="85">
        <v>100000</v>
      </c>
      <c r="F189" s="89" t="s">
        <v>60</v>
      </c>
      <c r="G189" s="90" t="s">
        <v>52</v>
      </c>
      <c r="H189" s="87">
        <f t="shared" si="28"/>
        <v>46235</v>
      </c>
      <c r="I189" s="88" t="str">
        <f t="shared" si="29"/>
        <v>OK</v>
      </c>
      <c r="J189" s="81"/>
      <c r="K189" s="81"/>
      <c r="L189" s="81" t="s">
        <v>48</v>
      </c>
      <c r="M189" s="81"/>
      <c r="N189" s="81"/>
      <c r="O189" s="81"/>
      <c r="P189" s="81" t="str">
        <f t="shared" si="30"/>
        <v>내역</v>
      </c>
      <c r="Q189" s="81" t="str">
        <f t="shared" si="31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2"/>
        <v>상환비</v>
      </c>
      <c r="T189" s="81">
        <f t="shared" si="33"/>
        <v>100000</v>
      </c>
      <c r="U189" s="81" t="str">
        <f t="shared" si="34"/>
        <v>날짜 미기록</v>
      </c>
      <c r="V189" s="81"/>
      <c r="Y189">
        <f t="shared" si="35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6" ht="40" hidden="1" customHeight="1" outlineLevel="1">
      <c r="A190" s="83">
        <v>46235</v>
      </c>
      <c r="B190" s="84" t="s">
        <v>50</v>
      </c>
      <c r="C190" s="84" t="s">
        <v>45</v>
      </c>
      <c r="D190" s="84" t="s">
        <v>19</v>
      </c>
      <c r="E190" s="85">
        <v>5877</v>
      </c>
      <c r="F190" s="89" t="s">
        <v>69</v>
      </c>
      <c r="G190" s="90" t="s">
        <v>52</v>
      </c>
      <c r="H190" s="87">
        <f t="shared" si="28"/>
        <v>46235</v>
      </c>
      <c r="I190" s="88" t="str">
        <f t="shared" si="29"/>
        <v>OK</v>
      </c>
      <c r="J190" s="81"/>
      <c r="K190" s="81"/>
      <c r="L190" s="81" t="s">
        <v>48</v>
      </c>
      <c r="M190" s="81"/>
      <c r="N190" s="81"/>
      <c r="O190" s="81"/>
      <c r="P190" s="81" t="str">
        <f t="shared" si="30"/>
        <v>내역</v>
      </c>
      <c r="Q190" s="81" t="str">
        <f t="shared" si="31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2"/>
        <v>금융</v>
      </c>
      <c r="T190" s="81">
        <f t="shared" si="33"/>
        <v>5877</v>
      </c>
      <c r="U190" s="81" t="str">
        <f t="shared" si="34"/>
        <v>날짜 미기록</v>
      </c>
      <c r="V190" s="81"/>
      <c r="Y190">
        <f t="shared" si="35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6" ht="40" hidden="1" customHeight="1" outlineLevel="1">
      <c r="A191" s="83">
        <v>46235</v>
      </c>
      <c r="B191" s="84" t="s">
        <v>50</v>
      </c>
      <c r="C191" s="84" t="s">
        <v>45</v>
      </c>
      <c r="D191" s="84" t="s">
        <v>19</v>
      </c>
      <c r="E191" s="85">
        <v>2595</v>
      </c>
      <c r="F191" s="89" t="s">
        <v>69</v>
      </c>
      <c r="G191" s="90" t="s">
        <v>52</v>
      </c>
      <c r="H191" s="87">
        <f t="shared" si="28"/>
        <v>46235</v>
      </c>
      <c r="I191" s="88" t="str">
        <f t="shared" si="29"/>
        <v>OK</v>
      </c>
      <c r="J191" s="81"/>
      <c r="K191" s="81"/>
      <c r="L191" s="81" t="s">
        <v>48</v>
      </c>
      <c r="M191" s="81"/>
      <c r="N191" s="81"/>
      <c r="O191" s="81"/>
      <c r="P191" s="81" t="str">
        <f t="shared" si="30"/>
        <v>내역</v>
      </c>
      <c r="Q191" s="81" t="str">
        <f t="shared" si="31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2"/>
        <v>금융</v>
      </c>
      <c r="T191" s="81">
        <f t="shared" si="33"/>
        <v>2595</v>
      </c>
      <c r="U191" s="81" t="str">
        <f t="shared" si="34"/>
        <v>날짜 미기록</v>
      </c>
      <c r="V191" s="81"/>
      <c r="Y191">
        <f t="shared" si="35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6" ht="40" hidden="1" customHeight="1" outlineLevel="1">
      <c r="A192" s="83">
        <v>46235</v>
      </c>
      <c r="B192" s="84" t="s">
        <v>50</v>
      </c>
      <c r="C192" s="84" t="s">
        <v>45</v>
      </c>
      <c r="D192" s="84" t="s">
        <v>19</v>
      </c>
      <c r="E192" s="85">
        <v>4467</v>
      </c>
      <c r="F192" s="89" t="s">
        <v>69</v>
      </c>
      <c r="G192" s="90" t="s">
        <v>52</v>
      </c>
      <c r="H192" s="87">
        <f t="shared" ref="H192:H255" si="36">IF(A192="","",DATE(YEAR(A192),MONTH(A192),1))</f>
        <v>46235</v>
      </c>
      <c r="I192" s="88" t="str">
        <f t="shared" ref="I192:I255" si="37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48</v>
      </c>
      <c r="M192" s="81"/>
      <c r="N192" s="81"/>
      <c r="O192" s="81"/>
      <c r="P192" s="81" t="str">
        <f t="shared" ref="P192:P255" si="38">IF(Q192="","",IF(Q192="이체","이체","내역"))</f>
        <v>내역</v>
      </c>
      <c r="Q192" s="81" t="str">
        <f t="shared" ref="Q192:Q255" si="39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40">IF(Q192="","",D192)</f>
        <v>금융</v>
      </c>
      <c r="T192" s="81">
        <f t="shared" ref="T192:T255" si="41">IF(Q192="","",IF(Q192="이체",E192,IF(D192=Q192,E192,-E192)))</f>
        <v>4467</v>
      </c>
      <c r="U192" s="81" t="str">
        <f t="shared" ref="U192:U255" si="42">IF(Q192="","",IF(ISNUMBER(SEARCH("날짜 미기록",G192)),"날짜 미기록",A192))</f>
        <v>날짜 미기록</v>
      </c>
      <c r="V192" s="81"/>
      <c r="Y192">
        <f t="shared" ref="Y192:Y255" si="43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6" ht="40" hidden="1" customHeight="1" outlineLevel="1">
      <c r="A193" s="83">
        <v>46235</v>
      </c>
      <c r="B193" s="84" t="s">
        <v>53</v>
      </c>
      <c r="C193" s="84" t="s">
        <v>19</v>
      </c>
      <c r="D193" s="84" t="s">
        <v>54</v>
      </c>
      <c r="E193" s="85">
        <v>6308</v>
      </c>
      <c r="F193" s="89" t="s">
        <v>128</v>
      </c>
      <c r="G193" s="90" t="s">
        <v>52</v>
      </c>
      <c r="H193" s="87">
        <f t="shared" si="36"/>
        <v>46235</v>
      </c>
      <c r="I193" s="88" t="str">
        <f t="shared" si="37"/>
        <v>OK</v>
      </c>
      <c r="J193" s="81"/>
      <c r="K193" s="81"/>
      <c r="L193" s="81" t="s">
        <v>48</v>
      </c>
      <c r="M193" s="81"/>
      <c r="N193" s="81"/>
      <c r="O193" s="81"/>
      <c r="P193" s="81" t="str">
        <f t="shared" si="38"/>
        <v>내역</v>
      </c>
      <c r="Q193" s="81" t="str">
        <f t="shared" si="39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40"/>
        <v>지출</v>
      </c>
      <c r="T193" s="81">
        <f t="shared" si="41"/>
        <v>-6308</v>
      </c>
      <c r="U193" s="81" t="str">
        <f t="shared" si="42"/>
        <v>날짜 미기록</v>
      </c>
      <c r="V193" s="81"/>
      <c r="Y193">
        <f t="shared" si="43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6" ht="40" hidden="1" customHeight="1" outlineLevel="1">
      <c r="A194" s="83">
        <v>46235</v>
      </c>
      <c r="B194" s="84" t="s">
        <v>65</v>
      </c>
      <c r="C194" s="84" t="s">
        <v>19</v>
      </c>
      <c r="D194" s="84" t="s">
        <v>45</v>
      </c>
      <c r="E194" s="85">
        <v>34489</v>
      </c>
      <c r="F194" s="89" t="s">
        <v>83</v>
      </c>
      <c r="G194" s="90" t="s">
        <v>52</v>
      </c>
      <c r="H194" s="87">
        <f t="shared" si="36"/>
        <v>46235</v>
      </c>
      <c r="I194" s="88" t="str">
        <f t="shared" si="37"/>
        <v>OK</v>
      </c>
      <c r="J194" s="81"/>
      <c r="K194" s="81"/>
      <c r="L194" s="81" t="s">
        <v>48</v>
      </c>
      <c r="M194" s="81"/>
      <c r="N194" s="81"/>
      <c r="O194" s="81"/>
      <c r="P194" s="81" t="str">
        <f t="shared" si="38"/>
        <v>이체</v>
      </c>
      <c r="Q194" s="81" t="str">
        <f t="shared" si="39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40"/>
        <v>외부</v>
      </c>
      <c r="T194" s="81">
        <f t="shared" si="41"/>
        <v>34489</v>
      </c>
      <c r="U194" s="81" t="str">
        <f t="shared" si="42"/>
        <v>날짜 미기록</v>
      </c>
      <c r="V194" s="81"/>
      <c r="Y194">
        <f t="shared" si="43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6" ht="40" hidden="1" customHeight="1" outlineLevel="1">
      <c r="A195" s="83">
        <v>46235</v>
      </c>
      <c r="B195" s="84" t="s">
        <v>50</v>
      </c>
      <c r="C195" s="84" t="s">
        <v>45</v>
      </c>
      <c r="D195" s="84" t="s">
        <v>20</v>
      </c>
      <c r="E195" s="85">
        <v>814000</v>
      </c>
      <c r="F195" s="89" t="s">
        <v>71</v>
      </c>
      <c r="G195" s="90" t="s">
        <v>52</v>
      </c>
      <c r="H195" s="87">
        <f t="shared" si="36"/>
        <v>46235</v>
      </c>
      <c r="I195" s="88" t="str">
        <f t="shared" si="37"/>
        <v>OK</v>
      </c>
      <c r="J195" s="81"/>
      <c r="K195" s="81"/>
      <c r="L195" s="81" t="s">
        <v>48</v>
      </c>
      <c r="M195" s="81"/>
      <c r="N195" s="81"/>
      <c r="O195" s="81"/>
      <c r="P195" s="81" t="str">
        <f t="shared" si="38"/>
        <v>내역</v>
      </c>
      <c r="Q195" s="81" t="str">
        <f t="shared" si="39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40"/>
        <v>임시보관</v>
      </c>
      <c r="T195" s="81">
        <f t="shared" si="41"/>
        <v>814000</v>
      </c>
      <c r="U195" s="81" t="str">
        <f t="shared" si="42"/>
        <v>날짜 미기록</v>
      </c>
      <c r="V195" s="81"/>
      <c r="Y195">
        <f t="shared" si="43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6" ht="40" hidden="1" customHeight="1" outlineLevel="1">
      <c r="A196" s="83">
        <v>46235</v>
      </c>
      <c r="B196" s="84" t="s">
        <v>50</v>
      </c>
      <c r="C196" s="84" t="s">
        <v>45</v>
      </c>
      <c r="D196" s="84" t="s">
        <v>20</v>
      </c>
      <c r="E196" s="85">
        <v>300000</v>
      </c>
      <c r="F196" s="89" t="s">
        <v>129</v>
      </c>
      <c r="G196" s="90" t="s">
        <v>52</v>
      </c>
      <c r="H196" s="87">
        <f t="shared" si="36"/>
        <v>46235</v>
      </c>
      <c r="I196" s="88" t="str">
        <f t="shared" si="37"/>
        <v>OK</v>
      </c>
      <c r="J196" s="81"/>
      <c r="K196" s="81"/>
      <c r="L196" s="81" t="s">
        <v>48</v>
      </c>
      <c r="M196" s="81"/>
      <c r="N196" s="81"/>
      <c r="O196" s="81"/>
      <c r="P196" s="81" t="str">
        <f t="shared" si="38"/>
        <v>내역</v>
      </c>
      <c r="Q196" s="81" t="str">
        <f t="shared" si="39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40"/>
        <v>임시보관</v>
      </c>
      <c r="T196" s="81">
        <f t="shared" si="41"/>
        <v>300000</v>
      </c>
      <c r="U196" s="81" t="str">
        <f t="shared" si="42"/>
        <v>날짜 미기록</v>
      </c>
      <c r="V196" s="81"/>
      <c r="Y196">
        <f t="shared" si="43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6" ht="40" hidden="1" customHeight="1" outlineLevel="1">
      <c r="A197" s="83">
        <v>46235</v>
      </c>
      <c r="B197" s="84" t="s">
        <v>50</v>
      </c>
      <c r="C197" s="84" t="s">
        <v>45</v>
      </c>
      <c r="D197" s="84" t="s">
        <v>20</v>
      </c>
      <c r="E197" s="85">
        <v>2017599</v>
      </c>
      <c r="F197" s="89" t="s">
        <v>130</v>
      </c>
      <c r="G197" s="90" t="s">
        <v>52</v>
      </c>
      <c r="H197" s="87">
        <f t="shared" si="36"/>
        <v>46235</v>
      </c>
      <c r="I197" s="88" t="str">
        <f t="shared" si="37"/>
        <v>OK</v>
      </c>
      <c r="J197" s="81"/>
      <c r="K197" s="81"/>
      <c r="L197" s="81" t="s">
        <v>48</v>
      </c>
      <c r="M197" s="81"/>
      <c r="N197" s="81"/>
      <c r="O197" s="81"/>
      <c r="P197" s="81" t="str">
        <f t="shared" si="38"/>
        <v>내역</v>
      </c>
      <c r="Q197" s="81" t="str">
        <f t="shared" si="39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40"/>
        <v>임시보관</v>
      </c>
      <c r="T197" s="81">
        <f t="shared" si="41"/>
        <v>2017599</v>
      </c>
      <c r="U197" s="81" t="str">
        <f t="shared" si="42"/>
        <v>날짜 미기록</v>
      </c>
      <c r="V197" s="81"/>
      <c r="Y197">
        <f t="shared" si="43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6" ht="40" hidden="1" customHeight="1" outlineLevel="1">
      <c r="A198" s="83">
        <v>46235</v>
      </c>
      <c r="B198" s="84" t="s">
        <v>53</v>
      </c>
      <c r="C198" s="84" t="s">
        <v>20</v>
      </c>
      <c r="D198" s="84" t="s">
        <v>54</v>
      </c>
      <c r="E198" s="85">
        <v>93200</v>
      </c>
      <c r="F198" s="89" t="s">
        <v>131</v>
      </c>
      <c r="G198" s="90" t="s">
        <v>52</v>
      </c>
      <c r="H198" s="87">
        <f t="shared" si="36"/>
        <v>46235</v>
      </c>
      <c r="I198" s="88" t="str">
        <f t="shared" si="37"/>
        <v>OK</v>
      </c>
      <c r="J198" s="81"/>
      <c r="K198" s="81"/>
      <c r="L198" s="81" t="s">
        <v>48</v>
      </c>
      <c r="M198" s="81"/>
      <c r="N198" s="81"/>
      <c r="O198" s="81"/>
      <c r="P198" s="81" t="str">
        <f t="shared" si="38"/>
        <v>내역</v>
      </c>
      <c r="Q198" s="81" t="str">
        <f t="shared" si="39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40"/>
        <v>지출</v>
      </c>
      <c r="T198" s="81">
        <f t="shared" si="41"/>
        <v>-93200</v>
      </c>
      <c r="U198" s="81" t="str">
        <f t="shared" si="42"/>
        <v>날짜 미기록</v>
      </c>
      <c r="V198" s="81"/>
      <c r="Y198">
        <f t="shared" si="43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6" ht="40" hidden="1" customHeight="1" outlineLevel="1">
      <c r="A199" s="83">
        <v>46235</v>
      </c>
      <c r="B199" s="84" t="s">
        <v>53</v>
      </c>
      <c r="C199" s="84" t="s">
        <v>20</v>
      </c>
      <c r="D199" s="84" t="s">
        <v>54</v>
      </c>
      <c r="E199" s="85">
        <v>538565</v>
      </c>
      <c r="F199" s="89" t="s">
        <v>76</v>
      </c>
      <c r="G199" s="90" t="s">
        <v>52</v>
      </c>
      <c r="H199" s="87">
        <f t="shared" si="36"/>
        <v>46235</v>
      </c>
      <c r="I199" s="88" t="str">
        <f t="shared" si="37"/>
        <v>OK</v>
      </c>
      <c r="J199" s="81"/>
      <c r="K199" s="81"/>
      <c r="L199" s="81" t="s">
        <v>48</v>
      </c>
      <c r="M199" s="81"/>
      <c r="N199" s="81"/>
      <c r="O199" s="81"/>
      <c r="P199" s="81" t="str">
        <f t="shared" si="38"/>
        <v>내역</v>
      </c>
      <c r="Q199" s="81" t="str">
        <f t="shared" si="39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40"/>
        <v>지출</v>
      </c>
      <c r="T199" s="81">
        <f t="shared" si="41"/>
        <v>-538565</v>
      </c>
      <c r="U199" s="81" t="str">
        <f t="shared" si="42"/>
        <v>날짜 미기록</v>
      </c>
      <c r="V199" s="81"/>
      <c r="Y199">
        <f t="shared" si="43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6" ht="40" hidden="1" customHeight="1" outlineLevel="1">
      <c r="A200" s="83">
        <v>46235</v>
      </c>
      <c r="B200" s="84" t="s">
        <v>53</v>
      </c>
      <c r="C200" s="84" t="s">
        <v>20</v>
      </c>
      <c r="D200" s="84" t="s">
        <v>54</v>
      </c>
      <c r="E200" s="85">
        <v>30000</v>
      </c>
      <c r="F200" s="89" t="s">
        <v>132</v>
      </c>
      <c r="G200" s="90" t="s">
        <v>52</v>
      </c>
      <c r="H200" s="87">
        <f t="shared" si="36"/>
        <v>46235</v>
      </c>
      <c r="I200" s="88" t="str">
        <f t="shared" si="37"/>
        <v>OK</v>
      </c>
      <c r="J200" s="81"/>
      <c r="K200" s="81"/>
      <c r="L200" s="81" t="s">
        <v>48</v>
      </c>
      <c r="M200" s="81"/>
      <c r="N200" s="81"/>
      <c r="O200" s="81"/>
      <c r="P200" s="81" t="str">
        <f t="shared" si="38"/>
        <v>내역</v>
      </c>
      <c r="Q200" s="81" t="str">
        <f t="shared" si="39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40"/>
        <v>지출</v>
      </c>
      <c r="T200" s="81">
        <f t="shared" si="41"/>
        <v>-30000</v>
      </c>
      <c r="U200" s="81" t="str">
        <f t="shared" si="42"/>
        <v>날짜 미기록</v>
      </c>
      <c r="V200" s="81"/>
      <c r="Y200">
        <f t="shared" si="43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6" ht="40" hidden="1" customHeight="1" outlineLevel="1">
      <c r="A201" s="83">
        <v>46235</v>
      </c>
      <c r="B201" s="84" t="s">
        <v>53</v>
      </c>
      <c r="C201" s="84" t="s">
        <v>20</v>
      </c>
      <c r="D201" s="84" t="s">
        <v>54</v>
      </c>
      <c r="E201" s="85">
        <v>383984</v>
      </c>
      <c r="F201" s="89" t="s">
        <v>102</v>
      </c>
      <c r="G201" s="90" t="s">
        <v>52</v>
      </c>
      <c r="H201" s="87">
        <f t="shared" si="36"/>
        <v>46235</v>
      </c>
      <c r="I201" s="88" t="str">
        <f t="shared" si="37"/>
        <v>OK</v>
      </c>
      <c r="J201" s="81"/>
      <c r="K201" s="81"/>
      <c r="L201" s="81" t="s">
        <v>48</v>
      </c>
      <c r="M201" s="81"/>
      <c r="N201" s="81"/>
      <c r="O201" s="81"/>
      <c r="P201" s="81" t="str">
        <f t="shared" si="38"/>
        <v>내역</v>
      </c>
      <c r="Q201" s="81" t="str">
        <f t="shared" si="39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40"/>
        <v>지출</v>
      </c>
      <c r="T201" s="81">
        <f t="shared" si="41"/>
        <v>-383984</v>
      </c>
      <c r="U201" s="81" t="str">
        <f t="shared" si="42"/>
        <v>날짜 미기록</v>
      </c>
      <c r="V201" s="81"/>
      <c r="Y201">
        <f t="shared" si="43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6" ht="40" hidden="1" customHeight="1" outlineLevel="1">
      <c r="A202" s="83">
        <v>46235</v>
      </c>
      <c r="B202" s="84" t="s">
        <v>53</v>
      </c>
      <c r="C202" s="84" t="s">
        <v>20</v>
      </c>
      <c r="D202" s="84" t="s">
        <v>54</v>
      </c>
      <c r="E202" s="85">
        <v>387960</v>
      </c>
      <c r="F202" s="89" t="s">
        <v>133</v>
      </c>
      <c r="G202" s="90" t="s">
        <v>52</v>
      </c>
      <c r="H202" s="87">
        <f t="shared" si="36"/>
        <v>46235</v>
      </c>
      <c r="I202" s="88" t="str">
        <f t="shared" si="37"/>
        <v>OK</v>
      </c>
      <c r="J202" s="81"/>
      <c r="K202" s="81"/>
      <c r="L202" s="81" t="s">
        <v>48</v>
      </c>
      <c r="M202" s="81"/>
      <c r="N202" s="81"/>
      <c r="O202" s="81"/>
      <c r="P202" s="81" t="str">
        <f t="shared" si="38"/>
        <v>내역</v>
      </c>
      <c r="Q202" s="81" t="str">
        <f t="shared" si="39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40"/>
        <v>지출</v>
      </c>
      <c r="T202" s="81">
        <f t="shared" si="41"/>
        <v>-387960</v>
      </c>
      <c r="U202" s="81" t="str">
        <f t="shared" si="42"/>
        <v>날짜 미기록</v>
      </c>
      <c r="V202" s="81"/>
      <c r="Y202">
        <f t="shared" si="43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6" ht="40" hidden="1" customHeight="1" outlineLevel="1">
      <c r="A203" s="83">
        <v>46235</v>
      </c>
      <c r="B203" s="84" t="s">
        <v>53</v>
      </c>
      <c r="C203" s="84" t="s">
        <v>20</v>
      </c>
      <c r="D203" s="84" t="s">
        <v>54</v>
      </c>
      <c r="E203" s="85">
        <v>550361</v>
      </c>
      <c r="F203" s="89" t="s">
        <v>134</v>
      </c>
      <c r="G203" s="90" t="s">
        <v>52</v>
      </c>
      <c r="H203" s="87">
        <f t="shared" si="36"/>
        <v>46235</v>
      </c>
      <c r="I203" s="88" t="str">
        <f t="shared" si="37"/>
        <v>OK</v>
      </c>
      <c r="J203" s="81"/>
      <c r="K203" s="81"/>
      <c r="L203" s="81" t="s">
        <v>48</v>
      </c>
      <c r="M203" s="81"/>
      <c r="N203" s="81"/>
      <c r="O203" s="81"/>
      <c r="P203" s="81" t="str">
        <f t="shared" si="38"/>
        <v>내역</v>
      </c>
      <c r="Q203" s="81" t="str">
        <f t="shared" si="39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40"/>
        <v>지출</v>
      </c>
      <c r="T203" s="81">
        <f t="shared" si="41"/>
        <v>-550361</v>
      </c>
      <c r="U203" s="81" t="str">
        <f t="shared" si="42"/>
        <v>날짜 미기록</v>
      </c>
      <c r="V203" s="81"/>
      <c r="Y203">
        <f t="shared" si="43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6" ht="40" hidden="1" customHeight="1" outlineLevel="1">
      <c r="A204" s="83">
        <v>46235</v>
      </c>
      <c r="B204" s="84" t="s">
        <v>53</v>
      </c>
      <c r="C204" s="84" t="s">
        <v>20</v>
      </c>
      <c r="D204" s="84" t="s">
        <v>54</v>
      </c>
      <c r="E204" s="85">
        <v>70000</v>
      </c>
      <c r="F204" s="89" t="s">
        <v>135</v>
      </c>
      <c r="G204" s="90" t="s">
        <v>136</v>
      </c>
      <c r="H204" s="87">
        <f t="shared" si="36"/>
        <v>46235</v>
      </c>
      <c r="I204" s="88" t="str">
        <f t="shared" si="37"/>
        <v>OK</v>
      </c>
      <c r="J204" s="81"/>
      <c r="K204" s="81"/>
      <c r="L204" s="81" t="s">
        <v>48</v>
      </c>
      <c r="M204" s="81"/>
      <c r="N204" s="81"/>
      <c r="O204" s="81"/>
      <c r="P204" s="81" t="str">
        <f t="shared" si="38"/>
        <v>내역</v>
      </c>
      <c r="Q204" s="81" t="str">
        <f t="shared" si="39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40"/>
        <v>지출</v>
      </c>
      <c r="T204" s="81">
        <f t="shared" si="41"/>
        <v>-70000</v>
      </c>
      <c r="U204" s="81" t="str">
        <f t="shared" si="42"/>
        <v>날짜 미기록</v>
      </c>
      <c r="V204" s="81"/>
      <c r="Y204">
        <f t="shared" si="43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6" ht="40" hidden="1" customHeight="1" outlineLevel="1">
      <c r="A205" s="83">
        <v>46235</v>
      </c>
      <c r="B205" s="84" t="s">
        <v>53</v>
      </c>
      <c r="C205" s="84" t="s">
        <v>20</v>
      </c>
      <c r="D205" s="84" t="s">
        <v>54</v>
      </c>
      <c r="E205" s="85">
        <v>1383483</v>
      </c>
      <c r="F205" s="89" t="s">
        <v>75</v>
      </c>
      <c r="G205" s="90" t="s">
        <v>52</v>
      </c>
      <c r="H205" s="87">
        <f t="shared" si="36"/>
        <v>46235</v>
      </c>
      <c r="I205" s="88" t="str">
        <f t="shared" si="37"/>
        <v>OK</v>
      </c>
      <c r="J205" s="81"/>
      <c r="K205" s="81"/>
      <c r="L205" s="81" t="s">
        <v>48</v>
      </c>
      <c r="M205" s="81"/>
      <c r="N205" s="81"/>
      <c r="O205" s="81"/>
      <c r="P205" s="81" t="str">
        <f t="shared" si="38"/>
        <v>내역</v>
      </c>
      <c r="Q205" s="81" t="str">
        <f t="shared" si="39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40"/>
        <v>지출</v>
      </c>
      <c r="T205" s="81">
        <f t="shared" si="41"/>
        <v>-1383483</v>
      </c>
      <c r="U205" s="81" t="str">
        <f t="shared" si="42"/>
        <v>날짜 미기록</v>
      </c>
      <c r="V205" s="81"/>
      <c r="Y205">
        <f t="shared" si="43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6" ht="40" hidden="1" customHeight="1" outlineLevel="1">
      <c r="A206" s="83">
        <v>46235</v>
      </c>
      <c r="B206" s="84" t="s">
        <v>53</v>
      </c>
      <c r="C206" s="84" t="s">
        <v>20</v>
      </c>
      <c r="D206" s="84" t="s">
        <v>54</v>
      </c>
      <c r="E206" s="85">
        <v>336100</v>
      </c>
      <c r="F206" s="89" t="s">
        <v>91</v>
      </c>
      <c r="G206" s="90" t="s">
        <v>52</v>
      </c>
      <c r="H206" s="87">
        <f t="shared" si="36"/>
        <v>46235</v>
      </c>
      <c r="I206" s="88" t="str">
        <f t="shared" si="37"/>
        <v>OK</v>
      </c>
      <c r="J206" s="81"/>
      <c r="K206" s="81"/>
      <c r="L206" s="81" t="s">
        <v>48</v>
      </c>
      <c r="M206" s="81"/>
      <c r="N206" s="81"/>
      <c r="O206" s="81"/>
      <c r="P206" s="81" t="str">
        <f t="shared" si="38"/>
        <v>내역</v>
      </c>
      <c r="Q206" s="81" t="str">
        <f t="shared" si="39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40"/>
        <v>지출</v>
      </c>
      <c r="T206" s="81">
        <f t="shared" si="41"/>
        <v>-336100</v>
      </c>
      <c r="U206" s="81" t="str">
        <f t="shared" si="42"/>
        <v>날짜 미기록</v>
      </c>
      <c r="V206" s="81"/>
      <c r="Y206">
        <f t="shared" si="43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6" ht="40" hidden="1" customHeight="1" outlineLevel="1">
      <c r="A207" s="83">
        <v>46235</v>
      </c>
      <c r="B207" s="84" t="s">
        <v>53</v>
      </c>
      <c r="C207" s="84" t="s">
        <v>20</v>
      </c>
      <c r="D207" s="84" t="s">
        <v>54</v>
      </c>
      <c r="E207" s="85">
        <v>93420</v>
      </c>
      <c r="F207" s="89" t="s">
        <v>137</v>
      </c>
      <c r="G207" s="90" t="s">
        <v>52</v>
      </c>
      <c r="H207" s="87">
        <f t="shared" si="36"/>
        <v>46235</v>
      </c>
      <c r="I207" s="88" t="str">
        <f t="shared" si="37"/>
        <v>OK</v>
      </c>
      <c r="J207" s="81"/>
      <c r="K207" s="81"/>
      <c r="L207" s="81" t="s">
        <v>48</v>
      </c>
      <c r="M207" s="81"/>
      <c r="N207" s="81"/>
      <c r="O207" s="81"/>
      <c r="P207" s="81" t="str">
        <f t="shared" si="38"/>
        <v>내역</v>
      </c>
      <c r="Q207" s="81" t="str">
        <f t="shared" si="39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40"/>
        <v>지출</v>
      </c>
      <c r="T207" s="81">
        <f t="shared" si="41"/>
        <v>-93420</v>
      </c>
      <c r="U207" s="81" t="str">
        <f t="shared" si="42"/>
        <v>날짜 미기록</v>
      </c>
      <c r="V207" s="81"/>
      <c r="Y207">
        <f t="shared" si="43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6" ht="40" hidden="1" customHeight="1" outlineLevel="1">
      <c r="A208" s="83">
        <v>46235</v>
      </c>
      <c r="B208" s="84" t="s">
        <v>53</v>
      </c>
      <c r="C208" s="84" t="s">
        <v>20</v>
      </c>
      <c r="D208" s="84" t="s">
        <v>54</v>
      </c>
      <c r="E208" s="85">
        <v>100000</v>
      </c>
      <c r="F208" s="89" t="s">
        <v>138</v>
      </c>
      <c r="G208" s="90" t="s">
        <v>2392</v>
      </c>
      <c r="H208" s="87">
        <f t="shared" si="36"/>
        <v>46235</v>
      </c>
      <c r="I208" s="88" t="str">
        <f t="shared" si="37"/>
        <v>OK</v>
      </c>
      <c r="J208" s="81"/>
      <c r="K208" s="81"/>
      <c r="L208" s="81" t="s">
        <v>48</v>
      </c>
      <c r="M208" s="81"/>
      <c r="N208" s="81"/>
      <c r="O208" s="81"/>
      <c r="P208" s="81" t="str">
        <f t="shared" si="38"/>
        <v>내역</v>
      </c>
      <c r="Q208" s="81" t="str">
        <f t="shared" si="39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40"/>
        <v>지출</v>
      </c>
      <c r="T208" s="81">
        <f t="shared" si="41"/>
        <v>-100000</v>
      </c>
      <c r="U208" s="81" t="str">
        <f t="shared" si="42"/>
        <v>날짜 미기록</v>
      </c>
      <c r="V208" s="81"/>
      <c r="Y208">
        <f t="shared" si="43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6" ht="40" hidden="1" customHeight="1" outlineLevel="1">
      <c r="A209" s="83">
        <v>46235</v>
      </c>
      <c r="B209" s="84" t="s">
        <v>53</v>
      </c>
      <c r="C209" s="84" t="s">
        <v>20</v>
      </c>
      <c r="D209" s="84" t="s">
        <v>54</v>
      </c>
      <c r="E209" s="85">
        <v>391000</v>
      </c>
      <c r="F209" s="89" t="s">
        <v>73</v>
      </c>
      <c r="G209" s="90" t="s">
        <v>52</v>
      </c>
      <c r="H209" s="87">
        <f t="shared" si="36"/>
        <v>46235</v>
      </c>
      <c r="I209" s="88" t="str">
        <f t="shared" si="37"/>
        <v>OK</v>
      </c>
      <c r="J209" s="81"/>
      <c r="K209" s="81"/>
      <c r="L209" s="81" t="s">
        <v>48</v>
      </c>
      <c r="M209" s="81"/>
      <c r="N209" s="81"/>
      <c r="O209" s="81"/>
      <c r="P209" s="81" t="str">
        <f t="shared" si="38"/>
        <v>내역</v>
      </c>
      <c r="Q209" s="81" t="str">
        <f t="shared" si="39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40"/>
        <v>지출</v>
      </c>
      <c r="T209" s="81">
        <f t="shared" si="41"/>
        <v>-391000</v>
      </c>
      <c r="U209" s="81" t="str">
        <f t="shared" si="42"/>
        <v>날짜 미기록</v>
      </c>
      <c r="V209" s="81"/>
      <c r="Y209">
        <f t="shared" si="43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6" ht="40" hidden="1" customHeight="1" outlineLevel="1">
      <c r="A210" s="83">
        <v>46235</v>
      </c>
      <c r="B210" s="84" t="s">
        <v>53</v>
      </c>
      <c r="C210" s="84" t="s">
        <v>20</v>
      </c>
      <c r="D210" s="84" t="s">
        <v>54</v>
      </c>
      <c r="E210" s="85">
        <v>11000</v>
      </c>
      <c r="F210" s="89" t="s">
        <v>139</v>
      </c>
      <c r="G210" s="90" t="s">
        <v>140</v>
      </c>
      <c r="H210" s="87">
        <f t="shared" si="36"/>
        <v>46235</v>
      </c>
      <c r="I210" s="88" t="str">
        <f t="shared" si="37"/>
        <v>OK</v>
      </c>
      <c r="J210" s="81"/>
      <c r="K210" s="81"/>
      <c r="L210" s="81" t="s">
        <v>48</v>
      </c>
      <c r="M210" s="81"/>
      <c r="N210" s="81"/>
      <c r="O210" s="81"/>
      <c r="P210" s="81" t="str">
        <f t="shared" si="38"/>
        <v>내역</v>
      </c>
      <c r="Q210" s="81" t="str">
        <f t="shared" si="39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40"/>
        <v>지출</v>
      </c>
      <c r="T210" s="81">
        <f t="shared" si="41"/>
        <v>-11000</v>
      </c>
      <c r="U210" s="81" t="str">
        <f t="shared" si="42"/>
        <v>날짜 미기록</v>
      </c>
      <c r="V210" s="81"/>
      <c r="Y210">
        <f t="shared" si="43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6" ht="40" hidden="1" customHeight="1" outlineLevel="1">
      <c r="A211" s="83">
        <v>46235</v>
      </c>
      <c r="B211" s="84" t="s">
        <v>65</v>
      </c>
      <c r="C211" s="84" t="s">
        <v>20</v>
      </c>
      <c r="D211" s="84" t="s">
        <v>45</v>
      </c>
      <c r="E211" s="85">
        <v>54948</v>
      </c>
      <c r="F211" s="89" t="s">
        <v>141</v>
      </c>
      <c r="G211" s="90" t="s">
        <v>52</v>
      </c>
      <c r="H211" s="87">
        <f t="shared" si="36"/>
        <v>46235</v>
      </c>
      <c r="I211" s="88" t="str">
        <f t="shared" si="37"/>
        <v>OK</v>
      </c>
      <c r="J211" s="81"/>
      <c r="K211" s="81"/>
      <c r="L211" s="81" t="s">
        <v>48</v>
      </c>
      <c r="M211" s="81"/>
      <c r="N211" s="81"/>
      <c r="O211" s="81"/>
      <c r="P211" s="81" t="str">
        <f t="shared" si="38"/>
        <v>이체</v>
      </c>
      <c r="Q211" s="81" t="str">
        <f t="shared" si="39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40"/>
        <v>외부</v>
      </c>
      <c r="T211" s="81">
        <f t="shared" si="41"/>
        <v>54948</v>
      </c>
      <c r="U211" s="81" t="str">
        <f t="shared" si="42"/>
        <v>날짜 미기록</v>
      </c>
      <c r="V211" s="81"/>
      <c r="Y211">
        <f t="shared" si="43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6" ht="40" hidden="1" customHeight="1" outlineLevel="1">
      <c r="A212" s="83">
        <v>46235</v>
      </c>
      <c r="B212" s="84" t="s">
        <v>65</v>
      </c>
      <c r="C212" s="84" t="s">
        <v>20</v>
      </c>
      <c r="D212" s="84" t="s">
        <v>45</v>
      </c>
      <c r="E212" s="85">
        <v>585198</v>
      </c>
      <c r="F212" s="89" t="s">
        <v>142</v>
      </c>
      <c r="G212" s="90" t="s">
        <v>52</v>
      </c>
      <c r="H212" s="87">
        <f t="shared" si="36"/>
        <v>46235</v>
      </c>
      <c r="I212" s="88" t="str">
        <f t="shared" si="37"/>
        <v>OK</v>
      </c>
      <c r="J212" s="81"/>
      <c r="K212" s="81"/>
      <c r="L212" s="81" t="s">
        <v>48</v>
      </c>
      <c r="M212" s="81"/>
      <c r="N212" s="81"/>
      <c r="O212" s="81"/>
      <c r="P212" s="81" t="str">
        <f t="shared" si="38"/>
        <v>이체</v>
      </c>
      <c r="Q212" s="81" t="str">
        <f t="shared" si="39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40"/>
        <v>외부</v>
      </c>
      <c r="T212" s="81">
        <f t="shared" si="41"/>
        <v>585198</v>
      </c>
      <c r="U212" s="81" t="str">
        <f t="shared" si="42"/>
        <v>날짜 미기록</v>
      </c>
      <c r="V212" s="81"/>
      <c r="Y212">
        <f t="shared" si="43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6" ht="40" hidden="1" customHeight="1" outlineLevel="1">
      <c r="A213" s="83">
        <v>46235</v>
      </c>
      <c r="B213" s="84" t="s">
        <v>65</v>
      </c>
      <c r="C213" s="84" t="s">
        <v>45</v>
      </c>
      <c r="D213" s="84" t="s">
        <v>20</v>
      </c>
      <c r="E213" s="85">
        <v>34489</v>
      </c>
      <c r="F213" s="89" t="s">
        <v>84</v>
      </c>
      <c r="G213" s="90" t="s">
        <v>52</v>
      </c>
      <c r="H213" s="87">
        <f t="shared" si="36"/>
        <v>46235</v>
      </c>
      <c r="I213" s="88" t="str">
        <f t="shared" si="37"/>
        <v>OK</v>
      </c>
      <c r="J213" s="81"/>
      <c r="K213" s="81"/>
      <c r="L213" s="81" t="s">
        <v>48</v>
      </c>
      <c r="M213" s="81"/>
      <c r="N213" s="81"/>
      <c r="O213" s="81"/>
      <c r="P213" s="81" t="str">
        <f t="shared" si="38"/>
        <v/>
      </c>
      <c r="Q213" s="81" t="str">
        <f t="shared" si="39"/>
        <v/>
      </c>
      <c r="R213" s="81" t="str">
        <f>IF(P213="","",TEXT(H213,"yyyymm")&amp;"_"&amp;P213&amp;"_"&amp;(COUNTIFS($H$64:$H$500,H213,$P$64:$P$500,P213,$A$64:$A$500,"&gt;"&amp;A213)+COUNTIFS($H$64:H213,H213,$P$64:P213,P213,$A$64:A213,A213)))</f>
        <v/>
      </c>
      <c r="S213" s="81" t="str">
        <f t="shared" si="40"/>
        <v/>
      </c>
      <c r="T213" s="81" t="str">
        <f t="shared" si="41"/>
        <v/>
      </c>
      <c r="U213" s="81" t="str">
        <f t="shared" si="42"/>
        <v/>
      </c>
      <c r="V213" s="81"/>
      <c r="Y213">
        <f t="shared" si="43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6" ht="40" hidden="1" customHeight="1" outlineLevel="1">
      <c r="A214" s="83">
        <v>46266</v>
      </c>
      <c r="B214" s="84" t="s">
        <v>50</v>
      </c>
      <c r="C214" s="84" t="s">
        <v>45</v>
      </c>
      <c r="D214" s="84" t="s">
        <v>12</v>
      </c>
      <c r="E214" s="85">
        <v>2082285</v>
      </c>
      <c r="F214" s="89" t="s">
        <v>143</v>
      </c>
      <c r="G214" s="90" t="s">
        <v>52</v>
      </c>
      <c r="H214" s="87">
        <f t="shared" si="36"/>
        <v>46266</v>
      </c>
      <c r="I214" s="88" t="str">
        <f t="shared" si="37"/>
        <v>OK</v>
      </c>
      <c r="J214" s="81"/>
      <c r="K214" s="81"/>
      <c r="L214" s="81" t="s">
        <v>48</v>
      </c>
      <c r="M214" s="81"/>
      <c r="N214" s="81"/>
      <c r="O214" s="81"/>
      <c r="P214" s="81" t="str">
        <f t="shared" si="38"/>
        <v>내역</v>
      </c>
      <c r="Q214" s="81" t="str">
        <f t="shared" si="39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40"/>
        <v>생활비</v>
      </c>
      <c r="T214" s="81">
        <f t="shared" si="41"/>
        <v>2082285</v>
      </c>
      <c r="U214" s="81" t="str">
        <f t="shared" si="42"/>
        <v>날짜 미기록</v>
      </c>
      <c r="V214" s="81"/>
      <c r="Y214">
        <f t="shared" si="43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6" ht="40" hidden="1" customHeight="1" outlineLevel="1">
      <c r="A215" s="83">
        <v>46266</v>
      </c>
      <c r="B215" s="84" t="s">
        <v>50</v>
      </c>
      <c r="C215" s="84" t="s">
        <v>45</v>
      </c>
      <c r="D215" s="84" t="s">
        <v>12</v>
      </c>
      <c r="E215" s="85">
        <v>8803</v>
      </c>
      <c r="F215" s="89" t="s">
        <v>144</v>
      </c>
      <c r="G215" s="90" t="s">
        <v>52</v>
      </c>
      <c r="H215" s="87">
        <f t="shared" si="36"/>
        <v>46266</v>
      </c>
      <c r="I215" s="88" t="str">
        <f t="shared" si="37"/>
        <v>OK</v>
      </c>
      <c r="J215" s="81"/>
      <c r="K215" s="81"/>
      <c r="L215" s="81" t="s">
        <v>48</v>
      </c>
      <c r="M215" s="81"/>
      <c r="N215" s="81"/>
      <c r="O215" s="81"/>
      <c r="P215" s="81" t="str">
        <f t="shared" si="38"/>
        <v>내역</v>
      </c>
      <c r="Q215" s="81" t="str">
        <f t="shared" si="39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40"/>
        <v>생활비</v>
      </c>
      <c r="T215" s="81">
        <f t="shared" si="41"/>
        <v>8803</v>
      </c>
      <c r="U215" s="81" t="str">
        <f t="shared" si="42"/>
        <v>날짜 미기록</v>
      </c>
      <c r="V215" s="81"/>
      <c r="Y215">
        <f t="shared" si="43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6" ht="40" hidden="1" customHeight="1" outlineLevel="1">
      <c r="A216" s="83">
        <v>46266</v>
      </c>
      <c r="B216" s="84" t="s">
        <v>53</v>
      </c>
      <c r="C216" s="84" t="s">
        <v>12</v>
      </c>
      <c r="D216" s="84" t="s">
        <v>54</v>
      </c>
      <c r="E216" s="85">
        <v>14701</v>
      </c>
      <c r="F216" s="89" t="s">
        <v>145</v>
      </c>
      <c r="G216" s="90" t="s">
        <v>52</v>
      </c>
      <c r="H216" s="87">
        <f t="shared" si="36"/>
        <v>46266</v>
      </c>
      <c r="I216" s="88" t="str">
        <f t="shared" si="37"/>
        <v>OK</v>
      </c>
      <c r="J216" s="81"/>
      <c r="K216" s="81"/>
      <c r="L216" s="81" t="s">
        <v>48</v>
      </c>
      <c r="M216" s="81"/>
      <c r="N216" s="81"/>
      <c r="O216" s="81"/>
      <c r="P216" s="81" t="str">
        <f t="shared" si="38"/>
        <v>내역</v>
      </c>
      <c r="Q216" s="81" t="str">
        <f t="shared" si="39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40"/>
        <v>지출</v>
      </c>
      <c r="T216" s="81">
        <f t="shared" si="41"/>
        <v>-14701</v>
      </c>
      <c r="U216" s="81" t="str">
        <f t="shared" si="42"/>
        <v>날짜 미기록</v>
      </c>
      <c r="V216" s="81"/>
      <c r="Y216">
        <f t="shared" si="43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6" ht="40" hidden="1" customHeight="1" outlineLevel="1">
      <c r="A217" s="83">
        <v>46266</v>
      </c>
      <c r="B217" s="84" t="s">
        <v>53</v>
      </c>
      <c r="C217" s="84" t="s">
        <v>12</v>
      </c>
      <c r="D217" s="84" t="s">
        <v>54</v>
      </c>
      <c r="E217" s="85">
        <v>93420</v>
      </c>
      <c r="F217" s="89" t="s">
        <v>146</v>
      </c>
      <c r="G217" s="90" t="s">
        <v>52</v>
      </c>
      <c r="H217" s="87">
        <f t="shared" si="36"/>
        <v>46266</v>
      </c>
      <c r="I217" s="88" t="str">
        <f t="shared" si="37"/>
        <v>OK</v>
      </c>
      <c r="J217" s="81"/>
      <c r="K217" s="81"/>
      <c r="L217" s="81" t="s">
        <v>48</v>
      </c>
      <c r="M217" s="81"/>
      <c r="N217" s="81"/>
      <c r="O217" s="81"/>
      <c r="P217" s="81" t="str">
        <f t="shared" si="38"/>
        <v>내역</v>
      </c>
      <c r="Q217" s="81" t="str">
        <f t="shared" si="39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40"/>
        <v>지출</v>
      </c>
      <c r="T217" s="81">
        <f t="shared" si="41"/>
        <v>-93420</v>
      </c>
      <c r="U217" s="81" t="str">
        <f t="shared" si="42"/>
        <v>날짜 미기록</v>
      </c>
      <c r="V217" s="81"/>
      <c r="Y217">
        <f t="shared" si="43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6" ht="40" hidden="1" customHeight="1" outlineLevel="1">
      <c r="A218" s="83">
        <v>46266</v>
      </c>
      <c r="B218" s="84" t="s">
        <v>53</v>
      </c>
      <c r="C218" s="84" t="s">
        <v>12</v>
      </c>
      <c r="D218" s="84" t="s">
        <v>54</v>
      </c>
      <c r="E218" s="85">
        <v>7030</v>
      </c>
      <c r="F218" s="89" t="s">
        <v>147</v>
      </c>
      <c r="G218" s="90" t="s">
        <v>148</v>
      </c>
      <c r="H218" s="87">
        <f t="shared" si="36"/>
        <v>46266</v>
      </c>
      <c r="I218" s="88" t="str">
        <f t="shared" si="37"/>
        <v>OK</v>
      </c>
      <c r="J218" s="81"/>
      <c r="K218" s="81"/>
      <c r="L218" s="81" t="s">
        <v>48</v>
      </c>
      <c r="M218" s="81"/>
      <c r="N218" s="81"/>
      <c r="O218" s="81"/>
      <c r="P218" s="81" t="str">
        <f t="shared" si="38"/>
        <v>내역</v>
      </c>
      <c r="Q218" s="81" t="str">
        <f t="shared" si="39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40"/>
        <v>지출</v>
      </c>
      <c r="T218" s="81">
        <f t="shared" si="41"/>
        <v>-7030</v>
      </c>
      <c r="U218" s="81" t="str">
        <f t="shared" si="42"/>
        <v>날짜 미기록</v>
      </c>
      <c r="V218" s="81"/>
      <c r="Y218">
        <f t="shared" si="43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6" ht="40" hidden="1" customHeight="1" outlineLevel="1">
      <c r="A219" s="83">
        <v>46266</v>
      </c>
      <c r="B219" s="84" t="s">
        <v>65</v>
      </c>
      <c r="C219" s="84" t="s">
        <v>45</v>
      </c>
      <c r="D219" s="84" t="s">
        <v>12</v>
      </c>
      <c r="E219" s="85">
        <v>4812666</v>
      </c>
      <c r="F219" s="89" t="s">
        <v>67</v>
      </c>
      <c r="G219" s="90" t="s">
        <v>52</v>
      </c>
      <c r="H219" s="87">
        <f t="shared" si="36"/>
        <v>46266</v>
      </c>
      <c r="I219" s="88" t="str">
        <f t="shared" si="37"/>
        <v>OK</v>
      </c>
      <c r="J219" s="81"/>
      <c r="K219" s="81"/>
      <c r="L219" s="81" t="s">
        <v>48</v>
      </c>
      <c r="M219" s="81"/>
      <c r="N219" s="81"/>
      <c r="O219" s="81"/>
      <c r="P219" s="81" t="str">
        <f t="shared" si="38"/>
        <v/>
      </c>
      <c r="Q219" s="81" t="str">
        <f t="shared" si="39"/>
        <v/>
      </c>
      <c r="R219" s="81" t="str">
        <f>IF(P219="","",TEXT(H219,"yyyymm")&amp;"_"&amp;P219&amp;"_"&amp;(COUNTIFS($H$64:$H$500,H219,$P$64:$P$500,P219,$A$64:$A$500,"&gt;"&amp;A219)+COUNTIFS($H$64:H219,H219,$P$64:P219,P219,$A$64:A219,A219)))</f>
        <v/>
      </c>
      <c r="S219" s="81" t="str">
        <f t="shared" si="40"/>
        <v/>
      </c>
      <c r="T219" s="81" t="str">
        <f t="shared" si="41"/>
        <v/>
      </c>
      <c r="U219" s="81" t="str">
        <f t="shared" si="42"/>
        <v/>
      </c>
      <c r="V219" s="81"/>
      <c r="Y219">
        <f t="shared" si="43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6" ht="40" hidden="1" customHeight="1" outlineLevel="1">
      <c r="A220" s="83">
        <v>46266</v>
      </c>
      <c r="B220" s="84" t="s">
        <v>65</v>
      </c>
      <c r="C220" s="84" t="s">
        <v>12</v>
      </c>
      <c r="D220" s="84" t="s">
        <v>45</v>
      </c>
      <c r="E220" s="85">
        <v>100000</v>
      </c>
      <c r="F220" s="89" t="s">
        <v>149</v>
      </c>
      <c r="G220" s="90" t="s">
        <v>52</v>
      </c>
      <c r="H220" s="87">
        <f t="shared" si="36"/>
        <v>46266</v>
      </c>
      <c r="I220" s="88" t="str">
        <f t="shared" si="37"/>
        <v>OK</v>
      </c>
      <c r="J220" s="81"/>
      <c r="K220" s="81"/>
      <c r="L220" s="81" t="s">
        <v>48</v>
      </c>
      <c r="M220" s="81"/>
      <c r="N220" s="81"/>
      <c r="O220" s="81"/>
      <c r="P220" s="81" t="str">
        <f t="shared" si="38"/>
        <v>이체</v>
      </c>
      <c r="Q220" s="81" t="str">
        <f t="shared" si="39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40"/>
        <v>외부</v>
      </c>
      <c r="T220" s="81">
        <f t="shared" si="41"/>
        <v>100000</v>
      </c>
      <c r="U220" s="81" t="str">
        <f t="shared" si="42"/>
        <v>날짜 미기록</v>
      </c>
      <c r="V220" s="81"/>
      <c r="Y220">
        <f t="shared" si="43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6" ht="40" hidden="1" customHeight="1" outlineLevel="1">
      <c r="A221" s="83">
        <v>46266</v>
      </c>
      <c r="B221" s="84" t="s">
        <v>56</v>
      </c>
      <c r="C221" s="84" t="s">
        <v>12</v>
      </c>
      <c r="D221" s="84" t="s">
        <v>15</v>
      </c>
      <c r="E221" s="85">
        <v>50000</v>
      </c>
      <c r="F221" s="89" t="s">
        <v>150</v>
      </c>
      <c r="G221" s="90" t="s">
        <v>52</v>
      </c>
      <c r="H221" s="87">
        <f t="shared" si="36"/>
        <v>46266</v>
      </c>
      <c r="I221" s="88" t="str">
        <f t="shared" si="37"/>
        <v>OK</v>
      </c>
      <c r="J221" s="81"/>
      <c r="K221" s="81"/>
      <c r="L221" s="81" t="s">
        <v>48</v>
      </c>
      <c r="M221" s="81"/>
      <c r="N221" s="81"/>
      <c r="O221" s="81"/>
      <c r="P221" s="81" t="str">
        <f t="shared" si="38"/>
        <v>이체</v>
      </c>
      <c r="Q221" s="81" t="str">
        <f t="shared" si="39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40"/>
        <v>경조사비</v>
      </c>
      <c r="T221" s="81">
        <f t="shared" si="41"/>
        <v>50000</v>
      </c>
      <c r="U221" s="81" t="str">
        <f t="shared" si="42"/>
        <v>날짜 미기록</v>
      </c>
      <c r="V221" s="81"/>
      <c r="Y221">
        <f t="shared" si="43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6" ht="40" hidden="1" customHeight="1" outlineLevel="1">
      <c r="A222" s="83">
        <v>46266</v>
      </c>
      <c r="B222" s="84" t="s">
        <v>86</v>
      </c>
      <c r="C222" s="84" t="s">
        <v>15</v>
      </c>
      <c r="D222" s="84" t="s">
        <v>54</v>
      </c>
      <c r="E222" s="85">
        <v>50000</v>
      </c>
      <c r="F222" s="89" t="s">
        <v>151</v>
      </c>
      <c r="G222" s="90" t="s">
        <v>52</v>
      </c>
      <c r="H222" s="87">
        <f t="shared" si="36"/>
        <v>46266</v>
      </c>
      <c r="I222" s="88" t="str">
        <f t="shared" si="37"/>
        <v>OK</v>
      </c>
      <c r="J222" s="81"/>
      <c r="K222" s="81"/>
      <c r="L222" s="81" t="s">
        <v>48</v>
      </c>
      <c r="M222" s="81"/>
      <c r="N222" s="81"/>
      <c r="O222" s="81"/>
      <c r="P222" s="81" t="str">
        <f t="shared" si="38"/>
        <v>내역</v>
      </c>
      <c r="Q222" s="81" t="str">
        <f t="shared" si="39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40"/>
        <v>지출</v>
      </c>
      <c r="T222" s="81">
        <f t="shared" si="41"/>
        <v>-50000</v>
      </c>
      <c r="U222" s="81" t="str">
        <f t="shared" si="42"/>
        <v>날짜 미기록</v>
      </c>
      <c r="V222" s="81"/>
      <c r="Y222">
        <f t="shared" si="43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6" ht="40" hidden="1" customHeight="1" outlineLevel="1">
      <c r="A223" s="83">
        <v>46266</v>
      </c>
      <c r="B223" s="84" t="s">
        <v>72</v>
      </c>
      <c r="C223" s="84" t="s">
        <v>13</v>
      </c>
      <c r="D223" s="84" t="s">
        <v>45</v>
      </c>
      <c r="E223" s="85">
        <v>200000</v>
      </c>
      <c r="F223" s="89" t="s">
        <v>152</v>
      </c>
      <c r="G223" s="90" t="s">
        <v>153</v>
      </c>
      <c r="H223" s="87">
        <f t="shared" si="36"/>
        <v>46266</v>
      </c>
      <c r="I223" s="88" t="str">
        <f t="shared" si="37"/>
        <v>OK</v>
      </c>
      <c r="J223" s="81" t="s">
        <v>154</v>
      </c>
      <c r="K223" s="81" t="s">
        <v>138</v>
      </c>
      <c r="L223" s="81" t="s">
        <v>48</v>
      </c>
      <c r="M223" s="81"/>
      <c r="N223" s="81"/>
      <c r="O223" s="81"/>
      <c r="P223" s="81" t="str">
        <f t="shared" si="38"/>
        <v>이체</v>
      </c>
      <c r="Q223" s="81" t="str">
        <f t="shared" si="39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40"/>
        <v>외부</v>
      </c>
      <c r="T223" s="81">
        <f t="shared" si="41"/>
        <v>200000</v>
      </c>
      <c r="U223" s="81" t="str">
        <f t="shared" si="42"/>
        <v>날짜 미기록</v>
      </c>
      <c r="V223" s="81"/>
      <c r="Y223">
        <f t="shared" si="43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6" ht="40" hidden="1" customHeight="1" outlineLevel="1">
      <c r="A224" s="83">
        <v>46266</v>
      </c>
      <c r="B224" s="84" t="s">
        <v>65</v>
      </c>
      <c r="C224" s="84" t="s">
        <v>45</v>
      </c>
      <c r="D224" s="84" t="s">
        <v>15</v>
      </c>
      <c r="E224" s="85">
        <v>100000</v>
      </c>
      <c r="F224" s="89" t="s">
        <v>155</v>
      </c>
      <c r="G224" s="90" t="s">
        <v>52</v>
      </c>
      <c r="H224" s="87">
        <f t="shared" si="36"/>
        <v>46266</v>
      </c>
      <c r="I224" s="88" t="str">
        <f t="shared" si="37"/>
        <v>OK</v>
      </c>
      <c r="J224" s="81"/>
      <c r="K224" s="81"/>
      <c r="L224" s="81" t="s">
        <v>48</v>
      </c>
      <c r="M224" s="81"/>
      <c r="N224" s="81"/>
      <c r="O224" s="81"/>
      <c r="P224" s="81" t="str">
        <f t="shared" si="38"/>
        <v/>
      </c>
      <c r="Q224" s="81" t="str">
        <f t="shared" si="39"/>
        <v/>
      </c>
      <c r="R224" s="81" t="str">
        <f>IF(P224="","",TEXT(H224,"yyyymm")&amp;"_"&amp;P224&amp;"_"&amp;(COUNTIFS($H$64:$H$500,H224,$P$64:$P$500,P224,$A$64:$A$500,"&gt;"&amp;A224)+COUNTIFS($H$64:H224,H224,$P$64:P224,P224,$A$64:A224,A224)))</f>
        <v/>
      </c>
      <c r="S224" s="81" t="str">
        <f t="shared" si="40"/>
        <v/>
      </c>
      <c r="T224" s="81" t="str">
        <f t="shared" si="41"/>
        <v/>
      </c>
      <c r="U224" s="81" t="str">
        <f t="shared" si="42"/>
        <v/>
      </c>
      <c r="V224" s="81"/>
      <c r="Y224">
        <f t="shared" si="43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6" ht="40" hidden="1" customHeight="1" outlineLevel="1">
      <c r="A225" s="83">
        <v>46266</v>
      </c>
      <c r="B225" s="84" t="s">
        <v>56</v>
      </c>
      <c r="C225" s="84" t="s">
        <v>12</v>
      </c>
      <c r="D225" s="84" t="s">
        <v>14</v>
      </c>
      <c r="E225" s="85">
        <v>100000</v>
      </c>
      <c r="F225" s="89" t="s">
        <v>59</v>
      </c>
      <c r="G225" s="90" t="s">
        <v>52</v>
      </c>
      <c r="H225" s="87">
        <f t="shared" si="36"/>
        <v>46266</v>
      </c>
      <c r="I225" s="88" t="str">
        <f t="shared" si="37"/>
        <v>OK</v>
      </c>
      <c r="J225" s="81"/>
      <c r="K225" s="81"/>
      <c r="L225" s="81" t="s">
        <v>48</v>
      </c>
      <c r="M225" s="81"/>
      <c r="N225" s="81"/>
      <c r="O225" s="81"/>
      <c r="P225" s="81" t="str">
        <f t="shared" si="38"/>
        <v>이체</v>
      </c>
      <c r="Q225" s="81" t="str">
        <f t="shared" si="39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40"/>
        <v>여행비</v>
      </c>
      <c r="T225" s="81">
        <f t="shared" si="41"/>
        <v>100000</v>
      </c>
      <c r="U225" s="81" t="str">
        <f t="shared" si="42"/>
        <v>날짜 미기록</v>
      </c>
      <c r="V225" s="81"/>
      <c r="Y225">
        <f t="shared" si="43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6" ht="40" hidden="1" customHeight="1" outlineLevel="1">
      <c r="A226" s="83">
        <v>46266</v>
      </c>
      <c r="B226" s="84" t="s">
        <v>56</v>
      </c>
      <c r="C226" s="84" t="s">
        <v>12</v>
      </c>
      <c r="D226" s="84" t="s">
        <v>15</v>
      </c>
      <c r="E226" s="85">
        <v>50000</v>
      </c>
      <c r="F226" s="89" t="s">
        <v>88</v>
      </c>
      <c r="G226" s="90" t="s">
        <v>52</v>
      </c>
      <c r="H226" s="87">
        <f t="shared" si="36"/>
        <v>46266</v>
      </c>
      <c r="I226" s="88" t="str">
        <f t="shared" si="37"/>
        <v>OK</v>
      </c>
      <c r="J226" s="81"/>
      <c r="K226" s="81"/>
      <c r="L226" s="81" t="s">
        <v>48</v>
      </c>
      <c r="M226" s="81"/>
      <c r="N226" s="81"/>
      <c r="O226" s="81"/>
      <c r="P226" s="81" t="str">
        <f t="shared" si="38"/>
        <v>이체</v>
      </c>
      <c r="Q226" s="81" t="str">
        <f t="shared" si="39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40"/>
        <v>경조사비</v>
      </c>
      <c r="T226" s="81">
        <f t="shared" si="41"/>
        <v>50000</v>
      </c>
      <c r="U226" s="81" t="str">
        <f t="shared" si="42"/>
        <v>날짜 미기록</v>
      </c>
      <c r="V226" s="81"/>
      <c r="Y226">
        <f t="shared" si="43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6" ht="40" hidden="1" customHeight="1" outlineLevel="1">
      <c r="A227" s="83">
        <v>46266</v>
      </c>
      <c r="B227" s="84" t="s">
        <v>56</v>
      </c>
      <c r="C227" s="84" t="s">
        <v>12</v>
      </c>
      <c r="D227" s="84" t="s">
        <v>16</v>
      </c>
      <c r="E227" s="85">
        <v>100000</v>
      </c>
      <c r="F227" s="89" t="s">
        <v>60</v>
      </c>
      <c r="G227" s="90" t="s">
        <v>52</v>
      </c>
      <c r="H227" s="87">
        <f t="shared" si="36"/>
        <v>46266</v>
      </c>
      <c r="I227" s="88" t="str">
        <f t="shared" si="37"/>
        <v>OK</v>
      </c>
      <c r="J227" s="81"/>
      <c r="K227" s="81"/>
      <c r="L227" s="81" t="s">
        <v>48</v>
      </c>
      <c r="M227" s="81"/>
      <c r="N227" s="81"/>
      <c r="O227" s="81"/>
      <c r="P227" s="81" t="str">
        <f t="shared" si="38"/>
        <v>이체</v>
      </c>
      <c r="Q227" s="81" t="str">
        <f t="shared" si="39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40"/>
        <v>상환비</v>
      </c>
      <c r="T227" s="81">
        <f t="shared" si="41"/>
        <v>100000</v>
      </c>
      <c r="U227" s="81" t="str">
        <f t="shared" si="42"/>
        <v>날짜 미기록</v>
      </c>
      <c r="V227" s="81"/>
      <c r="Y227">
        <f t="shared" si="43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6" ht="40" hidden="1" customHeight="1" outlineLevel="1">
      <c r="A228" s="83">
        <v>46266</v>
      </c>
      <c r="B228" s="84" t="s">
        <v>50</v>
      </c>
      <c r="C228" s="84" t="s">
        <v>45</v>
      </c>
      <c r="D228" s="84" t="s">
        <v>20</v>
      </c>
      <c r="E228" s="85">
        <v>165100</v>
      </c>
      <c r="F228" s="89" t="s">
        <v>156</v>
      </c>
      <c r="G228" s="90" t="s">
        <v>52</v>
      </c>
      <c r="H228" s="87">
        <f t="shared" si="36"/>
        <v>46266</v>
      </c>
      <c r="I228" s="88" t="str">
        <f t="shared" si="37"/>
        <v>OK</v>
      </c>
      <c r="J228" s="81"/>
      <c r="K228" s="81"/>
      <c r="L228" s="81" t="s">
        <v>48</v>
      </c>
      <c r="M228" s="81"/>
      <c r="N228" s="81"/>
      <c r="O228" s="81"/>
      <c r="P228" s="81" t="str">
        <f t="shared" si="38"/>
        <v>내역</v>
      </c>
      <c r="Q228" s="81" t="str">
        <f t="shared" si="39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40"/>
        <v>임시보관</v>
      </c>
      <c r="T228" s="81">
        <f t="shared" si="41"/>
        <v>165100</v>
      </c>
      <c r="U228" s="81" t="str">
        <f t="shared" si="42"/>
        <v>날짜 미기록</v>
      </c>
      <c r="V228" s="81"/>
      <c r="Y228">
        <f t="shared" si="43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6" ht="40" hidden="1" customHeight="1" outlineLevel="1">
      <c r="A229" s="83">
        <v>46266</v>
      </c>
      <c r="B229" s="84" t="s">
        <v>53</v>
      </c>
      <c r="C229" s="84" t="s">
        <v>20</v>
      </c>
      <c r="D229" s="84" t="s">
        <v>54</v>
      </c>
      <c r="E229" s="85">
        <v>4848153</v>
      </c>
      <c r="F229" s="89" t="s">
        <v>157</v>
      </c>
      <c r="G229" s="90" t="s">
        <v>52</v>
      </c>
      <c r="H229" s="87">
        <f t="shared" si="36"/>
        <v>46266</v>
      </c>
      <c r="I229" s="88" t="str">
        <f t="shared" si="37"/>
        <v>OK</v>
      </c>
      <c r="J229" s="81"/>
      <c r="K229" s="81"/>
      <c r="L229" s="81" t="s">
        <v>48</v>
      </c>
      <c r="M229" s="81"/>
      <c r="N229" s="81"/>
      <c r="O229" s="81"/>
      <c r="P229" s="81" t="str">
        <f t="shared" si="38"/>
        <v>내역</v>
      </c>
      <c r="Q229" s="81" t="str">
        <f t="shared" si="39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40"/>
        <v>지출</v>
      </c>
      <c r="T229" s="81">
        <f t="shared" si="41"/>
        <v>-4848153</v>
      </c>
      <c r="U229" s="81" t="str">
        <f t="shared" si="42"/>
        <v>날짜 미기록</v>
      </c>
      <c r="V229" s="81"/>
      <c r="Y229">
        <f t="shared" si="43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6" ht="40" hidden="1" customHeight="1" outlineLevel="1">
      <c r="A230" s="83">
        <v>46266</v>
      </c>
      <c r="B230" s="84" t="s">
        <v>65</v>
      </c>
      <c r="C230" s="84" t="s">
        <v>20</v>
      </c>
      <c r="D230" s="84" t="s">
        <v>45</v>
      </c>
      <c r="E230" s="85">
        <v>4812666</v>
      </c>
      <c r="F230" s="89" t="s">
        <v>158</v>
      </c>
      <c r="G230" s="90" t="s">
        <v>52</v>
      </c>
      <c r="H230" s="87">
        <f t="shared" si="36"/>
        <v>46266</v>
      </c>
      <c r="I230" s="88" t="str">
        <f t="shared" si="37"/>
        <v>OK</v>
      </c>
      <c r="J230" s="81"/>
      <c r="K230" s="81"/>
      <c r="L230" s="81" t="s">
        <v>48</v>
      </c>
      <c r="M230" s="81"/>
      <c r="N230" s="81"/>
      <c r="O230" s="81"/>
      <c r="P230" s="81" t="str">
        <f t="shared" si="38"/>
        <v>이체</v>
      </c>
      <c r="Q230" s="81" t="str">
        <f t="shared" si="39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40"/>
        <v>외부</v>
      </c>
      <c r="T230" s="81">
        <f t="shared" si="41"/>
        <v>4812666</v>
      </c>
      <c r="U230" s="81" t="str">
        <f t="shared" si="42"/>
        <v>날짜 미기록</v>
      </c>
      <c r="V230" s="81"/>
      <c r="Y230">
        <f t="shared" si="43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6" ht="45" hidden="1" customHeight="1" outlineLevel="1">
      <c r="A231" s="309">
        <v>46308.851395949067</v>
      </c>
      <c r="B231" s="313" t="s">
        <v>159</v>
      </c>
      <c r="C231" s="313" t="s">
        <v>45</v>
      </c>
      <c r="D231" s="313" t="s">
        <v>12</v>
      </c>
      <c r="E231" s="311">
        <v>22210</v>
      </c>
      <c r="F231" s="313" t="s">
        <v>160</v>
      </c>
      <c r="G231" s="313" t="s">
        <v>161</v>
      </c>
      <c r="H231" s="312">
        <f t="shared" si="36"/>
        <v>46296</v>
      </c>
      <c r="I231" s="313" t="str">
        <f t="shared" si="37"/>
        <v>OK</v>
      </c>
      <c r="J231" s="313" t="s">
        <v>162</v>
      </c>
      <c r="K231" s="313" t="s">
        <v>154</v>
      </c>
      <c r="L231" s="315" t="s">
        <v>163</v>
      </c>
      <c r="M231" s="81"/>
      <c r="N231" s="81"/>
      <c r="O231" s="81"/>
      <c r="P231" s="81" t="str">
        <f t="shared" si="38"/>
        <v>이체</v>
      </c>
      <c r="Q231" s="81" t="str">
        <f t="shared" si="39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40"/>
        <v>생활비</v>
      </c>
      <c r="T231" s="81">
        <f t="shared" si="41"/>
        <v>22210</v>
      </c>
      <c r="U231" s="81">
        <f t="shared" si="42"/>
        <v>46308.851395949067</v>
      </c>
      <c r="V231" s="81"/>
      <c r="W231">
        <v>2453</v>
      </c>
      <c r="Y231">
        <f t="shared" si="43"/>
        <v>22210</v>
      </c>
      <c r="Z231">
        <f>IFERROR(IF(AND(ISNUMBER(A231),A231&gt;=$B$3,A231&lt;EDATE($B$3,1)),COUNTIFS($A$64:$A$500,"&gt;"&amp;A231,$A$64:$A$500,"&lt;"&amp;EDATE($B$3,1))+COUNTIF($A$64:A231,A231),0),0)</f>
        <v>6</v>
      </c>
    </row>
    <row r="232" spans="1:26" ht="45" hidden="1" customHeight="1" outlineLevel="1">
      <c r="A232" s="309">
        <v>46308.850696064823</v>
      </c>
      <c r="B232" s="313" t="s">
        <v>159</v>
      </c>
      <c r="C232" s="313" t="s">
        <v>12</v>
      </c>
      <c r="D232" s="313" t="s">
        <v>45</v>
      </c>
      <c r="E232" s="311">
        <v>236270</v>
      </c>
      <c r="F232" s="313" t="s">
        <v>164</v>
      </c>
      <c r="G232" s="313" t="s">
        <v>165</v>
      </c>
      <c r="H232" s="312">
        <f t="shared" si="36"/>
        <v>46296</v>
      </c>
      <c r="I232" s="313" t="str">
        <f t="shared" si="37"/>
        <v>OK</v>
      </c>
      <c r="J232" s="313" t="s">
        <v>154</v>
      </c>
      <c r="K232" s="313" t="s">
        <v>166</v>
      </c>
      <c r="L232" s="315" t="s">
        <v>163</v>
      </c>
      <c r="M232" s="81"/>
      <c r="N232" s="81"/>
      <c r="O232" s="81"/>
      <c r="P232" s="81" t="str">
        <f t="shared" si="38"/>
        <v>이체</v>
      </c>
      <c r="Q232" s="81" t="str">
        <f t="shared" si="39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40"/>
        <v>외부</v>
      </c>
      <c r="T232" s="81">
        <f t="shared" si="41"/>
        <v>236270</v>
      </c>
      <c r="U232" s="81">
        <f t="shared" si="42"/>
        <v>46308.850696064823</v>
      </c>
      <c r="V232" s="81"/>
      <c r="W232">
        <v>2452</v>
      </c>
      <c r="Y232">
        <f t="shared" si="43"/>
        <v>236270</v>
      </c>
      <c r="Z232">
        <f>IFERROR(IF(AND(ISNUMBER(A232),A232&gt;=$B$3,A232&lt;EDATE($B$3,1)),COUNTIFS($A$64:$A$500,"&gt;"&amp;A232,$A$64:$A$500,"&lt;"&amp;EDATE($B$3,1))+COUNTIF($A$64:A232,A232),0),0)</f>
        <v>7</v>
      </c>
    </row>
    <row r="233" spans="1:26" ht="45" hidden="1" customHeight="1" outlineLevel="1">
      <c r="A233" s="309">
        <v>46308.85000755787</v>
      </c>
      <c r="B233" s="313" t="s">
        <v>159</v>
      </c>
      <c r="C233" s="313" t="s">
        <v>12</v>
      </c>
      <c r="D233" s="313" t="s">
        <v>45</v>
      </c>
      <c r="E233" s="311">
        <v>246568</v>
      </c>
      <c r="F233" s="313" t="s">
        <v>167</v>
      </c>
      <c r="G233" s="313" t="s">
        <v>168</v>
      </c>
      <c r="H233" s="312">
        <f t="shared" si="36"/>
        <v>46296</v>
      </c>
      <c r="I233" s="313" t="str">
        <f t="shared" si="37"/>
        <v>OK</v>
      </c>
      <c r="J233" s="313" t="s">
        <v>154</v>
      </c>
      <c r="K233" s="313" t="s">
        <v>169</v>
      </c>
      <c r="L233" s="315" t="s">
        <v>163</v>
      </c>
      <c r="M233" s="81"/>
      <c r="N233" s="81"/>
      <c r="O233" s="81"/>
      <c r="P233" s="81" t="str">
        <f t="shared" si="38"/>
        <v>이체</v>
      </c>
      <c r="Q233" s="81" t="str">
        <f t="shared" si="39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40"/>
        <v>외부</v>
      </c>
      <c r="T233" s="81">
        <f t="shared" si="41"/>
        <v>246568</v>
      </c>
      <c r="U233" s="81">
        <f t="shared" si="42"/>
        <v>46308.85000755787</v>
      </c>
      <c r="V233" s="81"/>
      <c r="W233">
        <v>2451</v>
      </c>
      <c r="Y233">
        <f t="shared" si="43"/>
        <v>246568</v>
      </c>
      <c r="Z233">
        <f>IFERROR(IF(AND(ISNUMBER(A233),A233&gt;=$B$3,A233&lt;EDATE($B$3,1)),COUNTIFS($A$64:$A$500,"&gt;"&amp;A233,$A$64:$A$500,"&lt;"&amp;EDATE($B$3,1))+COUNTIF($A$64:A233,A233),0),0)</f>
        <v>8</v>
      </c>
    </row>
    <row r="234" spans="1:26" ht="45" hidden="1" customHeight="1" outlineLevel="1">
      <c r="A234" s="309">
        <v>46308.848613587958</v>
      </c>
      <c r="B234" s="313" t="s">
        <v>159</v>
      </c>
      <c r="C234" s="313" t="s">
        <v>12</v>
      </c>
      <c r="D234" s="313" t="s">
        <v>45</v>
      </c>
      <c r="E234" s="311">
        <v>360550</v>
      </c>
      <c r="F234" s="313" t="s">
        <v>170</v>
      </c>
      <c r="G234" s="313" t="s">
        <v>171</v>
      </c>
      <c r="H234" s="312">
        <f t="shared" si="36"/>
        <v>46296</v>
      </c>
      <c r="I234" s="313" t="str">
        <f t="shared" si="37"/>
        <v>OK</v>
      </c>
      <c r="J234" s="313" t="s">
        <v>154</v>
      </c>
      <c r="K234" s="313" t="s">
        <v>172</v>
      </c>
      <c r="L234" s="315" t="s">
        <v>163</v>
      </c>
      <c r="M234" s="81"/>
      <c r="N234" s="81"/>
      <c r="O234" s="81"/>
      <c r="P234" s="81" t="str">
        <f t="shared" si="38"/>
        <v>이체</v>
      </c>
      <c r="Q234" s="81" t="str">
        <f t="shared" si="39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40"/>
        <v>외부</v>
      </c>
      <c r="T234" s="81">
        <f t="shared" si="41"/>
        <v>360550</v>
      </c>
      <c r="U234" s="81">
        <f t="shared" si="42"/>
        <v>46308.848613587958</v>
      </c>
      <c r="V234" s="81"/>
      <c r="W234">
        <v>2450</v>
      </c>
      <c r="Y234">
        <f t="shared" si="43"/>
        <v>360550</v>
      </c>
      <c r="Z234">
        <f>IFERROR(IF(AND(ISNUMBER(A234),A234&gt;=$B$3,A234&lt;EDATE($B$3,1)),COUNTIFS($A$64:$A$500,"&gt;"&amp;A234,$A$64:$A$500,"&lt;"&amp;EDATE($B$3,1))+COUNTIF($A$64:A234,A234),0),0)</f>
        <v>9</v>
      </c>
    </row>
    <row r="235" spans="1:26" ht="45" hidden="1" customHeight="1" outlineLevel="1">
      <c r="A235" s="309">
        <v>46308.847924930553</v>
      </c>
      <c r="B235" s="313" t="s">
        <v>159</v>
      </c>
      <c r="C235" s="313" t="s">
        <v>12</v>
      </c>
      <c r="D235" s="313" t="s">
        <v>45</v>
      </c>
      <c r="E235" s="311">
        <v>798746</v>
      </c>
      <c r="F235" s="313" t="s">
        <v>164</v>
      </c>
      <c r="G235" s="313" t="s">
        <v>173</v>
      </c>
      <c r="H235" s="312">
        <f t="shared" si="36"/>
        <v>46296</v>
      </c>
      <c r="I235" s="313" t="str">
        <f t="shared" si="37"/>
        <v>OK</v>
      </c>
      <c r="J235" s="313" t="s">
        <v>154</v>
      </c>
      <c r="K235" s="313" t="s">
        <v>166</v>
      </c>
      <c r="L235" s="315" t="s">
        <v>163</v>
      </c>
      <c r="P235" t="str">
        <f t="shared" si="38"/>
        <v>이체</v>
      </c>
      <c r="Q235" t="str">
        <f t="shared" si="39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40"/>
        <v>외부</v>
      </c>
      <c r="T235">
        <f t="shared" si="41"/>
        <v>798746</v>
      </c>
      <c r="U235">
        <f t="shared" si="42"/>
        <v>46308.847924930553</v>
      </c>
      <c r="W235">
        <v>2449</v>
      </c>
      <c r="Y235">
        <f t="shared" si="43"/>
        <v>798746</v>
      </c>
      <c r="Z235">
        <f>IFERROR(IF(AND(ISNUMBER(A235),A235&gt;=$B$3,A235&lt;EDATE($B$3,1)),COUNTIFS($A$64:$A$500,"&gt;"&amp;A235,$A$64:$A$500,"&lt;"&amp;EDATE($B$3,1))+COUNTIF($A$64:A235,A235),0),0)</f>
        <v>10</v>
      </c>
    </row>
    <row r="236" spans="1:26" ht="45" hidden="1" customHeight="1" outlineLevel="1">
      <c r="A236" s="309">
        <v>46308.845837777779</v>
      </c>
      <c r="B236" s="313" t="s">
        <v>159</v>
      </c>
      <c r="C236" s="313" t="s">
        <v>45</v>
      </c>
      <c r="D236" s="313" t="s">
        <v>12</v>
      </c>
      <c r="E236" s="311">
        <v>604300</v>
      </c>
      <c r="F236" s="313" t="s">
        <v>174</v>
      </c>
      <c r="G236" s="313" t="s">
        <v>175</v>
      </c>
      <c r="H236" s="312">
        <f t="shared" si="36"/>
        <v>46296</v>
      </c>
      <c r="I236" s="313" t="str">
        <f t="shared" si="37"/>
        <v>OK</v>
      </c>
      <c r="J236" s="313" t="s">
        <v>166</v>
      </c>
      <c r="K236" s="313" t="s">
        <v>154</v>
      </c>
      <c r="L236" s="315" t="s">
        <v>163</v>
      </c>
      <c r="P236" t="str">
        <f t="shared" si="38"/>
        <v>이체</v>
      </c>
      <c r="Q236" t="str">
        <f t="shared" si="39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40"/>
        <v>생활비</v>
      </c>
      <c r="T236">
        <f t="shared" si="41"/>
        <v>604300</v>
      </c>
      <c r="U236">
        <f t="shared" si="42"/>
        <v>46308.845837777779</v>
      </c>
      <c r="W236">
        <v>2448</v>
      </c>
      <c r="Y236">
        <f t="shared" si="43"/>
        <v>604300</v>
      </c>
      <c r="Z236">
        <f>IFERROR(IF(AND(ISNUMBER(A236),A236&gt;=$B$3,A236&lt;EDATE($B$3,1)),COUNTIFS($A$64:$A$500,"&gt;"&amp;A236,$A$64:$A$500,"&lt;"&amp;EDATE($B$3,1))+COUNTIF($A$64:A236,A236),0),0)</f>
        <v>11</v>
      </c>
    </row>
    <row r="237" spans="1:26" ht="45" hidden="1" customHeight="1" outlineLevel="1">
      <c r="A237" s="309">
        <v>46308.749010173611</v>
      </c>
      <c r="B237" s="313" t="s">
        <v>159</v>
      </c>
      <c r="C237" s="313" t="s">
        <v>12</v>
      </c>
      <c r="D237" s="313" t="s">
        <v>45</v>
      </c>
      <c r="E237" s="311">
        <v>753905</v>
      </c>
      <c r="F237" s="313" t="s">
        <v>176</v>
      </c>
      <c r="G237" s="313" t="s">
        <v>177</v>
      </c>
      <c r="H237" s="312">
        <f t="shared" si="36"/>
        <v>46296</v>
      </c>
      <c r="I237" s="313" t="str">
        <f t="shared" si="37"/>
        <v>OK</v>
      </c>
      <c r="J237" s="313" t="s">
        <v>154</v>
      </c>
      <c r="K237" s="313" t="s">
        <v>178</v>
      </c>
      <c r="L237" s="315" t="s">
        <v>163</v>
      </c>
      <c r="P237" t="str">
        <f t="shared" si="38"/>
        <v>이체</v>
      </c>
      <c r="Q237" t="str">
        <f t="shared" si="39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40"/>
        <v>외부</v>
      </c>
      <c r="T237">
        <f t="shared" si="41"/>
        <v>753905</v>
      </c>
      <c r="U237">
        <f t="shared" si="42"/>
        <v>46308.749010173611</v>
      </c>
      <c r="W237">
        <v>2446</v>
      </c>
      <c r="Y237">
        <f t="shared" si="43"/>
        <v>753905</v>
      </c>
      <c r="Z237">
        <f>IFERROR(IF(AND(ISNUMBER(A237),A237&gt;=$B$3,A237&lt;EDATE($B$3,1)),COUNTIFS($A$64:$A$500,"&gt;"&amp;A237,$A$64:$A$500,"&lt;"&amp;EDATE($B$3,1))+COUNTIF($A$64:A237,A237),0),0)</f>
        <v>12</v>
      </c>
    </row>
    <row r="238" spans="1:26" ht="45" hidden="1" customHeight="1" outlineLevel="1">
      <c r="A238" s="309">
        <v>46307.843067106478</v>
      </c>
      <c r="B238" s="313" t="s">
        <v>50</v>
      </c>
      <c r="C238" s="313" t="s">
        <v>45</v>
      </c>
      <c r="D238" s="313" t="s">
        <v>12</v>
      </c>
      <c r="E238" s="311">
        <v>8557</v>
      </c>
      <c r="F238" s="313" t="s">
        <v>179</v>
      </c>
      <c r="G238" s="313" t="s">
        <v>180</v>
      </c>
      <c r="H238" s="312">
        <f t="shared" si="36"/>
        <v>46296</v>
      </c>
      <c r="I238" s="313" t="str">
        <f t="shared" si="37"/>
        <v>OK</v>
      </c>
      <c r="J238" s="313" t="s">
        <v>45</v>
      </c>
      <c r="K238" s="313" t="s">
        <v>154</v>
      </c>
      <c r="L238" s="315" t="s">
        <v>181</v>
      </c>
      <c r="P238" t="str">
        <f t="shared" si="38"/>
        <v>내역</v>
      </c>
      <c r="Q238" t="str">
        <f t="shared" si="39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202610_내역_4</v>
      </c>
      <c r="S238" t="str">
        <f t="shared" si="40"/>
        <v>생활비</v>
      </c>
      <c r="T238">
        <f t="shared" si="41"/>
        <v>8557</v>
      </c>
      <c r="U238">
        <f t="shared" si="42"/>
        <v>46307.843067106478</v>
      </c>
      <c r="W238">
        <v>2442</v>
      </c>
      <c r="Y238">
        <f t="shared" si="43"/>
        <v>8557</v>
      </c>
      <c r="Z238">
        <f>IFERROR(IF(AND(ISNUMBER(A238),A238&gt;=$B$3,A238&lt;EDATE($B$3,1)),COUNTIFS($A$64:$A$500,"&gt;"&amp;A238,$A$64:$A$500,"&lt;"&amp;EDATE($B$3,1))+COUNTIF($A$64:A238,A238),0),0)</f>
        <v>13</v>
      </c>
    </row>
    <row r="239" spans="1:26" ht="45" hidden="1" customHeight="1" outlineLevel="1">
      <c r="A239" s="309">
        <v>46307.825001041667</v>
      </c>
      <c r="B239" s="313" t="s">
        <v>159</v>
      </c>
      <c r="C239" s="313" t="s">
        <v>12</v>
      </c>
      <c r="D239" s="313" t="s">
        <v>45</v>
      </c>
      <c r="E239" s="311">
        <v>1390</v>
      </c>
      <c r="F239" s="313" t="s">
        <v>182</v>
      </c>
      <c r="G239" s="313" t="s">
        <v>183</v>
      </c>
      <c r="H239" s="312">
        <f t="shared" si="36"/>
        <v>46296</v>
      </c>
      <c r="I239" s="313" t="str">
        <f t="shared" si="37"/>
        <v>OK</v>
      </c>
      <c r="J239" s="313" t="s">
        <v>154</v>
      </c>
      <c r="K239" s="313" t="s">
        <v>184</v>
      </c>
      <c r="L239" s="315" t="s">
        <v>163</v>
      </c>
      <c r="P239" t="str">
        <f t="shared" si="38"/>
        <v>이체</v>
      </c>
      <c r="Q239" t="str">
        <f t="shared" si="39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40"/>
        <v>외부</v>
      </c>
      <c r="T239">
        <f t="shared" si="41"/>
        <v>1390</v>
      </c>
      <c r="U239">
        <f t="shared" si="42"/>
        <v>46307.825001041667</v>
      </c>
      <c r="W239">
        <v>2430</v>
      </c>
      <c r="Y239">
        <f t="shared" si="43"/>
        <v>1390</v>
      </c>
      <c r="Z239">
        <f>IFERROR(IF(AND(ISNUMBER(A239),A239&gt;=$B$3,A239&lt;EDATE($B$3,1)),COUNTIFS($A$64:$A$500,"&gt;"&amp;A239,$A$64:$A$500,"&lt;"&amp;EDATE($B$3,1))+COUNTIF($A$64:A239,A239),0),0)</f>
        <v>14</v>
      </c>
    </row>
    <row r="240" spans="1:26" ht="45" hidden="1" customHeight="1" outlineLevel="1">
      <c r="A240" s="309">
        <v>46307.824310555552</v>
      </c>
      <c r="B240" s="313" t="s">
        <v>159</v>
      </c>
      <c r="C240" s="313" t="s">
        <v>12</v>
      </c>
      <c r="D240" s="313" t="s">
        <v>45</v>
      </c>
      <c r="E240" s="311">
        <v>90410</v>
      </c>
      <c r="F240" s="313" t="s">
        <v>185</v>
      </c>
      <c r="G240" s="313" t="s">
        <v>186</v>
      </c>
      <c r="H240" s="312">
        <f t="shared" si="36"/>
        <v>46296</v>
      </c>
      <c r="I240" s="313" t="str">
        <f t="shared" si="37"/>
        <v>OK</v>
      </c>
      <c r="J240" s="313" t="s">
        <v>154</v>
      </c>
      <c r="K240" s="313" t="s">
        <v>187</v>
      </c>
      <c r="L240" s="315" t="s">
        <v>163</v>
      </c>
      <c r="P240" t="str">
        <f t="shared" si="38"/>
        <v>이체</v>
      </c>
      <c r="Q240" t="str">
        <f t="shared" si="39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40"/>
        <v>외부</v>
      </c>
      <c r="T240">
        <f t="shared" si="41"/>
        <v>90410</v>
      </c>
      <c r="U240">
        <f t="shared" si="42"/>
        <v>46307.824310555552</v>
      </c>
      <c r="W240">
        <v>2429</v>
      </c>
      <c r="Y240">
        <f t="shared" si="43"/>
        <v>90410</v>
      </c>
      <c r="Z240">
        <f>IFERROR(IF(AND(ISNUMBER(A240),A240&gt;=$B$3,A240&lt;EDATE($B$3,1)),COUNTIFS($A$64:$A$500,"&gt;"&amp;A240,$A$64:$A$500,"&lt;"&amp;EDATE($B$3,1))+COUNTIF($A$64:A240,A240),0),0)</f>
        <v>15</v>
      </c>
    </row>
    <row r="241" spans="1:26" ht="45" hidden="1" customHeight="1" outlineLevel="1">
      <c r="A241" s="309">
        <v>46299.620147118047</v>
      </c>
      <c r="B241" s="313" t="s">
        <v>159</v>
      </c>
      <c r="C241" s="313" t="s">
        <v>12</v>
      </c>
      <c r="D241" s="313" t="s">
        <v>45</v>
      </c>
      <c r="E241" s="311">
        <v>50000</v>
      </c>
      <c r="F241" s="313" t="s">
        <v>188</v>
      </c>
      <c r="G241" s="313" t="s">
        <v>189</v>
      </c>
      <c r="H241" s="312">
        <f t="shared" si="36"/>
        <v>46296</v>
      </c>
      <c r="I241" s="313" t="str">
        <f t="shared" si="37"/>
        <v>OK</v>
      </c>
      <c r="J241" s="313" t="s">
        <v>154</v>
      </c>
      <c r="K241" s="313" t="s">
        <v>190</v>
      </c>
      <c r="L241" s="315" t="s">
        <v>163</v>
      </c>
      <c r="P241" t="str">
        <f t="shared" si="38"/>
        <v>이체</v>
      </c>
      <c r="Q241" t="str">
        <f t="shared" si="39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40"/>
        <v>외부</v>
      </c>
      <c r="T241">
        <f t="shared" si="41"/>
        <v>50000</v>
      </c>
      <c r="U241">
        <f t="shared" si="42"/>
        <v>46299.620147118047</v>
      </c>
      <c r="W241">
        <v>2347</v>
      </c>
      <c r="Y241">
        <f t="shared" si="43"/>
        <v>50000</v>
      </c>
      <c r="Z241">
        <f>IFERROR(IF(AND(ISNUMBER(A241),A241&gt;=$B$3,A241&lt;EDATE($B$3,1)),COUNTIFS($A$64:$A$500,"&gt;"&amp;A241,$A$64:$A$500,"&lt;"&amp;EDATE($B$3,1))+COUNTIF($A$64:A241,A241),0),0)</f>
        <v>16</v>
      </c>
    </row>
    <row r="242" spans="1:26" ht="45" hidden="1" customHeight="1" outlineLevel="1">
      <c r="A242" s="309">
        <v>46297.622223078703</v>
      </c>
      <c r="B242" s="313" t="s">
        <v>86</v>
      </c>
      <c r="C242" s="313" t="s">
        <v>12</v>
      </c>
      <c r="D242" s="313" t="s">
        <v>54</v>
      </c>
      <c r="E242" s="311">
        <v>11900</v>
      </c>
      <c r="F242" s="313" t="s">
        <v>191</v>
      </c>
      <c r="G242" s="313" t="s">
        <v>192</v>
      </c>
      <c r="H242" s="312">
        <f t="shared" si="36"/>
        <v>46296</v>
      </c>
      <c r="I242" s="313" t="str">
        <f t="shared" si="37"/>
        <v>OK</v>
      </c>
      <c r="J242" s="313" t="s">
        <v>154</v>
      </c>
      <c r="K242" s="313" t="s">
        <v>45</v>
      </c>
      <c r="L242" s="315" t="s">
        <v>181</v>
      </c>
      <c r="P242" t="str">
        <f t="shared" si="38"/>
        <v>내역</v>
      </c>
      <c r="Q242" t="str">
        <f t="shared" si="39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202610_내역_5</v>
      </c>
      <c r="S242" t="str">
        <f t="shared" si="40"/>
        <v>지출</v>
      </c>
      <c r="T242">
        <f t="shared" si="41"/>
        <v>-11900</v>
      </c>
      <c r="U242">
        <f t="shared" si="42"/>
        <v>46297.622223078703</v>
      </c>
      <c r="W242">
        <v>2334</v>
      </c>
      <c r="Y242">
        <f t="shared" si="43"/>
        <v>11900</v>
      </c>
      <c r="Z242">
        <f>IFERROR(IF(AND(ISNUMBER(A242),A242&gt;=$B$3,A242&lt;EDATE($B$3,1)),COUNTIFS($A$64:$A$500,"&gt;"&amp;A242,$A$64:$A$500,"&lt;"&amp;EDATE($B$3,1))+COUNTIF($A$64:A242,A242),0),0)</f>
        <v>17</v>
      </c>
    </row>
    <row r="243" spans="1:26" ht="80" hidden="1" customHeight="1" outlineLevel="1">
      <c r="A243" s="83">
        <v>46266</v>
      </c>
      <c r="B243" s="84" t="s">
        <v>72</v>
      </c>
      <c r="C243" s="84" t="s">
        <v>13</v>
      </c>
      <c r="D243" s="84" t="s">
        <v>15</v>
      </c>
      <c r="E243" s="85">
        <v>100000</v>
      </c>
      <c r="F243" s="89" t="s">
        <v>193</v>
      </c>
      <c r="G243" s="90" t="s">
        <v>194</v>
      </c>
      <c r="H243" s="312">
        <f t="shared" si="36"/>
        <v>46266</v>
      </c>
      <c r="I243" s="313" t="str">
        <f t="shared" si="37"/>
        <v>OK</v>
      </c>
      <c r="J243" s="310"/>
      <c r="K243" s="310"/>
      <c r="L243" s="314" t="s">
        <v>48</v>
      </c>
      <c r="P243" t="str">
        <f t="shared" si="38"/>
        <v>이체</v>
      </c>
      <c r="Q243" t="str">
        <f t="shared" si="39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40"/>
        <v>경조사비</v>
      </c>
      <c r="T243">
        <f t="shared" si="41"/>
        <v>100000</v>
      </c>
      <c r="U243" t="str">
        <f t="shared" si="42"/>
        <v>날짜 미기록</v>
      </c>
      <c r="Y243">
        <f t="shared" si="43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6" ht="32" hidden="1" customHeight="1" outlineLevel="1">
      <c r="A244" s="83">
        <v>46082</v>
      </c>
      <c r="B244" s="84" t="s">
        <v>44</v>
      </c>
      <c r="C244" s="84" t="s">
        <v>45</v>
      </c>
      <c r="D244" s="84" t="s">
        <v>18</v>
      </c>
      <c r="E244" s="85">
        <v>21500</v>
      </c>
      <c r="F244" s="89" t="s">
        <v>195</v>
      </c>
      <c r="G244" s="90" t="s">
        <v>196</v>
      </c>
      <c r="H244" s="312">
        <f t="shared" si="36"/>
        <v>46082</v>
      </c>
      <c r="I244" s="313" t="str">
        <f t="shared" si="37"/>
        <v>OK</v>
      </c>
      <c r="J244" s="310"/>
      <c r="K244" s="310"/>
      <c r="L244" s="314" t="s">
        <v>48</v>
      </c>
      <c r="P244" t="str">
        <f t="shared" si="38"/>
        <v>내역</v>
      </c>
      <c r="Q244" t="str">
        <f t="shared" si="39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40"/>
        <v>결제대금비</v>
      </c>
      <c r="T244">
        <f t="shared" si="41"/>
        <v>21500</v>
      </c>
      <c r="U244">
        <f t="shared" si="42"/>
        <v>46082</v>
      </c>
      <c r="Y244">
        <f t="shared" si="43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6" ht="80" hidden="1" customHeight="1" outlineLevel="1">
      <c r="A245" s="309">
        <v>46308.859037118054</v>
      </c>
      <c r="B245" s="313" t="s">
        <v>50</v>
      </c>
      <c r="C245" s="313" t="s">
        <v>45</v>
      </c>
      <c r="D245" s="313" t="s">
        <v>12</v>
      </c>
      <c r="E245" s="311">
        <v>535</v>
      </c>
      <c r="F245" s="313" t="s">
        <v>179</v>
      </c>
      <c r="G245" s="313" t="s">
        <v>2393</v>
      </c>
      <c r="H245" s="312">
        <f t="shared" si="36"/>
        <v>46296</v>
      </c>
      <c r="I245" s="313" t="str">
        <f t="shared" si="37"/>
        <v>OK</v>
      </c>
      <c r="J245" s="313" t="s">
        <v>45</v>
      </c>
      <c r="K245" s="313" t="s">
        <v>154</v>
      </c>
      <c r="L245" s="315" t="s">
        <v>181</v>
      </c>
      <c r="P245" t="str">
        <f t="shared" si="38"/>
        <v>내역</v>
      </c>
      <c r="Q245" t="str">
        <f t="shared" si="39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202610_내역_3</v>
      </c>
      <c r="S245" t="str">
        <f t="shared" si="40"/>
        <v>생활비</v>
      </c>
      <c r="T245">
        <f t="shared" si="41"/>
        <v>535</v>
      </c>
      <c r="U245">
        <f t="shared" si="42"/>
        <v>46308.859037118054</v>
      </c>
      <c r="W245">
        <v>2454</v>
      </c>
      <c r="Y245">
        <f t="shared" si="43"/>
        <v>535</v>
      </c>
      <c r="Z245">
        <f>IFERROR(IF(AND(ISNUMBER(A245),A245&gt;=$B$3,A245&lt;EDATE($B$3,1)),COUNTIFS($A$64:$A$500,"&gt;"&amp;A245,$A$64:$A$500,"&lt;"&amp;EDATE($B$3,1))+COUNTIF($A$64:A245,A245),0),0)</f>
        <v>5</v>
      </c>
    </row>
    <row r="246" spans="1:26" ht="80" hidden="1" customHeight="1" outlineLevel="1">
      <c r="A246" s="309">
        <v>46310.93959303241</v>
      </c>
      <c r="B246" s="313" t="s">
        <v>72</v>
      </c>
      <c r="C246" s="313" t="s">
        <v>45</v>
      </c>
      <c r="D246" s="313" t="s">
        <v>20</v>
      </c>
      <c r="E246" s="311">
        <v>61000</v>
      </c>
      <c r="F246" s="313" t="s">
        <v>2394</v>
      </c>
      <c r="G246" s="313" t="s">
        <v>2395</v>
      </c>
      <c r="H246" s="312">
        <f t="shared" si="36"/>
        <v>46296</v>
      </c>
      <c r="I246" s="313" t="str">
        <f t="shared" si="37"/>
        <v>OK</v>
      </c>
      <c r="J246" s="313" t="s">
        <v>138</v>
      </c>
      <c r="K246" s="313" t="s">
        <v>154</v>
      </c>
      <c r="L246" s="315" t="s">
        <v>163</v>
      </c>
      <c r="P246" t="str">
        <f t="shared" si="38"/>
        <v>이체</v>
      </c>
      <c r="Q246" t="str">
        <f t="shared" si="39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40"/>
        <v>임시보관</v>
      </c>
      <c r="T246">
        <f t="shared" si="41"/>
        <v>61000</v>
      </c>
      <c r="U246">
        <f t="shared" si="42"/>
        <v>46310.93959303241</v>
      </c>
      <c r="W246">
        <v>2466</v>
      </c>
      <c r="Y246">
        <f t="shared" si="43"/>
        <v>61000</v>
      </c>
      <c r="Z246">
        <f>IFERROR(IF(AND(ISNUMBER(A246),A246&gt;=$B$3,A246&lt;EDATE($B$3,1)),COUNTIFS($A$64:$A$500,"&gt;"&amp;A246,$A$64:$A$500,"&lt;"&amp;EDATE($B$3,1))+COUNTIF($A$64:A246,A246),0),0)</f>
        <v>4</v>
      </c>
    </row>
    <row r="247" spans="1:26" ht="68" hidden="1" customHeight="1" outlineLevel="1">
      <c r="A247" s="309">
        <v>46310.958796296298</v>
      </c>
      <c r="B247" s="313" t="s">
        <v>72</v>
      </c>
      <c r="C247" s="313" t="s">
        <v>20</v>
      </c>
      <c r="D247" s="313" t="s">
        <v>12</v>
      </c>
      <c r="E247" s="311">
        <v>61000</v>
      </c>
      <c r="F247" s="313" t="s">
        <v>2396</v>
      </c>
      <c r="G247" s="313" t="s">
        <v>2397</v>
      </c>
      <c r="H247" s="312">
        <f t="shared" si="36"/>
        <v>46296</v>
      </c>
      <c r="I247" s="313" t="str">
        <f t="shared" si="37"/>
        <v>OK</v>
      </c>
      <c r="J247" s="313" t="s">
        <v>154</v>
      </c>
      <c r="K247" s="313" t="s">
        <v>154</v>
      </c>
      <c r="L247" s="315" t="s">
        <v>2398</v>
      </c>
      <c r="P247" t="str">
        <f t="shared" si="38"/>
        <v>이체</v>
      </c>
      <c r="Q247" t="str">
        <f t="shared" si="39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40"/>
        <v>생활비</v>
      </c>
      <c r="T247">
        <f t="shared" si="41"/>
        <v>61000</v>
      </c>
      <c r="U247">
        <f t="shared" si="42"/>
        <v>46310.958796296298</v>
      </c>
      <c r="Y247">
        <f t="shared" si="43"/>
        <v>61000</v>
      </c>
      <c r="Z247">
        <f>IFERROR(IF(AND(ISNUMBER(A247),A247&gt;=$B$3,A247&lt;EDATE($B$3,1)),COUNTIFS($A$64:$A$500,"&gt;"&amp;A247,$A$64:$A$500,"&lt;"&amp;EDATE($B$3,1))+COUNTIF($A$64:A247,A247),0),0)</f>
        <v>3</v>
      </c>
    </row>
    <row r="248" spans="1:26" ht="68" hidden="1" customHeight="1" outlineLevel="1">
      <c r="A248" s="309">
        <v>46312.667370740739</v>
      </c>
      <c r="B248" s="310" t="s">
        <v>53</v>
      </c>
      <c r="C248" s="310" t="s">
        <v>12</v>
      </c>
      <c r="D248" s="310" t="s">
        <v>54</v>
      </c>
      <c r="E248" s="311">
        <v>15700</v>
      </c>
      <c r="F248" s="310" t="s">
        <v>2399</v>
      </c>
      <c r="G248" s="310" t="s">
        <v>2400</v>
      </c>
      <c r="H248" s="312">
        <f t="shared" si="36"/>
        <v>46296</v>
      </c>
      <c r="I248" s="313" t="str">
        <f t="shared" si="37"/>
        <v>OK</v>
      </c>
      <c r="J248" s="310" t="s">
        <v>154</v>
      </c>
      <c r="K248" s="310" t="s">
        <v>712</v>
      </c>
      <c r="L248" s="314" t="s">
        <v>181</v>
      </c>
      <c r="P248" t="str">
        <f t="shared" si="38"/>
        <v>내역</v>
      </c>
      <c r="Q248" t="str">
        <f t="shared" si="39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202610_내역_2</v>
      </c>
      <c r="S248" t="str">
        <f t="shared" si="40"/>
        <v>지출</v>
      </c>
      <c r="T248">
        <f t="shared" si="41"/>
        <v>-15700</v>
      </c>
      <c r="U248">
        <f t="shared" si="42"/>
        <v>46312.667370740739</v>
      </c>
      <c r="W248">
        <v>2475</v>
      </c>
      <c r="Y248">
        <f t="shared" si="43"/>
        <v>15700</v>
      </c>
      <c r="Z248">
        <f>IFERROR(IF(AND(ISNUMBER(A248),A248&gt;=$B$3,A248&lt;EDATE($B$3,1)),COUNTIFS($A$64:$A$500,"&gt;"&amp;A248,$A$64:$A$500,"&lt;"&amp;EDATE($B$3,1))+COUNTIF($A$64:A248,A248),0),0)</f>
        <v>2</v>
      </c>
    </row>
    <row r="249" spans="1:26" ht="32" hidden="1" customHeight="1" outlineLevel="1">
      <c r="A249" s="309">
        <v>46314.866669293981</v>
      </c>
      <c r="B249" s="313" t="s">
        <v>53</v>
      </c>
      <c r="C249" s="313" t="s">
        <v>12</v>
      </c>
      <c r="D249" s="313" t="s">
        <v>54</v>
      </c>
      <c r="E249" s="311">
        <v>110075</v>
      </c>
      <c r="F249" s="313" t="s">
        <v>550</v>
      </c>
      <c r="G249" s="313" t="s">
        <v>2401</v>
      </c>
      <c r="H249" s="312">
        <f t="shared" si="36"/>
        <v>46296</v>
      </c>
      <c r="I249" s="313" t="str">
        <f t="shared" si="37"/>
        <v>OK</v>
      </c>
      <c r="J249" s="313" t="s">
        <v>154</v>
      </c>
      <c r="K249" s="313" t="s">
        <v>45</v>
      </c>
      <c r="L249" s="315" t="s">
        <v>181</v>
      </c>
      <c r="P249" t="str">
        <f t="shared" si="38"/>
        <v>내역</v>
      </c>
      <c r="Q249" t="str">
        <f t="shared" si="39"/>
        <v>생활비</v>
      </c>
      <c r="R249" t="str">
        <f>IF(P249="","",TEXT(H249,"yyyymm")&amp;"_"&amp;P249&amp;"_"&amp;(COUNTIFS($H$64:$H$500,H249,$P$64:$P$500,P249,$A$64:$A$500,"&gt;"&amp;A249)+COUNTIFS($H$64:H249,H249,$P$64:P249,P249,$A$64:A249,A249)))</f>
        <v>202610_내역_1</v>
      </c>
      <c r="S249" t="str">
        <f t="shared" si="40"/>
        <v>지출</v>
      </c>
      <c r="T249">
        <f t="shared" si="41"/>
        <v>-110075</v>
      </c>
      <c r="U249">
        <f t="shared" si="42"/>
        <v>46314.866669293981</v>
      </c>
      <c r="W249">
        <v>2493</v>
      </c>
      <c r="Y249">
        <f t="shared" si="43"/>
        <v>110075</v>
      </c>
      <c r="Z249">
        <f>IFERROR(IF(AND(ISNUMBER(A249),A249&gt;=$B$3,A249&lt;EDATE($B$3,1)),COUNTIFS($A$64:$A$500,"&gt;"&amp;A249,$A$64:$A$500,"&lt;"&amp;EDATE($B$3,1))+COUNTIF($A$64:A249,A249),0),0)</f>
        <v>1</v>
      </c>
    </row>
    <row r="250" spans="1:26" ht="32" hidden="1" customHeight="1" outlineLevel="1">
      <c r="A250" s="309"/>
      <c r="B250" s="313"/>
      <c r="C250" s="313"/>
      <c r="D250" s="313"/>
      <c r="E250" s="311"/>
      <c r="F250" s="313"/>
      <c r="G250" s="313"/>
      <c r="H250" s="312" t="str">
        <f t="shared" si="36"/>
        <v/>
      </c>
      <c r="I250" s="313" t="str">
        <f t="shared" si="37"/>
        <v/>
      </c>
      <c r="J250" s="313"/>
      <c r="K250" s="313"/>
      <c r="L250" s="315"/>
      <c r="P250" t="str">
        <f t="shared" si="38"/>
        <v/>
      </c>
      <c r="Q250" t="str">
        <f t="shared" si="39"/>
        <v/>
      </c>
      <c r="R250" t="str">
        <f>IF(P250="","",TEXT(H250,"yyyymm")&amp;"_"&amp;P250&amp;"_"&amp;(COUNTIFS($H$64:$H$500,H250,$P$64:$P$500,P250,$A$64:$A$500,"&gt;"&amp;A250)+COUNTIFS($H$64:H250,H250,$P$64:P250,P250,$A$64:A250,A250)))</f>
        <v/>
      </c>
      <c r="S250" t="str">
        <f t="shared" si="40"/>
        <v/>
      </c>
      <c r="T250" t="str">
        <f t="shared" si="41"/>
        <v/>
      </c>
      <c r="U250" t="str">
        <f t="shared" si="42"/>
        <v/>
      </c>
      <c r="Y250" t="str">
        <f t="shared" si="43"/>
        <v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6" ht="68" hidden="1" customHeight="1" outlineLevel="1">
      <c r="A251" s="309"/>
      <c r="B251" s="310"/>
      <c r="C251" s="310"/>
      <c r="D251" s="310"/>
      <c r="E251" s="311"/>
      <c r="F251" s="310"/>
      <c r="G251" s="310"/>
      <c r="H251" s="312" t="str">
        <f t="shared" si="36"/>
        <v/>
      </c>
      <c r="I251" s="313" t="str">
        <f t="shared" si="37"/>
        <v/>
      </c>
      <c r="J251" s="310"/>
      <c r="K251" s="310"/>
      <c r="L251" s="314"/>
      <c r="P251" t="str">
        <f t="shared" si="38"/>
        <v/>
      </c>
      <c r="Q251" t="str">
        <f t="shared" si="39"/>
        <v/>
      </c>
      <c r="R251" t="str">
        <f>IF(P251="","",TEXT(H251,"yyyymm")&amp;"_"&amp;P251&amp;"_"&amp;(COUNTIFS($H$64:$H$500,H251,$P$64:$P$500,P251,$A$64:$A$500,"&gt;"&amp;A251)+COUNTIFS($H$64:H251,H251,$P$64:P251,P251,$A$64:A251,A251)))</f>
        <v/>
      </c>
      <c r="S251" t="str">
        <f t="shared" si="40"/>
        <v/>
      </c>
      <c r="T251" t="str">
        <f t="shared" si="41"/>
        <v/>
      </c>
      <c r="U251" t="str">
        <f t="shared" si="42"/>
        <v/>
      </c>
      <c r="Y251" t="str">
        <f t="shared" si="43"/>
        <v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6" ht="32" hidden="1" customHeight="1" outlineLevel="1">
      <c r="A252" s="309"/>
      <c r="B252" s="313"/>
      <c r="C252" s="313"/>
      <c r="D252" s="313"/>
      <c r="E252" s="311"/>
      <c r="F252" s="313"/>
      <c r="G252" s="313"/>
      <c r="H252" s="312" t="str">
        <f t="shared" si="36"/>
        <v/>
      </c>
      <c r="I252" s="313" t="str">
        <f t="shared" si="37"/>
        <v/>
      </c>
      <c r="J252" s="313"/>
      <c r="K252" s="313"/>
      <c r="L252" s="315"/>
      <c r="P252" t="str">
        <f t="shared" si="38"/>
        <v/>
      </c>
      <c r="Q252" t="str">
        <f t="shared" si="39"/>
        <v/>
      </c>
      <c r="R252" t="str">
        <f>IF(P252="","",TEXT(H252,"yyyymm")&amp;"_"&amp;P252&amp;"_"&amp;(COUNTIFS($H$64:$H$500,H252,$P$64:$P$500,P252,$A$64:$A$500,"&gt;"&amp;A252)+COUNTIFS($H$64:H252,H252,$P$64:P252,P252,$A$64:A252,A252)))</f>
        <v/>
      </c>
      <c r="S252" t="str">
        <f t="shared" si="40"/>
        <v/>
      </c>
      <c r="T252" t="str">
        <f t="shared" si="41"/>
        <v/>
      </c>
      <c r="U252" t="str">
        <f t="shared" si="42"/>
        <v/>
      </c>
      <c r="Y252" t="str">
        <f t="shared" si="43"/>
        <v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6" ht="32" hidden="1" customHeight="1" outlineLevel="1">
      <c r="A253" s="309"/>
      <c r="B253" s="313"/>
      <c r="C253" s="313"/>
      <c r="D253" s="313"/>
      <c r="E253" s="311"/>
      <c r="F253" s="313"/>
      <c r="G253" s="313"/>
      <c r="H253" s="312" t="str">
        <f t="shared" si="36"/>
        <v/>
      </c>
      <c r="I253" s="313" t="str">
        <f t="shared" si="37"/>
        <v/>
      </c>
      <c r="J253" s="313"/>
      <c r="K253" s="313"/>
      <c r="L253" s="315"/>
      <c r="P253" t="str">
        <f t="shared" si="38"/>
        <v/>
      </c>
      <c r="Q253" t="str">
        <f t="shared" si="39"/>
        <v/>
      </c>
      <c r="R253" t="str">
        <f>IF(P253="","",TEXT(H253,"yyyymm")&amp;"_"&amp;P253&amp;"_"&amp;(COUNTIFS($H$64:$H$500,H253,$P$64:$P$500,P253,$A$64:$A$500,"&gt;"&amp;A253)+COUNTIFS($H$64:H253,H253,$P$64:P253,P253,$A$64:A253,A253)))</f>
        <v/>
      </c>
      <c r="S253" t="str">
        <f t="shared" si="40"/>
        <v/>
      </c>
      <c r="T253" t="str">
        <f t="shared" si="41"/>
        <v/>
      </c>
      <c r="U253" t="str">
        <f t="shared" si="42"/>
        <v/>
      </c>
      <c r="Y253" t="str">
        <f t="shared" si="43"/>
        <v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6" ht="80" hidden="1" customHeight="1" outlineLevel="1">
      <c r="A254" s="309"/>
      <c r="B254" s="313"/>
      <c r="C254" s="313"/>
      <c r="D254" s="313"/>
      <c r="E254" s="311"/>
      <c r="F254" s="313"/>
      <c r="G254" s="313"/>
      <c r="H254" s="312" t="str">
        <f t="shared" si="36"/>
        <v/>
      </c>
      <c r="I254" s="313" t="str">
        <f t="shared" si="37"/>
        <v/>
      </c>
      <c r="J254" s="313"/>
      <c r="K254" s="313"/>
      <c r="L254" s="315"/>
      <c r="P254" t="str">
        <f t="shared" si="38"/>
        <v/>
      </c>
      <c r="Q254" t="str">
        <f t="shared" si="39"/>
        <v/>
      </c>
      <c r="R254" t="str">
        <f>IF(P254="","",TEXT(H254,"yyyymm")&amp;"_"&amp;P254&amp;"_"&amp;(COUNTIFS($H$64:$H$500,H254,$P$64:$P$500,P254,$A$64:$A$500,"&gt;"&amp;A254)+COUNTIFS($H$64:H254,H254,$P$64:P254,P254,$A$64:A254,A254)))</f>
        <v/>
      </c>
      <c r="S254" t="str">
        <f t="shared" si="40"/>
        <v/>
      </c>
      <c r="T254" t="str">
        <f t="shared" si="41"/>
        <v/>
      </c>
      <c r="U254" t="str">
        <f t="shared" si="42"/>
        <v/>
      </c>
      <c r="Y254" t="str">
        <f t="shared" si="43"/>
        <v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6" ht="68" hidden="1" customHeight="1" outlineLevel="1">
      <c r="A255" s="309"/>
      <c r="B255" s="310"/>
      <c r="C255" s="310"/>
      <c r="D255" s="310"/>
      <c r="E255" s="311"/>
      <c r="F255" s="310"/>
      <c r="G255" s="310"/>
      <c r="H255" s="312" t="str">
        <f t="shared" si="36"/>
        <v/>
      </c>
      <c r="I255" s="313" t="str">
        <f t="shared" si="37"/>
        <v/>
      </c>
      <c r="J255" s="310"/>
      <c r="K255" s="310"/>
      <c r="L255" s="314"/>
      <c r="P255" t="str">
        <f t="shared" si="38"/>
        <v/>
      </c>
      <c r="Q255" t="str">
        <f t="shared" si="39"/>
        <v/>
      </c>
      <c r="R255" t="str">
        <f>IF(P255="","",TEXT(H255,"yyyymm")&amp;"_"&amp;P255&amp;"_"&amp;(COUNTIFS($H$64:$H$500,H255,$P$64:$P$500,P255,$A$64:$A$500,"&gt;"&amp;A255)+COUNTIFS($H$64:H255,H255,$P$64:P255,P255,$A$64:A255,A255)))</f>
        <v/>
      </c>
      <c r="S255" t="str">
        <f t="shared" si="40"/>
        <v/>
      </c>
      <c r="T255" t="str">
        <f t="shared" si="41"/>
        <v/>
      </c>
      <c r="U255" t="str">
        <f t="shared" si="42"/>
        <v/>
      </c>
      <c r="Y255" t="str">
        <f t="shared" si="43"/>
        <v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6" ht="68" hidden="1" customHeight="1" outlineLevel="1">
      <c r="A256" s="309"/>
      <c r="B256" s="310"/>
      <c r="C256" s="310"/>
      <c r="D256" s="310"/>
      <c r="E256" s="311"/>
      <c r="F256" s="310"/>
      <c r="G256" s="310"/>
      <c r="H256" s="312" t="str">
        <f t="shared" ref="H256:H319" si="44">IF(A256="","",DATE(YEAR(A256),MONTH(A256),1))</f>
        <v/>
      </c>
      <c r="I256" s="313" t="str">
        <f t="shared" ref="I256:I319" si="45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  <v/>
      </c>
      <c r="J256" s="310"/>
      <c r="K256" s="310"/>
      <c r="L256" s="314"/>
      <c r="P256" t="str">
        <f t="shared" ref="P256:P319" si="46">IF(Q256="","",IF(Q256="이체","이체","내역"))</f>
        <v/>
      </c>
      <c r="Q256" t="str">
        <f t="shared" ref="Q256:Q319" si="47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  <v/>
      </c>
      <c r="R256" t="str">
        <f>IF(P256="","",TEXT(H256,"yyyymm")&amp;"_"&amp;P256&amp;"_"&amp;(COUNTIFS($H$64:$H$500,H256,$P$64:$P$500,P256,$A$64:$A$500,"&gt;"&amp;A256)+COUNTIFS($H$64:H256,H256,$P$64:P256,P256,$A$64:A256,A256)))</f>
        <v/>
      </c>
      <c r="S256" t="str">
        <f t="shared" ref="S256:S319" si="48">IF(Q256="","",D256)</f>
        <v/>
      </c>
      <c r="T256" t="str">
        <f t="shared" ref="T256:T319" si="49">IF(Q256="","",IF(Q256="이체",E256,IF(D256=Q256,E256,-E256)))</f>
        <v/>
      </c>
      <c r="U256" t="str">
        <f t="shared" ref="U256:U319" si="50">IF(Q256="","",IF(ISNUMBER(SEARCH("날짜 미기록",G256)),"날짜 미기록",A256))</f>
        <v/>
      </c>
      <c r="Y256" t="str">
        <f t="shared" ref="Y256:Y319" si="51">IF(A256="","",IF(I256="OK",E256,0))</f>
        <v/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6" ht="68" hidden="1" customHeight="1" outlineLevel="1">
      <c r="A257" s="309"/>
      <c r="B257" s="310"/>
      <c r="C257" s="310"/>
      <c r="D257" s="310"/>
      <c r="E257" s="311"/>
      <c r="F257" s="310"/>
      <c r="G257" s="310"/>
      <c r="H257" s="312" t="str">
        <f t="shared" si="44"/>
        <v/>
      </c>
      <c r="I257" s="313" t="str">
        <f t="shared" si="45"/>
        <v/>
      </c>
      <c r="J257" s="310"/>
      <c r="K257" s="310"/>
      <c r="L257" s="314"/>
      <c r="P257" t="str">
        <f t="shared" si="46"/>
        <v/>
      </c>
      <c r="Q257" t="str">
        <f t="shared" si="47"/>
        <v/>
      </c>
      <c r="R257" t="str">
        <f>IF(P257="","",TEXT(H257,"yyyymm")&amp;"_"&amp;P257&amp;"_"&amp;(COUNTIFS($H$64:$H$500,H257,$P$64:$P$500,P257,$A$64:$A$500,"&gt;"&amp;A257)+COUNTIFS($H$64:H257,H257,$P$64:P257,P257,$A$64:A257,A257)))</f>
        <v/>
      </c>
      <c r="S257" t="str">
        <f t="shared" si="48"/>
        <v/>
      </c>
      <c r="T257" t="str">
        <f t="shared" si="49"/>
        <v/>
      </c>
      <c r="U257" t="str">
        <f t="shared" si="50"/>
        <v/>
      </c>
      <c r="Y257" t="str">
        <f t="shared" si="51"/>
        <v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6" ht="32" hidden="1" customHeight="1" outlineLevel="1">
      <c r="A258" s="309"/>
      <c r="B258" s="313"/>
      <c r="C258" s="313"/>
      <c r="D258" s="313"/>
      <c r="E258" s="311"/>
      <c r="F258" s="313"/>
      <c r="G258" s="313"/>
      <c r="H258" s="312" t="str">
        <f t="shared" si="44"/>
        <v/>
      </c>
      <c r="I258" s="313" t="str">
        <f t="shared" si="45"/>
        <v/>
      </c>
      <c r="J258" s="313"/>
      <c r="K258" s="313"/>
      <c r="L258" s="315"/>
      <c r="P258" t="str">
        <f t="shared" si="46"/>
        <v/>
      </c>
      <c r="Q258" t="str">
        <f t="shared" si="47"/>
        <v/>
      </c>
      <c r="R258" t="str">
        <f>IF(P258="","",TEXT(H258,"yyyymm")&amp;"_"&amp;P258&amp;"_"&amp;(COUNTIFS($H$64:$H$500,H258,$P$64:$P$500,P258,$A$64:$A$500,"&gt;"&amp;A258)+COUNTIFS($H$64:H258,H258,$P$64:P258,P258,$A$64:A258,A258)))</f>
        <v/>
      </c>
      <c r="S258" t="str">
        <f t="shared" si="48"/>
        <v/>
      </c>
      <c r="T258" t="str">
        <f t="shared" si="49"/>
        <v/>
      </c>
      <c r="U258" t="str">
        <f t="shared" si="50"/>
        <v/>
      </c>
      <c r="Y258" t="str">
        <f t="shared" si="51"/>
        <v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6" ht="32" hidden="1" customHeight="1" outlineLevel="1">
      <c r="A259" s="309"/>
      <c r="B259" s="313"/>
      <c r="C259" s="313"/>
      <c r="D259" s="313"/>
      <c r="E259" s="311"/>
      <c r="F259" s="313"/>
      <c r="G259" s="313"/>
      <c r="H259" s="312" t="str">
        <f t="shared" si="44"/>
        <v/>
      </c>
      <c r="I259" s="313" t="str">
        <f t="shared" si="45"/>
        <v/>
      </c>
      <c r="J259" s="313"/>
      <c r="K259" s="313"/>
      <c r="L259" s="315"/>
      <c r="P259" t="str">
        <f t="shared" si="46"/>
        <v/>
      </c>
      <c r="Q259" t="str">
        <f t="shared" si="47"/>
        <v/>
      </c>
      <c r="R259" t="str">
        <f>IF(P259="","",TEXT(H259,"yyyymm")&amp;"_"&amp;P259&amp;"_"&amp;(COUNTIFS($H$64:$H$500,H259,$P$64:$P$500,P259,$A$64:$A$500,"&gt;"&amp;A259)+COUNTIFS($H$64:H259,H259,$P$64:P259,P259,$A$64:A259,A259)))</f>
        <v/>
      </c>
      <c r="S259" t="str">
        <f t="shared" si="48"/>
        <v/>
      </c>
      <c r="T259" t="str">
        <f t="shared" si="49"/>
        <v/>
      </c>
      <c r="U259" t="str">
        <f t="shared" si="50"/>
        <v/>
      </c>
      <c r="Y259" t="str">
        <f t="shared" si="51"/>
        <v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6" ht="56" hidden="1" customHeight="1" outlineLevel="1">
      <c r="A260" s="309"/>
      <c r="B260" s="313"/>
      <c r="C260" s="313"/>
      <c r="D260" s="313"/>
      <c r="E260" s="311"/>
      <c r="F260" s="313"/>
      <c r="G260" s="313"/>
      <c r="H260" s="312" t="str">
        <f t="shared" si="44"/>
        <v/>
      </c>
      <c r="I260" s="313" t="str">
        <f t="shared" si="45"/>
        <v/>
      </c>
      <c r="J260" s="313"/>
      <c r="K260" s="313"/>
      <c r="L260" s="315"/>
      <c r="P260" t="str">
        <f t="shared" si="46"/>
        <v/>
      </c>
      <c r="Q260" t="str">
        <f t="shared" si="47"/>
        <v/>
      </c>
      <c r="R260" t="str">
        <f>IF(P260="","",TEXT(H260,"yyyymm")&amp;"_"&amp;P260&amp;"_"&amp;(COUNTIFS($H$64:$H$500,H260,$P$64:$P$500,P260,$A$64:$A$500,"&gt;"&amp;A260)+COUNTIFS($H$64:H260,H260,$P$64:P260,P260,$A$64:A260,A260)))</f>
        <v/>
      </c>
      <c r="S260" t="str">
        <f t="shared" si="48"/>
        <v/>
      </c>
      <c r="T260" t="str">
        <f t="shared" si="49"/>
        <v/>
      </c>
      <c r="U260" t="str">
        <f t="shared" si="50"/>
        <v/>
      </c>
      <c r="Y260" t="str">
        <f t="shared" si="51"/>
        <v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6" ht="32" hidden="1" customHeight="1" outlineLevel="1">
      <c r="A261" s="309"/>
      <c r="B261" s="313"/>
      <c r="C261" s="313"/>
      <c r="D261" s="313"/>
      <c r="E261" s="311"/>
      <c r="F261" s="313"/>
      <c r="G261" s="313"/>
      <c r="H261" s="312" t="str">
        <f t="shared" si="44"/>
        <v/>
      </c>
      <c r="I261" s="313" t="str">
        <f t="shared" si="45"/>
        <v/>
      </c>
      <c r="J261" s="313"/>
      <c r="K261" s="313"/>
      <c r="L261" s="315"/>
      <c r="P261" t="str">
        <f t="shared" si="46"/>
        <v/>
      </c>
      <c r="Q261" t="str">
        <f t="shared" si="47"/>
        <v/>
      </c>
      <c r="R261" t="str">
        <f>IF(P261="","",TEXT(H261,"yyyymm")&amp;"_"&amp;P261&amp;"_"&amp;(COUNTIFS($H$64:$H$500,H261,$P$64:$P$500,P261,$A$64:$A$500,"&gt;"&amp;A261)+COUNTIFS($H$64:H261,H261,$P$64:P261,P261,$A$64:A261,A261)))</f>
        <v/>
      </c>
      <c r="S261" t="str">
        <f t="shared" si="48"/>
        <v/>
      </c>
      <c r="T261" t="str">
        <f t="shared" si="49"/>
        <v/>
      </c>
      <c r="U261" t="str">
        <f t="shared" si="50"/>
        <v/>
      </c>
      <c r="Y261" t="str">
        <f t="shared" si="51"/>
        <v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6" ht="32" hidden="1" customHeight="1" outlineLevel="1">
      <c r="A262" s="309"/>
      <c r="B262" s="313"/>
      <c r="C262" s="313"/>
      <c r="D262" s="313"/>
      <c r="E262" s="311"/>
      <c r="F262" s="313"/>
      <c r="G262" s="313"/>
      <c r="H262" s="312" t="str">
        <f t="shared" si="44"/>
        <v/>
      </c>
      <c r="I262" s="313" t="str">
        <f t="shared" si="45"/>
        <v/>
      </c>
      <c r="J262" s="313"/>
      <c r="K262" s="313"/>
      <c r="L262" s="315"/>
      <c r="P262" t="str">
        <f t="shared" si="46"/>
        <v/>
      </c>
      <c r="Q262" t="str">
        <f t="shared" si="47"/>
        <v/>
      </c>
      <c r="R262" t="str">
        <f>IF(P262="","",TEXT(H262,"yyyymm")&amp;"_"&amp;P262&amp;"_"&amp;(COUNTIFS($H$64:$H$500,H262,$P$64:$P$500,P262,$A$64:$A$500,"&gt;"&amp;A262)+COUNTIFS($H$64:H262,H262,$P$64:P262,P262,$A$64:A262,A262)))</f>
        <v/>
      </c>
      <c r="S262" t="str">
        <f t="shared" si="48"/>
        <v/>
      </c>
      <c r="T262" t="str">
        <f t="shared" si="49"/>
        <v/>
      </c>
      <c r="U262" t="str">
        <f t="shared" si="50"/>
        <v/>
      </c>
      <c r="Y262" t="str">
        <f t="shared" si="51"/>
        <v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6" ht="32" hidden="1" customHeight="1" outlineLevel="1">
      <c r="A263" s="309"/>
      <c r="B263" s="313"/>
      <c r="C263" s="313"/>
      <c r="D263" s="313"/>
      <c r="E263" s="311"/>
      <c r="F263" s="313"/>
      <c r="G263" s="313"/>
      <c r="H263" s="312" t="str">
        <f t="shared" si="44"/>
        <v/>
      </c>
      <c r="I263" s="313" t="str">
        <f t="shared" si="45"/>
        <v/>
      </c>
      <c r="J263" s="313"/>
      <c r="K263" s="313"/>
      <c r="L263" s="315"/>
      <c r="P263" t="str">
        <f t="shared" si="46"/>
        <v/>
      </c>
      <c r="Q263" t="str">
        <f t="shared" si="47"/>
        <v/>
      </c>
      <c r="R263" t="str">
        <f>IF(P263="","",TEXT(H263,"yyyymm")&amp;"_"&amp;P263&amp;"_"&amp;(COUNTIFS($H$64:$H$500,H263,$P$64:$P$500,P263,$A$64:$A$500,"&gt;"&amp;A263)+COUNTIFS($H$64:H263,H263,$P$64:P263,P263,$A$64:A263,A263)))</f>
        <v/>
      </c>
      <c r="S263" t="str">
        <f t="shared" si="48"/>
        <v/>
      </c>
      <c r="T263" t="str">
        <f t="shared" si="49"/>
        <v/>
      </c>
      <c r="U263" t="str">
        <f t="shared" si="50"/>
        <v/>
      </c>
      <c r="Y263" t="str">
        <f t="shared" si="51"/>
        <v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6" ht="68" hidden="1" customHeight="1" outlineLevel="1">
      <c r="A264" s="309"/>
      <c r="B264" s="310"/>
      <c r="C264" s="310"/>
      <c r="D264" s="310"/>
      <c r="E264" s="311"/>
      <c r="F264" s="310"/>
      <c r="G264" s="310"/>
      <c r="H264" s="312" t="str">
        <f t="shared" si="44"/>
        <v/>
      </c>
      <c r="I264" s="313" t="str">
        <f t="shared" si="45"/>
        <v/>
      </c>
      <c r="J264" s="310"/>
      <c r="K264" s="310"/>
      <c r="L264" s="314"/>
      <c r="P264" t="str">
        <f t="shared" si="46"/>
        <v/>
      </c>
      <c r="Q264" t="str">
        <f t="shared" si="47"/>
        <v/>
      </c>
      <c r="R264" t="str">
        <f>IF(P264="","",TEXT(H264,"yyyymm")&amp;"_"&amp;P264&amp;"_"&amp;(COUNTIFS($H$64:$H$500,H264,$P$64:$P$500,P264,$A$64:$A$500,"&gt;"&amp;A264)+COUNTIFS($H$64:H264,H264,$P$64:P264,P264,$A$64:A264,A264)))</f>
        <v/>
      </c>
      <c r="S264" t="str">
        <f t="shared" si="48"/>
        <v/>
      </c>
      <c r="T264" t="str">
        <f t="shared" si="49"/>
        <v/>
      </c>
      <c r="U264" t="str">
        <f t="shared" si="50"/>
        <v/>
      </c>
      <c r="Y264" t="str">
        <f t="shared" si="51"/>
        <v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6" ht="68" hidden="1" customHeight="1" outlineLevel="1">
      <c r="A265" s="309"/>
      <c r="B265" s="310"/>
      <c r="C265" s="310"/>
      <c r="D265" s="310"/>
      <c r="E265" s="311"/>
      <c r="F265" s="310"/>
      <c r="G265" s="310"/>
      <c r="H265" s="312" t="str">
        <f t="shared" si="44"/>
        <v/>
      </c>
      <c r="I265" s="313" t="str">
        <f t="shared" si="45"/>
        <v/>
      </c>
      <c r="J265" s="310"/>
      <c r="K265" s="310"/>
      <c r="L265" s="314"/>
      <c r="P265" t="str">
        <f t="shared" si="46"/>
        <v/>
      </c>
      <c r="Q265" t="str">
        <f t="shared" si="47"/>
        <v/>
      </c>
      <c r="R265" t="str">
        <f>IF(P265="","",TEXT(H265,"yyyymm")&amp;"_"&amp;P265&amp;"_"&amp;(COUNTIFS($H$64:$H$500,H265,$P$64:$P$500,P265,$A$64:$A$500,"&gt;"&amp;A265)+COUNTIFS($H$64:H265,H265,$P$64:P265,P265,$A$64:A265,A265)))</f>
        <v/>
      </c>
      <c r="S265" t="str">
        <f t="shared" si="48"/>
        <v/>
      </c>
      <c r="T265" t="str">
        <f t="shared" si="49"/>
        <v/>
      </c>
      <c r="U265" t="str">
        <f t="shared" si="50"/>
        <v/>
      </c>
      <c r="Y265" t="str">
        <f t="shared" si="51"/>
        <v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6" ht="56" hidden="1" customHeight="1" outlineLevel="1">
      <c r="A266" s="309"/>
      <c r="B266" s="313"/>
      <c r="C266" s="313"/>
      <c r="D266" s="313"/>
      <c r="E266" s="311"/>
      <c r="F266" s="313"/>
      <c r="G266" s="313"/>
      <c r="H266" s="312" t="str">
        <f t="shared" si="44"/>
        <v/>
      </c>
      <c r="I266" s="313" t="str">
        <f t="shared" si="45"/>
        <v/>
      </c>
      <c r="J266" s="313"/>
      <c r="K266" s="313"/>
      <c r="L266" s="315"/>
      <c r="P266" t="str">
        <f t="shared" si="46"/>
        <v/>
      </c>
      <c r="Q266" t="str">
        <f t="shared" si="47"/>
        <v/>
      </c>
      <c r="R266" t="str">
        <f>IF(P266="","",TEXT(H266,"yyyymm")&amp;"_"&amp;P266&amp;"_"&amp;(COUNTIFS($H$64:$H$500,H266,$P$64:$P$500,P266,$A$64:$A$500,"&gt;"&amp;A266)+COUNTIFS($H$64:H266,H266,$P$64:P266,P266,$A$64:A266,A266)))</f>
        <v/>
      </c>
      <c r="S266" t="str">
        <f t="shared" si="48"/>
        <v/>
      </c>
      <c r="T266" t="str">
        <f t="shared" si="49"/>
        <v/>
      </c>
      <c r="U266" t="str">
        <f t="shared" si="50"/>
        <v/>
      </c>
      <c r="Y266" t="str">
        <f t="shared" si="51"/>
        <v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6" ht="32" hidden="1" customHeight="1" outlineLevel="1">
      <c r="A267" s="309"/>
      <c r="B267" s="313"/>
      <c r="C267" s="313"/>
      <c r="D267" s="313"/>
      <c r="E267" s="311"/>
      <c r="F267" s="313"/>
      <c r="G267" s="313"/>
      <c r="H267" s="312" t="str">
        <f t="shared" si="44"/>
        <v/>
      </c>
      <c r="I267" s="313" t="str">
        <f t="shared" si="45"/>
        <v/>
      </c>
      <c r="J267" s="313"/>
      <c r="K267" s="313"/>
      <c r="L267" s="315"/>
      <c r="P267" t="str">
        <f t="shared" si="46"/>
        <v/>
      </c>
      <c r="Q267" t="str">
        <f t="shared" si="47"/>
        <v/>
      </c>
      <c r="R267" t="str">
        <f>IF(P267="","",TEXT(H267,"yyyymm")&amp;"_"&amp;P267&amp;"_"&amp;(COUNTIFS($H$64:$H$500,H267,$P$64:$P$500,P267,$A$64:$A$500,"&gt;"&amp;A267)+COUNTIFS($H$64:H267,H267,$P$64:P267,P267,$A$64:A267,A267)))</f>
        <v/>
      </c>
      <c r="S267" t="str">
        <f t="shared" si="48"/>
        <v/>
      </c>
      <c r="T267" t="str">
        <f t="shared" si="49"/>
        <v/>
      </c>
      <c r="U267" t="str">
        <f t="shared" si="50"/>
        <v/>
      </c>
      <c r="Y267" t="str">
        <f t="shared" si="51"/>
        <v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6" ht="68" hidden="1" customHeight="1" outlineLevel="1">
      <c r="A268" s="309"/>
      <c r="B268" s="310"/>
      <c r="C268" s="310"/>
      <c r="D268" s="310"/>
      <c r="E268" s="311"/>
      <c r="F268" s="310"/>
      <c r="G268" s="310"/>
      <c r="H268" s="312" t="str">
        <f t="shared" si="44"/>
        <v/>
      </c>
      <c r="I268" s="313" t="str">
        <f t="shared" si="45"/>
        <v/>
      </c>
      <c r="J268" s="310"/>
      <c r="K268" s="310"/>
      <c r="L268" s="314"/>
      <c r="P268" t="str">
        <f t="shared" si="46"/>
        <v/>
      </c>
      <c r="Q268" t="str">
        <f t="shared" si="47"/>
        <v/>
      </c>
      <c r="R268" t="str">
        <f>IF(P268="","",TEXT(H268,"yyyymm")&amp;"_"&amp;P268&amp;"_"&amp;(COUNTIFS($H$64:$H$500,H268,$P$64:$P$500,P268,$A$64:$A$500,"&gt;"&amp;A268)+COUNTIFS($H$64:H268,H268,$P$64:P268,P268,$A$64:A268,A268)))</f>
        <v/>
      </c>
      <c r="S268" t="str">
        <f t="shared" si="48"/>
        <v/>
      </c>
      <c r="T268" t="str">
        <f t="shared" si="49"/>
        <v/>
      </c>
      <c r="U268" t="str">
        <f t="shared" si="50"/>
        <v/>
      </c>
      <c r="Y268" t="str">
        <f t="shared" si="51"/>
        <v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6" ht="68" hidden="1" customHeight="1" outlineLevel="1">
      <c r="A269" s="309"/>
      <c r="B269" s="310"/>
      <c r="C269" s="310"/>
      <c r="D269" s="310"/>
      <c r="E269" s="311"/>
      <c r="F269" s="310"/>
      <c r="G269" s="310"/>
      <c r="H269" s="312" t="str">
        <f t="shared" si="44"/>
        <v/>
      </c>
      <c r="I269" s="313" t="str">
        <f t="shared" si="45"/>
        <v/>
      </c>
      <c r="J269" s="310"/>
      <c r="K269" s="310"/>
      <c r="L269" s="314"/>
      <c r="P269" t="str">
        <f t="shared" si="46"/>
        <v/>
      </c>
      <c r="Q269" t="str">
        <f t="shared" si="47"/>
        <v/>
      </c>
      <c r="R269" t="str">
        <f>IF(P269="","",TEXT(H269,"yyyymm")&amp;"_"&amp;P269&amp;"_"&amp;(COUNTIFS($H$64:$H$500,H269,$P$64:$P$500,P269,$A$64:$A$500,"&gt;"&amp;A269)+COUNTIFS($H$64:H269,H269,$P$64:P269,P269,$A$64:A269,A269)))</f>
        <v/>
      </c>
      <c r="S269" t="str">
        <f t="shared" si="48"/>
        <v/>
      </c>
      <c r="T269" t="str">
        <f t="shared" si="49"/>
        <v/>
      </c>
      <c r="U269" t="str">
        <f t="shared" si="50"/>
        <v/>
      </c>
      <c r="Y269" t="str">
        <f t="shared" si="51"/>
        <v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6" ht="68" hidden="1" customHeight="1" outlineLevel="1">
      <c r="A270" s="309"/>
      <c r="B270" s="310"/>
      <c r="C270" s="310"/>
      <c r="D270" s="310"/>
      <c r="E270" s="311"/>
      <c r="F270" s="310"/>
      <c r="G270" s="310"/>
      <c r="H270" s="312" t="str">
        <f t="shared" si="44"/>
        <v/>
      </c>
      <c r="I270" s="313" t="str">
        <f t="shared" si="45"/>
        <v/>
      </c>
      <c r="J270" s="310"/>
      <c r="K270" s="310"/>
      <c r="L270" s="314"/>
      <c r="P270" t="str">
        <f t="shared" si="46"/>
        <v/>
      </c>
      <c r="Q270" t="str">
        <f t="shared" si="47"/>
        <v/>
      </c>
      <c r="R270" t="str">
        <f>IF(P270="","",TEXT(H270,"yyyymm")&amp;"_"&amp;P270&amp;"_"&amp;(COUNTIFS($H$64:$H$500,H270,$P$64:$P$500,P270,$A$64:$A$500,"&gt;"&amp;A270)+COUNTIFS($H$64:H270,H270,$P$64:P270,P270,$A$64:A270,A270)))</f>
        <v/>
      </c>
      <c r="S270" t="str">
        <f t="shared" si="48"/>
        <v/>
      </c>
      <c r="T270" t="str">
        <f t="shared" si="49"/>
        <v/>
      </c>
      <c r="U270" t="str">
        <f t="shared" si="50"/>
        <v/>
      </c>
      <c r="Y270" t="str">
        <f t="shared" si="51"/>
        <v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6" ht="68" hidden="1" customHeight="1" outlineLevel="1">
      <c r="A271" s="309"/>
      <c r="B271" s="310"/>
      <c r="C271" s="310"/>
      <c r="D271" s="310"/>
      <c r="E271" s="311"/>
      <c r="F271" s="310"/>
      <c r="G271" s="310"/>
      <c r="H271" s="312" t="str">
        <f t="shared" si="44"/>
        <v/>
      </c>
      <c r="I271" s="313" t="str">
        <f t="shared" si="45"/>
        <v/>
      </c>
      <c r="J271" s="310"/>
      <c r="K271" s="310"/>
      <c r="L271" s="314"/>
      <c r="P271" t="str">
        <f t="shared" si="46"/>
        <v/>
      </c>
      <c r="Q271" t="str">
        <f t="shared" si="47"/>
        <v/>
      </c>
      <c r="R271" t="str">
        <f>IF(P271="","",TEXT(H271,"yyyymm")&amp;"_"&amp;P271&amp;"_"&amp;(COUNTIFS($H$64:$H$500,H271,$P$64:$P$500,P271,$A$64:$A$500,"&gt;"&amp;A271)+COUNTIFS($H$64:H271,H271,$P$64:P271,P271,$A$64:A271,A271)))</f>
        <v/>
      </c>
      <c r="S271" t="str">
        <f t="shared" si="48"/>
        <v/>
      </c>
      <c r="T271" t="str">
        <f t="shared" si="49"/>
        <v/>
      </c>
      <c r="U271" t="str">
        <f t="shared" si="50"/>
        <v/>
      </c>
      <c r="Y271" t="str">
        <f t="shared" si="51"/>
        <v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6" ht="68" hidden="1" customHeight="1" outlineLevel="1">
      <c r="A272" s="309"/>
      <c r="B272" s="310"/>
      <c r="C272" s="310"/>
      <c r="D272" s="310"/>
      <c r="E272" s="311"/>
      <c r="F272" s="310"/>
      <c r="G272" s="310"/>
      <c r="H272" s="312" t="str">
        <f t="shared" si="44"/>
        <v/>
      </c>
      <c r="I272" s="313" t="str">
        <f t="shared" si="45"/>
        <v/>
      </c>
      <c r="J272" s="310"/>
      <c r="K272" s="310"/>
      <c r="L272" s="314"/>
      <c r="P272" t="str">
        <f t="shared" si="46"/>
        <v/>
      </c>
      <c r="Q272" t="str">
        <f t="shared" si="47"/>
        <v/>
      </c>
      <c r="R272" t="str">
        <f>IF(P272="","",TEXT(H272,"yyyymm")&amp;"_"&amp;P272&amp;"_"&amp;(COUNTIFS($H$64:$H$500,H272,$P$64:$P$500,P272,$A$64:$A$500,"&gt;"&amp;A272)+COUNTIFS($H$64:H272,H272,$P$64:P272,P272,$A$64:A272,A272)))</f>
        <v/>
      </c>
      <c r="S272" t="str">
        <f t="shared" si="48"/>
        <v/>
      </c>
      <c r="T272" t="str">
        <f t="shared" si="49"/>
        <v/>
      </c>
      <c r="U272" t="str">
        <f t="shared" si="50"/>
        <v/>
      </c>
      <c r="Y272" t="str">
        <f t="shared" si="51"/>
        <v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6" ht="68" hidden="1" customHeight="1" outlineLevel="1">
      <c r="A273" s="309"/>
      <c r="B273" s="310"/>
      <c r="C273" s="310"/>
      <c r="D273" s="310"/>
      <c r="E273" s="311"/>
      <c r="F273" s="310"/>
      <c r="G273" s="310"/>
      <c r="H273" s="312" t="str">
        <f t="shared" si="44"/>
        <v/>
      </c>
      <c r="I273" s="313" t="str">
        <f t="shared" si="45"/>
        <v/>
      </c>
      <c r="J273" s="310"/>
      <c r="K273" s="310"/>
      <c r="L273" s="314"/>
      <c r="P273" t="str">
        <f t="shared" si="46"/>
        <v/>
      </c>
      <c r="Q273" t="str">
        <f t="shared" si="47"/>
        <v/>
      </c>
      <c r="R273" t="str">
        <f>IF(P273="","",TEXT(H273,"yyyymm")&amp;"_"&amp;P273&amp;"_"&amp;(COUNTIFS($H$64:$H$500,H273,$P$64:$P$500,P273,$A$64:$A$500,"&gt;"&amp;A273)+COUNTIFS($H$64:H273,H273,$P$64:P273,P273,$A$64:A273,A273)))</f>
        <v/>
      </c>
      <c r="S273" t="str">
        <f t="shared" si="48"/>
        <v/>
      </c>
      <c r="T273" t="str">
        <f t="shared" si="49"/>
        <v/>
      </c>
      <c r="U273" t="str">
        <f t="shared" si="50"/>
        <v/>
      </c>
      <c r="Y273" t="str">
        <f t="shared" si="51"/>
        <v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6" ht="68" hidden="1" customHeight="1" outlineLevel="1">
      <c r="A274" s="309"/>
      <c r="B274" s="310"/>
      <c r="C274" s="310"/>
      <c r="D274" s="310"/>
      <c r="E274" s="311"/>
      <c r="F274" s="310"/>
      <c r="G274" s="310"/>
      <c r="H274" s="312" t="str">
        <f t="shared" si="44"/>
        <v/>
      </c>
      <c r="I274" s="313" t="str">
        <f t="shared" si="45"/>
        <v/>
      </c>
      <c r="J274" s="310"/>
      <c r="K274" s="310"/>
      <c r="L274" s="314"/>
      <c r="P274" t="str">
        <f t="shared" si="46"/>
        <v/>
      </c>
      <c r="Q274" t="str">
        <f t="shared" si="47"/>
        <v/>
      </c>
      <c r="R274" t="str">
        <f>IF(P274="","",TEXT(H274,"yyyymm")&amp;"_"&amp;P274&amp;"_"&amp;(COUNTIFS($H$64:$H$500,H274,$P$64:$P$500,P274,$A$64:$A$500,"&gt;"&amp;A274)+COUNTIFS($H$64:H274,H274,$P$64:P274,P274,$A$64:A274,A274)))</f>
        <v/>
      </c>
      <c r="S274" t="str">
        <f t="shared" si="48"/>
        <v/>
      </c>
      <c r="T274" t="str">
        <f t="shared" si="49"/>
        <v/>
      </c>
      <c r="U274" t="str">
        <f t="shared" si="50"/>
        <v/>
      </c>
      <c r="Y274" t="str">
        <f t="shared" si="51"/>
        <v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6" ht="68" hidden="1" customHeight="1" outlineLevel="1">
      <c r="A275" s="309"/>
      <c r="B275" s="310"/>
      <c r="C275" s="310"/>
      <c r="D275" s="310"/>
      <c r="E275" s="311"/>
      <c r="F275" s="310"/>
      <c r="G275" s="310"/>
      <c r="H275" s="312" t="str">
        <f t="shared" si="44"/>
        <v/>
      </c>
      <c r="I275" s="313" t="str">
        <f t="shared" si="45"/>
        <v/>
      </c>
      <c r="J275" s="310"/>
      <c r="K275" s="310"/>
      <c r="L275" s="314"/>
      <c r="P275" t="str">
        <f t="shared" si="46"/>
        <v/>
      </c>
      <c r="Q275" t="str">
        <f t="shared" si="47"/>
        <v/>
      </c>
      <c r="R275" t="str">
        <f>IF(P275="","",TEXT(H275,"yyyymm")&amp;"_"&amp;P275&amp;"_"&amp;(COUNTIFS($H$64:$H$500,H275,$P$64:$P$500,P275,$A$64:$A$500,"&gt;"&amp;A275)+COUNTIFS($H$64:H275,H275,$P$64:P275,P275,$A$64:A275,A275)))</f>
        <v/>
      </c>
      <c r="S275" t="str">
        <f t="shared" si="48"/>
        <v/>
      </c>
      <c r="T275" t="str">
        <f t="shared" si="49"/>
        <v/>
      </c>
      <c r="U275" t="str">
        <f t="shared" si="50"/>
        <v/>
      </c>
      <c r="Y275" t="str">
        <f t="shared" si="51"/>
        <v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6" ht="32" hidden="1" customHeight="1" outlineLevel="1">
      <c r="A276" s="309"/>
      <c r="B276" s="313"/>
      <c r="C276" s="313"/>
      <c r="D276" s="313"/>
      <c r="E276" s="311"/>
      <c r="F276" s="313"/>
      <c r="G276" s="313"/>
      <c r="H276" s="312" t="str">
        <f t="shared" si="44"/>
        <v/>
      </c>
      <c r="I276" s="313" t="str">
        <f t="shared" si="45"/>
        <v/>
      </c>
      <c r="J276" s="313"/>
      <c r="K276" s="313"/>
      <c r="L276" s="315"/>
      <c r="P276" t="str">
        <f t="shared" si="46"/>
        <v/>
      </c>
      <c r="Q276" t="str">
        <f t="shared" si="47"/>
        <v/>
      </c>
      <c r="R276" t="str">
        <f>IF(P276="","",TEXT(H276,"yyyymm")&amp;"_"&amp;P276&amp;"_"&amp;(COUNTIFS($H$64:$H$500,H276,$P$64:$P$500,P276,$A$64:$A$500,"&gt;"&amp;A276)+COUNTIFS($H$64:H276,H276,$P$64:P276,P276,$A$64:A276,A276)))</f>
        <v/>
      </c>
      <c r="S276" t="str">
        <f t="shared" si="48"/>
        <v/>
      </c>
      <c r="T276" t="str">
        <f t="shared" si="49"/>
        <v/>
      </c>
      <c r="U276" t="str">
        <f t="shared" si="50"/>
        <v/>
      </c>
      <c r="Y276" t="str">
        <f t="shared" si="51"/>
        <v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6" ht="32" hidden="1" customHeight="1" outlineLevel="1">
      <c r="A277" s="309"/>
      <c r="B277" s="313"/>
      <c r="C277" s="313"/>
      <c r="D277" s="313"/>
      <c r="E277" s="311"/>
      <c r="F277" s="313"/>
      <c r="G277" s="313"/>
      <c r="H277" s="312" t="str">
        <f t="shared" si="44"/>
        <v/>
      </c>
      <c r="I277" s="313" t="str">
        <f t="shared" si="45"/>
        <v/>
      </c>
      <c r="J277" s="313"/>
      <c r="K277" s="313"/>
      <c r="L277" s="315"/>
      <c r="P277" t="str">
        <f t="shared" si="46"/>
        <v/>
      </c>
      <c r="Q277" t="str">
        <f t="shared" si="47"/>
        <v/>
      </c>
      <c r="R277" t="str">
        <f>IF(P277="","",TEXT(H277,"yyyymm")&amp;"_"&amp;P277&amp;"_"&amp;(COUNTIFS($H$64:$H$500,H277,$P$64:$P$500,P277,$A$64:$A$500,"&gt;"&amp;A277)+COUNTIFS($H$64:H277,H277,$P$64:P277,P277,$A$64:A277,A277)))</f>
        <v/>
      </c>
      <c r="S277" t="str">
        <f t="shared" si="48"/>
        <v/>
      </c>
      <c r="T277" t="str">
        <f t="shared" si="49"/>
        <v/>
      </c>
      <c r="U277" t="str">
        <f t="shared" si="50"/>
        <v/>
      </c>
      <c r="Y277" t="str">
        <f t="shared" si="51"/>
        <v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6" ht="32" hidden="1" customHeight="1" outlineLevel="1">
      <c r="A278" s="309"/>
      <c r="B278" s="313"/>
      <c r="C278" s="313"/>
      <c r="D278" s="313"/>
      <c r="E278" s="311"/>
      <c r="F278" s="313"/>
      <c r="G278" s="313"/>
      <c r="H278" s="312" t="str">
        <f t="shared" si="44"/>
        <v/>
      </c>
      <c r="I278" s="313" t="str">
        <f t="shared" si="45"/>
        <v/>
      </c>
      <c r="J278" s="313"/>
      <c r="K278" s="313"/>
      <c r="L278" s="315"/>
      <c r="P278" t="str">
        <f t="shared" si="46"/>
        <v/>
      </c>
      <c r="Q278" t="str">
        <f t="shared" si="47"/>
        <v/>
      </c>
      <c r="R278" t="str">
        <f>IF(P278="","",TEXT(H278,"yyyymm")&amp;"_"&amp;P278&amp;"_"&amp;(COUNTIFS($H$64:$H$500,H278,$P$64:$P$500,P278,$A$64:$A$500,"&gt;"&amp;A278)+COUNTIFS($H$64:H278,H278,$P$64:P278,P278,$A$64:A278,A278)))</f>
        <v/>
      </c>
      <c r="S278" t="str">
        <f t="shared" si="48"/>
        <v/>
      </c>
      <c r="T278" t="str">
        <f t="shared" si="49"/>
        <v/>
      </c>
      <c r="U278" t="str">
        <f t="shared" si="50"/>
        <v/>
      </c>
      <c r="Y278" t="str">
        <f t="shared" si="51"/>
        <v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6" ht="68" hidden="1" customHeight="1" outlineLevel="1">
      <c r="A279" s="309"/>
      <c r="B279" s="310"/>
      <c r="C279" s="310"/>
      <c r="D279" s="310"/>
      <c r="E279" s="311"/>
      <c r="F279" s="310"/>
      <c r="G279" s="310"/>
      <c r="H279" s="312" t="str">
        <f t="shared" si="44"/>
        <v/>
      </c>
      <c r="I279" s="313" t="str">
        <f t="shared" si="45"/>
        <v/>
      </c>
      <c r="J279" s="310"/>
      <c r="K279" s="310"/>
      <c r="L279" s="314"/>
      <c r="P279" t="str">
        <f t="shared" si="46"/>
        <v/>
      </c>
      <c r="Q279" t="str">
        <f t="shared" si="47"/>
        <v/>
      </c>
      <c r="R279" t="str">
        <f>IF(P279="","",TEXT(H279,"yyyymm")&amp;"_"&amp;P279&amp;"_"&amp;(COUNTIFS($H$64:$H$500,H279,$P$64:$P$500,P279,$A$64:$A$500,"&gt;"&amp;A279)+COUNTIFS($H$64:H279,H279,$P$64:P279,P279,$A$64:A279,A279)))</f>
        <v/>
      </c>
      <c r="S279" t="str">
        <f t="shared" si="48"/>
        <v/>
      </c>
      <c r="T279" t="str">
        <f t="shared" si="49"/>
        <v/>
      </c>
      <c r="U279" t="str">
        <f t="shared" si="50"/>
        <v/>
      </c>
      <c r="Y279" t="str">
        <f t="shared" si="51"/>
        <v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6" ht="32" hidden="1" customHeight="1" outlineLevel="1">
      <c r="A280" s="309"/>
      <c r="B280" s="313"/>
      <c r="C280" s="313"/>
      <c r="D280" s="313"/>
      <c r="E280" s="311"/>
      <c r="F280" s="313"/>
      <c r="G280" s="313"/>
      <c r="H280" s="312" t="str">
        <f t="shared" si="44"/>
        <v/>
      </c>
      <c r="I280" s="313" t="str">
        <f t="shared" si="45"/>
        <v/>
      </c>
      <c r="J280" s="313"/>
      <c r="K280" s="313"/>
      <c r="L280" s="315"/>
      <c r="P280" t="str">
        <f t="shared" si="46"/>
        <v/>
      </c>
      <c r="Q280" t="str">
        <f t="shared" si="47"/>
        <v/>
      </c>
      <c r="R280" t="str">
        <f>IF(P280="","",TEXT(H280,"yyyymm")&amp;"_"&amp;P280&amp;"_"&amp;(COUNTIFS($H$64:$H$500,H280,$P$64:$P$500,P280,$A$64:$A$500,"&gt;"&amp;A280)+COUNTIFS($H$64:H280,H280,$P$64:P280,P280,$A$64:A280,A280)))</f>
        <v/>
      </c>
      <c r="S280" t="str">
        <f t="shared" si="48"/>
        <v/>
      </c>
      <c r="T280" t="str">
        <f t="shared" si="49"/>
        <v/>
      </c>
      <c r="U280" t="str">
        <f t="shared" si="50"/>
        <v/>
      </c>
      <c r="Y280" t="str">
        <f t="shared" si="51"/>
        <v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6" ht="32" hidden="1" customHeight="1" outlineLevel="1">
      <c r="A281" s="309"/>
      <c r="B281" s="313"/>
      <c r="C281" s="313"/>
      <c r="D281" s="313"/>
      <c r="E281" s="311"/>
      <c r="F281" s="313"/>
      <c r="G281" s="313"/>
      <c r="H281" s="312" t="str">
        <f t="shared" si="44"/>
        <v/>
      </c>
      <c r="I281" s="313" t="str">
        <f t="shared" si="45"/>
        <v/>
      </c>
      <c r="J281" s="313"/>
      <c r="K281" s="313"/>
      <c r="L281" s="315"/>
      <c r="P281" t="str">
        <f t="shared" si="46"/>
        <v/>
      </c>
      <c r="Q281" t="str">
        <f t="shared" si="47"/>
        <v/>
      </c>
      <c r="R281" t="str">
        <f>IF(P281="","",TEXT(H281,"yyyymm")&amp;"_"&amp;P281&amp;"_"&amp;(COUNTIFS($H$64:$H$500,H281,$P$64:$P$500,P281,$A$64:$A$500,"&gt;"&amp;A281)+COUNTIFS($H$64:H281,H281,$P$64:P281,P281,$A$64:A281,A281)))</f>
        <v/>
      </c>
      <c r="S281" t="str">
        <f t="shared" si="48"/>
        <v/>
      </c>
      <c r="T281" t="str">
        <f t="shared" si="49"/>
        <v/>
      </c>
      <c r="U281" t="str">
        <f t="shared" si="50"/>
        <v/>
      </c>
      <c r="Y281" t="str">
        <f t="shared" si="51"/>
        <v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6" ht="68" hidden="1" customHeight="1" outlineLevel="1">
      <c r="A282" s="309"/>
      <c r="B282" s="310"/>
      <c r="C282" s="310"/>
      <c r="D282" s="310"/>
      <c r="E282" s="311"/>
      <c r="F282" s="310"/>
      <c r="G282" s="310"/>
      <c r="H282" s="312" t="str">
        <f t="shared" si="44"/>
        <v/>
      </c>
      <c r="I282" s="313" t="str">
        <f t="shared" si="45"/>
        <v/>
      </c>
      <c r="J282" s="310"/>
      <c r="K282" s="310"/>
      <c r="L282" s="314"/>
      <c r="P282" t="str">
        <f t="shared" si="46"/>
        <v/>
      </c>
      <c r="Q282" t="str">
        <f t="shared" si="47"/>
        <v/>
      </c>
      <c r="R282" t="str">
        <f>IF(P282="","",TEXT(H282,"yyyymm")&amp;"_"&amp;P282&amp;"_"&amp;(COUNTIFS($H$64:$H$500,H282,$P$64:$P$500,P282,$A$64:$A$500,"&gt;"&amp;A282)+COUNTIFS($H$64:H282,H282,$P$64:P282,P282,$A$64:A282,A282)))</f>
        <v/>
      </c>
      <c r="S282" t="str">
        <f t="shared" si="48"/>
        <v/>
      </c>
      <c r="T282" t="str">
        <f t="shared" si="49"/>
        <v/>
      </c>
      <c r="U282" t="str">
        <f t="shared" si="50"/>
        <v/>
      </c>
      <c r="Y282" t="str">
        <f t="shared" si="51"/>
        <v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6" ht="30" hidden="1" customHeight="1" outlineLevel="1">
      <c r="A283" s="83"/>
      <c r="B283" s="84"/>
      <c r="C283" s="84"/>
      <c r="D283" s="84"/>
      <c r="E283" s="85"/>
      <c r="F283" s="89"/>
      <c r="G283" s="90"/>
      <c r="H283" s="312" t="str">
        <f t="shared" si="44"/>
        <v/>
      </c>
      <c r="I283" s="313" t="str">
        <f t="shared" si="45"/>
        <v/>
      </c>
      <c r="J283" s="310"/>
      <c r="K283" s="310"/>
      <c r="L283" s="314"/>
      <c r="P283" t="str">
        <f t="shared" si="46"/>
        <v/>
      </c>
      <c r="Q283" t="str">
        <f t="shared" si="47"/>
        <v/>
      </c>
      <c r="R283" t="str">
        <f>IF(P283="","",TEXT(H283,"yyyymm")&amp;"_"&amp;P283&amp;"_"&amp;(COUNTIFS($H$64:$H$500,H283,$P$64:$P$500,P283,$A$64:$A$500,"&gt;"&amp;A283)+COUNTIFS($H$64:H283,H283,$P$64:P283,P283,$A$64:A283,A283)))</f>
        <v/>
      </c>
      <c r="S283" t="str">
        <f t="shared" si="48"/>
        <v/>
      </c>
      <c r="T283" t="str">
        <f t="shared" si="49"/>
        <v/>
      </c>
      <c r="U283" t="str">
        <f t="shared" si="50"/>
        <v/>
      </c>
      <c r="Y283" t="str">
        <f t="shared" si="51"/>
        <v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6" ht="30" hidden="1" customHeight="1" outlineLevel="1">
      <c r="A284" s="83"/>
      <c r="B284" s="84"/>
      <c r="C284" s="84"/>
      <c r="D284" s="84"/>
      <c r="E284" s="85"/>
      <c r="F284" s="89"/>
      <c r="G284" s="90"/>
      <c r="H284" s="312" t="str">
        <f t="shared" si="44"/>
        <v/>
      </c>
      <c r="I284" s="313" t="str">
        <f t="shared" si="45"/>
        <v/>
      </c>
      <c r="J284" s="310"/>
      <c r="K284" s="310"/>
      <c r="L284" s="314"/>
      <c r="P284" t="str">
        <f t="shared" si="46"/>
        <v/>
      </c>
      <c r="Q284" t="str">
        <f t="shared" si="47"/>
        <v/>
      </c>
      <c r="R284" t="str">
        <f>IF(P284="","",TEXT(H284,"yyyymm")&amp;"_"&amp;P284&amp;"_"&amp;(COUNTIFS($H$64:$H$500,H284,$P$64:$P$500,P284,$A$64:$A$500,"&gt;"&amp;A284)+COUNTIFS($H$64:H284,H284,$P$64:P284,P284,$A$64:A284,A284)))</f>
        <v/>
      </c>
      <c r="S284" t="str">
        <f t="shared" si="48"/>
        <v/>
      </c>
      <c r="T284" t="str">
        <f t="shared" si="49"/>
        <v/>
      </c>
      <c r="U284" t="str">
        <f t="shared" si="50"/>
        <v/>
      </c>
      <c r="Y284" t="str">
        <f t="shared" si="51"/>
        <v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6" ht="80" hidden="1" customHeight="1" outlineLevel="1">
      <c r="A285" s="309"/>
      <c r="B285" s="313"/>
      <c r="C285" s="313"/>
      <c r="D285" s="313"/>
      <c r="E285" s="311"/>
      <c r="F285" s="313"/>
      <c r="G285" s="313"/>
      <c r="H285" s="312" t="str">
        <f t="shared" si="44"/>
        <v/>
      </c>
      <c r="I285" s="313" t="str">
        <f t="shared" si="45"/>
        <v/>
      </c>
      <c r="J285" s="313"/>
      <c r="K285" s="313"/>
      <c r="L285" s="315"/>
      <c r="P285" t="str">
        <f t="shared" si="46"/>
        <v/>
      </c>
      <c r="Q285" t="str">
        <f t="shared" si="47"/>
        <v/>
      </c>
      <c r="R285" t="str">
        <f>IF(P285="","",TEXT(H285,"yyyymm")&amp;"_"&amp;P285&amp;"_"&amp;(COUNTIFS($H$64:$H$500,H285,$P$64:$P$500,P285,$A$64:$A$500,"&gt;"&amp;A285)+COUNTIFS($H$64:H285,H285,$P$64:P285,P285,$A$64:A285,A285)))</f>
        <v/>
      </c>
      <c r="S285" t="str">
        <f t="shared" si="48"/>
        <v/>
      </c>
      <c r="T285" t="str">
        <f t="shared" si="49"/>
        <v/>
      </c>
      <c r="U285" t="str">
        <f t="shared" si="50"/>
        <v/>
      </c>
      <c r="Y285" t="str">
        <f t="shared" si="51"/>
        <v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6" ht="68" hidden="1" customHeight="1" outlineLevel="1">
      <c r="A286" s="309"/>
      <c r="B286" s="310"/>
      <c r="C286" s="310"/>
      <c r="D286" s="310"/>
      <c r="E286" s="311"/>
      <c r="F286" s="310"/>
      <c r="G286" s="310"/>
      <c r="H286" s="312" t="str">
        <f t="shared" si="44"/>
        <v/>
      </c>
      <c r="I286" s="313" t="str">
        <f t="shared" si="45"/>
        <v/>
      </c>
      <c r="J286" s="310"/>
      <c r="K286" s="310"/>
      <c r="L286" s="314"/>
      <c r="P286" t="str">
        <f t="shared" si="46"/>
        <v/>
      </c>
      <c r="Q286" t="str">
        <f t="shared" si="47"/>
        <v/>
      </c>
      <c r="R286" t="str">
        <f>IF(P286="","",TEXT(H286,"yyyymm")&amp;"_"&amp;P286&amp;"_"&amp;(COUNTIFS($H$64:$H$500,H286,$P$64:$P$500,P286,$A$64:$A$500,"&gt;"&amp;A286)+COUNTIFS($H$64:H286,H286,$P$64:P286,P286,$A$64:A286,A286)))</f>
        <v/>
      </c>
      <c r="S286" t="str">
        <f t="shared" si="48"/>
        <v/>
      </c>
      <c r="T286" t="str">
        <f t="shared" si="49"/>
        <v/>
      </c>
      <c r="U286" t="str">
        <f t="shared" si="50"/>
        <v/>
      </c>
      <c r="Y286" t="str">
        <f t="shared" si="51"/>
        <v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6" ht="68" hidden="1" customHeight="1" outlineLevel="1">
      <c r="A287" s="309"/>
      <c r="B287" s="310"/>
      <c r="C287" s="310"/>
      <c r="D287" s="310"/>
      <c r="E287" s="311"/>
      <c r="F287" s="310"/>
      <c r="G287" s="310"/>
      <c r="H287" s="312" t="str">
        <f t="shared" si="44"/>
        <v/>
      </c>
      <c r="I287" s="313" t="str">
        <f t="shared" si="45"/>
        <v/>
      </c>
      <c r="J287" s="310"/>
      <c r="K287" s="310"/>
      <c r="L287" s="314"/>
      <c r="P287" t="str">
        <f t="shared" si="46"/>
        <v/>
      </c>
      <c r="Q287" t="str">
        <f t="shared" si="47"/>
        <v/>
      </c>
      <c r="R287" t="str">
        <f>IF(P287="","",TEXT(H287,"yyyymm")&amp;"_"&amp;P287&amp;"_"&amp;(COUNTIFS($H$64:$H$500,H287,$P$64:$P$500,P287,$A$64:$A$500,"&gt;"&amp;A287)+COUNTIFS($H$64:H287,H287,$P$64:P287,P287,$A$64:A287,A287)))</f>
        <v/>
      </c>
      <c r="S287" t="str">
        <f t="shared" si="48"/>
        <v/>
      </c>
      <c r="T287" t="str">
        <f t="shared" si="49"/>
        <v/>
      </c>
      <c r="U287" t="str">
        <f t="shared" si="50"/>
        <v/>
      </c>
      <c r="Y287" t="str">
        <f t="shared" si="51"/>
        <v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6" ht="68" hidden="1" customHeight="1" outlineLevel="1">
      <c r="A288" s="309"/>
      <c r="B288" s="310"/>
      <c r="C288" s="310"/>
      <c r="D288" s="310"/>
      <c r="E288" s="311"/>
      <c r="F288" s="310"/>
      <c r="G288" s="310"/>
      <c r="H288" s="312" t="str">
        <f t="shared" si="44"/>
        <v/>
      </c>
      <c r="I288" s="313" t="str">
        <f t="shared" si="45"/>
        <v/>
      </c>
      <c r="J288" s="310"/>
      <c r="K288" s="310"/>
      <c r="L288" s="314"/>
      <c r="P288" t="str">
        <f t="shared" si="46"/>
        <v/>
      </c>
      <c r="Q288" t="str">
        <f t="shared" si="47"/>
        <v/>
      </c>
      <c r="R288" t="str">
        <f>IF(P288="","",TEXT(H288,"yyyymm")&amp;"_"&amp;P288&amp;"_"&amp;(COUNTIFS($H$64:$H$500,H288,$P$64:$P$500,P288,$A$64:$A$500,"&gt;"&amp;A288)+COUNTIFS($H$64:H288,H288,$P$64:P288,P288,$A$64:A288,A288)))</f>
        <v/>
      </c>
      <c r="S288" t="str">
        <f t="shared" si="48"/>
        <v/>
      </c>
      <c r="T288" t="str">
        <f t="shared" si="49"/>
        <v/>
      </c>
      <c r="U288" t="str">
        <f t="shared" si="50"/>
        <v/>
      </c>
      <c r="Y288" t="str">
        <f t="shared" si="51"/>
        <v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6" ht="32" hidden="1" customHeight="1" outlineLevel="1">
      <c r="A289" s="309"/>
      <c r="B289" s="313"/>
      <c r="C289" s="313"/>
      <c r="D289" s="313"/>
      <c r="E289" s="311"/>
      <c r="F289" s="313"/>
      <c r="G289" s="313"/>
      <c r="H289" s="312" t="str">
        <f t="shared" si="44"/>
        <v/>
      </c>
      <c r="I289" s="313" t="str">
        <f t="shared" si="45"/>
        <v/>
      </c>
      <c r="J289" s="313"/>
      <c r="K289" s="313"/>
      <c r="L289" s="315"/>
      <c r="P289" t="str">
        <f t="shared" si="46"/>
        <v/>
      </c>
      <c r="Q289" t="str">
        <f t="shared" si="47"/>
        <v/>
      </c>
      <c r="R289" t="str">
        <f>IF(P289="","",TEXT(H289,"yyyymm")&amp;"_"&amp;P289&amp;"_"&amp;(COUNTIFS($H$64:$H$500,H289,$P$64:$P$500,P289,$A$64:$A$500,"&gt;"&amp;A289)+COUNTIFS($H$64:H289,H289,$P$64:P289,P289,$A$64:A289,A289)))</f>
        <v/>
      </c>
      <c r="S289" t="str">
        <f t="shared" si="48"/>
        <v/>
      </c>
      <c r="T289" t="str">
        <f t="shared" si="49"/>
        <v/>
      </c>
      <c r="U289" t="str">
        <f t="shared" si="50"/>
        <v/>
      </c>
      <c r="Y289" t="str">
        <f t="shared" si="51"/>
        <v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6" ht="68" hidden="1" customHeight="1" outlineLevel="1">
      <c r="A290" s="309"/>
      <c r="B290" s="310"/>
      <c r="C290" s="310"/>
      <c r="D290" s="310"/>
      <c r="E290" s="311"/>
      <c r="F290" s="310"/>
      <c r="G290" s="310"/>
      <c r="H290" s="312" t="str">
        <f t="shared" si="44"/>
        <v/>
      </c>
      <c r="I290" s="313" t="str">
        <f t="shared" si="45"/>
        <v/>
      </c>
      <c r="J290" s="310"/>
      <c r="K290" s="310"/>
      <c r="L290" s="314"/>
      <c r="P290" t="str">
        <f t="shared" si="46"/>
        <v/>
      </c>
      <c r="Q290" t="str">
        <f t="shared" si="47"/>
        <v/>
      </c>
      <c r="R290" t="str">
        <f>IF(P290="","",TEXT(H290,"yyyymm")&amp;"_"&amp;P290&amp;"_"&amp;(COUNTIFS($H$64:$H$500,H290,$P$64:$P$500,P290,$A$64:$A$500,"&gt;"&amp;A290)+COUNTIFS($H$64:H290,H290,$P$64:P290,P290,$A$64:A290,A290)))</f>
        <v/>
      </c>
      <c r="S290" t="str">
        <f t="shared" si="48"/>
        <v/>
      </c>
      <c r="T290" t="str">
        <f t="shared" si="49"/>
        <v/>
      </c>
      <c r="U290" t="str">
        <f t="shared" si="50"/>
        <v/>
      </c>
      <c r="Y290" t="str">
        <f t="shared" si="51"/>
        <v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6" ht="68" hidden="1" customHeight="1" outlineLevel="1">
      <c r="A291" s="309"/>
      <c r="B291" s="310"/>
      <c r="C291" s="310"/>
      <c r="D291" s="310"/>
      <c r="E291" s="311"/>
      <c r="F291" s="310"/>
      <c r="G291" s="310"/>
      <c r="H291" s="312" t="str">
        <f t="shared" si="44"/>
        <v/>
      </c>
      <c r="I291" s="313" t="str">
        <f t="shared" si="45"/>
        <v/>
      </c>
      <c r="J291" s="310"/>
      <c r="K291" s="310"/>
      <c r="L291" s="314"/>
      <c r="P291" t="str">
        <f t="shared" si="46"/>
        <v/>
      </c>
      <c r="Q291" t="str">
        <f t="shared" si="47"/>
        <v/>
      </c>
      <c r="R291" t="str">
        <f>IF(P291="","",TEXT(H291,"yyyymm")&amp;"_"&amp;P291&amp;"_"&amp;(COUNTIFS($H$64:$H$500,H291,$P$64:$P$500,P291,$A$64:$A$500,"&gt;"&amp;A291)+COUNTIFS($H$64:H291,H291,$P$64:P291,P291,$A$64:A291,A291)))</f>
        <v/>
      </c>
      <c r="S291" t="str">
        <f t="shared" si="48"/>
        <v/>
      </c>
      <c r="T291" t="str">
        <f t="shared" si="49"/>
        <v/>
      </c>
      <c r="U291" t="str">
        <f t="shared" si="50"/>
        <v/>
      </c>
      <c r="Y291" t="str">
        <f t="shared" si="51"/>
        <v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6" ht="68" hidden="1" customHeight="1" outlineLevel="1">
      <c r="A292" s="309"/>
      <c r="B292" s="310"/>
      <c r="C292" s="310"/>
      <c r="D292" s="310"/>
      <c r="E292" s="311"/>
      <c r="F292" s="310"/>
      <c r="G292" s="310"/>
      <c r="H292" s="312" t="str">
        <f t="shared" si="44"/>
        <v/>
      </c>
      <c r="I292" s="313" t="str">
        <f t="shared" si="45"/>
        <v/>
      </c>
      <c r="J292" s="310"/>
      <c r="K292" s="310"/>
      <c r="L292" s="314"/>
      <c r="P292" t="str">
        <f t="shared" si="46"/>
        <v/>
      </c>
      <c r="Q292" t="str">
        <f t="shared" si="47"/>
        <v/>
      </c>
      <c r="R292" t="str">
        <f>IF(P292="","",TEXT(H292,"yyyymm")&amp;"_"&amp;P292&amp;"_"&amp;(COUNTIFS($H$64:$H$500,H292,$P$64:$P$500,P292,$A$64:$A$500,"&gt;"&amp;A292)+COUNTIFS($H$64:H292,H292,$P$64:P292,P292,$A$64:A292,A292)))</f>
        <v/>
      </c>
      <c r="S292" t="str">
        <f t="shared" si="48"/>
        <v/>
      </c>
      <c r="T292" t="str">
        <f t="shared" si="49"/>
        <v/>
      </c>
      <c r="U292" t="str">
        <f t="shared" si="50"/>
        <v/>
      </c>
      <c r="Y292" t="str">
        <f t="shared" si="51"/>
        <v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6" ht="32" hidden="1" customHeight="1" outlineLevel="1">
      <c r="A293" s="309"/>
      <c r="B293" s="313"/>
      <c r="C293" s="313"/>
      <c r="D293" s="313"/>
      <c r="E293" s="311"/>
      <c r="F293" s="313"/>
      <c r="G293" s="313"/>
      <c r="H293" s="312" t="str">
        <f t="shared" si="44"/>
        <v/>
      </c>
      <c r="I293" s="313" t="str">
        <f t="shared" si="45"/>
        <v/>
      </c>
      <c r="J293" s="313"/>
      <c r="K293" s="313"/>
      <c r="L293" s="315"/>
      <c r="P293" t="str">
        <f t="shared" si="46"/>
        <v/>
      </c>
      <c r="Q293" t="str">
        <f t="shared" si="47"/>
        <v/>
      </c>
      <c r="R293" t="str">
        <f>IF(P293="","",TEXT(H293,"yyyymm")&amp;"_"&amp;P293&amp;"_"&amp;(COUNTIFS($H$64:$H$500,H293,$P$64:$P$500,P293,$A$64:$A$500,"&gt;"&amp;A293)+COUNTIFS($H$64:H293,H293,$P$64:P293,P293,$A$64:A293,A293)))</f>
        <v/>
      </c>
      <c r="S293" t="str">
        <f t="shared" si="48"/>
        <v/>
      </c>
      <c r="T293" t="str">
        <f t="shared" si="49"/>
        <v/>
      </c>
      <c r="U293" t="str">
        <f t="shared" si="50"/>
        <v/>
      </c>
      <c r="Y293" t="str">
        <f t="shared" si="51"/>
        <v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6" ht="68" hidden="1" customHeight="1" outlineLevel="1">
      <c r="A294" s="309"/>
      <c r="B294" s="310"/>
      <c r="C294" s="310"/>
      <c r="D294" s="310"/>
      <c r="E294" s="311"/>
      <c r="F294" s="310"/>
      <c r="G294" s="310"/>
      <c r="H294" s="312" t="str">
        <f t="shared" si="44"/>
        <v/>
      </c>
      <c r="I294" s="313" t="str">
        <f t="shared" si="45"/>
        <v/>
      </c>
      <c r="J294" s="310"/>
      <c r="K294" s="310"/>
      <c r="L294" s="314"/>
      <c r="P294" t="str">
        <f t="shared" si="46"/>
        <v/>
      </c>
      <c r="Q294" t="str">
        <f t="shared" si="47"/>
        <v/>
      </c>
      <c r="R294" t="str">
        <f>IF(P294="","",TEXT(H294,"yyyymm")&amp;"_"&amp;P294&amp;"_"&amp;(COUNTIFS($H$64:$H$500,H294,$P$64:$P$500,P294,$A$64:$A$500,"&gt;"&amp;A294)+COUNTIFS($H$64:H294,H294,$P$64:P294,P294,$A$64:A294,A294)))</f>
        <v/>
      </c>
      <c r="S294" t="str">
        <f t="shared" si="48"/>
        <v/>
      </c>
      <c r="T294" t="str">
        <f t="shared" si="49"/>
        <v/>
      </c>
      <c r="U294" t="str">
        <f t="shared" si="50"/>
        <v/>
      </c>
      <c r="Y294" t="str">
        <f t="shared" si="51"/>
        <v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6" ht="68" hidden="1" customHeight="1" outlineLevel="1">
      <c r="A295" s="309"/>
      <c r="B295" s="310"/>
      <c r="C295" s="310"/>
      <c r="D295" s="310"/>
      <c r="E295" s="311"/>
      <c r="F295" s="310"/>
      <c r="G295" s="310"/>
      <c r="H295" s="312" t="str">
        <f t="shared" si="44"/>
        <v/>
      </c>
      <c r="I295" s="313" t="str">
        <f t="shared" si="45"/>
        <v/>
      </c>
      <c r="J295" s="310"/>
      <c r="K295" s="310"/>
      <c r="L295" s="314"/>
      <c r="P295" t="str">
        <f t="shared" si="46"/>
        <v/>
      </c>
      <c r="Q295" t="str">
        <f t="shared" si="47"/>
        <v/>
      </c>
      <c r="R295" t="str">
        <f>IF(P295="","",TEXT(H295,"yyyymm")&amp;"_"&amp;P295&amp;"_"&amp;(COUNTIFS($H$64:$H$500,H295,$P$64:$P$500,P295,$A$64:$A$500,"&gt;"&amp;A295)+COUNTIFS($H$64:H295,H295,$P$64:P295,P295,$A$64:A295,A295)))</f>
        <v/>
      </c>
      <c r="S295" t="str">
        <f t="shared" si="48"/>
        <v/>
      </c>
      <c r="T295" t="str">
        <f t="shared" si="49"/>
        <v/>
      </c>
      <c r="U295" t="str">
        <f t="shared" si="50"/>
        <v/>
      </c>
      <c r="Y295" t="str">
        <f t="shared" si="51"/>
        <v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6" ht="68" hidden="1" customHeight="1" outlineLevel="1">
      <c r="A296" s="309"/>
      <c r="B296" s="310"/>
      <c r="C296" s="310"/>
      <c r="D296" s="310"/>
      <c r="E296" s="311"/>
      <c r="F296" s="310"/>
      <c r="G296" s="310"/>
      <c r="H296" s="312" t="str">
        <f t="shared" si="44"/>
        <v/>
      </c>
      <c r="I296" s="313" t="str">
        <f t="shared" si="45"/>
        <v/>
      </c>
      <c r="J296" s="310"/>
      <c r="K296" s="310"/>
      <c r="L296" s="314"/>
      <c r="P296" t="str">
        <f t="shared" si="46"/>
        <v/>
      </c>
      <c r="Q296" t="str">
        <f t="shared" si="47"/>
        <v/>
      </c>
      <c r="R296" t="str">
        <f>IF(P296="","",TEXT(H296,"yyyymm")&amp;"_"&amp;P296&amp;"_"&amp;(COUNTIFS($H$64:$H$500,H296,$P$64:$P$500,P296,$A$64:$A$500,"&gt;"&amp;A296)+COUNTIFS($H$64:H296,H296,$P$64:P296,P296,$A$64:A296,A296)))</f>
        <v/>
      </c>
      <c r="S296" t="str">
        <f t="shared" si="48"/>
        <v/>
      </c>
      <c r="T296" t="str">
        <f t="shared" si="49"/>
        <v/>
      </c>
      <c r="U296" t="str">
        <f t="shared" si="50"/>
        <v/>
      </c>
      <c r="Y296" t="str">
        <f t="shared" si="51"/>
        <v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6" ht="68" hidden="1" customHeight="1" outlineLevel="1">
      <c r="A297" s="309"/>
      <c r="B297" s="310"/>
      <c r="C297" s="310"/>
      <c r="D297" s="310"/>
      <c r="E297" s="311"/>
      <c r="F297" s="310"/>
      <c r="G297" s="310"/>
      <c r="H297" s="312" t="str">
        <f t="shared" si="44"/>
        <v/>
      </c>
      <c r="I297" s="313" t="str">
        <f t="shared" si="45"/>
        <v/>
      </c>
      <c r="J297" s="310"/>
      <c r="K297" s="310"/>
      <c r="L297" s="314"/>
      <c r="P297" t="str">
        <f t="shared" si="46"/>
        <v/>
      </c>
      <c r="Q297" t="str">
        <f t="shared" si="47"/>
        <v/>
      </c>
      <c r="R297" t="str">
        <f>IF(P297="","",TEXT(H297,"yyyymm")&amp;"_"&amp;P297&amp;"_"&amp;(COUNTIFS($H$64:$H$500,H297,$P$64:$P$500,P297,$A$64:$A$500,"&gt;"&amp;A297)+COUNTIFS($H$64:H297,H297,$P$64:P297,P297,$A$64:A297,A297)))</f>
        <v/>
      </c>
      <c r="S297" t="str">
        <f t="shared" si="48"/>
        <v/>
      </c>
      <c r="T297" t="str">
        <f t="shared" si="49"/>
        <v/>
      </c>
      <c r="U297" t="str">
        <f t="shared" si="50"/>
        <v/>
      </c>
      <c r="Y297" t="str">
        <f t="shared" si="51"/>
        <v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6" ht="68" hidden="1" customHeight="1" outlineLevel="1">
      <c r="A298" s="309"/>
      <c r="B298" s="310"/>
      <c r="C298" s="310"/>
      <c r="D298" s="310"/>
      <c r="E298" s="311"/>
      <c r="F298" s="310"/>
      <c r="G298" s="310"/>
      <c r="H298" s="312" t="str">
        <f t="shared" si="44"/>
        <v/>
      </c>
      <c r="I298" s="313" t="str">
        <f t="shared" si="45"/>
        <v/>
      </c>
      <c r="J298" s="310"/>
      <c r="K298" s="310"/>
      <c r="L298" s="314"/>
      <c r="P298" t="str">
        <f t="shared" si="46"/>
        <v/>
      </c>
      <c r="Q298" t="str">
        <f t="shared" si="47"/>
        <v/>
      </c>
      <c r="R298" t="str">
        <f>IF(P298="","",TEXT(H298,"yyyymm")&amp;"_"&amp;P298&amp;"_"&amp;(COUNTIFS($H$64:$H$500,H298,$P$64:$P$500,P298,$A$64:$A$500,"&gt;"&amp;A298)+COUNTIFS($H$64:H298,H298,$P$64:P298,P298,$A$64:A298,A298)))</f>
        <v/>
      </c>
      <c r="S298" t="str">
        <f t="shared" si="48"/>
        <v/>
      </c>
      <c r="T298" t="str">
        <f t="shared" si="49"/>
        <v/>
      </c>
      <c r="U298" t="str">
        <f t="shared" si="50"/>
        <v/>
      </c>
      <c r="Y298" t="str">
        <f t="shared" si="51"/>
        <v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6" ht="56" hidden="1" customHeight="1" outlineLevel="1">
      <c r="A299" s="309"/>
      <c r="B299" s="313"/>
      <c r="C299" s="313"/>
      <c r="D299" s="313"/>
      <c r="E299" s="311"/>
      <c r="F299" s="313"/>
      <c r="G299" s="313"/>
      <c r="H299" s="312" t="str">
        <f t="shared" si="44"/>
        <v/>
      </c>
      <c r="I299" s="313" t="str">
        <f t="shared" si="45"/>
        <v/>
      </c>
      <c r="J299" s="313"/>
      <c r="K299" s="313"/>
      <c r="L299" s="315"/>
      <c r="P299" t="str">
        <f t="shared" si="46"/>
        <v/>
      </c>
      <c r="Q299" t="str">
        <f t="shared" si="47"/>
        <v/>
      </c>
      <c r="R299" t="str">
        <f>IF(P299="","",TEXT(H299,"yyyymm")&amp;"_"&amp;P299&amp;"_"&amp;(COUNTIFS($H$64:$H$500,H299,$P$64:$P$500,P299,$A$64:$A$500,"&gt;"&amp;A299)+COUNTIFS($H$64:H299,H299,$P$64:P299,P299,$A$64:A299,A299)))</f>
        <v/>
      </c>
      <c r="S299" t="str">
        <f t="shared" si="48"/>
        <v/>
      </c>
      <c r="T299" t="str">
        <f t="shared" si="49"/>
        <v/>
      </c>
      <c r="U299" t="str">
        <f t="shared" si="50"/>
        <v/>
      </c>
      <c r="Y299" t="str">
        <f t="shared" si="51"/>
        <v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6" ht="32" hidden="1" customHeight="1" outlineLevel="1">
      <c r="A300" s="309"/>
      <c r="B300" s="313"/>
      <c r="C300" s="313"/>
      <c r="D300" s="313"/>
      <c r="E300" s="311"/>
      <c r="F300" s="313"/>
      <c r="G300" s="313"/>
      <c r="H300" s="312" t="str">
        <f t="shared" si="44"/>
        <v/>
      </c>
      <c r="I300" s="313" t="str">
        <f t="shared" si="45"/>
        <v/>
      </c>
      <c r="J300" s="313"/>
      <c r="K300" s="313"/>
      <c r="L300" s="315"/>
      <c r="P300" t="str">
        <f t="shared" si="46"/>
        <v/>
      </c>
      <c r="Q300" t="str">
        <f t="shared" si="47"/>
        <v/>
      </c>
      <c r="R300" t="str">
        <f>IF(P300="","",TEXT(H300,"yyyymm")&amp;"_"&amp;P300&amp;"_"&amp;(COUNTIFS($H$64:$H$500,H300,$P$64:$P$500,P300,$A$64:$A$500,"&gt;"&amp;A300)+COUNTIFS($H$64:H300,H300,$P$64:P300,P300,$A$64:A300,A300)))</f>
        <v/>
      </c>
      <c r="S300" t="str">
        <f t="shared" si="48"/>
        <v/>
      </c>
      <c r="T300" t="str">
        <f t="shared" si="49"/>
        <v/>
      </c>
      <c r="U300" t="str">
        <f t="shared" si="50"/>
        <v/>
      </c>
      <c r="Y300" t="str">
        <f t="shared" si="51"/>
        <v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6" ht="68" hidden="1" customHeight="1" outlineLevel="1">
      <c r="A301" s="309"/>
      <c r="B301" s="310"/>
      <c r="C301" s="310"/>
      <c r="D301" s="310"/>
      <c r="E301" s="311"/>
      <c r="F301" s="310"/>
      <c r="G301" s="310"/>
      <c r="H301" s="312" t="str">
        <f t="shared" si="44"/>
        <v/>
      </c>
      <c r="I301" s="313" t="str">
        <f t="shared" si="45"/>
        <v/>
      </c>
      <c r="J301" s="310"/>
      <c r="K301" s="310"/>
      <c r="L301" s="314"/>
      <c r="P301" t="str">
        <f t="shared" si="46"/>
        <v/>
      </c>
      <c r="Q301" t="str">
        <f t="shared" si="47"/>
        <v/>
      </c>
      <c r="R301" t="str">
        <f>IF(P301="","",TEXT(H301,"yyyymm")&amp;"_"&amp;P301&amp;"_"&amp;(COUNTIFS($H$64:$H$500,H301,$P$64:$P$500,P301,$A$64:$A$500,"&gt;"&amp;A301)+COUNTIFS($H$64:H301,H301,$P$64:P301,P301,$A$64:A301,A301)))</f>
        <v/>
      </c>
      <c r="S301" t="str">
        <f t="shared" si="48"/>
        <v/>
      </c>
      <c r="T301" t="str">
        <f t="shared" si="49"/>
        <v/>
      </c>
      <c r="U301" t="str">
        <f t="shared" si="50"/>
        <v/>
      </c>
      <c r="Y301" t="str">
        <f t="shared" si="51"/>
        <v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6" ht="68" hidden="1" customHeight="1" outlineLevel="1">
      <c r="A302" s="309"/>
      <c r="B302" s="310"/>
      <c r="C302" s="310"/>
      <c r="D302" s="310"/>
      <c r="E302" s="311"/>
      <c r="F302" s="310"/>
      <c r="G302" s="310"/>
      <c r="H302" s="312" t="str">
        <f t="shared" si="44"/>
        <v/>
      </c>
      <c r="I302" s="313" t="str">
        <f t="shared" si="45"/>
        <v/>
      </c>
      <c r="J302" s="310"/>
      <c r="K302" s="310"/>
      <c r="L302" s="314"/>
      <c r="P302" t="str">
        <f t="shared" si="46"/>
        <v/>
      </c>
      <c r="Q302" t="str">
        <f t="shared" si="47"/>
        <v/>
      </c>
      <c r="R302" t="str">
        <f>IF(P302="","",TEXT(H302,"yyyymm")&amp;"_"&amp;P302&amp;"_"&amp;(COUNTIFS($H$64:$H$500,H302,$P$64:$P$500,P302,$A$64:$A$500,"&gt;"&amp;A302)+COUNTIFS($H$64:H302,H302,$P$64:P302,P302,$A$64:A302,A302)))</f>
        <v/>
      </c>
      <c r="S302" t="str">
        <f t="shared" si="48"/>
        <v/>
      </c>
      <c r="T302" t="str">
        <f t="shared" si="49"/>
        <v/>
      </c>
      <c r="U302" t="str">
        <f t="shared" si="50"/>
        <v/>
      </c>
      <c r="Y302" t="str">
        <f t="shared" si="51"/>
        <v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6" ht="68" hidden="1" customHeight="1" outlineLevel="1">
      <c r="A303" s="309"/>
      <c r="B303" s="310"/>
      <c r="C303" s="310"/>
      <c r="D303" s="310"/>
      <c r="E303" s="311"/>
      <c r="F303" s="310"/>
      <c r="G303" s="310"/>
      <c r="H303" s="312" t="str">
        <f t="shared" si="44"/>
        <v/>
      </c>
      <c r="I303" s="313" t="str">
        <f t="shared" si="45"/>
        <v/>
      </c>
      <c r="J303" s="310"/>
      <c r="K303" s="310"/>
      <c r="L303" s="314"/>
      <c r="P303" t="str">
        <f t="shared" si="46"/>
        <v/>
      </c>
      <c r="Q303" t="str">
        <f t="shared" si="47"/>
        <v/>
      </c>
      <c r="R303" t="str">
        <f>IF(P303="","",TEXT(H303,"yyyymm")&amp;"_"&amp;P303&amp;"_"&amp;(COUNTIFS($H$64:$H$500,H303,$P$64:$P$500,P303,$A$64:$A$500,"&gt;"&amp;A303)+COUNTIFS($H$64:H303,H303,$P$64:P303,P303,$A$64:A303,A303)))</f>
        <v/>
      </c>
      <c r="S303" t="str">
        <f t="shared" si="48"/>
        <v/>
      </c>
      <c r="T303" t="str">
        <f t="shared" si="49"/>
        <v/>
      </c>
      <c r="U303" t="str">
        <f t="shared" si="50"/>
        <v/>
      </c>
      <c r="Y303" t="str">
        <f t="shared" si="51"/>
        <v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6" ht="68" hidden="1" customHeight="1" outlineLevel="1">
      <c r="A304" s="309"/>
      <c r="B304" s="310"/>
      <c r="C304" s="310"/>
      <c r="D304" s="310"/>
      <c r="E304" s="311"/>
      <c r="F304" s="310"/>
      <c r="G304" s="310"/>
      <c r="H304" s="312" t="str">
        <f t="shared" si="44"/>
        <v/>
      </c>
      <c r="I304" s="313" t="str">
        <f t="shared" si="45"/>
        <v/>
      </c>
      <c r="J304" s="310"/>
      <c r="K304" s="310"/>
      <c r="L304" s="314"/>
      <c r="P304" t="str">
        <f t="shared" si="46"/>
        <v/>
      </c>
      <c r="Q304" t="str">
        <f t="shared" si="47"/>
        <v/>
      </c>
      <c r="R304" t="str">
        <f>IF(P304="","",TEXT(H304,"yyyymm")&amp;"_"&amp;P304&amp;"_"&amp;(COUNTIFS($H$64:$H$500,H304,$P$64:$P$500,P304,$A$64:$A$500,"&gt;"&amp;A304)+COUNTIFS($H$64:H304,H304,$P$64:P304,P304,$A$64:A304,A304)))</f>
        <v/>
      </c>
      <c r="S304" t="str">
        <f t="shared" si="48"/>
        <v/>
      </c>
      <c r="T304" t="str">
        <f t="shared" si="49"/>
        <v/>
      </c>
      <c r="U304" t="str">
        <f t="shared" si="50"/>
        <v/>
      </c>
      <c r="Y304" t="str">
        <f t="shared" si="51"/>
        <v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6" ht="68" hidden="1" customHeight="1" outlineLevel="1">
      <c r="A305" s="309"/>
      <c r="B305" s="310"/>
      <c r="C305" s="310"/>
      <c r="D305" s="310"/>
      <c r="E305" s="311"/>
      <c r="F305" s="310"/>
      <c r="G305" s="310"/>
      <c r="H305" s="312" t="str">
        <f t="shared" si="44"/>
        <v/>
      </c>
      <c r="I305" s="313" t="str">
        <f t="shared" si="45"/>
        <v/>
      </c>
      <c r="J305" s="310"/>
      <c r="K305" s="310"/>
      <c r="L305" s="314"/>
      <c r="P305" t="str">
        <f t="shared" si="46"/>
        <v/>
      </c>
      <c r="Q305" t="str">
        <f t="shared" si="47"/>
        <v/>
      </c>
      <c r="R305" t="str">
        <f>IF(P305="","",TEXT(H305,"yyyymm")&amp;"_"&amp;P305&amp;"_"&amp;(COUNTIFS($H$64:$H$500,H305,$P$64:$P$500,P305,$A$64:$A$500,"&gt;"&amp;A305)+COUNTIFS($H$64:H305,H305,$P$64:P305,P305,$A$64:A305,A305)))</f>
        <v/>
      </c>
      <c r="S305" t="str">
        <f t="shared" si="48"/>
        <v/>
      </c>
      <c r="T305" t="str">
        <f t="shared" si="49"/>
        <v/>
      </c>
      <c r="U305" t="str">
        <f t="shared" si="50"/>
        <v/>
      </c>
      <c r="Y305" t="str">
        <f t="shared" si="51"/>
        <v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6" ht="68" hidden="1" customHeight="1" outlineLevel="1">
      <c r="A306" s="309"/>
      <c r="B306" s="310"/>
      <c r="C306" s="310"/>
      <c r="D306" s="310"/>
      <c r="E306" s="311"/>
      <c r="F306" s="310"/>
      <c r="G306" s="310"/>
      <c r="H306" s="312" t="str">
        <f t="shared" si="44"/>
        <v/>
      </c>
      <c r="I306" s="313" t="str">
        <f t="shared" si="45"/>
        <v/>
      </c>
      <c r="J306" s="310"/>
      <c r="K306" s="310"/>
      <c r="L306" s="314"/>
      <c r="P306" t="str">
        <f t="shared" si="46"/>
        <v/>
      </c>
      <c r="Q306" t="str">
        <f t="shared" si="47"/>
        <v/>
      </c>
      <c r="R306" t="str">
        <f>IF(P306="","",TEXT(H306,"yyyymm")&amp;"_"&amp;P306&amp;"_"&amp;(COUNTIFS($H$64:$H$500,H306,$P$64:$P$500,P306,$A$64:$A$500,"&gt;"&amp;A306)+COUNTIFS($H$64:H306,H306,$P$64:P306,P306,$A$64:A306,A306)))</f>
        <v/>
      </c>
      <c r="S306" t="str">
        <f t="shared" si="48"/>
        <v/>
      </c>
      <c r="T306" t="str">
        <f t="shared" si="49"/>
        <v/>
      </c>
      <c r="U306" t="str">
        <f t="shared" si="50"/>
        <v/>
      </c>
      <c r="Y306" t="str">
        <f t="shared" si="51"/>
        <v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6" ht="32" hidden="1" customHeight="1" outlineLevel="1">
      <c r="A307" s="309"/>
      <c r="B307" s="313"/>
      <c r="C307" s="313"/>
      <c r="D307" s="313"/>
      <c r="E307" s="311"/>
      <c r="F307" s="313"/>
      <c r="G307" s="313"/>
      <c r="H307" s="312" t="str">
        <f t="shared" si="44"/>
        <v/>
      </c>
      <c r="I307" s="313" t="str">
        <f t="shared" si="45"/>
        <v/>
      </c>
      <c r="J307" s="313"/>
      <c r="K307" s="313"/>
      <c r="L307" s="315"/>
      <c r="P307" t="str">
        <f t="shared" si="46"/>
        <v/>
      </c>
      <c r="Q307" t="str">
        <f t="shared" si="47"/>
        <v/>
      </c>
      <c r="R307" t="str">
        <f>IF(P307="","",TEXT(H307,"yyyymm")&amp;"_"&amp;P307&amp;"_"&amp;(COUNTIFS($H$64:$H$500,H307,$P$64:$P$500,P307,$A$64:$A$500,"&gt;"&amp;A307)+COUNTIFS($H$64:H307,H307,$P$64:P307,P307,$A$64:A307,A307)))</f>
        <v/>
      </c>
      <c r="S307" t="str">
        <f t="shared" si="48"/>
        <v/>
      </c>
      <c r="T307" t="str">
        <f t="shared" si="49"/>
        <v/>
      </c>
      <c r="U307" t="str">
        <f t="shared" si="50"/>
        <v/>
      </c>
      <c r="Y307" t="str">
        <f t="shared" si="51"/>
        <v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6" ht="68" hidden="1" customHeight="1" outlineLevel="1">
      <c r="A308" s="309"/>
      <c r="B308" s="310"/>
      <c r="C308" s="310"/>
      <c r="D308" s="310"/>
      <c r="E308" s="311"/>
      <c r="F308" s="310"/>
      <c r="G308" s="310"/>
      <c r="H308" s="312" t="str">
        <f t="shared" si="44"/>
        <v/>
      </c>
      <c r="I308" s="313" t="str">
        <f t="shared" si="45"/>
        <v/>
      </c>
      <c r="J308" s="310"/>
      <c r="K308" s="310"/>
      <c r="L308" s="314"/>
      <c r="P308" t="str">
        <f t="shared" si="46"/>
        <v/>
      </c>
      <c r="Q308" t="str">
        <f t="shared" si="47"/>
        <v/>
      </c>
      <c r="R308" t="str">
        <f>IF(P308="","",TEXT(H308,"yyyymm")&amp;"_"&amp;P308&amp;"_"&amp;(COUNTIFS($H$64:$H$500,H308,$P$64:$P$500,P308,$A$64:$A$500,"&gt;"&amp;A308)+COUNTIFS($H$64:H308,H308,$P$64:P308,P308,$A$64:A308,A308)))</f>
        <v/>
      </c>
      <c r="S308" t="str">
        <f t="shared" si="48"/>
        <v/>
      </c>
      <c r="T308" t="str">
        <f t="shared" si="49"/>
        <v/>
      </c>
      <c r="U308" t="str">
        <f t="shared" si="50"/>
        <v/>
      </c>
      <c r="Y308" t="str">
        <f t="shared" si="51"/>
        <v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6" ht="68" hidden="1" customHeight="1" outlineLevel="1">
      <c r="A309" s="309"/>
      <c r="B309" s="310"/>
      <c r="C309" s="310"/>
      <c r="D309" s="310"/>
      <c r="E309" s="311"/>
      <c r="F309" s="310"/>
      <c r="G309" s="310"/>
      <c r="H309" s="312" t="str">
        <f t="shared" si="44"/>
        <v/>
      </c>
      <c r="I309" s="313" t="str">
        <f t="shared" si="45"/>
        <v/>
      </c>
      <c r="J309" s="310"/>
      <c r="K309" s="310"/>
      <c r="L309" s="314"/>
      <c r="P309" t="str">
        <f t="shared" si="46"/>
        <v/>
      </c>
      <c r="Q309" t="str">
        <f t="shared" si="47"/>
        <v/>
      </c>
      <c r="R309" t="str">
        <f>IF(P309="","",TEXT(H309,"yyyymm")&amp;"_"&amp;P309&amp;"_"&amp;(COUNTIFS($H$64:$H$500,H309,$P$64:$P$500,P309,$A$64:$A$500,"&gt;"&amp;A309)+COUNTIFS($H$64:H309,H309,$P$64:P309,P309,$A$64:A309,A309)))</f>
        <v/>
      </c>
      <c r="S309" t="str">
        <f t="shared" si="48"/>
        <v/>
      </c>
      <c r="T309" t="str">
        <f t="shared" si="49"/>
        <v/>
      </c>
      <c r="U309" t="str">
        <f t="shared" si="50"/>
        <v/>
      </c>
      <c r="Y309" t="str">
        <f t="shared" si="51"/>
        <v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6" ht="68" hidden="1" customHeight="1" outlineLevel="1">
      <c r="A310" s="309"/>
      <c r="B310" s="310"/>
      <c r="C310" s="310"/>
      <c r="D310" s="310"/>
      <c r="E310" s="311"/>
      <c r="F310" s="310"/>
      <c r="G310" s="310"/>
      <c r="H310" s="312" t="str">
        <f t="shared" si="44"/>
        <v/>
      </c>
      <c r="I310" s="313" t="str">
        <f t="shared" si="45"/>
        <v/>
      </c>
      <c r="J310" s="310"/>
      <c r="K310" s="310"/>
      <c r="L310" s="314"/>
      <c r="P310" t="str">
        <f t="shared" si="46"/>
        <v/>
      </c>
      <c r="Q310" t="str">
        <f t="shared" si="47"/>
        <v/>
      </c>
      <c r="R310" t="str">
        <f>IF(P310="","",TEXT(H310,"yyyymm")&amp;"_"&amp;P310&amp;"_"&amp;(COUNTIFS($H$64:$H$500,H310,$P$64:$P$500,P310,$A$64:$A$500,"&gt;"&amp;A310)+COUNTIFS($H$64:H310,H310,$P$64:P310,P310,$A$64:A310,A310)))</f>
        <v/>
      </c>
      <c r="S310" t="str">
        <f t="shared" si="48"/>
        <v/>
      </c>
      <c r="T310" t="str">
        <f t="shared" si="49"/>
        <v/>
      </c>
      <c r="U310" t="str">
        <f t="shared" si="50"/>
        <v/>
      </c>
      <c r="Y310" t="str">
        <f t="shared" si="51"/>
        <v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6" ht="68" hidden="1" customHeight="1" outlineLevel="1">
      <c r="A311" s="309"/>
      <c r="B311" s="310"/>
      <c r="C311" s="310"/>
      <c r="D311" s="310"/>
      <c r="E311" s="311"/>
      <c r="F311" s="310"/>
      <c r="G311" s="310"/>
      <c r="H311" s="312" t="str">
        <f t="shared" si="44"/>
        <v/>
      </c>
      <c r="I311" s="313" t="str">
        <f t="shared" si="45"/>
        <v/>
      </c>
      <c r="J311" s="310"/>
      <c r="K311" s="310"/>
      <c r="L311" s="314"/>
      <c r="P311" t="str">
        <f t="shared" si="46"/>
        <v/>
      </c>
      <c r="Q311" t="str">
        <f t="shared" si="47"/>
        <v/>
      </c>
      <c r="R311" t="str">
        <f>IF(P311="","",TEXT(H311,"yyyymm")&amp;"_"&amp;P311&amp;"_"&amp;(COUNTIFS($H$64:$H$500,H311,$P$64:$P$500,P311,$A$64:$A$500,"&gt;"&amp;A311)+COUNTIFS($H$64:H311,H311,$P$64:P311,P311,$A$64:A311,A311)))</f>
        <v/>
      </c>
      <c r="S311" t="str">
        <f t="shared" si="48"/>
        <v/>
      </c>
      <c r="T311" t="str">
        <f t="shared" si="49"/>
        <v/>
      </c>
      <c r="U311" t="str">
        <f t="shared" si="50"/>
        <v/>
      </c>
      <c r="Y311" t="str">
        <f t="shared" si="51"/>
        <v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6" ht="68" hidden="1" customHeight="1" outlineLevel="1">
      <c r="A312" s="309"/>
      <c r="B312" s="310"/>
      <c r="C312" s="310"/>
      <c r="D312" s="310"/>
      <c r="E312" s="311"/>
      <c r="F312" s="310"/>
      <c r="G312" s="310"/>
      <c r="H312" s="312" t="str">
        <f t="shared" si="44"/>
        <v/>
      </c>
      <c r="I312" s="313" t="str">
        <f t="shared" si="45"/>
        <v/>
      </c>
      <c r="J312" s="310"/>
      <c r="K312" s="310"/>
      <c r="L312" s="314"/>
      <c r="P312" t="str">
        <f t="shared" si="46"/>
        <v/>
      </c>
      <c r="Q312" t="str">
        <f t="shared" si="47"/>
        <v/>
      </c>
      <c r="R312" t="str">
        <f>IF(P312="","",TEXT(H312,"yyyymm")&amp;"_"&amp;P312&amp;"_"&amp;(COUNTIFS($H$64:$H$500,H312,$P$64:$P$500,P312,$A$64:$A$500,"&gt;"&amp;A312)+COUNTIFS($H$64:H312,H312,$P$64:P312,P312,$A$64:A312,A312)))</f>
        <v/>
      </c>
      <c r="S312" t="str">
        <f t="shared" si="48"/>
        <v/>
      </c>
      <c r="T312" t="str">
        <f t="shared" si="49"/>
        <v/>
      </c>
      <c r="U312" t="str">
        <f t="shared" si="50"/>
        <v/>
      </c>
      <c r="Y312" t="str">
        <f t="shared" si="51"/>
        <v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6" ht="68" hidden="1" customHeight="1" outlineLevel="1">
      <c r="A313" s="309"/>
      <c r="B313" s="310"/>
      <c r="C313" s="310"/>
      <c r="D313" s="310"/>
      <c r="E313" s="311"/>
      <c r="F313" s="310"/>
      <c r="G313" s="310"/>
      <c r="H313" s="312" t="str">
        <f t="shared" si="44"/>
        <v/>
      </c>
      <c r="I313" s="313" t="str">
        <f t="shared" si="45"/>
        <v/>
      </c>
      <c r="J313" s="310"/>
      <c r="K313" s="310"/>
      <c r="L313" s="314"/>
      <c r="P313" t="str">
        <f t="shared" si="46"/>
        <v/>
      </c>
      <c r="Q313" t="str">
        <f t="shared" si="47"/>
        <v/>
      </c>
      <c r="R313" t="str">
        <f>IF(P313="","",TEXT(H313,"yyyymm")&amp;"_"&amp;P313&amp;"_"&amp;(COUNTIFS($H$64:$H$500,H313,$P$64:$P$500,P313,$A$64:$A$500,"&gt;"&amp;A313)+COUNTIFS($H$64:H313,H313,$P$64:P313,P313,$A$64:A313,A313)))</f>
        <v/>
      </c>
      <c r="S313" t="str">
        <f t="shared" si="48"/>
        <v/>
      </c>
      <c r="T313" t="str">
        <f t="shared" si="49"/>
        <v/>
      </c>
      <c r="U313" t="str">
        <f t="shared" si="50"/>
        <v/>
      </c>
      <c r="Y313" t="str">
        <f t="shared" si="51"/>
        <v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6" ht="68" hidden="1" customHeight="1" outlineLevel="1">
      <c r="A314" s="309"/>
      <c r="B314" s="310"/>
      <c r="C314" s="310"/>
      <c r="D314" s="310"/>
      <c r="E314" s="311"/>
      <c r="F314" s="310"/>
      <c r="G314" s="310"/>
      <c r="H314" s="312" t="str">
        <f t="shared" si="44"/>
        <v/>
      </c>
      <c r="I314" s="313" t="str">
        <f t="shared" si="45"/>
        <v/>
      </c>
      <c r="J314" s="310"/>
      <c r="K314" s="310"/>
      <c r="L314" s="314"/>
      <c r="P314" t="str">
        <f t="shared" si="46"/>
        <v/>
      </c>
      <c r="Q314" t="str">
        <f t="shared" si="47"/>
        <v/>
      </c>
      <c r="R314" t="str">
        <f>IF(P314="","",TEXT(H314,"yyyymm")&amp;"_"&amp;P314&amp;"_"&amp;(COUNTIFS($H$64:$H$500,H314,$P$64:$P$500,P314,$A$64:$A$500,"&gt;"&amp;A314)+COUNTIFS($H$64:H314,H314,$P$64:P314,P314,$A$64:A314,A314)))</f>
        <v/>
      </c>
      <c r="S314" t="str">
        <f t="shared" si="48"/>
        <v/>
      </c>
      <c r="T314" t="str">
        <f t="shared" si="49"/>
        <v/>
      </c>
      <c r="U314" t="str">
        <f t="shared" si="50"/>
        <v/>
      </c>
      <c r="Y314" t="str">
        <f t="shared" si="51"/>
        <v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6" ht="68" hidden="1" customHeight="1" outlineLevel="1">
      <c r="A315" s="309"/>
      <c r="B315" s="310"/>
      <c r="C315" s="310"/>
      <c r="D315" s="310"/>
      <c r="E315" s="311"/>
      <c r="F315" s="310"/>
      <c r="G315" s="310"/>
      <c r="H315" s="312" t="str">
        <f t="shared" si="44"/>
        <v/>
      </c>
      <c r="I315" s="313" t="str">
        <f t="shared" si="45"/>
        <v/>
      </c>
      <c r="J315" s="310"/>
      <c r="K315" s="310"/>
      <c r="L315" s="314"/>
      <c r="P315" t="str">
        <f t="shared" si="46"/>
        <v/>
      </c>
      <c r="Q315" t="str">
        <f t="shared" si="47"/>
        <v/>
      </c>
      <c r="R315" t="str">
        <f>IF(P315="","",TEXT(H315,"yyyymm")&amp;"_"&amp;P315&amp;"_"&amp;(COUNTIFS($H$64:$H$500,H315,$P$64:$P$500,P315,$A$64:$A$500,"&gt;"&amp;A315)+COUNTIFS($H$64:H315,H315,$P$64:P315,P315,$A$64:A315,A315)))</f>
        <v/>
      </c>
      <c r="S315" t="str">
        <f t="shared" si="48"/>
        <v/>
      </c>
      <c r="T315" t="str">
        <f t="shared" si="49"/>
        <v/>
      </c>
      <c r="U315" t="str">
        <f t="shared" si="50"/>
        <v/>
      </c>
      <c r="Y315" t="str">
        <f t="shared" si="51"/>
        <v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6" ht="32" hidden="1" customHeight="1" outlineLevel="1">
      <c r="A316" s="309"/>
      <c r="B316" s="313"/>
      <c r="C316" s="313"/>
      <c r="D316" s="313"/>
      <c r="E316" s="311"/>
      <c r="F316" s="313"/>
      <c r="G316" s="313"/>
      <c r="H316" s="312" t="str">
        <f t="shared" si="44"/>
        <v/>
      </c>
      <c r="I316" s="313" t="str">
        <f t="shared" si="45"/>
        <v/>
      </c>
      <c r="J316" s="313"/>
      <c r="K316" s="313"/>
      <c r="L316" s="315"/>
      <c r="P316" t="str">
        <f t="shared" si="46"/>
        <v/>
      </c>
      <c r="Q316" t="str">
        <f t="shared" si="47"/>
        <v/>
      </c>
      <c r="R316" t="str">
        <f>IF(P316="","",TEXT(H316,"yyyymm")&amp;"_"&amp;P316&amp;"_"&amp;(COUNTIFS($H$64:$H$500,H316,$P$64:$P$500,P316,$A$64:$A$500,"&gt;"&amp;A316)+COUNTIFS($H$64:H316,H316,$P$64:P316,P316,$A$64:A316,A316)))</f>
        <v/>
      </c>
      <c r="S316" t="str">
        <f t="shared" si="48"/>
        <v/>
      </c>
      <c r="T316" t="str">
        <f t="shared" si="49"/>
        <v/>
      </c>
      <c r="U316" t="str">
        <f t="shared" si="50"/>
        <v/>
      </c>
      <c r="Y316" t="str">
        <f t="shared" si="51"/>
        <v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6" ht="68" hidden="1" customHeight="1" outlineLevel="1">
      <c r="A317" s="309"/>
      <c r="B317" s="310"/>
      <c r="C317" s="310"/>
      <c r="D317" s="310"/>
      <c r="E317" s="311"/>
      <c r="F317" s="310"/>
      <c r="G317" s="310"/>
      <c r="H317" s="312" t="str">
        <f t="shared" si="44"/>
        <v/>
      </c>
      <c r="I317" s="313" t="str">
        <f t="shared" si="45"/>
        <v/>
      </c>
      <c r="J317" s="310"/>
      <c r="K317" s="310"/>
      <c r="L317" s="314"/>
      <c r="P317" t="str">
        <f t="shared" si="46"/>
        <v/>
      </c>
      <c r="Q317" t="str">
        <f t="shared" si="47"/>
        <v/>
      </c>
      <c r="R317" t="str">
        <f>IF(P317="","",TEXT(H317,"yyyymm")&amp;"_"&amp;P317&amp;"_"&amp;(COUNTIFS($H$64:$H$500,H317,$P$64:$P$500,P317,$A$64:$A$500,"&gt;"&amp;A317)+COUNTIFS($H$64:H317,H317,$P$64:P317,P317,$A$64:A317,A317)))</f>
        <v/>
      </c>
      <c r="S317" t="str">
        <f t="shared" si="48"/>
        <v/>
      </c>
      <c r="T317" t="str">
        <f t="shared" si="49"/>
        <v/>
      </c>
      <c r="U317" t="str">
        <f t="shared" si="50"/>
        <v/>
      </c>
      <c r="Y317" t="str">
        <f t="shared" si="51"/>
        <v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6" ht="68" hidden="1" customHeight="1" outlineLevel="1">
      <c r="A318" s="309"/>
      <c r="B318" s="310"/>
      <c r="C318" s="310"/>
      <c r="D318" s="310"/>
      <c r="E318" s="311"/>
      <c r="F318" s="310"/>
      <c r="G318" s="310"/>
      <c r="H318" s="312" t="str">
        <f t="shared" si="44"/>
        <v/>
      </c>
      <c r="I318" s="313" t="str">
        <f t="shared" si="45"/>
        <v/>
      </c>
      <c r="J318" s="310"/>
      <c r="K318" s="310"/>
      <c r="L318" s="314"/>
      <c r="P318" t="str">
        <f t="shared" si="46"/>
        <v/>
      </c>
      <c r="Q318" t="str">
        <f t="shared" si="47"/>
        <v/>
      </c>
      <c r="R318" t="str">
        <f>IF(P318="","",TEXT(H318,"yyyymm")&amp;"_"&amp;P318&amp;"_"&amp;(COUNTIFS($H$64:$H$500,H318,$P$64:$P$500,P318,$A$64:$A$500,"&gt;"&amp;A318)+COUNTIFS($H$64:H318,H318,$P$64:P318,P318,$A$64:A318,A318)))</f>
        <v/>
      </c>
      <c r="S318" t="str">
        <f t="shared" si="48"/>
        <v/>
      </c>
      <c r="T318" t="str">
        <f t="shared" si="49"/>
        <v/>
      </c>
      <c r="U318" t="str">
        <f t="shared" si="50"/>
        <v/>
      </c>
      <c r="Y318" t="str">
        <f t="shared" si="51"/>
        <v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6" ht="68" hidden="1" customHeight="1" outlineLevel="1">
      <c r="A319" s="309"/>
      <c r="B319" s="310"/>
      <c r="C319" s="310"/>
      <c r="D319" s="310"/>
      <c r="E319" s="311"/>
      <c r="F319" s="310"/>
      <c r="G319" s="310"/>
      <c r="H319" s="312" t="str">
        <f t="shared" si="44"/>
        <v/>
      </c>
      <c r="I319" s="313" t="str">
        <f t="shared" si="45"/>
        <v/>
      </c>
      <c r="J319" s="310"/>
      <c r="K319" s="310"/>
      <c r="L319" s="314"/>
      <c r="P319" t="str">
        <f t="shared" si="46"/>
        <v/>
      </c>
      <c r="Q319" t="str">
        <f t="shared" si="47"/>
        <v/>
      </c>
      <c r="R319" t="str">
        <f>IF(P319="","",TEXT(H319,"yyyymm")&amp;"_"&amp;P319&amp;"_"&amp;(COUNTIFS($H$64:$H$500,H319,$P$64:$P$500,P319,$A$64:$A$500,"&gt;"&amp;A319)+COUNTIFS($H$64:H319,H319,$P$64:P319,P319,$A$64:A319,A319)))</f>
        <v/>
      </c>
      <c r="S319" t="str">
        <f t="shared" si="48"/>
        <v/>
      </c>
      <c r="T319" t="str">
        <f t="shared" si="49"/>
        <v/>
      </c>
      <c r="U319" t="str">
        <f t="shared" si="50"/>
        <v/>
      </c>
      <c r="Y319" t="str">
        <f t="shared" si="51"/>
        <v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6" ht="68" hidden="1" customHeight="1" outlineLevel="1">
      <c r="A320" s="309"/>
      <c r="B320" s="310"/>
      <c r="C320" s="310"/>
      <c r="D320" s="310"/>
      <c r="E320" s="311"/>
      <c r="F320" s="310"/>
      <c r="G320" s="310"/>
      <c r="H320" s="312" t="str">
        <f t="shared" ref="H320:H383" si="52">IF(A320="","",DATE(YEAR(A320),MONTH(A320),1))</f>
        <v/>
      </c>
      <c r="I320" s="313" t="str">
        <f t="shared" ref="I320:I383" si="53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  <v/>
      </c>
      <c r="J320" s="310"/>
      <c r="K320" s="310"/>
      <c r="L320" s="314"/>
      <c r="P320" t="str">
        <f t="shared" ref="P320:P383" si="54">IF(Q320="","",IF(Q320="이체","이체","내역"))</f>
        <v/>
      </c>
      <c r="Q320" t="str">
        <f t="shared" ref="Q320:Q383" si="55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  <v/>
      </c>
      <c r="R320" t="str">
        <f>IF(P320="","",TEXT(H320,"yyyymm")&amp;"_"&amp;P320&amp;"_"&amp;(COUNTIFS($H$64:$H$500,H320,$P$64:$P$500,P320,$A$64:$A$500,"&gt;"&amp;A320)+COUNTIFS($H$64:H320,H320,$P$64:P320,P320,$A$64:A320,A320)))</f>
        <v/>
      </c>
      <c r="S320" t="str">
        <f t="shared" ref="S320:S383" si="56">IF(Q320="","",D320)</f>
        <v/>
      </c>
      <c r="T320" t="str">
        <f t="shared" ref="T320:T383" si="57">IF(Q320="","",IF(Q320="이체",E320,IF(D320=Q320,E320,-E320)))</f>
        <v/>
      </c>
      <c r="U320" t="str">
        <f t="shared" ref="U320:U383" si="58">IF(Q320="","",IF(ISNUMBER(SEARCH("날짜 미기록",G320)),"날짜 미기록",A320))</f>
        <v/>
      </c>
      <c r="Y320" t="str">
        <f t="shared" ref="Y320:Y383" si="59">IF(A320="","",IF(I320="OK",E320,0))</f>
        <v/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6" ht="68" hidden="1" customHeight="1" outlineLevel="1">
      <c r="A321" s="309"/>
      <c r="B321" s="310"/>
      <c r="C321" s="310"/>
      <c r="D321" s="310"/>
      <c r="E321" s="311"/>
      <c r="F321" s="310"/>
      <c r="G321" s="310"/>
      <c r="H321" s="312" t="str">
        <f t="shared" si="52"/>
        <v/>
      </c>
      <c r="I321" s="313" t="str">
        <f t="shared" si="53"/>
        <v/>
      </c>
      <c r="J321" s="310"/>
      <c r="K321" s="310"/>
      <c r="L321" s="314"/>
      <c r="P321" t="str">
        <f t="shared" si="54"/>
        <v/>
      </c>
      <c r="Q321" t="str">
        <f t="shared" si="55"/>
        <v/>
      </c>
      <c r="R321" t="str">
        <f>IF(P321="","",TEXT(H321,"yyyymm")&amp;"_"&amp;P321&amp;"_"&amp;(COUNTIFS($H$64:$H$500,H321,$P$64:$P$500,P321,$A$64:$A$500,"&gt;"&amp;A321)+COUNTIFS($H$64:H321,H321,$P$64:P321,P321,$A$64:A321,A321)))</f>
        <v/>
      </c>
      <c r="S321" t="str">
        <f t="shared" si="56"/>
        <v/>
      </c>
      <c r="T321" t="str">
        <f t="shared" si="57"/>
        <v/>
      </c>
      <c r="U321" t="str">
        <f t="shared" si="58"/>
        <v/>
      </c>
      <c r="Y321" t="str">
        <f t="shared" si="59"/>
        <v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6" ht="68" hidden="1" customHeight="1" outlineLevel="1">
      <c r="A322" s="309"/>
      <c r="B322" s="310"/>
      <c r="C322" s="310"/>
      <c r="D322" s="310"/>
      <c r="E322" s="311"/>
      <c r="F322" s="310"/>
      <c r="G322" s="310"/>
      <c r="H322" s="312" t="str">
        <f t="shared" si="52"/>
        <v/>
      </c>
      <c r="I322" s="313" t="str">
        <f t="shared" si="53"/>
        <v/>
      </c>
      <c r="J322" s="310"/>
      <c r="K322" s="310"/>
      <c r="L322" s="314"/>
      <c r="P322" t="str">
        <f t="shared" si="54"/>
        <v/>
      </c>
      <c r="Q322" t="str">
        <f t="shared" si="55"/>
        <v/>
      </c>
      <c r="R322" t="str">
        <f>IF(P322="","",TEXT(H322,"yyyymm")&amp;"_"&amp;P322&amp;"_"&amp;(COUNTIFS($H$64:$H$500,H322,$P$64:$P$500,P322,$A$64:$A$500,"&gt;"&amp;A322)+COUNTIFS($H$64:H322,H322,$P$64:P322,P322,$A$64:A322,A322)))</f>
        <v/>
      </c>
      <c r="S322" t="str">
        <f t="shared" si="56"/>
        <v/>
      </c>
      <c r="T322" t="str">
        <f t="shared" si="57"/>
        <v/>
      </c>
      <c r="U322" t="str">
        <f t="shared" si="58"/>
        <v/>
      </c>
      <c r="Y322" t="str">
        <f t="shared" si="59"/>
        <v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6" ht="68" hidden="1" customHeight="1" outlineLevel="1">
      <c r="A323" s="309"/>
      <c r="B323" s="310"/>
      <c r="C323" s="310"/>
      <c r="D323" s="310"/>
      <c r="E323" s="311"/>
      <c r="F323" s="310"/>
      <c r="G323" s="310"/>
      <c r="H323" s="312" t="str">
        <f t="shared" si="52"/>
        <v/>
      </c>
      <c r="I323" s="313" t="str">
        <f t="shared" si="53"/>
        <v/>
      </c>
      <c r="J323" s="310"/>
      <c r="K323" s="310"/>
      <c r="L323" s="314"/>
      <c r="P323" t="str">
        <f t="shared" si="54"/>
        <v/>
      </c>
      <c r="Q323" t="str">
        <f t="shared" si="55"/>
        <v/>
      </c>
      <c r="R323" t="str">
        <f>IF(P323="","",TEXT(H323,"yyyymm")&amp;"_"&amp;P323&amp;"_"&amp;(COUNTIFS($H$64:$H$500,H323,$P$64:$P$500,P323,$A$64:$A$500,"&gt;"&amp;A323)+COUNTIFS($H$64:H323,H323,$P$64:P323,P323,$A$64:A323,A323)))</f>
        <v/>
      </c>
      <c r="S323" t="str">
        <f t="shared" si="56"/>
        <v/>
      </c>
      <c r="T323" t="str">
        <f t="shared" si="57"/>
        <v/>
      </c>
      <c r="U323" t="str">
        <f t="shared" si="58"/>
        <v/>
      </c>
      <c r="Y323" t="str">
        <f t="shared" si="59"/>
        <v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6" ht="68" hidden="1" customHeight="1" outlineLevel="1">
      <c r="A324" s="309"/>
      <c r="B324" s="310"/>
      <c r="C324" s="310"/>
      <c r="D324" s="310"/>
      <c r="E324" s="311"/>
      <c r="F324" s="310"/>
      <c r="G324" s="310"/>
      <c r="H324" s="312" t="str">
        <f t="shared" si="52"/>
        <v/>
      </c>
      <c r="I324" s="313" t="str">
        <f t="shared" si="53"/>
        <v/>
      </c>
      <c r="J324" s="310"/>
      <c r="K324" s="310"/>
      <c r="L324" s="314"/>
      <c r="P324" t="str">
        <f t="shared" si="54"/>
        <v/>
      </c>
      <c r="Q324" t="str">
        <f t="shared" si="55"/>
        <v/>
      </c>
      <c r="R324" t="str">
        <f>IF(P324="","",TEXT(H324,"yyyymm")&amp;"_"&amp;P324&amp;"_"&amp;(COUNTIFS($H$64:$H$500,H324,$P$64:$P$500,P324,$A$64:$A$500,"&gt;"&amp;A324)+COUNTIFS($H$64:H324,H324,$P$64:P324,P324,$A$64:A324,A324)))</f>
        <v/>
      </c>
      <c r="S324" t="str">
        <f t="shared" si="56"/>
        <v/>
      </c>
      <c r="T324" t="str">
        <f t="shared" si="57"/>
        <v/>
      </c>
      <c r="U324" t="str">
        <f t="shared" si="58"/>
        <v/>
      </c>
      <c r="Y324" t="str">
        <f t="shared" si="59"/>
        <v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6" ht="68" hidden="1" customHeight="1" outlineLevel="1">
      <c r="A325" s="309"/>
      <c r="B325" s="310"/>
      <c r="C325" s="310"/>
      <c r="D325" s="310"/>
      <c r="E325" s="311"/>
      <c r="F325" s="310"/>
      <c r="G325" s="310"/>
      <c r="H325" s="312" t="str">
        <f t="shared" si="52"/>
        <v/>
      </c>
      <c r="I325" s="313" t="str">
        <f t="shared" si="53"/>
        <v/>
      </c>
      <c r="J325" s="310"/>
      <c r="K325" s="310"/>
      <c r="L325" s="314"/>
      <c r="P325" t="str">
        <f t="shared" si="54"/>
        <v/>
      </c>
      <c r="Q325" t="str">
        <f t="shared" si="55"/>
        <v/>
      </c>
      <c r="R325" t="str">
        <f>IF(P325="","",TEXT(H325,"yyyymm")&amp;"_"&amp;P325&amp;"_"&amp;(COUNTIFS($H$64:$H$500,H325,$P$64:$P$500,P325,$A$64:$A$500,"&gt;"&amp;A325)+COUNTIFS($H$64:H325,H325,$P$64:P325,P325,$A$64:A325,A325)))</f>
        <v/>
      </c>
      <c r="S325" t="str">
        <f t="shared" si="56"/>
        <v/>
      </c>
      <c r="T325" t="str">
        <f t="shared" si="57"/>
        <v/>
      </c>
      <c r="U325" t="str">
        <f t="shared" si="58"/>
        <v/>
      </c>
      <c r="Y325" t="str">
        <f t="shared" si="59"/>
        <v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6" ht="68" hidden="1" customHeight="1" outlineLevel="1">
      <c r="A326" s="309"/>
      <c r="B326" s="310"/>
      <c r="C326" s="310"/>
      <c r="D326" s="310"/>
      <c r="E326" s="311"/>
      <c r="F326" s="310"/>
      <c r="G326" s="310"/>
      <c r="H326" s="312" t="str">
        <f t="shared" si="52"/>
        <v/>
      </c>
      <c r="I326" s="313" t="str">
        <f t="shared" si="53"/>
        <v/>
      </c>
      <c r="J326" s="310"/>
      <c r="K326" s="310"/>
      <c r="L326" s="314"/>
      <c r="P326" t="str">
        <f t="shared" si="54"/>
        <v/>
      </c>
      <c r="Q326" t="str">
        <f t="shared" si="55"/>
        <v/>
      </c>
      <c r="R326" t="str">
        <f>IF(P326="","",TEXT(H326,"yyyymm")&amp;"_"&amp;P326&amp;"_"&amp;(COUNTIFS($H$64:$H$500,H326,$P$64:$P$500,P326,$A$64:$A$500,"&gt;"&amp;A326)+COUNTIFS($H$64:H326,H326,$P$64:P326,P326,$A$64:A326,A326)))</f>
        <v/>
      </c>
      <c r="S326" t="str">
        <f t="shared" si="56"/>
        <v/>
      </c>
      <c r="T326" t="str">
        <f t="shared" si="57"/>
        <v/>
      </c>
      <c r="U326" t="str">
        <f t="shared" si="58"/>
        <v/>
      </c>
      <c r="Y326" t="str">
        <f t="shared" si="59"/>
        <v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6" ht="56" hidden="1" customHeight="1" outlineLevel="1">
      <c r="A327" s="309"/>
      <c r="B327" s="313"/>
      <c r="C327" s="313"/>
      <c r="D327" s="313"/>
      <c r="E327" s="311"/>
      <c r="F327" s="313"/>
      <c r="G327" s="313"/>
      <c r="H327" s="312" t="str">
        <f t="shared" si="52"/>
        <v/>
      </c>
      <c r="I327" s="313" t="str">
        <f t="shared" si="53"/>
        <v/>
      </c>
      <c r="J327" s="313"/>
      <c r="K327" s="313"/>
      <c r="L327" s="315"/>
      <c r="P327" t="str">
        <f t="shared" si="54"/>
        <v/>
      </c>
      <c r="Q327" t="str">
        <f t="shared" si="55"/>
        <v/>
      </c>
      <c r="R327" t="str">
        <f>IF(P327="","",TEXT(H327,"yyyymm")&amp;"_"&amp;P327&amp;"_"&amp;(COUNTIFS($H$64:$H$500,H327,$P$64:$P$500,P327,$A$64:$A$500,"&gt;"&amp;A327)+COUNTIFS($H$64:H327,H327,$P$64:P327,P327,$A$64:A327,A327)))</f>
        <v/>
      </c>
      <c r="S327" t="str">
        <f t="shared" si="56"/>
        <v/>
      </c>
      <c r="T327" t="str">
        <f t="shared" si="57"/>
        <v/>
      </c>
      <c r="U327" t="str">
        <f t="shared" si="58"/>
        <v/>
      </c>
      <c r="Y327" t="str">
        <f t="shared" si="59"/>
        <v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6" ht="32" hidden="1" customHeight="1" outlineLevel="1">
      <c r="A328" s="309"/>
      <c r="B328" s="313"/>
      <c r="C328" s="313"/>
      <c r="D328" s="313"/>
      <c r="E328" s="311"/>
      <c r="F328" s="313"/>
      <c r="G328" s="313"/>
      <c r="H328" s="312" t="str">
        <f t="shared" si="52"/>
        <v/>
      </c>
      <c r="I328" s="313" t="str">
        <f t="shared" si="53"/>
        <v/>
      </c>
      <c r="J328" s="313"/>
      <c r="K328" s="313"/>
      <c r="L328" s="315"/>
      <c r="P328" t="str">
        <f t="shared" si="54"/>
        <v/>
      </c>
      <c r="Q328" t="str">
        <f t="shared" si="55"/>
        <v/>
      </c>
      <c r="R328" t="str">
        <f>IF(P328="","",TEXT(H328,"yyyymm")&amp;"_"&amp;P328&amp;"_"&amp;(COUNTIFS($H$64:$H$500,H328,$P$64:$P$500,P328,$A$64:$A$500,"&gt;"&amp;A328)+COUNTIFS($H$64:H328,H328,$P$64:P328,P328,$A$64:A328,A328)))</f>
        <v/>
      </c>
      <c r="S328" t="str">
        <f t="shared" si="56"/>
        <v/>
      </c>
      <c r="T328" t="str">
        <f t="shared" si="57"/>
        <v/>
      </c>
      <c r="U328" t="str">
        <f t="shared" si="58"/>
        <v/>
      </c>
      <c r="Y328" t="str">
        <f t="shared" si="59"/>
        <v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6" ht="68" hidden="1" customHeight="1" outlineLevel="1">
      <c r="A329" s="309"/>
      <c r="B329" s="310"/>
      <c r="C329" s="310"/>
      <c r="D329" s="310"/>
      <c r="E329" s="311"/>
      <c r="F329" s="310"/>
      <c r="G329" s="310"/>
      <c r="H329" s="312" t="str">
        <f t="shared" si="52"/>
        <v/>
      </c>
      <c r="I329" s="313" t="str">
        <f t="shared" si="53"/>
        <v/>
      </c>
      <c r="J329" s="310"/>
      <c r="K329" s="310"/>
      <c r="L329" s="314"/>
      <c r="P329" t="str">
        <f t="shared" si="54"/>
        <v/>
      </c>
      <c r="Q329" t="str">
        <f t="shared" si="55"/>
        <v/>
      </c>
      <c r="R329" t="str">
        <f>IF(P329="","",TEXT(H329,"yyyymm")&amp;"_"&amp;P329&amp;"_"&amp;(COUNTIFS($H$64:$H$500,H329,$P$64:$P$500,P329,$A$64:$A$500,"&gt;"&amp;A329)+COUNTIFS($H$64:H329,H329,$P$64:P329,P329,$A$64:A329,A329)))</f>
        <v/>
      </c>
      <c r="S329" t="str">
        <f t="shared" si="56"/>
        <v/>
      </c>
      <c r="T329" t="str">
        <f t="shared" si="57"/>
        <v/>
      </c>
      <c r="U329" t="str">
        <f t="shared" si="58"/>
        <v/>
      </c>
      <c r="Y329" t="str">
        <f t="shared" si="59"/>
        <v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6" ht="68" hidden="1" customHeight="1" outlineLevel="1">
      <c r="A330" s="309"/>
      <c r="B330" s="310"/>
      <c r="C330" s="310"/>
      <c r="D330" s="310"/>
      <c r="E330" s="311"/>
      <c r="F330" s="310"/>
      <c r="G330" s="310"/>
      <c r="H330" s="312" t="str">
        <f t="shared" si="52"/>
        <v/>
      </c>
      <c r="I330" s="313" t="str">
        <f t="shared" si="53"/>
        <v/>
      </c>
      <c r="J330" s="310"/>
      <c r="K330" s="310"/>
      <c r="L330" s="314"/>
      <c r="P330" t="str">
        <f t="shared" si="54"/>
        <v/>
      </c>
      <c r="Q330" t="str">
        <f t="shared" si="55"/>
        <v/>
      </c>
      <c r="R330" t="str">
        <f>IF(P330="","",TEXT(H330,"yyyymm")&amp;"_"&amp;P330&amp;"_"&amp;(COUNTIFS($H$64:$H$500,H330,$P$64:$P$500,P330,$A$64:$A$500,"&gt;"&amp;A330)+COUNTIFS($H$64:H330,H330,$P$64:P330,P330,$A$64:A330,A330)))</f>
        <v/>
      </c>
      <c r="S330" t="str">
        <f t="shared" si="56"/>
        <v/>
      </c>
      <c r="T330" t="str">
        <f t="shared" si="57"/>
        <v/>
      </c>
      <c r="U330" t="str">
        <f t="shared" si="58"/>
        <v/>
      </c>
      <c r="Y330" t="str">
        <f t="shared" si="59"/>
        <v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6" ht="68" hidden="1" customHeight="1" outlineLevel="1">
      <c r="A331" s="309"/>
      <c r="B331" s="310"/>
      <c r="C331" s="310"/>
      <c r="D331" s="310"/>
      <c r="E331" s="311"/>
      <c r="F331" s="310"/>
      <c r="G331" s="310"/>
      <c r="H331" s="312" t="str">
        <f t="shared" si="52"/>
        <v/>
      </c>
      <c r="I331" s="313" t="str">
        <f t="shared" si="53"/>
        <v/>
      </c>
      <c r="J331" s="310"/>
      <c r="K331" s="310"/>
      <c r="L331" s="314"/>
      <c r="P331" t="str">
        <f t="shared" si="54"/>
        <v/>
      </c>
      <c r="Q331" t="str">
        <f t="shared" si="55"/>
        <v/>
      </c>
      <c r="R331" t="str">
        <f>IF(P331="","",TEXT(H331,"yyyymm")&amp;"_"&amp;P331&amp;"_"&amp;(COUNTIFS($H$64:$H$500,H331,$P$64:$P$500,P331,$A$64:$A$500,"&gt;"&amp;A331)+COUNTIFS($H$64:H331,H331,$P$64:P331,P331,$A$64:A331,A331)))</f>
        <v/>
      </c>
      <c r="S331" t="str">
        <f t="shared" si="56"/>
        <v/>
      </c>
      <c r="T331" t="str">
        <f t="shared" si="57"/>
        <v/>
      </c>
      <c r="U331" t="str">
        <f t="shared" si="58"/>
        <v/>
      </c>
      <c r="Y331" t="str">
        <f t="shared" si="59"/>
        <v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6" ht="68" hidden="1" customHeight="1" outlineLevel="1">
      <c r="A332" s="309"/>
      <c r="B332" s="310"/>
      <c r="C332" s="310"/>
      <c r="D332" s="310"/>
      <c r="E332" s="311"/>
      <c r="F332" s="310"/>
      <c r="G332" s="310"/>
      <c r="H332" s="312" t="str">
        <f t="shared" si="52"/>
        <v/>
      </c>
      <c r="I332" s="313" t="str">
        <f t="shared" si="53"/>
        <v/>
      </c>
      <c r="J332" s="310"/>
      <c r="K332" s="310"/>
      <c r="L332" s="314"/>
      <c r="P332" t="str">
        <f t="shared" si="54"/>
        <v/>
      </c>
      <c r="Q332" t="str">
        <f t="shared" si="55"/>
        <v/>
      </c>
      <c r="R332" t="str">
        <f>IF(P332="","",TEXT(H332,"yyyymm")&amp;"_"&amp;P332&amp;"_"&amp;(COUNTIFS($H$64:$H$500,H332,$P$64:$P$500,P332,$A$64:$A$500,"&gt;"&amp;A332)+COUNTIFS($H$64:H332,H332,$P$64:P332,P332,$A$64:A332,A332)))</f>
        <v/>
      </c>
      <c r="S332" t="str">
        <f t="shared" si="56"/>
        <v/>
      </c>
      <c r="T332" t="str">
        <f t="shared" si="57"/>
        <v/>
      </c>
      <c r="U332" t="str">
        <f t="shared" si="58"/>
        <v/>
      </c>
      <c r="Y332" t="str">
        <f t="shared" si="59"/>
        <v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6" ht="68" hidden="1" customHeight="1" outlineLevel="1">
      <c r="A333" s="309"/>
      <c r="B333" s="310"/>
      <c r="C333" s="310"/>
      <c r="D333" s="310"/>
      <c r="E333" s="311"/>
      <c r="F333" s="310"/>
      <c r="G333" s="310"/>
      <c r="H333" s="312" t="str">
        <f t="shared" si="52"/>
        <v/>
      </c>
      <c r="I333" s="313" t="str">
        <f t="shared" si="53"/>
        <v/>
      </c>
      <c r="J333" s="310"/>
      <c r="K333" s="310"/>
      <c r="L333" s="314"/>
      <c r="P333" t="str">
        <f t="shared" si="54"/>
        <v/>
      </c>
      <c r="Q333" t="str">
        <f t="shared" si="55"/>
        <v/>
      </c>
      <c r="R333" t="str">
        <f>IF(P333="","",TEXT(H333,"yyyymm")&amp;"_"&amp;P333&amp;"_"&amp;(COUNTIFS($H$64:$H$500,H333,$P$64:$P$500,P333,$A$64:$A$500,"&gt;"&amp;A333)+COUNTIFS($H$64:H333,H333,$P$64:P333,P333,$A$64:A333,A333)))</f>
        <v/>
      </c>
      <c r="S333" t="str">
        <f t="shared" si="56"/>
        <v/>
      </c>
      <c r="T333" t="str">
        <f t="shared" si="57"/>
        <v/>
      </c>
      <c r="U333" t="str">
        <f t="shared" si="58"/>
        <v/>
      </c>
      <c r="Y333" t="str">
        <f t="shared" si="59"/>
        <v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6" ht="68" hidden="1" customHeight="1" outlineLevel="1">
      <c r="A334" s="309"/>
      <c r="B334" s="310"/>
      <c r="C334" s="310"/>
      <c r="D334" s="310"/>
      <c r="E334" s="311"/>
      <c r="F334" s="310"/>
      <c r="G334" s="310"/>
      <c r="H334" s="312" t="str">
        <f t="shared" si="52"/>
        <v/>
      </c>
      <c r="I334" s="313" t="str">
        <f t="shared" si="53"/>
        <v/>
      </c>
      <c r="J334" s="310"/>
      <c r="K334" s="310"/>
      <c r="L334" s="314"/>
      <c r="P334" t="str">
        <f t="shared" si="54"/>
        <v/>
      </c>
      <c r="Q334" t="str">
        <f t="shared" si="55"/>
        <v/>
      </c>
      <c r="R334" t="str">
        <f>IF(P334="","",TEXT(H334,"yyyymm")&amp;"_"&amp;P334&amp;"_"&amp;(COUNTIFS($H$64:$H$500,H334,$P$64:$P$500,P334,$A$64:$A$500,"&gt;"&amp;A334)+COUNTIFS($H$64:H334,H334,$P$64:P334,P334,$A$64:A334,A334)))</f>
        <v/>
      </c>
      <c r="S334" t="str">
        <f t="shared" si="56"/>
        <v/>
      </c>
      <c r="T334" t="str">
        <f t="shared" si="57"/>
        <v/>
      </c>
      <c r="U334" t="str">
        <f t="shared" si="58"/>
        <v/>
      </c>
      <c r="Y334" t="str">
        <f t="shared" si="59"/>
        <v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6" ht="68" hidden="1" customHeight="1" outlineLevel="1">
      <c r="A335" s="309"/>
      <c r="B335" s="310"/>
      <c r="C335" s="310"/>
      <c r="D335" s="310"/>
      <c r="E335" s="311"/>
      <c r="F335" s="310"/>
      <c r="G335" s="310"/>
      <c r="H335" s="312" t="str">
        <f t="shared" si="52"/>
        <v/>
      </c>
      <c r="I335" s="313" t="str">
        <f t="shared" si="53"/>
        <v/>
      </c>
      <c r="J335" s="310"/>
      <c r="K335" s="310"/>
      <c r="L335" s="314"/>
      <c r="P335" t="str">
        <f t="shared" si="54"/>
        <v/>
      </c>
      <c r="Q335" t="str">
        <f t="shared" si="55"/>
        <v/>
      </c>
      <c r="R335" t="str">
        <f>IF(P335="","",TEXT(H335,"yyyymm")&amp;"_"&amp;P335&amp;"_"&amp;(COUNTIFS($H$64:$H$500,H335,$P$64:$P$500,P335,$A$64:$A$500,"&gt;"&amp;A335)+COUNTIFS($H$64:H335,H335,$P$64:P335,P335,$A$64:A335,A335)))</f>
        <v/>
      </c>
      <c r="S335" t="str">
        <f t="shared" si="56"/>
        <v/>
      </c>
      <c r="T335" t="str">
        <f t="shared" si="57"/>
        <v/>
      </c>
      <c r="U335" t="str">
        <f t="shared" si="58"/>
        <v/>
      </c>
      <c r="Y335" t="str">
        <f t="shared" si="59"/>
        <v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6" ht="68" hidden="1" customHeight="1" outlineLevel="1">
      <c r="A336" s="309"/>
      <c r="B336" s="310"/>
      <c r="C336" s="310"/>
      <c r="D336" s="310"/>
      <c r="E336" s="311"/>
      <c r="F336" s="310"/>
      <c r="G336" s="310"/>
      <c r="H336" s="312" t="str">
        <f t="shared" si="52"/>
        <v/>
      </c>
      <c r="I336" s="313" t="str">
        <f t="shared" si="53"/>
        <v/>
      </c>
      <c r="J336" s="310"/>
      <c r="K336" s="310"/>
      <c r="L336" s="314"/>
      <c r="P336" t="str">
        <f t="shared" si="54"/>
        <v/>
      </c>
      <c r="Q336" t="str">
        <f t="shared" si="55"/>
        <v/>
      </c>
      <c r="R336" t="str">
        <f>IF(P336="","",TEXT(H336,"yyyymm")&amp;"_"&amp;P336&amp;"_"&amp;(COUNTIFS($H$64:$H$500,H336,$P$64:$P$500,P336,$A$64:$A$500,"&gt;"&amp;A336)+COUNTIFS($H$64:H336,H336,$P$64:P336,P336,$A$64:A336,A336)))</f>
        <v/>
      </c>
      <c r="S336" t="str">
        <f t="shared" si="56"/>
        <v/>
      </c>
      <c r="T336" t="str">
        <f t="shared" si="57"/>
        <v/>
      </c>
      <c r="U336" t="str">
        <f t="shared" si="58"/>
        <v/>
      </c>
      <c r="Y336" t="str">
        <f t="shared" si="59"/>
        <v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6" ht="68" hidden="1" customHeight="1" outlineLevel="1">
      <c r="A337" s="309"/>
      <c r="B337" s="310"/>
      <c r="C337" s="310"/>
      <c r="D337" s="310"/>
      <c r="E337" s="311"/>
      <c r="F337" s="310"/>
      <c r="G337" s="310"/>
      <c r="H337" s="312" t="str">
        <f t="shared" si="52"/>
        <v/>
      </c>
      <c r="I337" s="313" t="str">
        <f t="shared" si="53"/>
        <v/>
      </c>
      <c r="J337" s="310"/>
      <c r="K337" s="310"/>
      <c r="L337" s="314"/>
      <c r="P337" t="str">
        <f t="shared" si="54"/>
        <v/>
      </c>
      <c r="Q337" t="str">
        <f t="shared" si="55"/>
        <v/>
      </c>
      <c r="R337" t="str">
        <f>IF(P337="","",TEXT(H337,"yyyymm")&amp;"_"&amp;P337&amp;"_"&amp;(COUNTIFS($H$64:$H$500,H337,$P$64:$P$500,P337,$A$64:$A$500,"&gt;"&amp;A337)+COUNTIFS($H$64:H337,H337,$P$64:P337,P337,$A$64:A337,A337)))</f>
        <v/>
      </c>
      <c r="S337" t="str">
        <f t="shared" si="56"/>
        <v/>
      </c>
      <c r="T337" t="str">
        <f t="shared" si="57"/>
        <v/>
      </c>
      <c r="U337" t="str">
        <f t="shared" si="58"/>
        <v/>
      </c>
      <c r="Y337" t="str">
        <f t="shared" si="59"/>
        <v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6" ht="32" hidden="1" customHeight="1" outlineLevel="1">
      <c r="A338" s="309"/>
      <c r="B338" s="313"/>
      <c r="C338" s="313"/>
      <c r="D338" s="313"/>
      <c r="E338" s="311"/>
      <c r="F338" s="313"/>
      <c r="G338" s="313"/>
      <c r="H338" s="312" t="str">
        <f t="shared" si="52"/>
        <v/>
      </c>
      <c r="I338" s="313" t="str">
        <f t="shared" si="53"/>
        <v/>
      </c>
      <c r="J338" s="313"/>
      <c r="K338" s="313"/>
      <c r="L338" s="315"/>
      <c r="P338" t="str">
        <f t="shared" si="54"/>
        <v/>
      </c>
      <c r="Q338" t="str">
        <f t="shared" si="55"/>
        <v/>
      </c>
      <c r="R338" t="str">
        <f>IF(P338="","",TEXT(H338,"yyyymm")&amp;"_"&amp;P338&amp;"_"&amp;(COUNTIFS($H$64:$H$500,H338,$P$64:$P$500,P338,$A$64:$A$500,"&gt;"&amp;A338)+COUNTIFS($H$64:H338,H338,$P$64:P338,P338,$A$64:A338,A338)))</f>
        <v/>
      </c>
      <c r="S338" t="str">
        <f t="shared" si="56"/>
        <v/>
      </c>
      <c r="T338" t="str">
        <f t="shared" si="57"/>
        <v/>
      </c>
      <c r="U338" t="str">
        <f t="shared" si="58"/>
        <v/>
      </c>
      <c r="Y338" t="str">
        <f t="shared" si="59"/>
        <v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6" ht="32" hidden="1" customHeight="1" outlineLevel="1">
      <c r="A339" s="309"/>
      <c r="B339" s="313"/>
      <c r="C339" s="313"/>
      <c r="D339" s="313"/>
      <c r="E339" s="311"/>
      <c r="F339" s="313"/>
      <c r="G339" s="313"/>
      <c r="H339" s="312" t="str">
        <f t="shared" si="52"/>
        <v/>
      </c>
      <c r="I339" s="313" t="str">
        <f t="shared" si="53"/>
        <v/>
      </c>
      <c r="J339" s="313"/>
      <c r="K339" s="313"/>
      <c r="L339" s="315"/>
      <c r="P339" t="str">
        <f t="shared" si="54"/>
        <v/>
      </c>
      <c r="Q339" t="str">
        <f t="shared" si="55"/>
        <v/>
      </c>
      <c r="R339" t="str">
        <f>IF(P339="","",TEXT(H339,"yyyymm")&amp;"_"&amp;P339&amp;"_"&amp;(COUNTIFS($H$64:$H$500,H339,$P$64:$P$500,P339,$A$64:$A$500,"&gt;"&amp;A339)+COUNTIFS($H$64:H339,H339,$P$64:P339,P339,$A$64:A339,A339)))</f>
        <v/>
      </c>
      <c r="S339" t="str">
        <f t="shared" si="56"/>
        <v/>
      </c>
      <c r="T339" t="str">
        <f t="shared" si="57"/>
        <v/>
      </c>
      <c r="U339" t="str">
        <f t="shared" si="58"/>
        <v/>
      </c>
      <c r="Y339" t="str">
        <f t="shared" si="59"/>
        <v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6" ht="32" hidden="1" customHeight="1" outlineLevel="1">
      <c r="A340" s="309"/>
      <c r="B340" s="313"/>
      <c r="C340" s="313"/>
      <c r="D340" s="313"/>
      <c r="E340" s="311"/>
      <c r="F340" s="313"/>
      <c r="G340" s="313"/>
      <c r="H340" s="312" t="str">
        <f t="shared" si="52"/>
        <v/>
      </c>
      <c r="I340" s="313" t="str">
        <f t="shared" si="53"/>
        <v/>
      </c>
      <c r="J340" s="313"/>
      <c r="K340" s="313"/>
      <c r="L340" s="315"/>
      <c r="P340" t="str">
        <f t="shared" si="54"/>
        <v/>
      </c>
      <c r="Q340" t="str">
        <f t="shared" si="55"/>
        <v/>
      </c>
      <c r="R340" t="str">
        <f>IF(P340="","",TEXT(H340,"yyyymm")&amp;"_"&amp;P340&amp;"_"&amp;(COUNTIFS($H$64:$H$500,H340,$P$64:$P$500,P340,$A$64:$A$500,"&gt;"&amp;A340)+COUNTIFS($H$64:H340,H340,$P$64:P340,P340,$A$64:A340,A340)))</f>
        <v/>
      </c>
      <c r="S340" t="str">
        <f t="shared" si="56"/>
        <v/>
      </c>
      <c r="T340" t="str">
        <f t="shared" si="57"/>
        <v/>
      </c>
      <c r="U340" t="str">
        <f t="shared" si="58"/>
        <v/>
      </c>
      <c r="Y340" t="str">
        <f t="shared" si="59"/>
        <v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6" ht="68" hidden="1" customHeight="1" outlineLevel="1">
      <c r="A341" s="309"/>
      <c r="B341" s="310"/>
      <c r="C341" s="310"/>
      <c r="D341" s="310"/>
      <c r="E341" s="311"/>
      <c r="F341" s="310"/>
      <c r="G341" s="310"/>
      <c r="H341" s="312" t="str">
        <f t="shared" si="52"/>
        <v/>
      </c>
      <c r="I341" s="313" t="str">
        <f t="shared" si="53"/>
        <v/>
      </c>
      <c r="J341" s="310"/>
      <c r="K341" s="310"/>
      <c r="L341" s="314"/>
      <c r="P341" t="str">
        <f t="shared" si="54"/>
        <v/>
      </c>
      <c r="Q341" t="str">
        <f t="shared" si="55"/>
        <v/>
      </c>
      <c r="R341" t="str">
        <f>IF(P341="","",TEXT(H341,"yyyymm")&amp;"_"&amp;P341&amp;"_"&amp;(COUNTIFS($H$64:$H$500,H341,$P$64:$P$500,P341,$A$64:$A$500,"&gt;"&amp;A341)+COUNTIFS($H$64:H341,H341,$P$64:P341,P341,$A$64:A341,A341)))</f>
        <v/>
      </c>
      <c r="S341" t="str">
        <f t="shared" si="56"/>
        <v/>
      </c>
      <c r="T341" t="str">
        <f t="shared" si="57"/>
        <v/>
      </c>
      <c r="U341" t="str">
        <f t="shared" si="58"/>
        <v/>
      </c>
      <c r="Y341" t="str">
        <f t="shared" si="59"/>
        <v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6" ht="68" hidden="1" customHeight="1" outlineLevel="1">
      <c r="A342" s="309"/>
      <c r="B342" s="310"/>
      <c r="C342" s="310"/>
      <c r="D342" s="310"/>
      <c r="E342" s="311"/>
      <c r="F342" s="310"/>
      <c r="G342" s="310"/>
      <c r="H342" s="312" t="str">
        <f t="shared" si="52"/>
        <v/>
      </c>
      <c r="I342" s="313" t="str">
        <f t="shared" si="53"/>
        <v/>
      </c>
      <c r="J342" s="310"/>
      <c r="K342" s="310"/>
      <c r="L342" s="314"/>
      <c r="P342" t="str">
        <f t="shared" si="54"/>
        <v/>
      </c>
      <c r="Q342" t="str">
        <f t="shared" si="55"/>
        <v/>
      </c>
      <c r="R342" t="str">
        <f>IF(P342="","",TEXT(H342,"yyyymm")&amp;"_"&amp;P342&amp;"_"&amp;(COUNTIFS($H$64:$H$500,H342,$P$64:$P$500,P342,$A$64:$A$500,"&gt;"&amp;A342)+COUNTIFS($H$64:H342,H342,$P$64:P342,P342,$A$64:A342,A342)))</f>
        <v/>
      </c>
      <c r="S342" t="str">
        <f t="shared" si="56"/>
        <v/>
      </c>
      <c r="T342" t="str">
        <f t="shared" si="57"/>
        <v/>
      </c>
      <c r="U342" t="str">
        <f t="shared" si="58"/>
        <v/>
      </c>
      <c r="Y342" t="str">
        <f t="shared" si="59"/>
        <v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6" ht="68" hidden="1" customHeight="1" outlineLevel="1">
      <c r="A343" s="309"/>
      <c r="B343" s="310"/>
      <c r="C343" s="310"/>
      <c r="D343" s="310"/>
      <c r="E343" s="311"/>
      <c r="F343" s="310"/>
      <c r="G343" s="310"/>
      <c r="H343" s="312" t="str">
        <f t="shared" si="52"/>
        <v/>
      </c>
      <c r="I343" s="313" t="str">
        <f t="shared" si="53"/>
        <v/>
      </c>
      <c r="J343" s="310"/>
      <c r="K343" s="310"/>
      <c r="L343" s="314"/>
      <c r="P343" t="str">
        <f t="shared" si="54"/>
        <v/>
      </c>
      <c r="Q343" t="str">
        <f t="shared" si="55"/>
        <v/>
      </c>
      <c r="R343" t="str">
        <f>IF(P343="","",TEXT(H343,"yyyymm")&amp;"_"&amp;P343&amp;"_"&amp;(COUNTIFS($H$64:$H$500,H343,$P$64:$P$500,P343,$A$64:$A$500,"&gt;"&amp;A343)+COUNTIFS($H$64:H343,H343,$P$64:P343,P343,$A$64:A343,A343)))</f>
        <v/>
      </c>
      <c r="S343" t="str">
        <f t="shared" si="56"/>
        <v/>
      </c>
      <c r="T343" t="str">
        <f t="shared" si="57"/>
        <v/>
      </c>
      <c r="U343" t="str">
        <f t="shared" si="58"/>
        <v/>
      </c>
      <c r="Y343" t="str">
        <f t="shared" si="59"/>
        <v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6" ht="32" hidden="1" customHeight="1" outlineLevel="1">
      <c r="A344" s="309"/>
      <c r="B344" s="313"/>
      <c r="C344" s="313"/>
      <c r="D344" s="313"/>
      <c r="E344" s="311"/>
      <c r="F344" s="313"/>
      <c r="G344" s="313"/>
      <c r="H344" s="312" t="str">
        <f t="shared" si="52"/>
        <v/>
      </c>
      <c r="I344" s="313" t="str">
        <f t="shared" si="53"/>
        <v/>
      </c>
      <c r="J344" s="313"/>
      <c r="K344" s="313"/>
      <c r="L344" s="315"/>
      <c r="P344" t="str">
        <f t="shared" si="54"/>
        <v/>
      </c>
      <c r="Q344" t="str">
        <f t="shared" si="55"/>
        <v/>
      </c>
      <c r="R344" t="str">
        <f>IF(P344="","",TEXT(H344,"yyyymm")&amp;"_"&amp;P344&amp;"_"&amp;(COUNTIFS($H$64:$H$500,H344,$P$64:$P$500,P344,$A$64:$A$500,"&gt;"&amp;A344)+COUNTIFS($H$64:H344,H344,$P$64:P344,P344,$A$64:A344,A344)))</f>
        <v/>
      </c>
      <c r="S344" t="str">
        <f t="shared" si="56"/>
        <v/>
      </c>
      <c r="T344" t="str">
        <f t="shared" si="57"/>
        <v/>
      </c>
      <c r="U344" t="str">
        <f t="shared" si="58"/>
        <v/>
      </c>
      <c r="Y344" t="str">
        <f t="shared" si="59"/>
        <v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6" ht="68" hidden="1" customHeight="1" outlineLevel="1">
      <c r="A345" s="309"/>
      <c r="B345" s="310"/>
      <c r="C345" s="310"/>
      <c r="D345" s="310"/>
      <c r="E345" s="311"/>
      <c r="F345" s="310"/>
      <c r="G345" s="310"/>
      <c r="H345" s="312" t="str">
        <f t="shared" si="52"/>
        <v/>
      </c>
      <c r="I345" s="313" t="str">
        <f t="shared" si="53"/>
        <v/>
      </c>
      <c r="J345" s="310"/>
      <c r="K345" s="310"/>
      <c r="L345" s="314"/>
      <c r="P345" t="str">
        <f t="shared" si="54"/>
        <v/>
      </c>
      <c r="Q345" t="str">
        <f t="shared" si="55"/>
        <v/>
      </c>
      <c r="R345" t="str">
        <f>IF(P345="","",TEXT(H345,"yyyymm")&amp;"_"&amp;P345&amp;"_"&amp;(COUNTIFS($H$64:$H$500,H345,$P$64:$P$500,P345,$A$64:$A$500,"&gt;"&amp;A345)+COUNTIFS($H$64:H345,H345,$P$64:P345,P345,$A$64:A345,A345)))</f>
        <v/>
      </c>
      <c r="S345" t="str">
        <f t="shared" si="56"/>
        <v/>
      </c>
      <c r="T345" t="str">
        <f t="shared" si="57"/>
        <v/>
      </c>
      <c r="U345" t="str">
        <f t="shared" si="58"/>
        <v/>
      </c>
      <c r="Y345" t="str">
        <f t="shared" si="59"/>
        <v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6" ht="68" hidden="1" customHeight="1" outlineLevel="1">
      <c r="A346" s="309"/>
      <c r="B346" s="310"/>
      <c r="C346" s="310"/>
      <c r="D346" s="310"/>
      <c r="E346" s="311"/>
      <c r="F346" s="310"/>
      <c r="G346" s="310"/>
      <c r="H346" s="312" t="str">
        <f t="shared" si="52"/>
        <v/>
      </c>
      <c r="I346" s="313" t="str">
        <f t="shared" si="53"/>
        <v/>
      </c>
      <c r="J346" s="310"/>
      <c r="K346" s="310"/>
      <c r="L346" s="314"/>
      <c r="P346" t="str">
        <f t="shared" si="54"/>
        <v/>
      </c>
      <c r="Q346" t="str">
        <f t="shared" si="55"/>
        <v/>
      </c>
      <c r="R346" t="str">
        <f>IF(P346="","",TEXT(H346,"yyyymm")&amp;"_"&amp;P346&amp;"_"&amp;(COUNTIFS($H$64:$H$500,H346,$P$64:$P$500,P346,$A$64:$A$500,"&gt;"&amp;A346)+COUNTIFS($H$64:H346,H346,$P$64:P346,P346,$A$64:A346,A346)))</f>
        <v/>
      </c>
      <c r="S346" t="str">
        <f t="shared" si="56"/>
        <v/>
      </c>
      <c r="T346" t="str">
        <f t="shared" si="57"/>
        <v/>
      </c>
      <c r="U346" t="str">
        <f t="shared" si="58"/>
        <v/>
      </c>
      <c r="Y346" t="str">
        <f t="shared" si="59"/>
        <v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6" ht="32" hidden="1" customHeight="1" outlineLevel="1">
      <c r="A347" s="309"/>
      <c r="B347" s="313"/>
      <c r="C347" s="313"/>
      <c r="D347" s="313"/>
      <c r="E347" s="311"/>
      <c r="F347" s="313"/>
      <c r="G347" s="313"/>
      <c r="H347" s="312" t="str">
        <f t="shared" si="52"/>
        <v/>
      </c>
      <c r="I347" s="313" t="str">
        <f t="shared" si="53"/>
        <v/>
      </c>
      <c r="J347" s="313"/>
      <c r="K347" s="313"/>
      <c r="L347" s="315"/>
      <c r="P347" t="str">
        <f t="shared" si="54"/>
        <v/>
      </c>
      <c r="Q347" t="str">
        <f t="shared" si="55"/>
        <v/>
      </c>
      <c r="R347" t="str">
        <f>IF(P347="","",TEXT(H347,"yyyymm")&amp;"_"&amp;P347&amp;"_"&amp;(COUNTIFS($H$64:$H$500,H347,$P$64:$P$500,P347,$A$64:$A$500,"&gt;"&amp;A347)+COUNTIFS($H$64:H347,H347,$P$64:P347,P347,$A$64:A347,A347)))</f>
        <v/>
      </c>
      <c r="S347" t="str">
        <f t="shared" si="56"/>
        <v/>
      </c>
      <c r="T347" t="str">
        <f t="shared" si="57"/>
        <v/>
      </c>
      <c r="U347" t="str">
        <f t="shared" si="58"/>
        <v/>
      </c>
      <c r="Y347" t="str">
        <f t="shared" si="59"/>
        <v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6" ht="68" hidden="1" customHeight="1" outlineLevel="1">
      <c r="A348" s="309"/>
      <c r="B348" s="310"/>
      <c r="C348" s="310"/>
      <c r="D348" s="310"/>
      <c r="E348" s="311"/>
      <c r="F348" s="310"/>
      <c r="G348" s="310"/>
      <c r="H348" s="312" t="str">
        <f t="shared" si="52"/>
        <v/>
      </c>
      <c r="I348" s="313" t="str">
        <f t="shared" si="53"/>
        <v/>
      </c>
      <c r="J348" s="310"/>
      <c r="K348" s="310"/>
      <c r="L348" s="314"/>
      <c r="P348" t="str">
        <f t="shared" si="54"/>
        <v/>
      </c>
      <c r="Q348" t="str">
        <f t="shared" si="55"/>
        <v/>
      </c>
      <c r="R348" t="str">
        <f>IF(P348="","",TEXT(H348,"yyyymm")&amp;"_"&amp;P348&amp;"_"&amp;(COUNTIFS($H$64:$H$500,H348,$P$64:$P$500,P348,$A$64:$A$500,"&gt;"&amp;A348)+COUNTIFS($H$64:H348,H348,$P$64:P348,P348,$A$64:A348,A348)))</f>
        <v/>
      </c>
      <c r="S348" t="str">
        <f t="shared" si="56"/>
        <v/>
      </c>
      <c r="T348" t="str">
        <f t="shared" si="57"/>
        <v/>
      </c>
      <c r="U348" t="str">
        <f t="shared" si="58"/>
        <v/>
      </c>
      <c r="Y348" t="str">
        <f t="shared" si="59"/>
        <v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6" ht="68" hidden="1" customHeight="1" outlineLevel="1">
      <c r="A349" s="309"/>
      <c r="B349" s="310"/>
      <c r="C349" s="310"/>
      <c r="D349" s="310"/>
      <c r="E349" s="311"/>
      <c r="F349" s="310"/>
      <c r="G349" s="310"/>
      <c r="H349" s="312" t="str">
        <f t="shared" si="52"/>
        <v/>
      </c>
      <c r="I349" s="313" t="str">
        <f t="shared" si="53"/>
        <v/>
      </c>
      <c r="J349" s="310"/>
      <c r="K349" s="310"/>
      <c r="L349" s="314"/>
      <c r="P349" t="str">
        <f t="shared" si="54"/>
        <v/>
      </c>
      <c r="Q349" t="str">
        <f t="shared" si="55"/>
        <v/>
      </c>
      <c r="R349" t="str">
        <f>IF(P349="","",TEXT(H349,"yyyymm")&amp;"_"&amp;P349&amp;"_"&amp;(COUNTIFS($H$64:$H$500,H349,$P$64:$P$500,P349,$A$64:$A$500,"&gt;"&amp;A349)+COUNTIFS($H$64:H349,H349,$P$64:P349,P349,$A$64:A349,A349)))</f>
        <v/>
      </c>
      <c r="S349" t="str">
        <f t="shared" si="56"/>
        <v/>
      </c>
      <c r="T349" t="str">
        <f t="shared" si="57"/>
        <v/>
      </c>
      <c r="U349" t="str">
        <f t="shared" si="58"/>
        <v/>
      </c>
      <c r="Y349" t="str">
        <f t="shared" si="59"/>
        <v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6" ht="68" hidden="1" customHeight="1" outlineLevel="1">
      <c r="A350" s="309"/>
      <c r="B350" s="310"/>
      <c r="C350" s="310"/>
      <c r="D350" s="310"/>
      <c r="E350" s="311"/>
      <c r="F350" s="310"/>
      <c r="G350" s="310"/>
      <c r="H350" s="312" t="str">
        <f t="shared" si="52"/>
        <v/>
      </c>
      <c r="I350" s="313" t="str">
        <f t="shared" si="53"/>
        <v/>
      </c>
      <c r="J350" s="310"/>
      <c r="K350" s="310"/>
      <c r="L350" s="314"/>
      <c r="P350" t="str">
        <f t="shared" si="54"/>
        <v/>
      </c>
      <c r="Q350" t="str">
        <f t="shared" si="55"/>
        <v/>
      </c>
      <c r="R350" t="str">
        <f>IF(P350="","",TEXT(H350,"yyyymm")&amp;"_"&amp;P350&amp;"_"&amp;(COUNTIFS($H$64:$H$500,H350,$P$64:$P$500,P350,$A$64:$A$500,"&gt;"&amp;A350)+COUNTIFS($H$64:H350,H350,$P$64:P350,P350,$A$64:A350,A350)))</f>
        <v/>
      </c>
      <c r="S350" t="str">
        <f t="shared" si="56"/>
        <v/>
      </c>
      <c r="T350" t="str">
        <f t="shared" si="57"/>
        <v/>
      </c>
      <c r="U350" t="str">
        <f t="shared" si="58"/>
        <v/>
      </c>
      <c r="Y350" t="str">
        <f t="shared" si="59"/>
        <v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6" ht="68" hidden="1" customHeight="1" outlineLevel="1">
      <c r="A351" s="309"/>
      <c r="B351" s="310"/>
      <c r="C351" s="310"/>
      <c r="D351" s="310"/>
      <c r="E351" s="311"/>
      <c r="F351" s="310"/>
      <c r="G351" s="310"/>
      <c r="H351" s="312" t="str">
        <f t="shared" si="52"/>
        <v/>
      </c>
      <c r="I351" s="313" t="str">
        <f t="shared" si="53"/>
        <v/>
      </c>
      <c r="J351" s="310"/>
      <c r="K351" s="310"/>
      <c r="L351" s="314"/>
      <c r="P351" t="str">
        <f t="shared" si="54"/>
        <v/>
      </c>
      <c r="Q351" t="str">
        <f t="shared" si="55"/>
        <v/>
      </c>
      <c r="R351" t="str">
        <f>IF(P351="","",TEXT(H351,"yyyymm")&amp;"_"&amp;P351&amp;"_"&amp;(COUNTIFS($H$64:$H$500,H351,$P$64:$P$500,P351,$A$64:$A$500,"&gt;"&amp;A351)+COUNTIFS($H$64:H351,H351,$P$64:P351,P351,$A$64:A351,A351)))</f>
        <v/>
      </c>
      <c r="S351" t="str">
        <f t="shared" si="56"/>
        <v/>
      </c>
      <c r="T351" t="str">
        <f t="shared" si="57"/>
        <v/>
      </c>
      <c r="U351" t="str">
        <f t="shared" si="58"/>
        <v/>
      </c>
      <c r="Y351" t="str">
        <f t="shared" si="59"/>
        <v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6" ht="68" hidden="1" customHeight="1" outlineLevel="1">
      <c r="A352" s="309"/>
      <c r="B352" s="313"/>
      <c r="C352" s="313"/>
      <c r="D352" s="313"/>
      <c r="E352" s="311"/>
      <c r="F352" s="313"/>
      <c r="G352" s="313"/>
      <c r="H352" s="312" t="str">
        <f t="shared" si="52"/>
        <v/>
      </c>
      <c r="I352" s="313" t="str">
        <f t="shared" si="53"/>
        <v/>
      </c>
      <c r="J352" s="313"/>
      <c r="K352" s="313"/>
      <c r="L352" s="315"/>
      <c r="P352" t="str">
        <f t="shared" si="54"/>
        <v/>
      </c>
      <c r="Q352" t="str">
        <f t="shared" si="55"/>
        <v/>
      </c>
      <c r="R352" t="str">
        <f>IF(P352="","",TEXT(H352,"yyyymm")&amp;"_"&amp;P352&amp;"_"&amp;(COUNTIFS($H$64:$H$500,H352,$P$64:$P$500,P352,$A$64:$A$500,"&gt;"&amp;A352)+COUNTIFS($H$64:H352,H352,$P$64:P352,P352,$A$64:A352,A352)))</f>
        <v/>
      </c>
      <c r="S352" t="str">
        <f t="shared" si="56"/>
        <v/>
      </c>
      <c r="T352" t="str">
        <f t="shared" si="57"/>
        <v/>
      </c>
      <c r="U352" t="str">
        <f t="shared" si="58"/>
        <v/>
      </c>
      <c r="Y352" t="str">
        <f t="shared" si="59"/>
        <v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6" ht="68" hidden="1" customHeight="1" outlineLevel="1">
      <c r="A353" s="309"/>
      <c r="B353" s="313"/>
      <c r="C353" s="313"/>
      <c r="D353" s="313"/>
      <c r="E353" s="311"/>
      <c r="F353" s="313"/>
      <c r="G353" s="313"/>
      <c r="H353" s="312" t="str">
        <f t="shared" si="52"/>
        <v/>
      </c>
      <c r="I353" s="313" t="str">
        <f t="shared" si="53"/>
        <v/>
      </c>
      <c r="J353" s="313"/>
      <c r="K353" s="313"/>
      <c r="L353" s="315"/>
      <c r="P353" t="str">
        <f t="shared" si="54"/>
        <v/>
      </c>
      <c r="Q353" t="str">
        <f t="shared" si="55"/>
        <v/>
      </c>
      <c r="R353" t="str">
        <f>IF(P353="","",TEXT(H353,"yyyymm")&amp;"_"&amp;P353&amp;"_"&amp;(COUNTIFS($H$64:$H$500,H353,$P$64:$P$500,P353,$A$64:$A$500,"&gt;"&amp;A353)+COUNTIFS($H$64:H353,H353,$P$64:P353,P353,$A$64:A353,A353)))</f>
        <v/>
      </c>
      <c r="S353" t="str">
        <f t="shared" si="56"/>
        <v/>
      </c>
      <c r="T353" t="str">
        <f t="shared" si="57"/>
        <v/>
      </c>
      <c r="U353" t="str">
        <f t="shared" si="58"/>
        <v/>
      </c>
      <c r="Y353" t="str">
        <f t="shared" si="59"/>
        <v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6" ht="68" hidden="1" customHeight="1" outlineLevel="1">
      <c r="A354" s="309"/>
      <c r="B354" s="313"/>
      <c r="C354" s="313"/>
      <c r="D354" s="313"/>
      <c r="E354" s="311"/>
      <c r="F354" s="313"/>
      <c r="G354" s="313"/>
      <c r="H354" s="312" t="str">
        <f t="shared" si="52"/>
        <v/>
      </c>
      <c r="I354" s="313" t="str">
        <f t="shared" si="53"/>
        <v/>
      </c>
      <c r="J354" s="313"/>
      <c r="K354" s="313"/>
      <c r="L354" s="315"/>
      <c r="P354" t="str">
        <f t="shared" si="54"/>
        <v/>
      </c>
      <c r="Q354" t="str">
        <f t="shared" si="55"/>
        <v/>
      </c>
      <c r="R354" t="str">
        <f>IF(P354="","",TEXT(H354,"yyyymm")&amp;"_"&amp;P354&amp;"_"&amp;(COUNTIFS($H$64:$H$500,H354,$P$64:$P$500,P354,$A$64:$A$500,"&gt;"&amp;A354)+COUNTIFS($H$64:H354,H354,$P$64:P354,P354,$A$64:A354,A354)))</f>
        <v/>
      </c>
      <c r="S354" t="str">
        <f t="shared" si="56"/>
        <v/>
      </c>
      <c r="T354" t="str">
        <f t="shared" si="57"/>
        <v/>
      </c>
      <c r="U354" t="str">
        <f t="shared" si="58"/>
        <v/>
      </c>
      <c r="Y354" t="str">
        <f t="shared" si="59"/>
        <v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6" ht="68" hidden="1" customHeight="1" outlineLevel="1">
      <c r="A355" s="309"/>
      <c r="B355" s="313"/>
      <c r="C355" s="313"/>
      <c r="D355" s="313"/>
      <c r="E355" s="311"/>
      <c r="F355" s="313"/>
      <c r="G355" s="313"/>
      <c r="H355" s="312" t="str">
        <f t="shared" si="52"/>
        <v/>
      </c>
      <c r="I355" s="313" t="str">
        <f t="shared" si="53"/>
        <v/>
      </c>
      <c r="J355" s="313"/>
      <c r="K355" s="313"/>
      <c r="L355" s="315"/>
      <c r="P355" t="str">
        <f t="shared" si="54"/>
        <v/>
      </c>
      <c r="Q355" t="str">
        <f t="shared" si="55"/>
        <v/>
      </c>
      <c r="R355" t="str">
        <f>IF(P355="","",TEXT(H355,"yyyymm")&amp;"_"&amp;P355&amp;"_"&amp;(COUNTIFS($H$64:$H$500,H355,$P$64:$P$500,P355,$A$64:$A$500,"&gt;"&amp;A355)+COUNTIFS($H$64:H355,H355,$P$64:P355,P355,$A$64:A355,A355)))</f>
        <v/>
      </c>
      <c r="S355" t="str">
        <f t="shared" si="56"/>
        <v/>
      </c>
      <c r="T355" t="str">
        <f t="shared" si="57"/>
        <v/>
      </c>
      <c r="U355" t="str">
        <f t="shared" si="58"/>
        <v/>
      </c>
      <c r="Y355" t="str">
        <f t="shared" si="59"/>
        <v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6" ht="68" hidden="1" customHeight="1" outlineLevel="1">
      <c r="A356" s="309"/>
      <c r="B356" s="313"/>
      <c r="C356" s="313"/>
      <c r="D356" s="313"/>
      <c r="E356" s="311"/>
      <c r="F356" s="313"/>
      <c r="G356" s="313"/>
      <c r="H356" s="312" t="str">
        <f t="shared" si="52"/>
        <v/>
      </c>
      <c r="I356" s="313" t="str">
        <f t="shared" si="53"/>
        <v/>
      </c>
      <c r="J356" s="313"/>
      <c r="K356" s="313"/>
      <c r="L356" s="315"/>
      <c r="P356" t="str">
        <f t="shared" si="54"/>
        <v/>
      </c>
      <c r="Q356" t="str">
        <f t="shared" si="55"/>
        <v/>
      </c>
      <c r="R356" t="str">
        <f>IF(P356="","",TEXT(H356,"yyyymm")&amp;"_"&amp;P356&amp;"_"&amp;(COUNTIFS($H$64:$H$500,H356,$P$64:$P$500,P356,$A$64:$A$500,"&gt;"&amp;A356)+COUNTIFS($H$64:H356,H356,$P$64:P356,P356,$A$64:A356,A356)))</f>
        <v/>
      </c>
      <c r="S356" t="str">
        <f t="shared" si="56"/>
        <v/>
      </c>
      <c r="T356" t="str">
        <f t="shared" si="57"/>
        <v/>
      </c>
      <c r="U356" t="str">
        <f t="shared" si="58"/>
        <v/>
      </c>
      <c r="Y356" t="str">
        <f t="shared" si="59"/>
        <v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6" ht="68" hidden="1" customHeight="1" outlineLevel="1">
      <c r="A357" s="309"/>
      <c r="B357" s="313"/>
      <c r="C357" s="313"/>
      <c r="D357" s="313"/>
      <c r="E357" s="311"/>
      <c r="F357" s="313"/>
      <c r="G357" s="313"/>
      <c r="H357" s="312" t="str">
        <f t="shared" si="52"/>
        <v/>
      </c>
      <c r="I357" s="313" t="str">
        <f t="shared" si="53"/>
        <v/>
      </c>
      <c r="J357" s="313"/>
      <c r="K357" s="313"/>
      <c r="L357" s="315"/>
      <c r="P357" t="str">
        <f t="shared" si="54"/>
        <v/>
      </c>
      <c r="Q357" t="str">
        <f t="shared" si="55"/>
        <v/>
      </c>
      <c r="R357" t="str">
        <f>IF(P357="","",TEXT(H357,"yyyymm")&amp;"_"&amp;P357&amp;"_"&amp;(COUNTIFS($H$64:$H$500,H357,$P$64:$P$500,P357,$A$64:$A$500,"&gt;"&amp;A357)+COUNTIFS($H$64:H357,H357,$P$64:P357,P357,$A$64:A357,A357)))</f>
        <v/>
      </c>
      <c r="S357" t="str">
        <f t="shared" si="56"/>
        <v/>
      </c>
      <c r="T357" t="str">
        <f t="shared" si="57"/>
        <v/>
      </c>
      <c r="U357" t="str">
        <f t="shared" si="58"/>
        <v/>
      </c>
      <c r="Y357" t="str">
        <f t="shared" si="59"/>
        <v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6" ht="56" hidden="1" customHeight="1" outlineLevel="1">
      <c r="A358" s="316"/>
      <c r="B358" s="310"/>
      <c r="C358" s="310"/>
      <c r="D358" s="310"/>
      <c r="E358" s="317"/>
      <c r="F358" s="310"/>
      <c r="G358" s="310"/>
      <c r="H358" s="318" t="str">
        <f t="shared" si="52"/>
        <v/>
      </c>
      <c r="I358" s="310" t="str">
        <f t="shared" si="53"/>
        <v/>
      </c>
      <c r="J358" s="310"/>
      <c r="K358" s="310"/>
      <c r="L358" s="314"/>
      <c r="P358" t="str">
        <f t="shared" si="54"/>
        <v/>
      </c>
      <c r="Q358" t="str">
        <f t="shared" si="55"/>
        <v/>
      </c>
      <c r="R358" t="str">
        <f>IF(P358="","",TEXT(H358,"yyyymm")&amp;"_"&amp;P358&amp;"_"&amp;(COUNTIFS($H$64:$H$500,H358,$P$64:$P$500,P358,$A$64:$A$500,"&gt;"&amp;A358)+COUNTIFS($H$64:H358,H358,$P$64:P358,P358,$A$64:A358,A358)))</f>
        <v/>
      </c>
      <c r="S358" t="str">
        <f t="shared" si="56"/>
        <v/>
      </c>
      <c r="T358" t="str">
        <f t="shared" si="57"/>
        <v/>
      </c>
      <c r="U358" t="str">
        <f t="shared" si="58"/>
        <v/>
      </c>
      <c r="Y358" t="str">
        <f t="shared" si="59"/>
        <v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6" ht="68" hidden="1" customHeight="1" outlineLevel="1">
      <c r="A359" s="309"/>
      <c r="B359" s="313"/>
      <c r="C359" s="313"/>
      <c r="D359" s="313"/>
      <c r="E359" s="311"/>
      <c r="F359" s="313"/>
      <c r="G359" s="313"/>
      <c r="H359" s="312" t="str">
        <f t="shared" si="52"/>
        <v/>
      </c>
      <c r="I359" s="313" t="str">
        <f t="shared" si="53"/>
        <v/>
      </c>
      <c r="J359" s="313"/>
      <c r="K359" s="313"/>
      <c r="L359" s="315"/>
      <c r="P359" t="str">
        <f t="shared" si="54"/>
        <v/>
      </c>
      <c r="Q359" t="str">
        <f t="shared" si="55"/>
        <v/>
      </c>
      <c r="R359" t="str">
        <f>IF(P359="","",TEXT(H359,"yyyymm")&amp;"_"&amp;P359&amp;"_"&amp;(COUNTIFS($H$64:$H$500,H359,$P$64:$P$500,P359,$A$64:$A$500,"&gt;"&amp;A359)+COUNTIFS($H$64:H359,H359,$P$64:P359,P359,$A$64:A359,A359)))</f>
        <v/>
      </c>
      <c r="S359" t="str">
        <f t="shared" si="56"/>
        <v/>
      </c>
      <c r="T359" t="str">
        <f t="shared" si="57"/>
        <v/>
      </c>
      <c r="U359" t="str">
        <f t="shared" si="58"/>
        <v/>
      </c>
      <c r="Y359" t="str">
        <f t="shared" si="59"/>
        <v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6" ht="32" hidden="1" customHeight="1" outlineLevel="1">
      <c r="A360" s="309"/>
      <c r="B360" s="313"/>
      <c r="C360" s="313"/>
      <c r="D360" s="313"/>
      <c r="E360" s="311"/>
      <c r="F360" s="313"/>
      <c r="G360" s="313"/>
      <c r="H360" s="312" t="str">
        <f t="shared" si="52"/>
        <v/>
      </c>
      <c r="I360" s="313" t="str">
        <f t="shared" si="53"/>
        <v/>
      </c>
      <c r="J360" s="313"/>
      <c r="K360" s="313"/>
      <c r="L360" s="315"/>
      <c r="P360" t="str">
        <f t="shared" si="54"/>
        <v/>
      </c>
      <c r="Q360" t="str">
        <f t="shared" si="55"/>
        <v/>
      </c>
      <c r="R360" t="str">
        <f>IF(P360="","",TEXT(H360,"yyyymm")&amp;"_"&amp;P360&amp;"_"&amp;(COUNTIFS($H$64:$H$500,H360,$P$64:$P$500,P360,$A$64:$A$500,"&gt;"&amp;A360)+COUNTIFS($H$64:H360,H360,$P$64:P360,P360,$A$64:A360,A360)))</f>
        <v/>
      </c>
      <c r="S360" t="str">
        <f t="shared" si="56"/>
        <v/>
      </c>
      <c r="T360" t="str">
        <f t="shared" si="57"/>
        <v/>
      </c>
      <c r="U360" t="str">
        <f t="shared" si="58"/>
        <v/>
      </c>
      <c r="Y360" t="str">
        <f t="shared" si="59"/>
        <v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6" ht="68" hidden="1" customHeight="1" outlineLevel="1">
      <c r="A361" s="309"/>
      <c r="B361" s="313"/>
      <c r="C361" s="313"/>
      <c r="D361" s="313"/>
      <c r="E361" s="311"/>
      <c r="F361" s="313"/>
      <c r="G361" s="313"/>
      <c r="H361" s="312" t="str">
        <f t="shared" si="52"/>
        <v/>
      </c>
      <c r="I361" s="313" t="str">
        <f t="shared" si="53"/>
        <v/>
      </c>
      <c r="J361" s="313"/>
      <c r="K361" s="313"/>
      <c r="L361" s="315"/>
      <c r="P361" t="str">
        <f t="shared" si="54"/>
        <v/>
      </c>
      <c r="Q361" t="str">
        <f t="shared" si="55"/>
        <v/>
      </c>
      <c r="R361" t="str">
        <f>IF(P361="","",TEXT(H361,"yyyymm")&amp;"_"&amp;P361&amp;"_"&amp;(COUNTIFS($H$64:$H$500,H361,$P$64:$P$500,P361,$A$64:$A$500,"&gt;"&amp;A361)+COUNTIFS($H$64:H361,H361,$P$64:P361,P361,$A$64:A361,A361)))</f>
        <v/>
      </c>
      <c r="S361" t="str">
        <f t="shared" si="56"/>
        <v/>
      </c>
      <c r="T361" t="str">
        <f t="shared" si="57"/>
        <v/>
      </c>
      <c r="U361" t="str">
        <f t="shared" si="58"/>
        <v/>
      </c>
      <c r="Y361" t="str">
        <f t="shared" si="59"/>
        <v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6" ht="28" hidden="1" customHeight="1" outlineLevel="1">
      <c r="A362" s="309"/>
      <c r="B362" s="313"/>
      <c r="C362" s="313"/>
      <c r="D362" s="313"/>
      <c r="E362" s="311"/>
      <c r="F362" s="313"/>
      <c r="G362" s="313"/>
      <c r="H362" s="312" t="str">
        <f t="shared" si="52"/>
        <v/>
      </c>
      <c r="I362" s="313" t="str">
        <f t="shared" si="53"/>
        <v/>
      </c>
      <c r="J362" s="313"/>
      <c r="K362" s="313"/>
      <c r="L362" s="313"/>
      <c r="P362" t="str">
        <f t="shared" si="54"/>
        <v/>
      </c>
      <c r="Q362" t="str">
        <f t="shared" si="55"/>
        <v/>
      </c>
      <c r="R362" t="str">
        <f>IF(P362="","",TEXT(H362,"yyyymm")&amp;"_"&amp;P362&amp;"_"&amp;(COUNTIFS($H$64:$H$500,H362,$P$64:$P$500,P362,$A$64:$A$500,"&gt;"&amp;A362)+COUNTIFS($H$64:H362,H362,$P$64:P362,P362,$A$64:A362,A362)))</f>
        <v/>
      </c>
      <c r="S362" t="str">
        <f t="shared" si="56"/>
        <v/>
      </c>
      <c r="T362" t="str">
        <f t="shared" si="57"/>
        <v/>
      </c>
      <c r="U362" t="str">
        <f t="shared" si="58"/>
        <v/>
      </c>
      <c r="Y362" t="str">
        <f t="shared" si="59"/>
        <v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6" ht="28" hidden="1" customHeight="1" outlineLevel="1">
      <c r="A363" s="309"/>
      <c r="B363" s="313"/>
      <c r="C363" s="313"/>
      <c r="D363" s="313"/>
      <c r="E363" s="311"/>
      <c r="F363" s="313"/>
      <c r="G363" s="313"/>
      <c r="H363" s="312" t="str">
        <f t="shared" si="52"/>
        <v/>
      </c>
      <c r="I363" s="313" t="str">
        <f t="shared" si="53"/>
        <v/>
      </c>
      <c r="J363" s="313"/>
      <c r="K363" s="313"/>
      <c r="L363" s="313"/>
      <c r="P363" t="str">
        <f t="shared" si="54"/>
        <v/>
      </c>
      <c r="Q363" t="str">
        <f t="shared" si="55"/>
        <v/>
      </c>
      <c r="R363" t="str">
        <f>IF(P363="","",TEXT(H363,"yyyymm")&amp;"_"&amp;P363&amp;"_"&amp;(COUNTIFS($H$64:$H$500,H363,$P$64:$P$500,P363,$A$64:$A$500,"&gt;"&amp;A363)+COUNTIFS($H$64:H363,H363,$P$64:P363,P363,$A$64:A363,A363)))</f>
        <v/>
      </c>
      <c r="S363" t="str">
        <f t="shared" si="56"/>
        <v/>
      </c>
      <c r="T363" t="str">
        <f t="shared" si="57"/>
        <v/>
      </c>
      <c r="U363" t="str">
        <f t="shared" si="58"/>
        <v/>
      </c>
      <c r="Y363" t="str">
        <f t="shared" si="59"/>
        <v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6" ht="28" hidden="1" customHeight="1" outlineLevel="1">
      <c r="A364" s="309"/>
      <c r="B364" s="313"/>
      <c r="C364" s="313"/>
      <c r="D364" s="313"/>
      <c r="E364" s="311"/>
      <c r="F364" s="313"/>
      <c r="G364" s="313"/>
      <c r="H364" s="312" t="str">
        <f t="shared" si="52"/>
        <v/>
      </c>
      <c r="I364" s="313" t="str">
        <f t="shared" si="53"/>
        <v/>
      </c>
      <c r="J364" s="313"/>
      <c r="K364" s="313"/>
      <c r="L364" s="313"/>
      <c r="P364" t="str">
        <f t="shared" si="54"/>
        <v/>
      </c>
      <c r="Q364" t="str">
        <f t="shared" si="55"/>
        <v/>
      </c>
      <c r="R364" t="str">
        <f>IF(P364="","",TEXT(H364,"yyyymm")&amp;"_"&amp;P364&amp;"_"&amp;(COUNTIFS($H$64:$H$500,H364,$P$64:$P$500,P364,$A$64:$A$500,"&gt;"&amp;A364)+COUNTIFS($H$64:H364,H364,$P$64:P364,P364,$A$64:A364,A364)))</f>
        <v/>
      </c>
      <c r="S364" t="str">
        <f t="shared" si="56"/>
        <v/>
      </c>
      <c r="T364" t="str">
        <f t="shared" si="57"/>
        <v/>
      </c>
      <c r="U364" t="str">
        <f t="shared" si="58"/>
        <v/>
      </c>
      <c r="Y364" t="str">
        <f t="shared" si="59"/>
        <v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6" ht="28" hidden="1" customHeight="1" outlineLevel="1">
      <c r="A365" s="309"/>
      <c r="B365" s="313"/>
      <c r="C365" s="313"/>
      <c r="D365" s="313"/>
      <c r="E365" s="311"/>
      <c r="F365" s="313"/>
      <c r="G365" s="313"/>
      <c r="H365" s="312" t="str">
        <f t="shared" si="52"/>
        <v/>
      </c>
      <c r="I365" s="313" t="str">
        <f t="shared" si="53"/>
        <v/>
      </c>
      <c r="J365" s="313"/>
      <c r="K365" s="313"/>
      <c r="L365" s="313"/>
      <c r="P365" t="str">
        <f t="shared" si="54"/>
        <v/>
      </c>
      <c r="Q365" t="str">
        <f t="shared" si="55"/>
        <v/>
      </c>
      <c r="R365" t="str">
        <f>IF(P365="","",TEXT(H365,"yyyymm")&amp;"_"&amp;P365&amp;"_"&amp;(COUNTIFS($H$64:$H$500,H365,$P$64:$P$500,P365,$A$64:$A$500,"&gt;"&amp;A365)+COUNTIFS($H$64:H365,H365,$P$64:P365,P365,$A$64:A365,A365)))</f>
        <v/>
      </c>
      <c r="S365" t="str">
        <f t="shared" si="56"/>
        <v/>
      </c>
      <c r="T365" t="str">
        <f t="shared" si="57"/>
        <v/>
      </c>
      <c r="U365" t="str">
        <f t="shared" si="58"/>
        <v/>
      </c>
      <c r="Y365" t="str">
        <f t="shared" si="59"/>
        <v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6" ht="28" hidden="1" customHeight="1" outlineLevel="1">
      <c r="A366" s="309"/>
      <c r="B366" s="313"/>
      <c r="C366" s="313"/>
      <c r="D366" s="313"/>
      <c r="E366" s="311"/>
      <c r="F366" s="313"/>
      <c r="G366" s="313"/>
      <c r="H366" s="312" t="str">
        <f t="shared" si="52"/>
        <v/>
      </c>
      <c r="I366" s="313" t="str">
        <f t="shared" si="53"/>
        <v/>
      </c>
      <c r="J366" s="313"/>
      <c r="K366" s="313"/>
      <c r="L366" s="313"/>
      <c r="P366" t="str">
        <f t="shared" si="54"/>
        <v/>
      </c>
      <c r="Q366" t="str">
        <f t="shared" si="55"/>
        <v/>
      </c>
      <c r="R366" t="str">
        <f>IF(P366="","",TEXT(H366,"yyyymm")&amp;"_"&amp;P366&amp;"_"&amp;(COUNTIFS($H$64:$H$500,H366,$P$64:$P$500,P366,$A$64:$A$500,"&gt;"&amp;A366)+COUNTIFS($H$64:H366,H366,$P$64:P366,P366,$A$64:A366,A366)))</f>
        <v/>
      </c>
      <c r="S366" t="str">
        <f t="shared" si="56"/>
        <v/>
      </c>
      <c r="T366" t="str">
        <f t="shared" si="57"/>
        <v/>
      </c>
      <c r="U366" t="str">
        <f t="shared" si="58"/>
        <v/>
      </c>
      <c r="Y366" t="str">
        <f t="shared" si="59"/>
        <v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6" ht="28" hidden="1" customHeight="1" outlineLevel="1">
      <c r="A367" s="309"/>
      <c r="B367" s="313"/>
      <c r="C367" s="313"/>
      <c r="D367" s="313"/>
      <c r="E367" s="311"/>
      <c r="F367" s="313"/>
      <c r="G367" s="313"/>
      <c r="H367" s="312" t="str">
        <f t="shared" si="52"/>
        <v/>
      </c>
      <c r="I367" s="313" t="str">
        <f t="shared" si="53"/>
        <v/>
      </c>
      <c r="J367" s="313"/>
      <c r="K367" s="313"/>
      <c r="L367" s="313"/>
      <c r="P367" t="str">
        <f t="shared" si="54"/>
        <v/>
      </c>
      <c r="Q367" t="str">
        <f t="shared" si="55"/>
        <v/>
      </c>
      <c r="R367" t="str">
        <f>IF(P367="","",TEXT(H367,"yyyymm")&amp;"_"&amp;P367&amp;"_"&amp;(COUNTIFS($H$64:$H$500,H367,$P$64:$P$500,P367,$A$64:$A$500,"&gt;"&amp;A367)+COUNTIFS($H$64:H367,H367,$P$64:P367,P367,$A$64:A367,A367)))</f>
        <v/>
      </c>
      <c r="S367" t="str">
        <f t="shared" si="56"/>
        <v/>
      </c>
      <c r="T367" t="str">
        <f t="shared" si="57"/>
        <v/>
      </c>
      <c r="U367" t="str">
        <f t="shared" si="58"/>
        <v/>
      </c>
      <c r="Y367" t="str">
        <f t="shared" si="59"/>
        <v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6" ht="28" hidden="1" customHeight="1" outlineLevel="1">
      <c r="A368" s="309"/>
      <c r="B368" s="313"/>
      <c r="C368" s="313"/>
      <c r="D368" s="313"/>
      <c r="E368" s="311"/>
      <c r="F368" s="313"/>
      <c r="G368" s="313"/>
      <c r="H368" s="312" t="str">
        <f t="shared" si="52"/>
        <v/>
      </c>
      <c r="I368" s="313" t="str">
        <f t="shared" si="53"/>
        <v/>
      </c>
      <c r="J368" s="313"/>
      <c r="K368" s="313"/>
      <c r="L368" s="313"/>
      <c r="P368" t="str">
        <f t="shared" si="54"/>
        <v/>
      </c>
      <c r="Q368" t="str">
        <f t="shared" si="55"/>
        <v/>
      </c>
      <c r="R368" t="str">
        <f>IF(P368="","",TEXT(H368,"yyyymm")&amp;"_"&amp;P368&amp;"_"&amp;(COUNTIFS($H$64:$H$500,H368,$P$64:$P$500,P368,$A$64:$A$500,"&gt;"&amp;A368)+COUNTIFS($H$64:H368,H368,$P$64:P368,P368,$A$64:A368,A368)))</f>
        <v/>
      </c>
      <c r="S368" t="str">
        <f t="shared" si="56"/>
        <v/>
      </c>
      <c r="T368" t="str">
        <f t="shared" si="57"/>
        <v/>
      </c>
      <c r="U368" t="str">
        <f t="shared" si="58"/>
        <v/>
      </c>
      <c r="Y368" t="str">
        <f t="shared" si="59"/>
        <v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6" ht="28" hidden="1" customHeight="1" outlineLevel="1">
      <c r="A369" s="309"/>
      <c r="B369" s="313"/>
      <c r="C369" s="313"/>
      <c r="D369" s="313"/>
      <c r="E369" s="311"/>
      <c r="F369" s="313"/>
      <c r="G369" s="313"/>
      <c r="H369" s="312" t="str">
        <f t="shared" si="52"/>
        <v/>
      </c>
      <c r="I369" s="313" t="str">
        <f t="shared" si="53"/>
        <v/>
      </c>
      <c r="J369" s="313"/>
      <c r="K369" s="313"/>
      <c r="L369" s="313"/>
      <c r="P369" t="str">
        <f t="shared" si="54"/>
        <v/>
      </c>
      <c r="Q369" t="str">
        <f t="shared" si="55"/>
        <v/>
      </c>
      <c r="R369" t="str">
        <f>IF(P369="","",TEXT(H369,"yyyymm")&amp;"_"&amp;P369&amp;"_"&amp;(COUNTIFS($H$64:$H$500,H369,$P$64:$P$500,P369,$A$64:$A$500,"&gt;"&amp;A369)+COUNTIFS($H$64:H369,H369,$P$64:P369,P369,$A$64:A369,A369)))</f>
        <v/>
      </c>
      <c r="S369" t="str">
        <f t="shared" si="56"/>
        <v/>
      </c>
      <c r="T369" t="str">
        <f t="shared" si="57"/>
        <v/>
      </c>
      <c r="U369" t="str">
        <f t="shared" si="58"/>
        <v/>
      </c>
      <c r="Y369" t="str">
        <f t="shared" si="59"/>
        <v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6" ht="28" hidden="1" customHeight="1" outlineLevel="1">
      <c r="A370" s="309"/>
      <c r="B370" s="313"/>
      <c r="C370" s="313"/>
      <c r="D370" s="313"/>
      <c r="E370" s="311"/>
      <c r="F370" s="313"/>
      <c r="G370" s="313"/>
      <c r="H370" s="312" t="str">
        <f t="shared" si="52"/>
        <v/>
      </c>
      <c r="I370" s="313" t="str">
        <f t="shared" si="53"/>
        <v/>
      </c>
      <c r="J370" s="313"/>
      <c r="K370" s="313"/>
      <c r="L370" s="313"/>
      <c r="P370" t="str">
        <f t="shared" si="54"/>
        <v/>
      </c>
      <c r="Q370" t="str">
        <f t="shared" si="55"/>
        <v/>
      </c>
      <c r="R370" t="str">
        <f>IF(P370="","",TEXT(H370,"yyyymm")&amp;"_"&amp;P370&amp;"_"&amp;(COUNTIFS($H$64:$H$500,H370,$P$64:$P$500,P370,$A$64:$A$500,"&gt;"&amp;A370)+COUNTIFS($H$64:H370,H370,$P$64:P370,P370,$A$64:A370,A370)))</f>
        <v/>
      </c>
      <c r="S370" t="str">
        <f t="shared" si="56"/>
        <v/>
      </c>
      <c r="T370" t="str">
        <f t="shared" si="57"/>
        <v/>
      </c>
      <c r="U370" t="str">
        <f t="shared" si="58"/>
        <v/>
      </c>
      <c r="Y370" t="str">
        <f t="shared" si="59"/>
        <v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6" ht="28" hidden="1" customHeight="1" outlineLevel="1">
      <c r="A371" s="309"/>
      <c r="B371" s="313"/>
      <c r="C371" s="313"/>
      <c r="D371" s="313"/>
      <c r="E371" s="311"/>
      <c r="F371" s="313"/>
      <c r="G371" s="313"/>
      <c r="H371" s="312" t="str">
        <f t="shared" si="52"/>
        <v/>
      </c>
      <c r="I371" s="313" t="str">
        <f t="shared" si="53"/>
        <v/>
      </c>
      <c r="J371" s="313"/>
      <c r="K371" s="313"/>
      <c r="L371" s="313"/>
      <c r="P371" t="str">
        <f t="shared" si="54"/>
        <v/>
      </c>
      <c r="Q371" t="str">
        <f t="shared" si="55"/>
        <v/>
      </c>
      <c r="R371" t="str">
        <f>IF(P371="","",TEXT(H371,"yyyymm")&amp;"_"&amp;P371&amp;"_"&amp;(COUNTIFS($H$64:$H$500,H371,$P$64:$P$500,P371,$A$64:$A$500,"&gt;"&amp;A371)+COUNTIFS($H$64:H371,H371,$P$64:P371,P371,$A$64:A371,A371)))</f>
        <v/>
      </c>
      <c r="S371" t="str">
        <f t="shared" si="56"/>
        <v/>
      </c>
      <c r="T371" t="str">
        <f t="shared" si="57"/>
        <v/>
      </c>
      <c r="U371" t="str">
        <f t="shared" si="58"/>
        <v/>
      </c>
      <c r="Y371" t="str">
        <f t="shared" si="59"/>
        <v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6" ht="28" hidden="1" customHeight="1" outlineLevel="1">
      <c r="A372" s="309"/>
      <c r="B372" s="313"/>
      <c r="C372" s="313"/>
      <c r="D372" s="313"/>
      <c r="E372" s="311"/>
      <c r="F372" s="313"/>
      <c r="G372" s="313"/>
      <c r="H372" s="312" t="str">
        <f t="shared" si="52"/>
        <v/>
      </c>
      <c r="I372" s="313" t="str">
        <f t="shared" si="53"/>
        <v/>
      </c>
      <c r="J372" s="313"/>
      <c r="K372" s="313"/>
      <c r="L372" s="313"/>
      <c r="P372" t="str">
        <f t="shared" si="54"/>
        <v/>
      </c>
      <c r="Q372" t="str">
        <f t="shared" si="55"/>
        <v/>
      </c>
      <c r="R372" t="str">
        <f>IF(P372="","",TEXT(H372,"yyyymm")&amp;"_"&amp;P372&amp;"_"&amp;(COUNTIFS($H$64:$H$500,H372,$P$64:$P$500,P372,$A$64:$A$500,"&gt;"&amp;A372)+COUNTIFS($H$64:H372,H372,$P$64:P372,P372,$A$64:A372,A372)))</f>
        <v/>
      </c>
      <c r="S372" t="str">
        <f t="shared" si="56"/>
        <v/>
      </c>
      <c r="T372" t="str">
        <f t="shared" si="57"/>
        <v/>
      </c>
      <c r="U372" t="str">
        <f t="shared" si="58"/>
        <v/>
      </c>
      <c r="Y372" t="str">
        <f t="shared" si="59"/>
        <v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6" ht="28" hidden="1" customHeight="1" outlineLevel="1">
      <c r="A373" s="309"/>
      <c r="B373" s="313"/>
      <c r="C373" s="313"/>
      <c r="D373" s="313"/>
      <c r="E373" s="311"/>
      <c r="F373" s="313"/>
      <c r="G373" s="313"/>
      <c r="H373" s="312" t="str">
        <f t="shared" si="52"/>
        <v/>
      </c>
      <c r="I373" s="313" t="str">
        <f t="shared" si="53"/>
        <v/>
      </c>
      <c r="J373" s="313"/>
      <c r="K373" s="313"/>
      <c r="L373" s="313"/>
      <c r="P373" t="str">
        <f t="shared" si="54"/>
        <v/>
      </c>
      <c r="Q373" t="str">
        <f t="shared" si="55"/>
        <v/>
      </c>
      <c r="R373" t="str">
        <f>IF(P373="","",TEXT(H373,"yyyymm")&amp;"_"&amp;P373&amp;"_"&amp;(COUNTIFS($H$64:$H$500,H373,$P$64:$P$500,P373,$A$64:$A$500,"&gt;"&amp;A373)+COUNTIFS($H$64:H373,H373,$P$64:P373,P373,$A$64:A373,A373)))</f>
        <v/>
      </c>
      <c r="S373" t="str">
        <f t="shared" si="56"/>
        <v/>
      </c>
      <c r="T373" t="str">
        <f t="shared" si="57"/>
        <v/>
      </c>
      <c r="U373" t="str">
        <f t="shared" si="58"/>
        <v/>
      </c>
      <c r="Y373" t="str">
        <f t="shared" si="59"/>
        <v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6" ht="28" hidden="1" customHeight="1" outlineLevel="1">
      <c r="A374" s="309"/>
      <c r="B374" s="313"/>
      <c r="C374" s="313"/>
      <c r="D374" s="313"/>
      <c r="E374" s="311"/>
      <c r="F374" s="313"/>
      <c r="G374" s="313"/>
      <c r="H374" s="312" t="str">
        <f t="shared" si="52"/>
        <v/>
      </c>
      <c r="I374" s="313" t="str">
        <f t="shared" si="53"/>
        <v/>
      </c>
      <c r="J374" s="313"/>
      <c r="K374" s="313"/>
      <c r="L374" s="313"/>
      <c r="P374" t="str">
        <f t="shared" si="54"/>
        <v/>
      </c>
      <c r="Q374" t="str">
        <f t="shared" si="55"/>
        <v/>
      </c>
      <c r="R374" t="str">
        <f>IF(P374="","",TEXT(H374,"yyyymm")&amp;"_"&amp;P374&amp;"_"&amp;(COUNTIFS($H$64:$H$500,H374,$P$64:$P$500,P374,$A$64:$A$500,"&gt;"&amp;A374)+COUNTIFS($H$64:H374,H374,$P$64:P374,P374,$A$64:A374,A374)))</f>
        <v/>
      </c>
      <c r="S374" t="str">
        <f t="shared" si="56"/>
        <v/>
      </c>
      <c r="T374" t="str">
        <f t="shared" si="57"/>
        <v/>
      </c>
      <c r="U374" t="str">
        <f t="shared" si="58"/>
        <v/>
      </c>
      <c r="Y374" t="str">
        <f t="shared" si="59"/>
        <v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6" ht="28" hidden="1" customHeight="1" outlineLevel="1">
      <c r="A375" s="309"/>
      <c r="B375" s="313"/>
      <c r="C375" s="313"/>
      <c r="D375" s="313"/>
      <c r="E375" s="311"/>
      <c r="F375" s="313"/>
      <c r="G375" s="313"/>
      <c r="H375" s="312" t="str">
        <f t="shared" si="52"/>
        <v/>
      </c>
      <c r="I375" s="313" t="str">
        <f t="shared" si="53"/>
        <v/>
      </c>
      <c r="J375" s="313"/>
      <c r="K375" s="313"/>
      <c r="L375" s="313"/>
      <c r="P375" t="str">
        <f t="shared" si="54"/>
        <v/>
      </c>
      <c r="Q375" t="str">
        <f t="shared" si="55"/>
        <v/>
      </c>
      <c r="R375" t="str">
        <f>IF(P375="","",TEXT(H375,"yyyymm")&amp;"_"&amp;P375&amp;"_"&amp;(COUNTIFS($H$64:$H$500,H375,$P$64:$P$500,P375,$A$64:$A$500,"&gt;"&amp;A375)+COUNTIFS($H$64:H375,H375,$P$64:P375,P375,$A$64:A375,A375)))</f>
        <v/>
      </c>
      <c r="S375" t="str">
        <f t="shared" si="56"/>
        <v/>
      </c>
      <c r="T375" t="str">
        <f t="shared" si="57"/>
        <v/>
      </c>
      <c r="U375" t="str">
        <f t="shared" si="58"/>
        <v/>
      </c>
      <c r="Y375" t="str">
        <f t="shared" si="59"/>
        <v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6" ht="28" hidden="1" customHeight="1" outlineLevel="1">
      <c r="A376" s="309"/>
      <c r="B376" s="313"/>
      <c r="C376" s="313"/>
      <c r="D376" s="313"/>
      <c r="E376" s="311"/>
      <c r="F376" s="313"/>
      <c r="G376" s="313"/>
      <c r="H376" s="312" t="str">
        <f t="shared" si="52"/>
        <v/>
      </c>
      <c r="I376" s="313" t="str">
        <f t="shared" si="53"/>
        <v/>
      </c>
      <c r="J376" s="313"/>
      <c r="K376" s="313"/>
      <c r="L376" s="313"/>
      <c r="P376" t="str">
        <f t="shared" si="54"/>
        <v/>
      </c>
      <c r="Q376" t="str">
        <f t="shared" si="55"/>
        <v/>
      </c>
      <c r="R376" t="str">
        <f>IF(P376="","",TEXT(H376,"yyyymm")&amp;"_"&amp;P376&amp;"_"&amp;(COUNTIFS($H$64:$H$500,H376,$P$64:$P$500,P376,$A$64:$A$500,"&gt;"&amp;A376)+COUNTIFS($H$64:H376,H376,$P$64:P376,P376,$A$64:A376,A376)))</f>
        <v/>
      </c>
      <c r="S376" t="str">
        <f t="shared" si="56"/>
        <v/>
      </c>
      <c r="T376" t="str">
        <f t="shared" si="57"/>
        <v/>
      </c>
      <c r="U376" t="str">
        <f t="shared" si="58"/>
        <v/>
      </c>
      <c r="Y376" t="str">
        <f t="shared" si="59"/>
        <v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6" ht="28" hidden="1" customHeight="1" outlineLevel="1">
      <c r="A377" s="309"/>
      <c r="B377" s="313"/>
      <c r="C377" s="313"/>
      <c r="D377" s="313"/>
      <c r="E377" s="311"/>
      <c r="F377" s="313"/>
      <c r="G377" s="313"/>
      <c r="H377" s="312" t="str">
        <f t="shared" si="52"/>
        <v/>
      </c>
      <c r="I377" s="313" t="str">
        <f t="shared" si="53"/>
        <v/>
      </c>
      <c r="J377" s="313"/>
      <c r="K377" s="313"/>
      <c r="L377" s="313"/>
      <c r="P377" t="str">
        <f t="shared" si="54"/>
        <v/>
      </c>
      <c r="Q377" t="str">
        <f t="shared" si="55"/>
        <v/>
      </c>
      <c r="R377" t="str">
        <f>IF(P377="","",TEXT(H377,"yyyymm")&amp;"_"&amp;P377&amp;"_"&amp;(COUNTIFS($H$64:$H$500,H377,$P$64:$P$500,P377,$A$64:$A$500,"&gt;"&amp;A377)+COUNTIFS($H$64:H377,H377,$P$64:P377,P377,$A$64:A377,A377)))</f>
        <v/>
      </c>
      <c r="S377" t="str">
        <f t="shared" si="56"/>
        <v/>
      </c>
      <c r="T377" t="str">
        <f t="shared" si="57"/>
        <v/>
      </c>
      <c r="U377" t="str">
        <f t="shared" si="58"/>
        <v/>
      </c>
      <c r="Y377" t="str">
        <f t="shared" si="59"/>
        <v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6" ht="28" hidden="1" customHeight="1" outlineLevel="1">
      <c r="A378" s="309"/>
      <c r="B378" s="313"/>
      <c r="C378" s="313"/>
      <c r="D378" s="313"/>
      <c r="E378" s="311"/>
      <c r="F378" s="313"/>
      <c r="G378" s="313"/>
      <c r="H378" s="312" t="str">
        <f t="shared" si="52"/>
        <v/>
      </c>
      <c r="I378" s="313" t="str">
        <f t="shared" si="53"/>
        <v/>
      </c>
      <c r="J378" s="313"/>
      <c r="K378" s="313"/>
      <c r="L378" s="313"/>
      <c r="P378" t="str">
        <f t="shared" si="54"/>
        <v/>
      </c>
      <c r="Q378" t="str">
        <f t="shared" si="55"/>
        <v/>
      </c>
      <c r="R378" t="str">
        <f>IF(P378="","",TEXT(H378,"yyyymm")&amp;"_"&amp;P378&amp;"_"&amp;(COUNTIFS($H$64:$H$500,H378,$P$64:$P$500,P378,$A$64:$A$500,"&gt;"&amp;A378)+COUNTIFS($H$64:H378,H378,$P$64:P378,P378,$A$64:A378,A378)))</f>
        <v/>
      </c>
      <c r="S378" t="str">
        <f t="shared" si="56"/>
        <v/>
      </c>
      <c r="T378" t="str">
        <f t="shared" si="57"/>
        <v/>
      </c>
      <c r="U378" t="str">
        <f t="shared" si="58"/>
        <v/>
      </c>
      <c r="Y378" t="str">
        <f t="shared" si="59"/>
        <v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6" ht="28" hidden="1" customHeight="1" outlineLevel="1">
      <c r="A379" s="309"/>
      <c r="B379" s="313"/>
      <c r="C379" s="313"/>
      <c r="D379" s="313"/>
      <c r="E379" s="311"/>
      <c r="F379" s="313"/>
      <c r="G379" s="313"/>
      <c r="H379" s="312" t="str">
        <f t="shared" si="52"/>
        <v/>
      </c>
      <c r="I379" s="313" t="str">
        <f t="shared" si="53"/>
        <v/>
      </c>
      <c r="J379" s="313"/>
      <c r="K379" s="313"/>
      <c r="L379" s="313"/>
      <c r="P379" t="str">
        <f t="shared" si="54"/>
        <v/>
      </c>
      <c r="Q379" t="str">
        <f t="shared" si="55"/>
        <v/>
      </c>
      <c r="R379" t="str">
        <f>IF(P379="","",TEXT(H379,"yyyymm")&amp;"_"&amp;P379&amp;"_"&amp;(COUNTIFS($H$64:$H$500,H379,$P$64:$P$500,P379,$A$64:$A$500,"&gt;"&amp;A379)+COUNTIFS($H$64:H379,H379,$P$64:P379,P379,$A$64:A379,A379)))</f>
        <v/>
      </c>
      <c r="S379" t="str">
        <f t="shared" si="56"/>
        <v/>
      </c>
      <c r="T379" t="str">
        <f t="shared" si="57"/>
        <v/>
      </c>
      <c r="U379" t="str">
        <f t="shared" si="58"/>
        <v/>
      </c>
      <c r="Y379" t="str">
        <f t="shared" si="59"/>
        <v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6" ht="28" hidden="1" customHeight="1" outlineLevel="1">
      <c r="A380" s="309"/>
      <c r="B380" s="313"/>
      <c r="C380" s="313"/>
      <c r="D380" s="313"/>
      <c r="E380" s="311"/>
      <c r="F380" s="313"/>
      <c r="G380" s="313"/>
      <c r="H380" s="312" t="str">
        <f t="shared" si="52"/>
        <v/>
      </c>
      <c r="I380" s="313" t="str">
        <f t="shared" si="53"/>
        <v/>
      </c>
      <c r="J380" s="313"/>
      <c r="K380" s="313"/>
      <c r="L380" s="313"/>
      <c r="P380" t="str">
        <f t="shared" si="54"/>
        <v/>
      </c>
      <c r="Q380" t="str">
        <f t="shared" si="55"/>
        <v/>
      </c>
      <c r="R380" t="str">
        <f>IF(P380="","",TEXT(H380,"yyyymm")&amp;"_"&amp;P380&amp;"_"&amp;(COUNTIFS($H$64:$H$500,H380,$P$64:$P$500,P380,$A$64:$A$500,"&gt;"&amp;A380)+COUNTIFS($H$64:H380,H380,$P$64:P380,P380,$A$64:A380,A380)))</f>
        <v/>
      </c>
      <c r="S380" t="str">
        <f t="shared" si="56"/>
        <v/>
      </c>
      <c r="T380" t="str">
        <f t="shared" si="57"/>
        <v/>
      </c>
      <c r="U380" t="str">
        <f t="shared" si="58"/>
        <v/>
      </c>
      <c r="Y380" t="str">
        <f t="shared" si="59"/>
        <v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6" ht="28" hidden="1" customHeight="1" outlineLevel="1">
      <c r="A381" s="309"/>
      <c r="B381" s="313"/>
      <c r="C381" s="313"/>
      <c r="D381" s="313"/>
      <c r="E381" s="311"/>
      <c r="F381" s="313"/>
      <c r="G381" s="313"/>
      <c r="H381" s="312" t="str">
        <f t="shared" si="52"/>
        <v/>
      </c>
      <c r="I381" s="313" t="str">
        <f t="shared" si="53"/>
        <v/>
      </c>
      <c r="J381" s="313"/>
      <c r="K381" s="313"/>
      <c r="L381" s="313"/>
      <c r="P381" t="str">
        <f t="shared" si="54"/>
        <v/>
      </c>
      <c r="Q381" t="str">
        <f t="shared" si="55"/>
        <v/>
      </c>
      <c r="R381" t="str">
        <f>IF(P381="","",TEXT(H381,"yyyymm")&amp;"_"&amp;P381&amp;"_"&amp;(COUNTIFS($H$64:$H$500,H381,$P$64:$P$500,P381,$A$64:$A$500,"&gt;"&amp;A381)+COUNTIFS($H$64:H381,H381,$P$64:P381,P381,$A$64:A381,A381)))</f>
        <v/>
      </c>
      <c r="S381" t="str">
        <f t="shared" si="56"/>
        <v/>
      </c>
      <c r="T381" t="str">
        <f t="shared" si="57"/>
        <v/>
      </c>
      <c r="U381" t="str">
        <f t="shared" si="58"/>
        <v/>
      </c>
      <c r="Y381" t="str">
        <f t="shared" si="59"/>
        <v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6" ht="28" hidden="1" customHeight="1" outlineLevel="1">
      <c r="A382" s="309"/>
      <c r="B382" s="313"/>
      <c r="C382" s="313"/>
      <c r="D382" s="313"/>
      <c r="E382" s="311"/>
      <c r="F382" s="313"/>
      <c r="G382" s="313"/>
      <c r="H382" s="312" t="str">
        <f t="shared" si="52"/>
        <v/>
      </c>
      <c r="I382" s="313" t="str">
        <f t="shared" si="53"/>
        <v/>
      </c>
      <c r="J382" s="313"/>
      <c r="K382" s="313"/>
      <c r="L382" s="313"/>
      <c r="P382" t="str">
        <f t="shared" si="54"/>
        <v/>
      </c>
      <c r="Q382" t="str">
        <f t="shared" si="55"/>
        <v/>
      </c>
      <c r="R382" t="str">
        <f>IF(P382="","",TEXT(H382,"yyyymm")&amp;"_"&amp;P382&amp;"_"&amp;(COUNTIFS($H$64:$H$500,H382,$P$64:$P$500,P382,$A$64:$A$500,"&gt;"&amp;A382)+COUNTIFS($H$64:H382,H382,$P$64:P382,P382,$A$64:A382,A382)))</f>
        <v/>
      </c>
      <c r="S382" t="str">
        <f t="shared" si="56"/>
        <v/>
      </c>
      <c r="T382" t="str">
        <f t="shared" si="57"/>
        <v/>
      </c>
      <c r="U382" t="str">
        <f t="shared" si="58"/>
        <v/>
      </c>
      <c r="Y382" t="str">
        <f t="shared" si="59"/>
        <v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6" ht="28" hidden="1" customHeight="1" outlineLevel="1">
      <c r="A383" s="309"/>
      <c r="B383" s="313"/>
      <c r="C383" s="313"/>
      <c r="D383" s="313"/>
      <c r="E383" s="311"/>
      <c r="F383" s="313"/>
      <c r="G383" s="313"/>
      <c r="H383" s="312" t="str">
        <f t="shared" si="52"/>
        <v/>
      </c>
      <c r="I383" s="313" t="str">
        <f t="shared" si="53"/>
        <v/>
      </c>
      <c r="J383" s="313"/>
      <c r="K383" s="313"/>
      <c r="L383" s="313"/>
      <c r="P383" t="str">
        <f t="shared" si="54"/>
        <v/>
      </c>
      <c r="Q383" t="str">
        <f t="shared" si="55"/>
        <v/>
      </c>
      <c r="R383" t="str">
        <f>IF(P383="","",TEXT(H383,"yyyymm")&amp;"_"&amp;P383&amp;"_"&amp;(COUNTIFS($H$64:$H$500,H383,$P$64:$P$500,P383,$A$64:$A$500,"&gt;"&amp;A383)+COUNTIFS($H$64:H383,H383,$P$64:P383,P383,$A$64:A383,A383)))</f>
        <v/>
      </c>
      <c r="S383" t="str">
        <f t="shared" si="56"/>
        <v/>
      </c>
      <c r="T383" t="str">
        <f t="shared" si="57"/>
        <v/>
      </c>
      <c r="U383" t="str">
        <f t="shared" si="58"/>
        <v/>
      </c>
      <c r="Y383" t="str">
        <f t="shared" si="59"/>
        <v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6" ht="28" hidden="1" customHeight="1" outlineLevel="1">
      <c r="A384" s="309"/>
      <c r="B384" s="313"/>
      <c r="C384" s="313"/>
      <c r="D384" s="313"/>
      <c r="E384" s="311"/>
      <c r="F384" s="313"/>
      <c r="G384" s="313"/>
      <c r="H384" s="312" t="str">
        <f t="shared" ref="H384:H447" si="60">IF(A384="","",DATE(YEAR(A384),MONTH(A384),1))</f>
        <v/>
      </c>
      <c r="I384" s="313" t="str">
        <f t="shared" ref="I384:I447" si="61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  <v/>
      </c>
      <c r="J384" s="313"/>
      <c r="K384" s="313"/>
      <c r="L384" s="313"/>
      <c r="P384" t="str">
        <f t="shared" ref="P384:P447" si="62">IF(Q384="","",IF(Q384="이체","이체","내역"))</f>
        <v/>
      </c>
      <c r="Q384" t="str">
        <f t="shared" ref="Q384:Q447" si="63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  <v/>
      </c>
      <c r="R384" t="str">
        <f>IF(P384="","",TEXT(H384,"yyyymm")&amp;"_"&amp;P384&amp;"_"&amp;(COUNTIFS($H$64:$H$500,H384,$P$64:$P$500,P384,$A$64:$A$500,"&gt;"&amp;A384)+COUNTIFS($H$64:H384,H384,$P$64:P384,P384,$A$64:A384,A384)))</f>
        <v/>
      </c>
      <c r="S384" t="str">
        <f t="shared" ref="S384:S447" si="64">IF(Q384="","",D384)</f>
        <v/>
      </c>
      <c r="T384" t="str">
        <f t="shared" ref="T384:T447" si="65">IF(Q384="","",IF(Q384="이체",E384,IF(D384=Q384,E384,-E384)))</f>
        <v/>
      </c>
      <c r="U384" t="str">
        <f t="shared" ref="U384:U447" si="66">IF(Q384="","",IF(ISNUMBER(SEARCH("날짜 미기록",G384)),"날짜 미기록",A384))</f>
        <v/>
      </c>
      <c r="Y384" t="str">
        <f t="shared" ref="Y384:Y447" si="67">IF(A384="","",IF(I384="OK",E384,0))</f>
        <v/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6" ht="28" hidden="1" customHeight="1" outlineLevel="1">
      <c r="A385" s="309"/>
      <c r="B385" s="313"/>
      <c r="C385" s="313"/>
      <c r="D385" s="313"/>
      <c r="E385" s="311"/>
      <c r="F385" s="313"/>
      <c r="G385" s="313"/>
      <c r="H385" s="312" t="str">
        <f t="shared" si="60"/>
        <v/>
      </c>
      <c r="I385" s="313" t="str">
        <f t="shared" si="61"/>
        <v/>
      </c>
      <c r="J385" s="313"/>
      <c r="K385" s="313"/>
      <c r="L385" s="313"/>
      <c r="P385" t="str">
        <f t="shared" si="62"/>
        <v/>
      </c>
      <c r="Q385" t="str">
        <f t="shared" si="63"/>
        <v/>
      </c>
      <c r="R385" t="str">
        <f>IF(P385="","",TEXT(H385,"yyyymm")&amp;"_"&amp;P385&amp;"_"&amp;(COUNTIFS($H$64:$H$500,H385,$P$64:$P$500,P385,$A$64:$A$500,"&gt;"&amp;A385)+COUNTIFS($H$64:H385,H385,$P$64:P385,P385,$A$64:A385,A385)))</f>
        <v/>
      </c>
      <c r="S385" t="str">
        <f t="shared" si="64"/>
        <v/>
      </c>
      <c r="T385" t="str">
        <f t="shared" si="65"/>
        <v/>
      </c>
      <c r="U385" t="str">
        <f t="shared" si="66"/>
        <v/>
      </c>
      <c r="Y385" t="str">
        <f t="shared" si="67"/>
        <v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6" ht="28" hidden="1" customHeight="1" outlineLevel="1">
      <c r="A386" s="309"/>
      <c r="B386" s="313"/>
      <c r="C386" s="313"/>
      <c r="D386" s="313"/>
      <c r="E386" s="311"/>
      <c r="F386" s="313"/>
      <c r="G386" s="313"/>
      <c r="H386" s="312" t="str">
        <f t="shared" si="60"/>
        <v/>
      </c>
      <c r="I386" s="313" t="str">
        <f t="shared" si="61"/>
        <v/>
      </c>
      <c r="J386" s="313"/>
      <c r="K386" s="313"/>
      <c r="L386" s="313"/>
      <c r="P386" t="str">
        <f t="shared" si="62"/>
        <v/>
      </c>
      <c r="Q386" t="str">
        <f t="shared" si="63"/>
        <v/>
      </c>
      <c r="R386" t="str">
        <f>IF(P386="","",TEXT(H386,"yyyymm")&amp;"_"&amp;P386&amp;"_"&amp;(COUNTIFS($H$64:$H$500,H386,$P$64:$P$500,P386,$A$64:$A$500,"&gt;"&amp;A386)+COUNTIFS($H$64:H386,H386,$P$64:P386,P386,$A$64:A386,A386)))</f>
        <v/>
      </c>
      <c r="S386" t="str">
        <f t="shared" si="64"/>
        <v/>
      </c>
      <c r="T386" t="str">
        <f t="shared" si="65"/>
        <v/>
      </c>
      <c r="U386" t="str">
        <f t="shared" si="66"/>
        <v/>
      </c>
      <c r="Y386" t="str">
        <f t="shared" si="67"/>
        <v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6" ht="28" hidden="1" customHeight="1" outlineLevel="1">
      <c r="A387" s="309"/>
      <c r="B387" s="313"/>
      <c r="C387" s="313"/>
      <c r="D387" s="313"/>
      <c r="E387" s="311"/>
      <c r="F387" s="313"/>
      <c r="G387" s="313"/>
      <c r="H387" s="312" t="str">
        <f t="shared" si="60"/>
        <v/>
      </c>
      <c r="I387" s="313" t="str">
        <f t="shared" si="61"/>
        <v/>
      </c>
      <c r="J387" s="313"/>
      <c r="K387" s="313"/>
      <c r="L387" s="313"/>
      <c r="P387" t="str">
        <f t="shared" si="62"/>
        <v/>
      </c>
      <c r="Q387" t="str">
        <f t="shared" si="63"/>
        <v/>
      </c>
      <c r="R387" t="str">
        <f>IF(P387="","",TEXT(H387,"yyyymm")&amp;"_"&amp;P387&amp;"_"&amp;(COUNTIFS($H$64:$H$500,H387,$P$64:$P$500,P387,$A$64:$A$500,"&gt;"&amp;A387)+COUNTIFS($H$64:H387,H387,$P$64:P387,P387,$A$64:A387,A387)))</f>
        <v/>
      </c>
      <c r="S387" t="str">
        <f t="shared" si="64"/>
        <v/>
      </c>
      <c r="T387" t="str">
        <f t="shared" si="65"/>
        <v/>
      </c>
      <c r="U387" t="str">
        <f t="shared" si="66"/>
        <v/>
      </c>
      <c r="Y387" t="str">
        <f t="shared" si="67"/>
        <v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6" ht="28" hidden="1" customHeight="1" outlineLevel="1">
      <c r="A388" s="309"/>
      <c r="B388" s="313"/>
      <c r="C388" s="313"/>
      <c r="D388" s="313"/>
      <c r="E388" s="311"/>
      <c r="F388" s="313"/>
      <c r="G388" s="313"/>
      <c r="H388" s="312" t="str">
        <f t="shared" si="60"/>
        <v/>
      </c>
      <c r="I388" s="313" t="str">
        <f t="shared" si="61"/>
        <v/>
      </c>
      <c r="J388" s="313"/>
      <c r="K388" s="313"/>
      <c r="L388" s="313"/>
      <c r="P388" t="str">
        <f t="shared" si="62"/>
        <v/>
      </c>
      <c r="Q388" t="str">
        <f t="shared" si="63"/>
        <v/>
      </c>
      <c r="R388" t="str">
        <f>IF(P388="","",TEXT(H388,"yyyymm")&amp;"_"&amp;P388&amp;"_"&amp;(COUNTIFS($H$64:$H$500,H388,$P$64:$P$500,P388,$A$64:$A$500,"&gt;"&amp;A388)+COUNTIFS($H$64:H388,H388,$P$64:P388,P388,$A$64:A388,A388)))</f>
        <v/>
      </c>
      <c r="S388" t="str">
        <f t="shared" si="64"/>
        <v/>
      </c>
      <c r="T388" t="str">
        <f t="shared" si="65"/>
        <v/>
      </c>
      <c r="U388" t="str">
        <f t="shared" si="66"/>
        <v/>
      </c>
      <c r="Y388" t="str">
        <f t="shared" si="67"/>
        <v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6" ht="28" hidden="1" customHeight="1" outlineLevel="1">
      <c r="A389" s="309"/>
      <c r="B389" s="313"/>
      <c r="C389" s="313"/>
      <c r="D389" s="313"/>
      <c r="E389" s="311"/>
      <c r="F389" s="313"/>
      <c r="G389" s="313"/>
      <c r="H389" s="312" t="str">
        <f t="shared" si="60"/>
        <v/>
      </c>
      <c r="I389" s="313" t="str">
        <f t="shared" si="61"/>
        <v/>
      </c>
      <c r="J389" s="313"/>
      <c r="K389" s="313"/>
      <c r="L389" s="313"/>
      <c r="P389" t="str">
        <f t="shared" si="62"/>
        <v/>
      </c>
      <c r="Q389" t="str">
        <f t="shared" si="63"/>
        <v/>
      </c>
      <c r="R389" t="str">
        <f>IF(P389="","",TEXT(H389,"yyyymm")&amp;"_"&amp;P389&amp;"_"&amp;(COUNTIFS($H$64:$H$500,H389,$P$64:$P$500,P389,$A$64:$A$500,"&gt;"&amp;A389)+COUNTIFS($H$64:H389,H389,$P$64:P389,P389,$A$64:A389,A389)))</f>
        <v/>
      </c>
      <c r="S389" t="str">
        <f t="shared" si="64"/>
        <v/>
      </c>
      <c r="T389" t="str">
        <f t="shared" si="65"/>
        <v/>
      </c>
      <c r="U389" t="str">
        <f t="shared" si="66"/>
        <v/>
      </c>
      <c r="Y389" t="str">
        <f t="shared" si="67"/>
        <v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6" ht="28" hidden="1" customHeight="1" outlineLevel="1">
      <c r="A390" s="309"/>
      <c r="B390" s="313"/>
      <c r="C390" s="313"/>
      <c r="D390" s="313"/>
      <c r="E390" s="311"/>
      <c r="F390" s="313"/>
      <c r="G390" s="313"/>
      <c r="H390" s="312" t="str">
        <f t="shared" si="60"/>
        <v/>
      </c>
      <c r="I390" s="313" t="str">
        <f t="shared" si="61"/>
        <v/>
      </c>
      <c r="J390" s="313"/>
      <c r="K390" s="313"/>
      <c r="L390" s="313"/>
      <c r="P390" t="str">
        <f t="shared" si="62"/>
        <v/>
      </c>
      <c r="Q390" t="str">
        <f t="shared" si="63"/>
        <v/>
      </c>
      <c r="R390" t="str">
        <f>IF(P390="","",TEXT(H390,"yyyymm")&amp;"_"&amp;P390&amp;"_"&amp;(COUNTIFS($H$64:$H$500,H390,$P$64:$P$500,P390,$A$64:$A$500,"&gt;"&amp;A390)+COUNTIFS($H$64:H390,H390,$P$64:P390,P390,$A$64:A390,A390)))</f>
        <v/>
      </c>
      <c r="S390" t="str">
        <f t="shared" si="64"/>
        <v/>
      </c>
      <c r="T390" t="str">
        <f t="shared" si="65"/>
        <v/>
      </c>
      <c r="U390" t="str">
        <f t="shared" si="66"/>
        <v/>
      </c>
      <c r="Y390" t="str">
        <f t="shared" si="67"/>
        <v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6" ht="28" hidden="1" customHeight="1" outlineLevel="1">
      <c r="A391" s="309"/>
      <c r="B391" s="313"/>
      <c r="C391" s="313"/>
      <c r="D391" s="313"/>
      <c r="E391" s="311"/>
      <c r="F391" s="313"/>
      <c r="G391" s="313"/>
      <c r="H391" s="312" t="str">
        <f t="shared" si="60"/>
        <v/>
      </c>
      <c r="I391" s="313" t="str">
        <f t="shared" si="61"/>
        <v/>
      </c>
      <c r="J391" s="313"/>
      <c r="K391" s="313"/>
      <c r="L391" s="313"/>
      <c r="P391" t="str">
        <f t="shared" si="62"/>
        <v/>
      </c>
      <c r="Q391" t="str">
        <f t="shared" si="63"/>
        <v/>
      </c>
      <c r="R391" t="str">
        <f>IF(P391="","",TEXT(H391,"yyyymm")&amp;"_"&amp;P391&amp;"_"&amp;(COUNTIFS($H$64:$H$500,H391,$P$64:$P$500,P391,$A$64:$A$500,"&gt;"&amp;A391)+COUNTIFS($H$64:H391,H391,$P$64:P391,P391,$A$64:A391,A391)))</f>
        <v/>
      </c>
      <c r="S391" t="str">
        <f t="shared" si="64"/>
        <v/>
      </c>
      <c r="T391" t="str">
        <f t="shared" si="65"/>
        <v/>
      </c>
      <c r="U391" t="str">
        <f t="shared" si="66"/>
        <v/>
      </c>
      <c r="Y391" t="str">
        <f t="shared" si="67"/>
        <v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6" ht="28" hidden="1" customHeight="1" outlineLevel="1">
      <c r="A392" s="309"/>
      <c r="B392" s="313"/>
      <c r="C392" s="313"/>
      <c r="D392" s="313"/>
      <c r="E392" s="311"/>
      <c r="F392" s="313"/>
      <c r="G392" s="313"/>
      <c r="H392" s="312" t="str">
        <f t="shared" si="60"/>
        <v/>
      </c>
      <c r="I392" s="313" t="str">
        <f t="shared" si="61"/>
        <v/>
      </c>
      <c r="J392" s="313"/>
      <c r="K392" s="313"/>
      <c r="L392" s="313"/>
      <c r="P392" t="str">
        <f t="shared" si="62"/>
        <v/>
      </c>
      <c r="Q392" t="str">
        <f t="shared" si="63"/>
        <v/>
      </c>
      <c r="R392" t="str">
        <f>IF(P392="","",TEXT(H392,"yyyymm")&amp;"_"&amp;P392&amp;"_"&amp;(COUNTIFS($H$64:$H$500,H392,$P$64:$P$500,P392,$A$64:$A$500,"&gt;"&amp;A392)+COUNTIFS($H$64:H392,H392,$P$64:P392,P392,$A$64:A392,A392)))</f>
        <v/>
      </c>
      <c r="S392" t="str">
        <f t="shared" si="64"/>
        <v/>
      </c>
      <c r="T392" t="str">
        <f t="shared" si="65"/>
        <v/>
      </c>
      <c r="U392" t="str">
        <f t="shared" si="66"/>
        <v/>
      </c>
      <c r="Y392" t="str">
        <f t="shared" si="67"/>
        <v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6" ht="28" hidden="1" customHeight="1" outlineLevel="1">
      <c r="A393" s="309"/>
      <c r="B393" s="313"/>
      <c r="C393" s="313"/>
      <c r="D393" s="313"/>
      <c r="E393" s="311"/>
      <c r="F393" s="313"/>
      <c r="G393" s="313"/>
      <c r="H393" s="312" t="str">
        <f t="shared" si="60"/>
        <v/>
      </c>
      <c r="I393" s="313" t="str">
        <f t="shared" si="61"/>
        <v/>
      </c>
      <c r="J393" s="313"/>
      <c r="K393" s="313"/>
      <c r="L393" s="313"/>
      <c r="P393" t="str">
        <f t="shared" si="62"/>
        <v/>
      </c>
      <c r="Q393" t="str">
        <f t="shared" si="63"/>
        <v/>
      </c>
      <c r="R393" t="str">
        <f>IF(P393="","",TEXT(H393,"yyyymm")&amp;"_"&amp;P393&amp;"_"&amp;(COUNTIFS($H$64:$H$500,H393,$P$64:$P$500,P393,$A$64:$A$500,"&gt;"&amp;A393)+COUNTIFS($H$64:H393,H393,$P$64:P393,P393,$A$64:A393,A393)))</f>
        <v/>
      </c>
      <c r="S393" t="str">
        <f t="shared" si="64"/>
        <v/>
      </c>
      <c r="T393" t="str">
        <f t="shared" si="65"/>
        <v/>
      </c>
      <c r="U393" t="str">
        <f t="shared" si="66"/>
        <v/>
      </c>
      <c r="Y393" t="str">
        <f t="shared" si="67"/>
        <v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6" ht="28" hidden="1" customHeight="1" outlineLevel="1">
      <c r="A394" s="309"/>
      <c r="B394" s="313"/>
      <c r="C394" s="313"/>
      <c r="D394" s="313"/>
      <c r="E394" s="311"/>
      <c r="F394" s="313"/>
      <c r="G394" s="313"/>
      <c r="H394" s="312" t="str">
        <f t="shared" si="60"/>
        <v/>
      </c>
      <c r="I394" s="313" t="str">
        <f t="shared" si="61"/>
        <v/>
      </c>
      <c r="J394" s="313"/>
      <c r="K394" s="313"/>
      <c r="L394" s="313"/>
      <c r="P394" t="str">
        <f t="shared" si="62"/>
        <v/>
      </c>
      <c r="Q394" t="str">
        <f t="shared" si="63"/>
        <v/>
      </c>
      <c r="R394" t="str">
        <f>IF(P394="","",TEXT(H394,"yyyymm")&amp;"_"&amp;P394&amp;"_"&amp;(COUNTIFS($H$64:$H$500,H394,$P$64:$P$500,P394,$A$64:$A$500,"&gt;"&amp;A394)+COUNTIFS($H$64:H394,H394,$P$64:P394,P394,$A$64:A394,A394)))</f>
        <v/>
      </c>
      <c r="S394" t="str">
        <f t="shared" si="64"/>
        <v/>
      </c>
      <c r="T394" t="str">
        <f t="shared" si="65"/>
        <v/>
      </c>
      <c r="U394" t="str">
        <f t="shared" si="66"/>
        <v/>
      </c>
      <c r="Y394" t="str">
        <f t="shared" si="67"/>
        <v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6" ht="28" hidden="1" customHeight="1" outlineLevel="1">
      <c r="A395" s="309"/>
      <c r="B395" s="313"/>
      <c r="C395" s="313"/>
      <c r="D395" s="313"/>
      <c r="E395" s="311"/>
      <c r="F395" s="313"/>
      <c r="G395" s="313"/>
      <c r="H395" s="312" t="str">
        <f t="shared" si="60"/>
        <v/>
      </c>
      <c r="I395" s="313" t="str">
        <f t="shared" si="61"/>
        <v/>
      </c>
      <c r="J395" s="313"/>
      <c r="K395" s="313"/>
      <c r="L395" s="313"/>
      <c r="P395" t="str">
        <f t="shared" si="62"/>
        <v/>
      </c>
      <c r="Q395" t="str">
        <f t="shared" si="63"/>
        <v/>
      </c>
      <c r="R395" t="str">
        <f>IF(P395="","",TEXT(H395,"yyyymm")&amp;"_"&amp;P395&amp;"_"&amp;(COUNTIFS($H$64:$H$500,H395,$P$64:$P$500,P395,$A$64:$A$500,"&gt;"&amp;A395)+COUNTIFS($H$64:H395,H395,$P$64:P395,P395,$A$64:A395,A395)))</f>
        <v/>
      </c>
      <c r="S395" t="str">
        <f t="shared" si="64"/>
        <v/>
      </c>
      <c r="T395" t="str">
        <f t="shared" si="65"/>
        <v/>
      </c>
      <c r="U395" t="str">
        <f t="shared" si="66"/>
        <v/>
      </c>
      <c r="Y395" t="str">
        <f t="shared" si="67"/>
        <v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6" ht="28" hidden="1" customHeight="1" outlineLevel="1">
      <c r="A396" s="309"/>
      <c r="B396" s="313"/>
      <c r="C396" s="313"/>
      <c r="D396" s="313"/>
      <c r="E396" s="311"/>
      <c r="F396" s="313"/>
      <c r="G396" s="313"/>
      <c r="H396" s="312" t="str">
        <f t="shared" si="60"/>
        <v/>
      </c>
      <c r="I396" s="313" t="str">
        <f t="shared" si="61"/>
        <v/>
      </c>
      <c r="J396" s="313"/>
      <c r="K396" s="313"/>
      <c r="L396" s="313"/>
      <c r="P396" t="str">
        <f t="shared" si="62"/>
        <v/>
      </c>
      <c r="Q396" t="str">
        <f t="shared" si="63"/>
        <v/>
      </c>
      <c r="R396" t="str">
        <f>IF(P396="","",TEXT(H396,"yyyymm")&amp;"_"&amp;P396&amp;"_"&amp;(COUNTIFS($H$64:$H$500,H396,$P$64:$P$500,P396,$A$64:$A$500,"&gt;"&amp;A396)+COUNTIFS($H$64:H396,H396,$P$64:P396,P396,$A$64:A396,A396)))</f>
        <v/>
      </c>
      <c r="S396" t="str">
        <f t="shared" si="64"/>
        <v/>
      </c>
      <c r="T396" t="str">
        <f t="shared" si="65"/>
        <v/>
      </c>
      <c r="U396" t="str">
        <f t="shared" si="66"/>
        <v/>
      </c>
      <c r="Y396" t="str">
        <f t="shared" si="67"/>
        <v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6" ht="28" hidden="1" customHeight="1" outlineLevel="1">
      <c r="A397" s="309"/>
      <c r="B397" s="313"/>
      <c r="C397" s="313"/>
      <c r="D397" s="313"/>
      <c r="E397" s="311"/>
      <c r="F397" s="313"/>
      <c r="G397" s="313"/>
      <c r="H397" s="312" t="str">
        <f t="shared" si="60"/>
        <v/>
      </c>
      <c r="I397" s="313" t="str">
        <f t="shared" si="61"/>
        <v/>
      </c>
      <c r="J397" s="313"/>
      <c r="K397" s="313"/>
      <c r="L397" s="313"/>
      <c r="P397" t="str">
        <f t="shared" si="62"/>
        <v/>
      </c>
      <c r="Q397" t="str">
        <f t="shared" si="63"/>
        <v/>
      </c>
      <c r="R397" t="str">
        <f>IF(P397="","",TEXT(H397,"yyyymm")&amp;"_"&amp;P397&amp;"_"&amp;(COUNTIFS($H$64:$H$500,H397,$P$64:$P$500,P397,$A$64:$A$500,"&gt;"&amp;A397)+COUNTIFS($H$64:H397,H397,$P$64:P397,P397,$A$64:A397,A397)))</f>
        <v/>
      </c>
      <c r="S397" t="str">
        <f t="shared" si="64"/>
        <v/>
      </c>
      <c r="T397" t="str">
        <f t="shared" si="65"/>
        <v/>
      </c>
      <c r="U397" t="str">
        <f t="shared" si="66"/>
        <v/>
      </c>
      <c r="Y397" t="str">
        <f t="shared" si="67"/>
        <v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6" ht="28" hidden="1" customHeight="1" outlineLevel="1">
      <c r="A398" s="309"/>
      <c r="B398" s="313"/>
      <c r="C398" s="313"/>
      <c r="D398" s="313"/>
      <c r="E398" s="311"/>
      <c r="F398" s="313"/>
      <c r="G398" s="313"/>
      <c r="H398" s="312" t="str">
        <f t="shared" si="60"/>
        <v/>
      </c>
      <c r="I398" s="313" t="str">
        <f t="shared" si="61"/>
        <v/>
      </c>
      <c r="J398" s="313"/>
      <c r="K398" s="313"/>
      <c r="L398" s="313"/>
      <c r="P398" t="str">
        <f t="shared" si="62"/>
        <v/>
      </c>
      <c r="Q398" t="str">
        <f t="shared" si="63"/>
        <v/>
      </c>
      <c r="R398" t="str">
        <f>IF(P398="","",TEXT(H398,"yyyymm")&amp;"_"&amp;P398&amp;"_"&amp;(COUNTIFS($H$64:$H$500,H398,$P$64:$P$500,P398,$A$64:$A$500,"&gt;"&amp;A398)+COUNTIFS($H$64:H398,H398,$P$64:P398,P398,$A$64:A398,A398)))</f>
        <v/>
      </c>
      <c r="S398" t="str">
        <f t="shared" si="64"/>
        <v/>
      </c>
      <c r="T398" t="str">
        <f t="shared" si="65"/>
        <v/>
      </c>
      <c r="U398" t="str">
        <f t="shared" si="66"/>
        <v/>
      </c>
      <c r="Y398" t="str">
        <f t="shared" si="67"/>
        <v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6" ht="28" hidden="1" customHeight="1" outlineLevel="1">
      <c r="A399" s="309"/>
      <c r="B399" s="313"/>
      <c r="C399" s="313"/>
      <c r="D399" s="313"/>
      <c r="E399" s="311"/>
      <c r="F399" s="313"/>
      <c r="G399" s="313"/>
      <c r="H399" s="312" t="str">
        <f t="shared" si="60"/>
        <v/>
      </c>
      <c r="I399" s="313" t="str">
        <f t="shared" si="61"/>
        <v/>
      </c>
      <c r="J399" s="313"/>
      <c r="K399" s="313"/>
      <c r="L399" s="313"/>
      <c r="P399" t="str">
        <f t="shared" si="62"/>
        <v/>
      </c>
      <c r="Q399" t="str">
        <f t="shared" si="63"/>
        <v/>
      </c>
      <c r="R399" t="str">
        <f>IF(P399="","",TEXT(H399,"yyyymm")&amp;"_"&amp;P399&amp;"_"&amp;(COUNTIFS($H$64:$H$500,H399,$P$64:$P$500,P399,$A$64:$A$500,"&gt;"&amp;A399)+COUNTIFS($H$64:H399,H399,$P$64:P399,P399,$A$64:A399,A399)))</f>
        <v/>
      </c>
      <c r="S399" t="str">
        <f t="shared" si="64"/>
        <v/>
      </c>
      <c r="T399" t="str">
        <f t="shared" si="65"/>
        <v/>
      </c>
      <c r="U399" t="str">
        <f t="shared" si="66"/>
        <v/>
      </c>
      <c r="Y399" t="str">
        <f t="shared" si="67"/>
        <v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6" ht="28" hidden="1" customHeight="1" outlineLevel="1">
      <c r="A400" s="309"/>
      <c r="B400" s="313"/>
      <c r="C400" s="313"/>
      <c r="D400" s="313"/>
      <c r="E400" s="311"/>
      <c r="F400" s="313"/>
      <c r="G400" s="313"/>
      <c r="H400" s="312" t="str">
        <f t="shared" si="60"/>
        <v/>
      </c>
      <c r="I400" s="313" t="str">
        <f t="shared" si="61"/>
        <v/>
      </c>
      <c r="J400" s="313"/>
      <c r="K400" s="313"/>
      <c r="L400" s="313"/>
      <c r="P400" t="str">
        <f t="shared" si="62"/>
        <v/>
      </c>
      <c r="Q400" t="str">
        <f t="shared" si="63"/>
        <v/>
      </c>
      <c r="R400" t="str">
        <f>IF(P400="","",TEXT(H400,"yyyymm")&amp;"_"&amp;P400&amp;"_"&amp;(COUNTIFS($H$64:$H$500,H400,$P$64:$P$500,P400,$A$64:$A$500,"&gt;"&amp;A400)+COUNTIFS($H$64:H400,H400,$P$64:P400,P400,$A$64:A400,A400)))</f>
        <v/>
      </c>
      <c r="S400" t="str">
        <f t="shared" si="64"/>
        <v/>
      </c>
      <c r="T400" t="str">
        <f t="shared" si="65"/>
        <v/>
      </c>
      <c r="U400" t="str">
        <f t="shared" si="66"/>
        <v/>
      </c>
      <c r="Y400" t="str">
        <f t="shared" si="67"/>
        <v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6" ht="28" hidden="1" customHeight="1" outlineLevel="1">
      <c r="A401" s="309"/>
      <c r="B401" s="313"/>
      <c r="C401" s="313"/>
      <c r="D401" s="313"/>
      <c r="E401" s="311"/>
      <c r="F401" s="313"/>
      <c r="G401" s="313"/>
      <c r="H401" s="312" t="str">
        <f t="shared" si="60"/>
        <v/>
      </c>
      <c r="I401" s="313" t="str">
        <f t="shared" si="61"/>
        <v/>
      </c>
      <c r="J401" s="313"/>
      <c r="K401" s="313"/>
      <c r="L401" s="313"/>
      <c r="P401" t="str">
        <f t="shared" si="62"/>
        <v/>
      </c>
      <c r="Q401" t="str">
        <f t="shared" si="63"/>
        <v/>
      </c>
      <c r="R401" t="str">
        <f>IF(P401="","",TEXT(H401,"yyyymm")&amp;"_"&amp;P401&amp;"_"&amp;(COUNTIFS($H$64:$H$500,H401,$P$64:$P$500,P401,$A$64:$A$500,"&gt;"&amp;A401)+COUNTIFS($H$64:H401,H401,$P$64:P401,P401,$A$64:A401,A401)))</f>
        <v/>
      </c>
      <c r="S401" t="str">
        <f t="shared" si="64"/>
        <v/>
      </c>
      <c r="T401" t="str">
        <f t="shared" si="65"/>
        <v/>
      </c>
      <c r="U401" t="str">
        <f t="shared" si="66"/>
        <v/>
      </c>
      <c r="Y401" t="str">
        <f t="shared" si="67"/>
        <v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6" ht="28" hidden="1" customHeight="1" outlineLevel="1">
      <c r="A402" s="309"/>
      <c r="B402" s="313"/>
      <c r="C402" s="313"/>
      <c r="D402" s="313"/>
      <c r="E402" s="311"/>
      <c r="F402" s="313"/>
      <c r="G402" s="313"/>
      <c r="H402" s="312" t="str">
        <f t="shared" si="60"/>
        <v/>
      </c>
      <c r="I402" s="313" t="str">
        <f t="shared" si="61"/>
        <v/>
      </c>
      <c r="J402" s="313"/>
      <c r="K402" s="313"/>
      <c r="L402" s="313"/>
      <c r="P402" t="str">
        <f t="shared" si="62"/>
        <v/>
      </c>
      <c r="Q402" t="str">
        <f t="shared" si="63"/>
        <v/>
      </c>
      <c r="R402" t="str">
        <f>IF(P402="","",TEXT(H402,"yyyymm")&amp;"_"&amp;P402&amp;"_"&amp;(COUNTIFS($H$64:$H$500,H402,$P$64:$P$500,P402,$A$64:$A$500,"&gt;"&amp;A402)+COUNTIFS($H$64:H402,H402,$P$64:P402,P402,$A$64:A402,A402)))</f>
        <v/>
      </c>
      <c r="S402" t="str">
        <f t="shared" si="64"/>
        <v/>
      </c>
      <c r="T402" t="str">
        <f t="shared" si="65"/>
        <v/>
      </c>
      <c r="U402" t="str">
        <f t="shared" si="66"/>
        <v/>
      </c>
      <c r="Y402" t="str">
        <f t="shared" si="67"/>
        <v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6" ht="28" hidden="1" customHeight="1" outlineLevel="1">
      <c r="A403" s="309"/>
      <c r="B403" s="313"/>
      <c r="C403" s="313"/>
      <c r="D403" s="313"/>
      <c r="E403" s="311"/>
      <c r="F403" s="313"/>
      <c r="G403" s="313"/>
      <c r="H403" s="312" t="str">
        <f t="shared" si="60"/>
        <v/>
      </c>
      <c r="I403" s="313" t="str">
        <f t="shared" si="61"/>
        <v/>
      </c>
      <c r="J403" s="313"/>
      <c r="K403" s="313"/>
      <c r="L403" s="313"/>
      <c r="P403" t="str">
        <f t="shared" si="62"/>
        <v/>
      </c>
      <c r="Q403" t="str">
        <f t="shared" si="63"/>
        <v/>
      </c>
      <c r="R403" t="str">
        <f>IF(P403="","",TEXT(H403,"yyyymm")&amp;"_"&amp;P403&amp;"_"&amp;(COUNTIFS($H$64:$H$500,H403,$P$64:$P$500,P403,$A$64:$A$500,"&gt;"&amp;A403)+COUNTIFS($H$64:H403,H403,$P$64:P403,P403,$A$64:A403,A403)))</f>
        <v/>
      </c>
      <c r="S403" t="str">
        <f t="shared" si="64"/>
        <v/>
      </c>
      <c r="T403" t="str">
        <f t="shared" si="65"/>
        <v/>
      </c>
      <c r="U403" t="str">
        <f t="shared" si="66"/>
        <v/>
      </c>
      <c r="Y403" t="str">
        <f t="shared" si="67"/>
        <v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6" ht="28" hidden="1" customHeight="1" outlineLevel="1">
      <c r="A404" s="309"/>
      <c r="B404" s="313"/>
      <c r="C404" s="313"/>
      <c r="D404" s="313"/>
      <c r="E404" s="311"/>
      <c r="F404" s="313"/>
      <c r="G404" s="313"/>
      <c r="H404" s="312" t="str">
        <f t="shared" si="60"/>
        <v/>
      </c>
      <c r="I404" s="313" t="str">
        <f t="shared" si="61"/>
        <v/>
      </c>
      <c r="J404" s="313"/>
      <c r="K404" s="313"/>
      <c r="L404" s="313"/>
      <c r="P404" t="str">
        <f t="shared" si="62"/>
        <v/>
      </c>
      <c r="Q404" t="str">
        <f t="shared" si="63"/>
        <v/>
      </c>
      <c r="R404" t="str">
        <f>IF(P404="","",TEXT(H404,"yyyymm")&amp;"_"&amp;P404&amp;"_"&amp;(COUNTIFS($H$64:$H$500,H404,$P$64:$P$500,P404,$A$64:$A$500,"&gt;"&amp;A404)+COUNTIFS($H$64:H404,H404,$P$64:P404,P404,$A$64:A404,A404)))</f>
        <v/>
      </c>
      <c r="S404" t="str">
        <f t="shared" si="64"/>
        <v/>
      </c>
      <c r="T404" t="str">
        <f t="shared" si="65"/>
        <v/>
      </c>
      <c r="U404" t="str">
        <f t="shared" si="66"/>
        <v/>
      </c>
      <c r="Y404" t="str">
        <f t="shared" si="67"/>
        <v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6" ht="28" hidden="1" customHeight="1" outlineLevel="1">
      <c r="A405" s="309"/>
      <c r="B405" s="313"/>
      <c r="C405" s="313"/>
      <c r="D405" s="313"/>
      <c r="E405" s="311"/>
      <c r="F405" s="313"/>
      <c r="G405" s="313"/>
      <c r="H405" s="312" t="str">
        <f t="shared" si="60"/>
        <v/>
      </c>
      <c r="I405" s="313" t="str">
        <f t="shared" si="61"/>
        <v/>
      </c>
      <c r="J405" s="313"/>
      <c r="K405" s="313"/>
      <c r="L405" s="313"/>
      <c r="P405" t="str">
        <f t="shared" si="62"/>
        <v/>
      </c>
      <c r="Q405" t="str">
        <f t="shared" si="63"/>
        <v/>
      </c>
      <c r="R405" t="str">
        <f>IF(P405="","",TEXT(H405,"yyyymm")&amp;"_"&amp;P405&amp;"_"&amp;(COUNTIFS($H$64:$H$500,H405,$P$64:$P$500,P405,$A$64:$A$500,"&gt;"&amp;A405)+COUNTIFS($H$64:H405,H405,$P$64:P405,P405,$A$64:A405,A405)))</f>
        <v/>
      </c>
      <c r="S405" t="str">
        <f t="shared" si="64"/>
        <v/>
      </c>
      <c r="T405" t="str">
        <f t="shared" si="65"/>
        <v/>
      </c>
      <c r="U405" t="str">
        <f t="shared" si="66"/>
        <v/>
      </c>
      <c r="Y405" t="str">
        <f t="shared" si="67"/>
        <v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6" ht="28" hidden="1" customHeight="1" outlineLevel="1">
      <c r="A406" s="309"/>
      <c r="B406" s="313"/>
      <c r="C406" s="313"/>
      <c r="D406" s="313"/>
      <c r="E406" s="311"/>
      <c r="F406" s="313"/>
      <c r="G406" s="313"/>
      <c r="H406" s="312" t="str">
        <f t="shared" si="60"/>
        <v/>
      </c>
      <c r="I406" s="313" t="str">
        <f t="shared" si="61"/>
        <v/>
      </c>
      <c r="J406" s="313"/>
      <c r="K406" s="313"/>
      <c r="L406" s="313"/>
      <c r="P406" t="str">
        <f t="shared" si="62"/>
        <v/>
      </c>
      <c r="Q406" t="str">
        <f t="shared" si="63"/>
        <v/>
      </c>
      <c r="R406" t="str">
        <f>IF(P406="","",TEXT(H406,"yyyymm")&amp;"_"&amp;P406&amp;"_"&amp;(COUNTIFS($H$64:$H$500,H406,$P$64:$P$500,P406,$A$64:$A$500,"&gt;"&amp;A406)+COUNTIFS($H$64:H406,H406,$P$64:P406,P406,$A$64:A406,A406)))</f>
        <v/>
      </c>
      <c r="S406" t="str">
        <f t="shared" si="64"/>
        <v/>
      </c>
      <c r="T406" t="str">
        <f t="shared" si="65"/>
        <v/>
      </c>
      <c r="U406" t="str">
        <f t="shared" si="66"/>
        <v/>
      </c>
      <c r="Y406" t="str">
        <f t="shared" si="67"/>
        <v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6" ht="28" hidden="1" customHeight="1" outlineLevel="1">
      <c r="A407" s="309"/>
      <c r="B407" s="313"/>
      <c r="C407" s="313"/>
      <c r="D407" s="313"/>
      <c r="E407" s="311"/>
      <c r="F407" s="313"/>
      <c r="G407" s="313"/>
      <c r="H407" s="312" t="str">
        <f t="shared" si="60"/>
        <v/>
      </c>
      <c r="I407" s="313" t="str">
        <f t="shared" si="61"/>
        <v/>
      </c>
      <c r="J407" s="313"/>
      <c r="K407" s="313"/>
      <c r="L407" s="313"/>
      <c r="P407" t="str">
        <f t="shared" si="62"/>
        <v/>
      </c>
      <c r="Q407" t="str">
        <f t="shared" si="63"/>
        <v/>
      </c>
      <c r="R407" t="str">
        <f>IF(P407="","",TEXT(H407,"yyyymm")&amp;"_"&amp;P407&amp;"_"&amp;(COUNTIFS($H$64:$H$500,H407,$P$64:$P$500,P407,$A$64:$A$500,"&gt;"&amp;A407)+COUNTIFS($H$64:H407,H407,$P$64:P407,P407,$A$64:A407,A407)))</f>
        <v/>
      </c>
      <c r="S407" t="str">
        <f t="shared" si="64"/>
        <v/>
      </c>
      <c r="T407" t="str">
        <f t="shared" si="65"/>
        <v/>
      </c>
      <c r="U407" t="str">
        <f t="shared" si="66"/>
        <v/>
      </c>
      <c r="Y407" t="str">
        <f t="shared" si="67"/>
        <v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6" ht="28" hidden="1" customHeight="1" outlineLevel="1">
      <c r="A408" s="309"/>
      <c r="B408" s="313"/>
      <c r="C408" s="313"/>
      <c r="D408" s="313"/>
      <c r="E408" s="311"/>
      <c r="F408" s="313"/>
      <c r="G408" s="313"/>
      <c r="H408" s="312" t="str">
        <f t="shared" si="60"/>
        <v/>
      </c>
      <c r="I408" s="313" t="str">
        <f t="shared" si="61"/>
        <v/>
      </c>
      <c r="J408" s="313"/>
      <c r="K408" s="313"/>
      <c r="L408" s="313"/>
      <c r="P408" t="str">
        <f t="shared" si="62"/>
        <v/>
      </c>
      <c r="Q408" t="str">
        <f t="shared" si="63"/>
        <v/>
      </c>
      <c r="R408" t="str">
        <f>IF(P408="","",TEXT(H408,"yyyymm")&amp;"_"&amp;P408&amp;"_"&amp;(COUNTIFS($H$64:$H$500,H408,$P$64:$P$500,P408,$A$64:$A$500,"&gt;"&amp;A408)+COUNTIFS($H$64:H408,H408,$P$64:P408,P408,$A$64:A408,A408)))</f>
        <v/>
      </c>
      <c r="S408" t="str">
        <f t="shared" si="64"/>
        <v/>
      </c>
      <c r="T408" t="str">
        <f t="shared" si="65"/>
        <v/>
      </c>
      <c r="U408" t="str">
        <f t="shared" si="66"/>
        <v/>
      </c>
      <c r="Y408" t="str">
        <f t="shared" si="67"/>
        <v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6" ht="28" hidden="1" customHeight="1" outlineLevel="1">
      <c r="A409" s="309"/>
      <c r="B409" s="313"/>
      <c r="C409" s="313"/>
      <c r="D409" s="313"/>
      <c r="E409" s="311"/>
      <c r="F409" s="313"/>
      <c r="G409" s="313"/>
      <c r="H409" s="312" t="str">
        <f t="shared" si="60"/>
        <v/>
      </c>
      <c r="I409" s="313" t="str">
        <f t="shared" si="61"/>
        <v/>
      </c>
      <c r="J409" s="313"/>
      <c r="K409" s="313"/>
      <c r="L409" s="313"/>
      <c r="P409" t="str">
        <f t="shared" si="62"/>
        <v/>
      </c>
      <c r="Q409" t="str">
        <f t="shared" si="63"/>
        <v/>
      </c>
      <c r="R409" t="str">
        <f>IF(P409="","",TEXT(H409,"yyyymm")&amp;"_"&amp;P409&amp;"_"&amp;(COUNTIFS($H$64:$H$500,H409,$P$64:$P$500,P409,$A$64:$A$500,"&gt;"&amp;A409)+COUNTIFS($H$64:H409,H409,$P$64:P409,P409,$A$64:A409,A409)))</f>
        <v/>
      </c>
      <c r="S409" t="str">
        <f t="shared" si="64"/>
        <v/>
      </c>
      <c r="T409" t="str">
        <f t="shared" si="65"/>
        <v/>
      </c>
      <c r="U409" t="str">
        <f t="shared" si="66"/>
        <v/>
      </c>
      <c r="Y409" t="str">
        <f t="shared" si="67"/>
        <v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6" ht="28" hidden="1" customHeight="1" outlineLevel="1">
      <c r="A410" s="309"/>
      <c r="B410" s="313"/>
      <c r="C410" s="313"/>
      <c r="D410" s="313"/>
      <c r="E410" s="311"/>
      <c r="F410" s="313"/>
      <c r="G410" s="313"/>
      <c r="H410" s="312" t="str">
        <f t="shared" si="60"/>
        <v/>
      </c>
      <c r="I410" s="313" t="str">
        <f t="shared" si="61"/>
        <v/>
      </c>
      <c r="J410" s="313"/>
      <c r="K410" s="313"/>
      <c r="L410" s="313"/>
      <c r="P410" t="str">
        <f t="shared" si="62"/>
        <v/>
      </c>
      <c r="Q410" t="str">
        <f t="shared" si="63"/>
        <v/>
      </c>
      <c r="R410" t="str">
        <f>IF(P410="","",TEXT(H410,"yyyymm")&amp;"_"&amp;P410&amp;"_"&amp;(COUNTIFS($H$64:$H$500,H410,$P$64:$P$500,P410,$A$64:$A$500,"&gt;"&amp;A410)+COUNTIFS($H$64:H410,H410,$P$64:P410,P410,$A$64:A410,A410)))</f>
        <v/>
      </c>
      <c r="S410" t="str">
        <f t="shared" si="64"/>
        <v/>
      </c>
      <c r="T410" t="str">
        <f t="shared" si="65"/>
        <v/>
      </c>
      <c r="U410" t="str">
        <f t="shared" si="66"/>
        <v/>
      </c>
      <c r="Y410" t="str">
        <f t="shared" si="67"/>
        <v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6" ht="28" hidden="1" customHeight="1" outlineLevel="1">
      <c r="A411" s="309"/>
      <c r="B411" s="313"/>
      <c r="C411" s="313"/>
      <c r="D411" s="313"/>
      <c r="E411" s="311"/>
      <c r="F411" s="313"/>
      <c r="G411" s="313"/>
      <c r="H411" s="312" t="str">
        <f t="shared" si="60"/>
        <v/>
      </c>
      <c r="I411" s="313" t="str">
        <f t="shared" si="61"/>
        <v/>
      </c>
      <c r="J411" s="313"/>
      <c r="K411" s="313"/>
      <c r="L411" s="313"/>
      <c r="P411" t="str">
        <f t="shared" si="62"/>
        <v/>
      </c>
      <c r="Q411" t="str">
        <f t="shared" si="63"/>
        <v/>
      </c>
      <c r="R411" t="str">
        <f>IF(P411="","",TEXT(H411,"yyyymm")&amp;"_"&amp;P411&amp;"_"&amp;(COUNTIFS($H$64:$H$500,H411,$P$64:$P$500,P411,$A$64:$A$500,"&gt;"&amp;A411)+COUNTIFS($H$64:H411,H411,$P$64:P411,P411,$A$64:A411,A411)))</f>
        <v/>
      </c>
      <c r="S411" t="str">
        <f t="shared" si="64"/>
        <v/>
      </c>
      <c r="T411" t="str">
        <f t="shared" si="65"/>
        <v/>
      </c>
      <c r="U411" t="str">
        <f t="shared" si="66"/>
        <v/>
      </c>
      <c r="Y411" t="str">
        <f t="shared" si="67"/>
        <v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6" ht="28" hidden="1" customHeight="1" outlineLevel="1">
      <c r="A412" s="309"/>
      <c r="B412" s="313"/>
      <c r="C412" s="313"/>
      <c r="D412" s="313"/>
      <c r="E412" s="311"/>
      <c r="F412" s="313"/>
      <c r="G412" s="313"/>
      <c r="H412" s="312" t="str">
        <f t="shared" si="60"/>
        <v/>
      </c>
      <c r="I412" s="313" t="str">
        <f t="shared" si="61"/>
        <v/>
      </c>
      <c r="J412" s="313"/>
      <c r="K412" s="313"/>
      <c r="L412" s="313"/>
      <c r="P412" t="str">
        <f t="shared" si="62"/>
        <v/>
      </c>
      <c r="Q412" t="str">
        <f t="shared" si="63"/>
        <v/>
      </c>
      <c r="R412" t="str">
        <f>IF(P412="","",TEXT(H412,"yyyymm")&amp;"_"&amp;P412&amp;"_"&amp;(COUNTIFS($H$64:$H$500,H412,$P$64:$P$500,P412,$A$64:$A$500,"&gt;"&amp;A412)+COUNTIFS($H$64:H412,H412,$P$64:P412,P412,$A$64:A412,A412)))</f>
        <v/>
      </c>
      <c r="S412" t="str">
        <f t="shared" si="64"/>
        <v/>
      </c>
      <c r="T412" t="str">
        <f t="shared" si="65"/>
        <v/>
      </c>
      <c r="U412" t="str">
        <f t="shared" si="66"/>
        <v/>
      </c>
      <c r="Y412" t="str">
        <f t="shared" si="67"/>
        <v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6" ht="28" hidden="1" customHeight="1" outlineLevel="1">
      <c r="A413" s="309"/>
      <c r="B413" s="313"/>
      <c r="C413" s="313"/>
      <c r="D413" s="313"/>
      <c r="E413" s="311"/>
      <c r="F413" s="313"/>
      <c r="G413" s="313"/>
      <c r="H413" s="312" t="str">
        <f t="shared" si="60"/>
        <v/>
      </c>
      <c r="I413" s="313" t="str">
        <f t="shared" si="61"/>
        <v/>
      </c>
      <c r="J413" s="313"/>
      <c r="K413" s="313"/>
      <c r="L413" s="313"/>
      <c r="P413" t="str">
        <f t="shared" si="62"/>
        <v/>
      </c>
      <c r="Q413" t="str">
        <f t="shared" si="63"/>
        <v/>
      </c>
      <c r="R413" t="str">
        <f>IF(P413="","",TEXT(H413,"yyyymm")&amp;"_"&amp;P413&amp;"_"&amp;(COUNTIFS($H$64:$H$500,H413,$P$64:$P$500,P413,$A$64:$A$500,"&gt;"&amp;A413)+COUNTIFS($H$64:H413,H413,$P$64:P413,P413,$A$64:A413,A413)))</f>
        <v/>
      </c>
      <c r="S413" t="str">
        <f t="shared" si="64"/>
        <v/>
      </c>
      <c r="T413" t="str">
        <f t="shared" si="65"/>
        <v/>
      </c>
      <c r="U413" t="str">
        <f t="shared" si="66"/>
        <v/>
      </c>
      <c r="Y413" t="str">
        <f t="shared" si="67"/>
        <v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6" ht="28" hidden="1" customHeight="1" outlineLevel="1">
      <c r="A414" s="309"/>
      <c r="B414" s="313"/>
      <c r="C414" s="313"/>
      <c r="D414" s="313"/>
      <c r="E414" s="311"/>
      <c r="F414" s="313"/>
      <c r="G414" s="313"/>
      <c r="H414" s="312" t="str">
        <f t="shared" si="60"/>
        <v/>
      </c>
      <c r="I414" s="313" t="str">
        <f t="shared" si="61"/>
        <v/>
      </c>
      <c r="J414" s="313"/>
      <c r="K414" s="313"/>
      <c r="L414" s="313"/>
      <c r="P414" t="str">
        <f t="shared" si="62"/>
        <v/>
      </c>
      <c r="Q414" t="str">
        <f t="shared" si="63"/>
        <v/>
      </c>
      <c r="R414" t="str">
        <f>IF(P414="","",TEXT(H414,"yyyymm")&amp;"_"&amp;P414&amp;"_"&amp;(COUNTIFS($H$64:$H$500,H414,$P$64:$P$500,P414,$A$64:$A$500,"&gt;"&amp;A414)+COUNTIFS($H$64:H414,H414,$P$64:P414,P414,$A$64:A414,A414)))</f>
        <v/>
      </c>
      <c r="S414" t="str">
        <f t="shared" si="64"/>
        <v/>
      </c>
      <c r="T414" t="str">
        <f t="shared" si="65"/>
        <v/>
      </c>
      <c r="U414" t="str">
        <f t="shared" si="66"/>
        <v/>
      </c>
      <c r="Y414" t="str">
        <f t="shared" si="67"/>
        <v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6" ht="28" hidden="1" customHeight="1" outlineLevel="1">
      <c r="A415" s="309"/>
      <c r="B415" s="313"/>
      <c r="C415" s="313"/>
      <c r="D415" s="313"/>
      <c r="E415" s="311"/>
      <c r="F415" s="313"/>
      <c r="G415" s="313"/>
      <c r="H415" s="312" t="str">
        <f t="shared" si="60"/>
        <v/>
      </c>
      <c r="I415" s="313" t="str">
        <f t="shared" si="61"/>
        <v/>
      </c>
      <c r="J415" s="313"/>
      <c r="K415" s="313"/>
      <c r="L415" s="313"/>
      <c r="P415" t="str">
        <f t="shared" si="62"/>
        <v/>
      </c>
      <c r="Q415" t="str">
        <f t="shared" si="63"/>
        <v/>
      </c>
      <c r="R415" t="str">
        <f>IF(P415="","",TEXT(H415,"yyyymm")&amp;"_"&amp;P415&amp;"_"&amp;(COUNTIFS($H$64:$H$500,H415,$P$64:$P$500,P415,$A$64:$A$500,"&gt;"&amp;A415)+COUNTIFS($H$64:H415,H415,$P$64:P415,P415,$A$64:A415,A415)))</f>
        <v/>
      </c>
      <c r="S415" t="str">
        <f t="shared" si="64"/>
        <v/>
      </c>
      <c r="T415" t="str">
        <f t="shared" si="65"/>
        <v/>
      </c>
      <c r="U415" t="str">
        <f t="shared" si="66"/>
        <v/>
      </c>
      <c r="Y415" t="str">
        <f t="shared" si="67"/>
        <v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6" ht="28" hidden="1" customHeight="1" outlineLevel="1">
      <c r="A416" s="309"/>
      <c r="B416" s="313"/>
      <c r="C416" s="313"/>
      <c r="D416" s="313"/>
      <c r="E416" s="311"/>
      <c r="F416" s="313"/>
      <c r="G416" s="313"/>
      <c r="H416" s="312" t="str">
        <f t="shared" si="60"/>
        <v/>
      </c>
      <c r="I416" s="313" t="str">
        <f t="shared" si="61"/>
        <v/>
      </c>
      <c r="J416" s="313"/>
      <c r="K416" s="313"/>
      <c r="L416" s="313"/>
      <c r="P416" t="str">
        <f t="shared" si="62"/>
        <v/>
      </c>
      <c r="Q416" t="str">
        <f t="shared" si="63"/>
        <v/>
      </c>
      <c r="R416" t="str">
        <f>IF(P416="","",TEXT(H416,"yyyymm")&amp;"_"&amp;P416&amp;"_"&amp;(COUNTIFS($H$64:$H$500,H416,$P$64:$P$500,P416,$A$64:$A$500,"&gt;"&amp;A416)+COUNTIFS($H$64:H416,H416,$P$64:P416,P416,$A$64:A416,A416)))</f>
        <v/>
      </c>
      <c r="S416" t="str">
        <f t="shared" si="64"/>
        <v/>
      </c>
      <c r="T416" t="str">
        <f t="shared" si="65"/>
        <v/>
      </c>
      <c r="U416" t="str">
        <f t="shared" si="66"/>
        <v/>
      </c>
      <c r="Y416" t="str">
        <f t="shared" si="67"/>
        <v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6" ht="28" hidden="1" customHeight="1" outlineLevel="1">
      <c r="A417" s="309"/>
      <c r="B417" s="313"/>
      <c r="C417" s="313"/>
      <c r="D417" s="313"/>
      <c r="E417" s="311"/>
      <c r="F417" s="313"/>
      <c r="G417" s="313"/>
      <c r="H417" s="312" t="str">
        <f t="shared" si="60"/>
        <v/>
      </c>
      <c r="I417" s="313" t="str">
        <f t="shared" si="61"/>
        <v/>
      </c>
      <c r="J417" s="313"/>
      <c r="K417" s="313"/>
      <c r="L417" s="313"/>
      <c r="P417" t="str">
        <f t="shared" si="62"/>
        <v/>
      </c>
      <c r="Q417" t="str">
        <f t="shared" si="63"/>
        <v/>
      </c>
      <c r="R417" t="str">
        <f>IF(P417="","",TEXT(H417,"yyyymm")&amp;"_"&amp;P417&amp;"_"&amp;(COUNTIFS($H$64:$H$500,H417,$P$64:$P$500,P417,$A$64:$A$500,"&gt;"&amp;A417)+COUNTIFS($H$64:H417,H417,$P$64:P417,P417,$A$64:A417,A417)))</f>
        <v/>
      </c>
      <c r="S417" t="str">
        <f t="shared" si="64"/>
        <v/>
      </c>
      <c r="T417" t="str">
        <f t="shared" si="65"/>
        <v/>
      </c>
      <c r="U417" t="str">
        <f t="shared" si="66"/>
        <v/>
      </c>
      <c r="Y417" t="str">
        <f t="shared" si="67"/>
        <v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6" ht="28" hidden="1" customHeight="1" outlineLevel="1">
      <c r="A418" s="309"/>
      <c r="B418" s="313"/>
      <c r="C418" s="313"/>
      <c r="D418" s="313"/>
      <c r="E418" s="311"/>
      <c r="F418" s="313"/>
      <c r="G418" s="313"/>
      <c r="H418" s="312" t="str">
        <f t="shared" si="60"/>
        <v/>
      </c>
      <c r="I418" s="313" t="str">
        <f t="shared" si="61"/>
        <v/>
      </c>
      <c r="J418" s="313"/>
      <c r="K418" s="313"/>
      <c r="L418" s="313"/>
      <c r="P418" t="str">
        <f t="shared" si="62"/>
        <v/>
      </c>
      <c r="Q418" t="str">
        <f t="shared" si="63"/>
        <v/>
      </c>
      <c r="R418" t="str">
        <f>IF(P418="","",TEXT(H418,"yyyymm")&amp;"_"&amp;P418&amp;"_"&amp;(COUNTIFS($H$64:$H$500,H418,$P$64:$P$500,P418,$A$64:$A$500,"&gt;"&amp;A418)+COUNTIFS($H$64:H418,H418,$P$64:P418,P418,$A$64:A418,A418)))</f>
        <v/>
      </c>
      <c r="S418" t="str">
        <f t="shared" si="64"/>
        <v/>
      </c>
      <c r="T418" t="str">
        <f t="shared" si="65"/>
        <v/>
      </c>
      <c r="U418" t="str">
        <f t="shared" si="66"/>
        <v/>
      </c>
      <c r="Y418" t="str">
        <f t="shared" si="67"/>
        <v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6" ht="28" hidden="1" customHeight="1" outlineLevel="1">
      <c r="A419" s="309"/>
      <c r="B419" s="313"/>
      <c r="C419" s="313"/>
      <c r="D419" s="313"/>
      <c r="E419" s="311"/>
      <c r="F419" s="313"/>
      <c r="G419" s="313"/>
      <c r="H419" s="312" t="str">
        <f t="shared" si="60"/>
        <v/>
      </c>
      <c r="I419" s="313" t="str">
        <f t="shared" si="61"/>
        <v/>
      </c>
      <c r="J419" s="313"/>
      <c r="K419" s="313"/>
      <c r="L419" s="313"/>
      <c r="P419" t="str">
        <f t="shared" si="62"/>
        <v/>
      </c>
      <c r="Q419" t="str">
        <f t="shared" si="63"/>
        <v/>
      </c>
      <c r="R419" t="str">
        <f>IF(P419="","",TEXT(H419,"yyyymm")&amp;"_"&amp;P419&amp;"_"&amp;(COUNTIFS($H$64:$H$500,H419,$P$64:$P$500,P419,$A$64:$A$500,"&gt;"&amp;A419)+COUNTIFS($H$64:H419,H419,$P$64:P419,P419,$A$64:A419,A419)))</f>
        <v/>
      </c>
      <c r="S419" t="str">
        <f t="shared" si="64"/>
        <v/>
      </c>
      <c r="T419" t="str">
        <f t="shared" si="65"/>
        <v/>
      </c>
      <c r="U419" t="str">
        <f t="shared" si="66"/>
        <v/>
      </c>
      <c r="Y419" t="str">
        <f t="shared" si="67"/>
        <v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6" ht="28" hidden="1" customHeight="1" outlineLevel="1">
      <c r="A420" s="309"/>
      <c r="B420" s="313"/>
      <c r="C420" s="313"/>
      <c r="D420" s="313"/>
      <c r="E420" s="311"/>
      <c r="F420" s="313"/>
      <c r="G420" s="313"/>
      <c r="H420" s="312" t="str">
        <f t="shared" si="60"/>
        <v/>
      </c>
      <c r="I420" s="313" t="str">
        <f t="shared" si="61"/>
        <v/>
      </c>
      <c r="J420" s="313"/>
      <c r="K420" s="313"/>
      <c r="L420" s="313"/>
      <c r="P420" t="str">
        <f t="shared" si="62"/>
        <v/>
      </c>
      <c r="Q420" t="str">
        <f t="shared" si="63"/>
        <v/>
      </c>
      <c r="R420" t="str">
        <f>IF(P420="","",TEXT(H420,"yyyymm")&amp;"_"&amp;P420&amp;"_"&amp;(COUNTIFS($H$64:$H$500,H420,$P$64:$P$500,P420,$A$64:$A$500,"&gt;"&amp;A420)+COUNTIFS($H$64:H420,H420,$P$64:P420,P420,$A$64:A420,A420)))</f>
        <v/>
      </c>
      <c r="S420" t="str">
        <f t="shared" si="64"/>
        <v/>
      </c>
      <c r="T420" t="str">
        <f t="shared" si="65"/>
        <v/>
      </c>
      <c r="U420" t="str">
        <f t="shared" si="66"/>
        <v/>
      </c>
      <c r="Y420" t="str">
        <f t="shared" si="67"/>
        <v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6" ht="28" hidden="1" customHeight="1" outlineLevel="1">
      <c r="A421" s="309"/>
      <c r="B421" s="313"/>
      <c r="C421" s="313"/>
      <c r="D421" s="313"/>
      <c r="E421" s="311"/>
      <c r="F421" s="313"/>
      <c r="G421" s="313"/>
      <c r="H421" s="312" t="str">
        <f t="shared" si="60"/>
        <v/>
      </c>
      <c r="I421" s="313" t="str">
        <f t="shared" si="61"/>
        <v/>
      </c>
      <c r="J421" s="313"/>
      <c r="K421" s="313"/>
      <c r="L421" s="313"/>
      <c r="P421" t="str">
        <f t="shared" si="62"/>
        <v/>
      </c>
      <c r="Q421" t="str">
        <f t="shared" si="63"/>
        <v/>
      </c>
      <c r="R421" t="str">
        <f>IF(P421="","",TEXT(H421,"yyyymm")&amp;"_"&amp;P421&amp;"_"&amp;(COUNTIFS($H$64:$H$500,H421,$P$64:$P$500,P421,$A$64:$A$500,"&gt;"&amp;A421)+COUNTIFS($H$64:H421,H421,$P$64:P421,P421,$A$64:A421,A421)))</f>
        <v/>
      </c>
      <c r="S421" t="str">
        <f t="shared" si="64"/>
        <v/>
      </c>
      <c r="T421" t="str">
        <f t="shared" si="65"/>
        <v/>
      </c>
      <c r="U421" t="str">
        <f t="shared" si="66"/>
        <v/>
      </c>
      <c r="Y421" t="str">
        <f t="shared" si="67"/>
        <v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6" ht="28" hidden="1" customHeight="1" outlineLevel="1">
      <c r="A422" s="309"/>
      <c r="B422" s="313"/>
      <c r="C422" s="313"/>
      <c r="D422" s="313"/>
      <c r="E422" s="311"/>
      <c r="F422" s="313"/>
      <c r="G422" s="313"/>
      <c r="H422" s="312" t="str">
        <f t="shared" si="60"/>
        <v/>
      </c>
      <c r="I422" s="313" t="str">
        <f t="shared" si="61"/>
        <v/>
      </c>
      <c r="J422" s="313"/>
      <c r="K422" s="313"/>
      <c r="L422" s="313"/>
      <c r="P422" t="str">
        <f t="shared" si="62"/>
        <v/>
      </c>
      <c r="Q422" t="str">
        <f t="shared" si="63"/>
        <v/>
      </c>
      <c r="R422" t="str">
        <f>IF(P422="","",TEXT(H422,"yyyymm")&amp;"_"&amp;P422&amp;"_"&amp;(COUNTIFS($H$64:$H$500,H422,$P$64:$P$500,P422,$A$64:$A$500,"&gt;"&amp;A422)+COUNTIFS($H$64:H422,H422,$P$64:P422,P422,$A$64:A422,A422)))</f>
        <v/>
      </c>
      <c r="S422" t="str">
        <f t="shared" si="64"/>
        <v/>
      </c>
      <c r="T422" t="str">
        <f t="shared" si="65"/>
        <v/>
      </c>
      <c r="U422" t="str">
        <f t="shared" si="66"/>
        <v/>
      </c>
      <c r="Y422" t="str">
        <f t="shared" si="67"/>
        <v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6" ht="28" hidden="1" customHeight="1" outlineLevel="1">
      <c r="A423" s="309"/>
      <c r="B423" s="313"/>
      <c r="C423" s="313"/>
      <c r="D423" s="313"/>
      <c r="E423" s="311"/>
      <c r="F423" s="313"/>
      <c r="G423" s="313"/>
      <c r="H423" s="312" t="str">
        <f t="shared" si="60"/>
        <v/>
      </c>
      <c r="I423" s="313" t="str">
        <f t="shared" si="61"/>
        <v/>
      </c>
      <c r="J423" s="313"/>
      <c r="K423" s="313"/>
      <c r="L423" s="313"/>
      <c r="P423" t="str">
        <f t="shared" si="62"/>
        <v/>
      </c>
      <c r="Q423" t="str">
        <f t="shared" si="63"/>
        <v/>
      </c>
      <c r="R423" t="str">
        <f>IF(P423="","",TEXT(H423,"yyyymm")&amp;"_"&amp;P423&amp;"_"&amp;(COUNTIFS($H$64:$H$500,H423,$P$64:$P$500,P423,$A$64:$A$500,"&gt;"&amp;A423)+COUNTIFS($H$64:H423,H423,$P$64:P423,P423,$A$64:A423,A423)))</f>
        <v/>
      </c>
      <c r="S423" t="str">
        <f t="shared" si="64"/>
        <v/>
      </c>
      <c r="T423" t="str">
        <f t="shared" si="65"/>
        <v/>
      </c>
      <c r="U423" t="str">
        <f t="shared" si="66"/>
        <v/>
      </c>
      <c r="Y423" t="str">
        <f t="shared" si="67"/>
        <v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6" ht="28" hidden="1" customHeight="1" outlineLevel="1">
      <c r="A424" s="309"/>
      <c r="B424" s="313"/>
      <c r="C424" s="313"/>
      <c r="D424" s="313"/>
      <c r="E424" s="311"/>
      <c r="F424" s="313"/>
      <c r="G424" s="313"/>
      <c r="H424" s="312" t="str">
        <f t="shared" si="60"/>
        <v/>
      </c>
      <c r="I424" s="313" t="str">
        <f t="shared" si="61"/>
        <v/>
      </c>
      <c r="J424" s="313"/>
      <c r="K424" s="313"/>
      <c r="L424" s="313"/>
      <c r="P424" t="str">
        <f t="shared" si="62"/>
        <v/>
      </c>
      <c r="Q424" t="str">
        <f t="shared" si="63"/>
        <v/>
      </c>
      <c r="R424" t="str">
        <f>IF(P424="","",TEXT(H424,"yyyymm")&amp;"_"&amp;P424&amp;"_"&amp;(COUNTIFS($H$64:$H$500,H424,$P$64:$P$500,P424,$A$64:$A$500,"&gt;"&amp;A424)+COUNTIFS($H$64:H424,H424,$P$64:P424,P424,$A$64:A424,A424)))</f>
        <v/>
      </c>
      <c r="S424" t="str">
        <f t="shared" si="64"/>
        <v/>
      </c>
      <c r="T424" t="str">
        <f t="shared" si="65"/>
        <v/>
      </c>
      <c r="U424" t="str">
        <f t="shared" si="66"/>
        <v/>
      </c>
      <c r="Y424" t="str">
        <f t="shared" si="67"/>
        <v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6" ht="28" hidden="1" customHeight="1" outlineLevel="1">
      <c r="A425" s="309"/>
      <c r="B425" s="313"/>
      <c r="C425" s="313"/>
      <c r="D425" s="313"/>
      <c r="E425" s="311"/>
      <c r="F425" s="313"/>
      <c r="G425" s="313"/>
      <c r="H425" s="312" t="str">
        <f t="shared" si="60"/>
        <v/>
      </c>
      <c r="I425" s="313" t="str">
        <f t="shared" si="61"/>
        <v/>
      </c>
      <c r="J425" s="313"/>
      <c r="K425" s="313"/>
      <c r="L425" s="313"/>
      <c r="P425" t="str">
        <f t="shared" si="62"/>
        <v/>
      </c>
      <c r="Q425" t="str">
        <f t="shared" si="63"/>
        <v/>
      </c>
      <c r="R425" t="str">
        <f>IF(P425="","",TEXT(H425,"yyyymm")&amp;"_"&amp;P425&amp;"_"&amp;(COUNTIFS($H$64:$H$500,H425,$P$64:$P$500,P425,$A$64:$A$500,"&gt;"&amp;A425)+COUNTIFS($H$64:H425,H425,$P$64:P425,P425,$A$64:A425,A425)))</f>
        <v/>
      </c>
      <c r="S425" t="str">
        <f t="shared" si="64"/>
        <v/>
      </c>
      <c r="T425" t="str">
        <f t="shared" si="65"/>
        <v/>
      </c>
      <c r="U425" t="str">
        <f t="shared" si="66"/>
        <v/>
      </c>
      <c r="Y425" t="str">
        <f t="shared" si="67"/>
        <v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6" ht="28" hidden="1" customHeight="1" outlineLevel="1">
      <c r="A426" s="309"/>
      <c r="B426" s="313"/>
      <c r="C426" s="313"/>
      <c r="D426" s="313"/>
      <c r="E426" s="311"/>
      <c r="F426" s="313"/>
      <c r="G426" s="313"/>
      <c r="H426" s="312" t="str">
        <f t="shared" si="60"/>
        <v/>
      </c>
      <c r="I426" s="313" t="str">
        <f t="shared" si="61"/>
        <v/>
      </c>
      <c r="J426" s="313"/>
      <c r="K426" s="313"/>
      <c r="L426" s="313"/>
      <c r="P426" t="str">
        <f t="shared" si="62"/>
        <v/>
      </c>
      <c r="Q426" t="str">
        <f t="shared" si="63"/>
        <v/>
      </c>
      <c r="R426" t="str">
        <f>IF(P426="","",TEXT(H426,"yyyymm")&amp;"_"&amp;P426&amp;"_"&amp;(COUNTIFS($H$64:$H$500,H426,$P$64:$P$500,P426,$A$64:$A$500,"&gt;"&amp;A426)+COUNTIFS($H$64:H426,H426,$P$64:P426,P426,$A$64:A426,A426)))</f>
        <v/>
      </c>
      <c r="S426" t="str">
        <f t="shared" si="64"/>
        <v/>
      </c>
      <c r="T426" t="str">
        <f t="shared" si="65"/>
        <v/>
      </c>
      <c r="U426" t="str">
        <f t="shared" si="66"/>
        <v/>
      </c>
      <c r="Y426" t="str">
        <f t="shared" si="67"/>
        <v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6" ht="28" hidden="1" customHeight="1" outlineLevel="1">
      <c r="A427" s="309"/>
      <c r="B427" s="313"/>
      <c r="C427" s="313"/>
      <c r="D427" s="313"/>
      <c r="E427" s="311"/>
      <c r="F427" s="313"/>
      <c r="G427" s="313"/>
      <c r="H427" s="312" t="str">
        <f t="shared" si="60"/>
        <v/>
      </c>
      <c r="I427" s="313" t="str">
        <f t="shared" si="61"/>
        <v/>
      </c>
      <c r="J427" s="313"/>
      <c r="K427" s="313"/>
      <c r="L427" s="313"/>
      <c r="P427" t="str">
        <f t="shared" si="62"/>
        <v/>
      </c>
      <c r="Q427" t="str">
        <f t="shared" si="63"/>
        <v/>
      </c>
      <c r="R427" t="str">
        <f>IF(P427="","",TEXT(H427,"yyyymm")&amp;"_"&amp;P427&amp;"_"&amp;(COUNTIFS($H$64:$H$500,H427,$P$64:$P$500,P427,$A$64:$A$500,"&gt;"&amp;A427)+COUNTIFS($H$64:H427,H427,$P$64:P427,P427,$A$64:A427,A427)))</f>
        <v/>
      </c>
      <c r="S427" t="str">
        <f t="shared" si="64"/>
        <v/>
      </c>
      <c r="T427" t="str">
        <f t="shared" si="65"/>
        <v/>
      </c>
      <c r="U427" t="str">
        <f t="shared" si="66"/>
        <v/>
      </c>
      <c r="Y427" t="str">
        <f t="shared" si="67"/>
        <v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6" ht="28" hidden="1" customHeight="1" outlineLevel="1">
      <c r="A428" s="309"/>
      <c r="B428" s="313"/>
      <c r="C428" s="313"/>
      <c r="D428" s="313"/>
      <c r="E428" s="311"/>
      <c r="F428" s="313"/>
      <c r="G428" s="313"/>
      <c r="H428" s="312" t="str">
        <f t="shared" si="60"/>
        <v/>
      </c>
      <c r="I428" s="313" t="str">
        <f t="shared" si="61"/>
        <v/>
      </c>
      <c r="J428" s="313"/>
      <c r="K428" s="313"/>
      <c r="L428" s="313"/>
      <c r="P428" t="str">
        <f t="shared" si="62"/>
        <v/>
      </c>
      <c r="Q428" t="str">
        <f t="shared" si="63"/>
        <v/>
      </c>
      <c r="R428" t="str">
        <f>IF(P428="","",TEXT(H428,"yyyymm")&amp;"_"&amp;P428&amp;"_"&amp;(COUNTIFS($H$64:$H$500,H428,$P$64:$P$500,P428,$A$64:$A$500,"&gt;"&amp;A428)+COUNTIFS($H$64:H428,H428,$P$64:P428,P428,$A$64:A428,A428)))</f>
        <v/>
      </c>
      <c r="S428" t="str">
        <f t="shared" si="64"/>
        <v/>
      </c>
      <c r="T428" t="str">
        <f t="shared" si="65"/>
        <v/>
      </c>
      <c r="U428" t="str">
        <f t="shared" si="66"/>
        <v/>
      </c>
      <c r="Y428" t="str">
        <f t="shared" si="67"/>
        <v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6" ht="28" hidden="1" customHeight="1" outlineLevel="1">
      <c r="A429" s="309"/>
      <c r="B429" s="313"/>
      <c r="C429" s="313"/>
      <c r="D429" s="313"/>
      <c r="E429" s="311"/>
      <c r="F429" s="313"/>
      <c r="G429" s="313"/>
      <c r="H429" s="312" t="str">
        <f t="shared" si="60"/>
        <v/>
      </c>
      <c r="I429" s="313" t="str">
        <f t="shared" si="61"/>
        <v/>
      </c>
      <c r="J429" s="313"/>
      <c r="K429" s="313"/>
      <c r="L429" s="313"/>
      <c r="P429" t="str">
        <f t="shared" si="62"/>
        <v/>
      </c>
      <c r="Q429" t="str">
        <f t="shared" si="63"/>
        <v/>
      </c>
      <c r="R429" t="str">
        <f>IF(P429="","",TEXT(H429,"yyyymm")&amp;"_"&amp;P429&amp;"_"&amp;(COUNTIFS($H$64:$H$500,H429,$P$64:$P$500,P429,$A$64:$A$500,"&gt;"&amp;A429)+COUNTIFS($H$64:H429,H429,$P$64:P429,P429,$A$64:A429,A429)))</f>
        <v/>
      </c>
      <c r="S429" t="str">
        <f t="shared" si="64"/>
        <v/>
      </c>
      <c r="T429" t="str">
        <f t="shared" si="65"/>
        <v/>
      </c>
      <c r="U429" t="str">
        <f t="shared" si="66"/>
        <v/>
      </c>
      <c r="Y429" t="str">
        <f t="shared" si="67"/>
        <v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6" ht="28" hidden="1" customHeight="1" outlineLevel="1">
      <c r="A430" s="309"/>
      <c r="B430" s="313"/>
      <c r="C430" s="313"/>
      <c r="D430" s="313"/>
      <c r="E430" s="311"/>
      <c r="F430" s="313"/>
      <c r="G430" s="313"/>
      <c r="H430" s="312" t="str">
        <f t="shared" si="60"/>
        <v/>
      </c>
      <c r="I430" s="313" t="str">
        <f t="shared" si="61"/>
        <v/>
      </c>
      <c r="J430" s="313"/>
      <c r="K430" s="313"/>
      <c r="L430" s="313"/>
      <c r="P430" t="str">
        <f t="shared" si="62"/>
        <v/>
      </c>
      <c r="Q430" t="str">
        <f t="shared" si="63"/>
        <v/>
      </c>
      <c r="R430" t="str">
        <f>IF(P430="","",TEXT(H430,"yyyymm")&amp;"_"&amp;P430&amp;"_"&amp;(COUNTIFS($H$64:$H$500,H430,$P$64:$P$500,P430,$A$64:$A$500,"&gt;"&amp;A430)+COUNTIFS($H$64:H430,H430,$P$64:P430,P430,$A$64:A430,A430)))</f>
        <v/>
      </c>
      <c r="S430" t="str">
        <f t="shared" si="64"/>
        <v/>
      </c>
      <c r="T430" t="str">
        <f t="shared" si="65"/>
        <v/>
      </c>
      <c r="U430" t="str">
        <f t="shared" si="66"/>
        <v/>
      </c>
      <c r="Y430" t="str">
        <f t="shared" si="67"/>
        <v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6" ht="28" hidden="1" customHeight="1" outlineLevel="1">
      <c r="A431" s="309"/>
      <c r="B431" s="313"/>
      <c r="C431" s="313"/>
      <c r="D431" s="313"/>
      <c r="E431" s="311"/>
      <c r="F431" s="313"/>
      <c r="G431" s="313"/>
      <c r="H431" s="312" t="str">
        <f t="shared" si="60"/>
        <v/>
      </c>
      <c r="I431" s="313" t="str">
        <f t="shared" si="61"/>
        <v/>
      </c>
      <c r="J431" s="313"/>
      <c r="K431" s="313"/>
      <c r="L431" s="313"/>
      <c r="P431" t="str">
        <f t="shared" si="62"/>
        <v/>
      </c>
      <c r="Q431" t="str">
        <f t="shared" si="63"/>
        <v/>
      </c>
      <c r="R431" t="str">
        <f>IF(P431="","",TEXT(H431,"yyyymm")&amp;"_"&amp;P431&amp;"_"&amp;(COUNTIFS($H$64:$H$500,H431,$P$64:$P$500,P431,$A$64:$A$500,"&gt;"&amp;A431)+COUNTIFS($H$64:H431,H431,$P$64:P431,P431,$A$64:A431,A431)))</f>
        <v/>
      </c>
      <c r="S431" t="str">
        <f t="shared" si="64"/>
        <v/>
      </c>
      <c r="T431" t="str">
        <f t="shared" si="65"/>
        <v/>
      </c>
      <c r="U431" t="str">
        <f t="shared" si="66"/>
        <v/>
      </c>
      <c r="Y431" t="str">
        <f t="shared" si="67"/>
        <v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6" ht="28" hidden="1" customHeight="1" outlineLevel="1">
      <c r="A432" s="309"/>
      <c r="B432" s="313"/>
      <c r="C432" s="313"/>
      <c r="D432" s="313"/>
      <c r="E432" s="311"/>
      <c r="F432" s="313"/>
      <c r="G432" s="313"/>
      <c r="H432" s="312" t="str">
        <f t="shared" si="60"/>
        <v/>
      </c>
      <c r="I432" s="313" t="str">
        <f t="shared" si="61"/>
        <v/>
      </c>
      <c r="J432" s="313"/>
      <c r="K432" s="313"/>
      <c r="L432" s="313"/>
      <c r="P432" t="str">
        <f t="shared" si="62"/>
        <v/>
      </c>
      <c r="Q432" t="str">
        <f t="shared" si="63"/>
        <v/>
      </c>
      <c r="R432" t="str">
        <f>IF(P432="","",TEXT(H432,"yyyymm")&amp;"_"&amp;P432&amp;"_"&amp;(COUNTIFS($H$64:$H$500,H432,$P$64:$P$500,P432,$A$64:$A$500,"&gt;"&amp;A432)+COUNTIFS($H$64:H432,H432,$P$64:P432,P432,$A$64:A432,A432)))</f>
        <v/>
      </c>
      <c r="S432" t="str">
        <f t="shared" si="64"/>
        <v/>
      </c>
      <c r="T432" t="str">
        <f t="shared" si="65"/>
        <v/>
      </c>
      <c r="U432" t="str">
        <f t="shared" si="66"/>
        <v/>
      </c>
      <c r="Y432" t="str">
        <f t="shared" si="67"/>
        <v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6" ht="28" hidden="1" customHeight="1" outlineLevel="1">
      <c r="A433" s="309"/>
      <c r="B433" s="313"/>
      <c r="C433" s="313"/>
      <c r="D433" s="313"/>
      <c r="E433" s="311"/>
      <c r="F433" s="313"/>
      <c r="G433" s="313"/>
      <c r="H433" s="312" t="str">
        <f t="shared" si="60"/>
        <v/>
      </c>
      <c r="I433" s="313" t="str">
        <f t="shared" si="61"/>
        <v/>
      </c>
      <c r="J433" s="313"/>
      <c r="K433" s="313"/>
      <c r="L433" s="313"/>
      <c r="P433" t="str">
        <f t="shared" si="62"/>
        <v/>
      </c>
      <c r="Q433" t="str">
        <f t="shared" si="63"/>
        <v/>
      </c>
      <c r="R433" t="str">
        <f>IF(P433="","",TEXT(H433,"yyyymm")&amp;"_"&amp;P433&amp;"_"&amp;(COUNTIFS($H$64:$H$500,H433,$P$64:$P$500,P433,$A$64:$A$500,"&gt;"&amp;A433)+COUNTIFS($H$64:H433,H433,$P$64:P433,P433,$A$64:A433,A433)))</f>
        <v/>
      </c>
      <c r="S433" t="str">
        <f t="shared" si="64"/>
        <v/>
      </c>
      <c r="T433" t="str">
        <f t="shared" si="65"/>
        <v/>
      </c>
      <c r="U433" t="str">
        <f t="shared" si="66"/>
        <v/>
      </c>
      <c r="Y433" t="str">
        <f t="shared" si="67"/>
        <v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6" ht="28" hidden="1" customHeight="1" outlineLevel="1">
      <c r="A434" s="309"/>
      <c r="B434" s="313"/>
      <c r="C434" s="313"/>
      <c r="D434" s="313"/>
      <c r="E434" s="311"/>
      <c r="F434" s="313"/>
      <c r="G434" s="313"/>
      <c r="H434" s="312" t="str">
        <f t="shared" si="60"/>
        <v/>
      </c>
      <c r="I434" s="313" t="str">
        <f t="shared" si="61"/>
        <v/>
      </c>
      <c r="J434" s="313"/>
      <c r="K434" s="313"/>
      <c r="L434" s="313"/>
      <c r="P434" t="str">
        <f t="shared" si="62"/>
        <v/>
      </c>
      <c r="Q434" t="str">
        <f t="shared" si="63"/>
        <v/>
      </c>
      <c r="R434" t="str">
        <f>IF(P434="","",TEXT(H434,"yyyymm")&amp;"_"&amp;P434&amp;"_"&amp;(COUNTIFS($H$64:$H$500,H434,$P$64:$P$500,P434,$A$64:$A$500,"&gt;"&amp;A434)+COUNTIFS($H$64:H434,H434,$P$64:P434,P434,$A$64:A434,A434)))</f>
        <v/>
      </c>
      <c r="S434" t="str">
        <f t="shared" si="64"/>
        <v/>
      </c>
      <c r="T434" t="str">
        <f t="shared" si="65"/>
        <v/>
      </c>
      <c r="U434" t="str">
        <f t="shared" si="66"/>
        <v/>
      </c>
      <c r="Y434" t="str">
        <f t="shared" si="67"/>
        <v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6" ht="28" hidden="1" customHeight="1" outlineLevel="1">
      <c r="A435" s="309"/>
      <c r="B435" s="313"/>
      <c r="C435" s="313"/>
      <c r="D435" s="313"/>
      <c r="E435" s="311"/>
      <c r="F435" s="313"/>
      <c r="G435" s="313"/>
      <c r="H435" s="312" t="str">
        <f t="shared" si="60"/>
        <v/>
      </c>
      <c r="I435" s="313" t="str">
        <f t="shared" si="61"/>
        <v/>
      </c>
      <c r="J435" s="313"/>
      <c r="K435" s="313"/>
      <c r="L435" s="313"/>
      <c r="P435" t="str">
        <f t="shared" si="62"/>
        <v/>
      </c>
      <c r="Q435" t="str">
        <f t="shared" si="63"/>
        <v/>
      </c>
      <c r="R435" t="str">
        <f>IF(P435="","",TEXT(H435,"yyyymm")&amp;"_"&amp;P435&amp;"_"&amp;(COUNTIFS($H$64:$H$500,H435,$P$64:$P$500,P435,$A$64:$A$500,"&gt;"&amp;A435)+COUNTIFS($H$64:H435,H435,$P$64:P435,P435,$A$64:A435,A435)))</f>
        <v/>
      </c>
      <c r="S435" t="str">
        <f t="shared" si="64"/>
        <v/>
      </c>
      <c r="T435" t="str">
        <f t="shared" si="65"/>
        <v/>
      </c>
      <c r="U435" t="str">
        <f t="shared" si="66"/>
        <v/>
      </c>
      <c r="Y435" t="str">
        <f t="shared" si="67"/>
        <v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6" ht="28" hidden="1" customHeight="1" outlineLevel="1">
      <c r="A436" s="309"/>
      <c r="B436" s="313"/>
      <c r="C436" s="313"/>
      <c r="D436" s="313"/>
      <c r="E436" s="311"/>
      <c r="F436" s="313"/>
      <c r="G436" s="313"/>
      <c r="H436" s="312" t="str">
        <f t="shared" si="60"/>
        <v/>
      </c>
      <c r="I436" s="313" t="str">
        <f t="shared" si="61"/>
        <v/>
      </c>
      <c r="J436" s="313"/>
      <c r="K436" s="313"/>
      <c r="L436" s="313"/>
      <c r="P436" t="str">
        <f t="shared" si="62"/>
        <v/>
      </c>
      <c r="Q436" t="str">
        <f t="shared" si="63"/>
        <v/>
      </c>
      <c r="R436" t="str">
        <f>IF(P436="","",TEXT(H436,"yyyymm")&amp;"_"&amp;P436&amp;"_"&amp;(COUNTIFS($H$64:$H$500,H436,$P$64:$P$500,P436,$A$64:$A$500,"&gt;"&amp;A436)+COUNTIFS($H$64:H436,H436,$P$64:P436,P436,$A$64:A436,A436)))</f>
        <v/>
      </c>
      <c r="S436" t="str">
        <f t="shared" si="64"/>
        <v/>
      </c>
      <c r="T436" t="str">
        <f t="shared" si="65"/>
        <v/>
      </c>
      <c r="U436" t="str">
        <f t="shared" si="66"/>
        <v/>
      </c>
      <c r="Y436" t="str">
        <f t="shared" si="67"/>
        <v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6" ht="28" hidden="1" customHeight="1" outlineLevel="1">
      <c r="A437" s="309"/>
      <c r="B437" s="313"/>
      <c r="C437" s="313"/>
      <c r="D437" s="313"/>
      <c r="E437" s="311"/>
      <c r="F437" s="313"/>
      <c r="G437" s="313"/>
      <c r="H437" s="312" t="str">
        <f t="shared" si="60"/>
        <v/>
      </c>
      <c r="I437" s="313" t="str">
        <f t="shared" si="61"/>
        <v/>
      </c>
      <c r="J437" s="313"/>
      <c r="K437" s="313"/>
      <c r="L437" s="313"/>
      <c r="P437" t="str">
        <f t="shared" si="62"/>
        <v/>
      </c>
      <c r="Q437" t="str">
        <f t="shared" si="63"/>
        <v/>
      </c>
      <c r="R437" t="str">
        <f>IF(P437="","",TEXT(H437,"yyyymm")&amp;"_"&amp;P437&amp;"_"&amp;(COUNTIFS($H$64:$H$500,H437,$P$64:$P$500,P437,$A$64:$A$500,"&gt;"&amp;A437)+COUNTIFS($H$64:H437,H437,$P$64:P437,P437,$A$64:A437,A437)))</f>
        <v/>
      </c>
      <c r="S437" t="str">
        <f t="shared" si="64"/>
        <v/>
      </c>
      <c r="T437" t="str">
        <f t="shared" si="65"/>
        <v/>
      </c>
      <c r="U437" t="str">
        <f t="shared" si="66"/>
        <v/>
      </c>
      <c r="Y437" t="str">
        <f t="shared" si="67"/>
        <v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6" ht="28" hidden="1" customHeight="1" outlineLevel="1">
      <c r="A438" s="309"/>
      <c r="B438" s="313"/>
      <c r="C438" s="313"/>
      <c r="D438" s="313"/>
      <c r="E438" s="311"/>
      <c r="F438" s="313"/>
      <c r="G438" s="313"/>
      <c r="H438" s="312" t="str">
        <f t="shared" si="60"/>
        <v/>
      </c>
      <c r="I438" s="313" t="str">
        <f t="shared" si="61"/>
        <v/>
      </c>
      <c r="J438" s="313"/>
      <c r="K438" s="313"/>
      <c r="L438" s="313"/>
      <c r="P438" t="str">
        <f t="shared" si="62"/>
        <v/>
      </c>
      <c r="Q438" t="str">
        <f t="shared" si="63"/>
        <v/>
      </c>
      <c r="R438" t="str">
        <f>IF(P438="","",TEXT(H438,"yyyymm")&amp;"_"&amp;P438&amp;"_"&amp;(COUNTIFS($H$64:$H$500,H438,$P$64:$P$500,P438,$A$64:$A$500,"&gt;"&amp;A438)+COUNTIFS($H$64:H438,H438,$P$64:P438,P438,$A$64:A438,A438)))</f>
        <v/>
      </c>
      <c r="S438" t="str">
        <f t="shared" si="64"/>
        <v/>
      </c>
      <c r="T438" t="str">
        <f t="shared" si="65"/>
        <v/>
      </c>
      <c r="U438" t="str">
        <f t="shared" si="66"/>
        <v/>
      </c>
      <c r="Y438" t="str">
        <f t="shared" si="67"/>
        <v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6" ht="28" hidden="1" customHeight="1" outlineLevel="1">
      <c r="A439" s="309"/>
      <c r="B439" s="313"/>
      <c r="C439" s="313"/>
      <c r="D439" s="313"/>
      <c r="E439" s="311"/>
      <c r="F439" s="313"/>
      <c r="G439" s="313"/>
      <c r="H439" s="312" t="str">
        <f t="shared" si="60"/>
        <v/>
      </c>
      <c r="I439" s="313" t="str">
        <f t="shared" si="61"/>
        <v/>
      </c>
      <c r="J439" s="313"/>
      <c r="K439" s="313"/>
      <c r="L439" s="313"/>
      <c r="P439" t="str">
        <f t="shared" si="62"/>
        <v/>
      </c>
      <c r="Q439" t="str">
        <f t="shared" si="63"/>
        <v/>
      </c>
      <c r="R439" t="str">
        <f>IF(P439="","",TEXT(H439,"yyyymm")&amp;"_"&amp;P439&amp;"_"&amp;(COUNTIFS($H$64:$H$500,H439,$P$64:$P$500,P439,$A$64:$A$500,"&gt;"&amp;A439)+COUNTIFS($H$64:H439,H439,$P$64:P439,P439,$A$64:A439,A439)))</f>
        <v/>
      </c>
      <c r="S439" t="str">
        <f t="shared" si="64"/>
        <v/>
      </c>
      <c r="T439" t="str">
        <f t="shared" si="65"/>
        <v/>
      </c>
      <c r="U439" t="str">
        <f t="shared" si="66"/>
        <v/>
      </c>
      <c r="Y439" t="str">
        <f t="shared" si="67"/>
        <v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6" ht="28" hidden="1" customHeight="1" outlineLevel="1">
      <c r="A440" s="309"/>
      <c r="B440" s="313"/>
      <c r="C440" s="313"/>
      <c r="D440" s="313"/>
      <c r="E440" s="311"/>
      <c r="F440" s="313"/>
      <c r="G440" s="313"/>
      <c r="H440" s="312" t="str">
        <f t="shared" si="60"/>
        <v/>
      </c>
      <c r="I440" s="313" t="str">
        <f t="shared" si="61"/>
        <v/>
      </c>
      <c r="J440" s="313"/>
      <c r="K440" s="313"/>
      <c r="L440" s="313"/>
      <c r="P440" t="str">
        <f t="shared" si="62"/>
        <v/>
      </c>
      <c r="Q440" t="str">
        <f t="shared" si="63"/>
        <v/>
      </c>
      <c r="R440" t="str">
        <f>IF(P440="","",TEXT(H440,"yyyymm")&amp;"_"&amp;P440&amp;"_"&amp;(COUNTIFS($H$64:$H$500,H440,$P$64:$P$500,P440,$A$64:$A$500,"&gt;"&amp;A440)+COUNTIFS($H$64:H440,H440,$P$64:P440,P440,$A$64:A440,A440)))</f>
        <v/>
      </c>
      <c r="S440" t="str">
        <f t="shared" si="64"/>
        <v/>
      </c>
      <c r="T440" t="str">
        <f t="shared" si="65"/>
        <v/>
      </c>
      <c r="U440" t="str">
        <f t="shared" si="66"/>
        <v/>
      </c>
      <c r="Y440" t="str">
        <f t="shared" si="67"/>
        <v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6" ht="28" hidden="1" customHeight="1" outlineLevel="1">
      <c r="A441" s="309"/>
      <c r="B441" s="313"/>
      <c r="C441" s="313"/>
      <c r="D441" s="313"/>
      <c r="E441" s="311"/>
      <c r="F441" s="313"/>
      <c r="G441" s="313"/>
      <c r="H441" s="312" t="str">
        <f t="shared" si="60"/>
        <v/>
      </c>
      <c r="I441" s="313" t="str">
        <f t="shared" si="61"/>
        <v/>
      </c>
      <c r="J441" s="313"/>
      <c r="K441" s="313"/>
      <c r="L441" s="313"/>
      <c r="P441" t="str">
        <f t="shared" si="62"/>
        <v/>
      </c>
      <c r="Q441" t="str">
        <f t="shared" si="63"/>
        <v/>
      </c>
      <c r="R441" t="str">
        <f>IF(P441="","",TEXT(H441,"yyyymm")&amp;"_"&amp;P441&amp;"_"&amp;(COUNTIFS($H$64:$H$500,H441,$P$64:$P$500,P441,$A$64:$A$500,"&gt;"&amp;A441)+COUNTIFS($H$64:H441,H441,$P$64:P441,P441,$A$64:A441,A441)))</f>
        <v/>
      </c>
      <c r="S441" t="str">
        <f t="shared" si="64"/>
        <v/>
      </c>
      <c r="T441" t="str">
        <f t="shared" si="65"/>
        <v/>
      </c>
      <c r="U441" t="str">
        <f t="shared" si="66"/>
        <v/>
      </c>
      <c r="Y441" t="str">
        <f t="shared" si="67"/>
        <v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6" ht="28" hidden="1" customHeight="1" outlineLevel="1">
      <c r="A442" s="309"/>
      <c r="B442" s="313"/>
      <c r="C442" s="313"/>
      <c r="D442" s="313"/>
      <c r="E442" s="311"/>
      <c r="F442" s="313"/>
      <c r="G442" s="313"/>
      <c r="H442" s="312" t="str">
        <f t="shared" si="60"/>
        <v/>
      </c>
      <c r="I442" s="313" t="str">
        <f t="shared" si="61"/>
        <v/>
      </c>
      <c r="J442" s="313"/>
      <c r="K442" s="313"/>
      <c r="L442" s="313"/>
      <c r="P442" t="str">
        <f t="shared" si="62"/>
        <v/>
      </c>
      <c r="Q442" t="str">
        <f t="shared" si="63"/>
        <v/>
      </c>
      <c r="R442" t="str">
        <f>IF(P442="","",TEXT(H442,"yyyymm")&amp;"_"&amp;P442&amp;"_"&amp;(COUNTIFS($H$64:$H$500,H442,$P$64:$P$500,P442,$A$64:$A$500,"&gt;"&amp;A442)+COUNTIFS($H$64:H442,H442,$P$64:P442,P442,$A$64:A442,A442)))</f>
        <v/>
      </c>
      <c r="S442" t="str">
        <f t="shared" si="64"/>
        <v/>
      </c>
      <c r="T442" t="str">
        <f t="shared" si="65"/>
        <v/>
      </c>
      <c r="U442" t="str">
        <f t="shared" si="66"/>
        <v/>
      </c>
      <c r="Y442" t="str">
        <f t="shared" si="67"/>
        <v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6" ht="28" hidden="1" customHeight="1" outlineLevel="1">
      <c r="A443" s="309"/>
      <c r="B443" s="313"/>
      <c r="C443" s="313"/>
      <c r="D443" s="313"/>
      <c r="E443" s="311"/>
      <c r="F443" s="313"/>
      <c r="G443" s="313"/>
      <c r="H443" s="312" t="str">
        <f t="shared" si="60"/>
        <v/>
      </c>
      <c r="I443" s="313" t="str">
        <f t="shared" si="61"/>
        <v/>
      </c>
      <c r="J443" s="313"/>
      <c r="K443" s="313"/>
      <c r="L443" s="313"/>
      <c r="P443" t="str">
        <f t="shared" si="62"/>
        <v/>
      </c>
      <c r="Q443" t="str">
        <f t="shared" si="63"/>
        <v/>
      </c>
      <c r="R443" t="str">
        <f>IF(P443="","",TEXT(H443,"yyyymm")&amp;"_"&amp;P443&amp;"_"&amp;(COUNTIFS($H$64:$H$500,H443,$P$64:$P$500,P443,$A$64:$A$500,"&gt;"&amp;A443)+COUNTIFS($H$64:H443,H443,$P$64:P443,P443,$A$64:A443,A443)))</f>
        <v/>
      </c>
      <c r="S443" t="str">
        <f t="shared" si="64"/>
        <v/>
      </c>
      <c r="T443" t="str">
        <f t="shared" si="65"/>
        <v/>
      </c>
      <c r="U443" t="str">
        <f t="shared" si="66"/>
        <v/>
      </c>
      <c r="Y443" t="str">
        <f t="shared" si="67"/>
        <v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6" ht="28" hidden="1" customHeight="1" outlineLevel="1">
      <c r="A444" s="309"/>
      <c r="B444" s="313"/>
      <c r="C444" s="313"/>
      <c r="D444" s="313"/>
      <c r="E444" s="311"/>
      <c r="F444" s="313"/>
      <c r="G444" s="313"/>
      <c r="H444" s="312" t="str">
        <f t="shared" si="60"/>
        <v/>
      </c>
      <c r="I444" s="313" t="str">
        <f t="shared" si="61"/>
        <v/>
      </c>
      <c r="J444" s="313"/>
      <c r="K444" s="313"/>
      <c r="L444" s="313"/>
      <c r="P444" t="str">
        <f t="shared" si="62"/>
        <v/>
      </c>
      <c r="Q444" t="str">
        <f t="shared" si="63"/>
        <v/>
      </c>
      <c r="R444" t="str">
        <f>IF(P444="","",TEXT(H444,"yyyymm")&amp;"_"&amp;P444&amp;"_"&amp;(COUNTIFS($H$64:$H$500,H444,$P$64:$P$500,P444,$A$64:$A$500,"&gt;"&amp;A444)+COUNTIFS($H$64:H444,H444,$P$64:P444,P444,$A$64:A444,A444)))</f>
        <v/>
      </c>
      <c r="S444" t="str">
        <f t="shared" si="64"/>
        <v/>
      </c>
      <c r="T444" t="str">
        <f t="shared" si="65"/>
        <v/>
      </c>
      <c r="U444" t="str">
        <f t="shared" si="66"/>
        <v/>
      </c>
      <c r="Y444" t="str">
        <f t="shared" si="67"/>
        <v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6" ht="28" hidden="1" customHeight="1" outlineLevel="1">
      <c r="A445" s="309"/>
      <c r="B445" s="313"/>
      <c r="C445" s="313"/>
      <c r="D445" s="313"/>
      <c r="E445" s="311"/>
      <c r="F445" s="313"/>
      <c r="G445" s="313"/>
      <c r="H445" s="312" t="str">
        <f t="shared" si="60"/>
        <v/>
      </c>
      <c r="I445" s="313" t="str">
        <f t="shared" si="61"/>
        <v/>
      </c>
      <c r="J445" s="313"/>
      <c r="K445" s="313"/>
      <c r="L445" s="313"/>
      <c r="P445" t="str">
        <f t="shared" si="62"/>
        <v/>
      </c>
      <c r="Q445" t="str">
        <f t="shared" si="63"/>
        <v/>
      </c>
      <c r="R445" t="str">
        <f>IF(P445="","",TEXT(H445,"yyyymm")&amp;"_"&amp;P445&amp;"_"&amp;(COUNTIFS($H$64:$H$500,H445,$P$64:$P$500,P445,$A$64:$A$500,"&gt;"&amp;A445)+COUNTIFS($H$64:H445,H445,$P$64:P445,P445,$A$64:A445,A445)))</f>
        <v/>
      </c>
      <c r="S445" t="str">
        <f t="shared" si="64"/>
        <v/>
      </c>
      <c r="T445" t="str">
        <f t="shared" si="65"/>
        <v/>
      </c>
      <c r="U445" t="str">
        <f t="shared" si="66"/>
        <v/>
      </c>
      <c r="Y445" t="str">
        <f t="shared" si="67"/>
        <v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6" ht="28" hidden="1" customHeight="1" outlineLevel="1">
      <c r="A446" s="309"/>
      <c r="B446" s="313"/>
      <c r="C446" s="313"/>
      <c r="D446" s="313"/>
      <c r="E446" s="311"/>
      <c r="F446" s="313"/>
      <c r="G446" s="313"/>
      <c r="H446" s="312" t="str">
        <f t="shared" si="60"/>
        <v/>
      </c>
      <c r="I446" s="313" t="str">
        <f t="shared" si="61"/>
        <v/>
      </c>
      <c r="J446" s="313"/>
      <c r="K446" s="313"/>
      <c r="L446" s="313"/>
      <c r="P446" t="str">
        <f t="shared" si="62"/>
        <v/>
      </c>
      <c r="Q446" t="str">
        <f t="shared" si="63"/>
        <v/>
      </c>
      <c r="R446" t="str">
        <f>IF(P446="","",TEXT(H446,"yyyymm")&amp;"_"&amp;P446&amp;"_"&amp;(COUNTIFS($H$64:$H$500,H446,$P$64:$P$500,P446,$A$64:$A$500,"&gt;"&amp;A446)+COUNTIFS($H$64:H446,H446,$P$64:P446,P446,$A$64:A446,A446)))</f>
        <v/>
      </c>
      <c r="S446" t="str">
        <f t="shared" si="64"/>
        <v/>
      </c>
      <c r="T446" t="str">
        <f t="shared" si="65"/>
        <v/>
      </c>
      <c r="U446" t="str">
        <f t="shared" si="66"/>
        <v/>
      </c>
      <c r="Y446" t="str">
        <f t="shared" si="67"/>
        <v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6" ht="28" hidden="1" customHeight="1" outlineLevel="1">
      <c r="A447" s="309"/>
      <c r="B447" s="313"/>
      <c r="C447" s="313"/>
      <c r="D447" s="313"/>
      <c r="E447" s="311"/>
      <c r="F447" s="313"/>
      <c r="G447" s="313"/>
      <c r="H447" s="312" t="str">
        <f t="shared" si="60"/>
        <v/>
      </c>
      <c r="I447" s="313" t="str">
        <f t="shared" si="61"/>
        <v/>
      </c>
      <c r="J447" s="313"/>
      <c r="K447" s="313"/>
      <c r="L447" s="313"/>
      <c r="P447" t="str">
        <f t="shared" si="62"/>
        <v/>
      </c>
      <c r="Q447" t="str">
        <f t="shared" si="63"/>
        <v/>
      </c>
      <c r="R447" t="str">
        <f>IF(P447="","",TEXT(H447,"yyyymm")&amp;"_"&amp;P447&amp;"_"&amp;(COUNTIFS($H$64:$H$500,H447,$P$64:$P$500,P447,$A$64:$A$500,"&gt;"&amp;A447)+COUNTIFS($H$64:H447,H447,$P$64:P447,P447,$A$64:A447,A447)))</f>
        <v/>
      </c>
      <c r="S447" t="str">
        <f t="shared" si="64"/>
        <v/>
      </c>
      <c r="T447" t="str">
        <f t="shared" si="65"/>
        <v/>
      </c>
      <c r="U447" t="str">
        <f t="shared" si="66"/>
        <v/>
      </c>
      <c r="Y447" t="str">
        <f t="shared" si="67"/>
        <v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6" ht="28" hidden="1" customHeight="1" outlineLevel="1">
      <c r="A448" s="309"/>
      <c r="B448" s="313"/>
      <c r="C448" s="313"/>
      <c r="D448" s="313"/>
      <c r="E448" s="311"/>
      <c r="F448" s="313"/>
      <c r="G448" s="313"/>
      <c r="H448" s="312" t="str">
        <f t="shared" ref="H448:H500" si="68">IF(A448="","",DATE(YEAR(A448),MONTH(A448),1))</f>
        <v/>
      </c>
      <c r="I448" s="313" t="str">
        <f t="shared" ref="I448:I500" si="69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  <v/>
      </c>
      <c r="J448" s="313"/>
      <c r="K448" s="313"/>
      <c r="L448" s="313"/>
      <c r="P448" t="str">
        <f t="shared" ref="P448:P500" si="70">IF(Q448="","",IF(Q448="이체","이체","내역"))</f>
        <v/>
      </c>
      <c r="Q448" t="str">
        <f t="shared" ref="Q448:Q500" si="71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  <v/>
      </c>
      <c r="R448" t="str">
        <f>IF(P448="","",TEXT(H448,"yyyymm")&amp;"_"&amp;P448&amp;"_"&amp;(COUNTIFS($H$64:$H$500,H448,$P$64:$P$500,P448,$A$64:$A$500,"&gt;"&amp;A448)+COUNTIFS($H$64:H448,H448,$P$64:P448,P448,$A$64:A448,A448)))</f>
        <v/>
      </c>
      <c r="S448" t="str">
        <f t="shared" ref="S448:S500" si="72">IF(Q448="","",D448)</f>
        <v/>
      </c>
      <c r="T448" t="str">
        <f t="shared" ref="T448:T500" si="73">IF(Q448="","",IF(Q448="이체",E448,IF(D448=Q448,E448,-E448)))</f>
        <v/>
      </c>
      <c r="U448" t="str">
        <f t="shared" ref="U448:U500" si="74">IF(Q448="","",IF(ISNUMBER(SEARCH("날짜 미기록",G448)),"날짜 미기록",A448))</f>
        <v/>
      </c>
      <c r="Y448" t="str">
        <f t="shared" ref="Y448:Y500" si="75">IF(A448="","",IF(I448="OK",E448,0))</f>
        <v/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6" ht="28" hidden="1" customHeight="1" outlineLevel="1">
      <c r="A449" s="309"/>
      <c r="B449" s="313"/>
      <c r="C449" s="313"/>
      <c r="D449" s="313"/>
      <c r="E449" s="311"/>
      <c r="F449" s="313"/>
      <c r="G449" s="313"/>
      <c r="H449" s="312" t="str">
        <f t="shared" si="68"/>
        <v/>
      </c>
      <c r="I449" s="313" t="str">
        <f t="shared" si="69"/>
        <v/>
      </c>
      <c r="J449" s="313"/>
      <c r="K449" s="313"/>
      <c r="L449" s="313"/>
      <c r="P449" t="str">
        <f t="shared" si="70"/>
        <v/>
      </c>
      <c r="Q449" t="str">
        <f t="shared" si="71"/>
        <v/>
      </c>
      <c r="R449" t="str">
        <f>IF(P449="","",TEXT(H449,"yyyymm")&amp;"_"&amp;P449&amp;"_"&amp;(COUNTIFS($H$64:$H$500,H449,$P$64:$P$500,P449,$A$64:$A$500,"&gt;"&amp;A449)+COUNTIFS($H$64:H449,H449,$P$64:P449,P449,$A$64:A449,A449)))</f>
        <v/>
      </c>
      <c r="S449" t="str">
        <f t="shared" si="72"/>
        <v/>
      </c>
      <c r="T449" t="str">
        <f t="shared" si="73"/>
        <v/>
      </c>
      <c r="U449" t="str">
        <f t="shared" si="74"/>
        <v/>
      </c>
      <c r="Y449" t="str">
        <f t="shared" si="75"/>
        <v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6" ht="28" hidden="1" customHeight="1" outlineLevel="1">
      <c r="A450" s="309"/>
      <c r="B450" s="313"/>
      <c r="C450" s="313"/>
      <c r="D450" s="313"/>
      <c r="E450" s="311"/>
      <c r="F450" s="313"/>
      <c r="G450" s="313"/>
      <c r="H450" s="312" t="str">
        <f t="shared" si="68"/>
        <v/>
      </c>
      <c r="I450" s="313" t="str">
        <f t="shared" si="69"/>
        <v/>
      </c>
      <c r="J450" s="313"/>
      <c r="K450" s="313"/>
      <c r="L450" s="313"/>
      <c r="P450" t="str">
        <f t="shared" si="70"/>
        <v/>
      </c>
      <c r="Q450" t="str">
        <f t="shared" si="71"/>
        <v/>
      </c>
      <c r="R450" t="str">
        <f>IF(P450="","",TEXT(H450,"yyyymm")&amp;"_"&amp;P450&amp;"_"&amp;(COUNTIFS($H$64:$H$500,H450,$P$64:$P$500,P450,$A$64:$A$500,"&gt;"&amp;A450)+COUNTIFS($H$64:H450,H450,$P$64:P450,P450,$A$64:A450,A450)))</f>
        <v/>
      </c>
      <c r="S450" t="str">
        <f t="shared" si="72"/>
        <v/>
      </c>
      <c r="T450" t="str">
        <f t="shared" si="73"/>
        <v/>
      </c>
      <c r="U450" t="str">
        <f t="shared" si="74"/>
        <v/>
      </c>
      <c r="Y450" t="str">
        <f t="shared" si="75"/>
        <v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6" ht="28" hidden="1" customHeight="1" outlineLevel="1">
      <c r="A451" s="309"/>
      <c r="B451" s="313"/>
      <c r="C451" s="313"/>
      <c r="D451" s="313"/>
      <c r="E451" s="311"/>
      <c r="F451" s="313"/>
      <c r="G451" s="313"/>
      <c r="H451" s="312" t="str">
        <f t="shared" si="68"/>
        <v/>
      </c>
      <c r="I451" s="313" t="str">
        <f t="shared" si="69"/>
        <v/>
      </c>
      <c r="J451" s="313"/>
      <c r="K451" s="313"/>
      <c r="L451" s="313"/>
      <c r="P451" t="str">
        <f t="shared" si="70"/>
        <v/>
      </c>
      <c r="Q451" t="str">
        <f t="shared" si="71"/>
        <v/>
      </c>
      <c r="R451" t="str">
        <f>IF(P451="","",TEXT(H451,"yyyymm")&amp;"_"&amp;P451&amp;"_"&amp;(COUNTIFS($H$64:$H$500,H451,$P$64:$P$500,P451,$A$64:$A$500,"&gt;"&amp;A451)+COUNTIFS($H$64:H451,H451,$P$64:P451,P451,$A$64:A451,A451)))</f>
        <v/>
      </c>
      <c r="S451" t="str">
        <f t="shared" si="72"/>
        <v/>
      </c>
      <c r="T451" t="str">
        <f t="shared" si="73"/>
        <v/>
      </c>
      <c r="U451" t="str">
        <f t="shared" si="74"/>
        <v/>
      </c>
      <c r="Y451" t="str">
        <f t="shared" si="75"/>
        <v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6" ht="28" hidden="1" customHeight="1" outlineLevel="1">
      <c r="A452" s="309"/>
      <c r="B452" s="313"/>
      <c r="C452" s="313"/>
      <c r="D452" s="313"/>
      <c r="E452" s="311"/>
      <c r="F452" s="313"/>
      <c r="G452" s="313"/>
      <c r="H452" s="312" t="str">
        <f t="shared" si="68"/>
        <v/>
      </c>
      <c r="I452" s="313" t="str">
        <f t="shared" si="69"/>
        <v/>
      </c>
      <c r="J452" s="313"/>
      <c r="K452" s="313"/>
      <c r="L452" s="313"/>
      <c r="P452" t="str">
        <f t="shared" si="70"/>
        <v/>
      </c>
      <c r="Q452" t="str">
        <f t="shared" si="71"/>
        <v/>
      </c>
      <c r="R452" t="str">
        <f>IF(P452="","",TEXT(H452,"yyyymm")&amp;"_"&amp;P452&amp;"_"&amp;(COUNTIFS($H$64:$H$500,H452,$P$64:$P$500,P452,$A$64:$A$500,"&gt;"&amp;A452)+COUNTIFS($H$64:H452,H452,$P$64:P452,P452,$A$64:A452,A452)))</f>
        <v/>
      </c>
      <c r="S452" t="str">
        <f t="shared" si="72"/>
        <v/>
      </c>
      <c r="T452" t="str">
        <f t="shared" si="73"/>
        <v/>
      </c>
      <c r="U452" t="str">
        <f t="shared" si="74"/>
        <v/>
      </c>
      <c r="Y452" t="str">
        <f t="shared" si="75"/>
        <v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6" ht="28" hidden="1" customHeight="1" outlineLevel="1">
      <c r="A453" s="309"/>
      <c r="B453" s="313"/>
      <c r="C453" s="313"/>
      <c r="D453" s="313"/>
      <c r="E453" s="311"/>
      <c r="F453" s="313"/>
      <c r="G453" s="313"/>
      <c r="H453" s="312" t="str">
        <f t="shared" si="68"/>
        <v/>
      </c>
      <c r="I453" s="313" t="str">
        <f t="shared" si="69"/>
        <v/>
      </c>
      <c r="J453" s="313"/>
      <c r="K453" s="313"/>
      <c r="L453" s="313"/>
      <c r="P453" t="str">
        <f t="shared" si="70"/>
        <v/>
      </c>
      <c r="Q453" t="str">
        <f t="shared" si="71"/>
        <v/>
      </c>
      <c r="R453" t="str">
        <f>IF(P453="","",TEXT(H453,"yyyymm")&amp;"_"&amp;P453&amp;"_"&amp;(COUNTIFS($H$64:$H$500,H453,$P$64:$P$500,P453,$A$64:$A$500,"&gt;"&amp;A453)+COUNTIFS($H$64:H453,H453,$P$64:P453,P453,$A$64:A453,A453)))</f>
        <v/>
      </c>
      <c r="S453" t="str">
        <f t="shared" si="72"/>
        <v/>
      </c>
      <c r="T453" t="str">
        <f t="shared" si="73"/>
        <v/>
      </c>
      <c r="U453" t="str">
        <f t="shared" si="74"/>
        <v/>
      </c>
      <c r="Y453" t="str">
        <f t="shared" si="75"/>
        <v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6" ht="28" hidden="1" customHeight="1" outlineLevel="1">
      <c r="A454" s="309"/>
      <c r="B454" s="313"/>
      <c r="C454" s="313"/>
      <c r="D454" s="313"/>
      <c r="E454" s="311"/>
      <c r="F454" s="313"/>
      <c r="G454" s="313"/>
      <c r="H454" s="312" t="str">
        <f t="shared" si="68"/>
        <v/>
      </c>
      <c r="I454" s="313" t="str">
        <f t="shared" si="69"/>
        <v/>
      </c>
      <c r="J454" s="313"/>
      <c r="K454" s="313"/>
      <c r="L454" s="313"/>
      <c r="P454" t="str">
        <f t="shared" si="70"/>
        <v/>
      </c>
      <c r="Q454" t="str">
        <f t="shared" si="71"/>
        <v/>
      </c>
      <c r="R454" t="str">
        <f>IF(P454="","",TEXT(H454,"yyyymm")&amp;"_"&amp;P454&amp;"_"&amp;(COUNTIFS($H$64:$H$500,H454,$P$64:$P$500,P454,$A$64:$A$500,"&gt;"&amp;A454)+COUNTIFS($H$64:H454,H454,$P$64:P454,P454,$A$64:A454,A454)))</f>
        <v/>
      </c>
      <c r="S454" t="str">
        <f t="shared" si="72"/>
        <v/>
      </c>
      <c r="T454" t="str">
        <f t="shared" si="73"/>
        <v/>
      </c>
      <c r="U454" t="str">
        <f t="shared" si="74"/>
        <v/>
      </c>
      <c r="Y454" t="str">
        <f t="shared" si="75"/>
        <v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6" ht="28" hidden="1" customHeight="1" outlineLevel="1">
      <c r="A455" s="309"/>
      <c r="B455" s="313"/>
      <c r="C455" s="313"/>
      <c r="D455" s="313"/>
      <c r="E455" s="311"/>
      <c r="F455" s="313"/>
      <c r="G455" s="313"/>
      <c r="H455" s="312" t="str">
        <f t="shared" si="68"/>
        <v/>
      </c>
      <c r="I455" s="313" t="str">
        <f t="shared" si="69"/>
        <v/>
      </c>
      <c r="J455" s="313"/>
      <c r="K455" s="313"/>
      <c r="L455" s="313"/>
      <c r="P455" t="str">
        <f t="shared" si="70"/>
        <v/>
      </c>
      <c r="Q455" t="str">
        <f t="shared" si="71"/>
        <v/>
      </c>
      <c r="R455" t="str">
        <f>IF(P455="","",TEXT(H455,"yyyymm")&amp;"_"&amp;P455&amp;"_"&amp;(COUNTIFS($H$64:$H$500,H455,$P$64:$P$500,P455,$A$64:$A$500,"&gt;"&amp;A455)+COUNTIFS($H$64:H455,H455,$P$64:P455,P455,$A$64:A455,A455)))</f>
        <v/>
      </c>
      <c r="S455" t="str">
        <f t="shared" si="72"/>
        <v/>
      </c>
      <c r="T455" t="str">
        <f t="shared" si="73"/>
        <v/>
      </c>
      <c r="U455" t="str">
        <f t="shared" si="74"/>
        <v/>
      </c>
      <c r="Y455" t="str">
        <f t="shared" si="75"/>
        <v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6" ht="28" hidden="1" customHeight="1" outlineLevel="1">
      <c r="A456" s="309"/>
      <c r="B456" s="313"/>
      <c r="C456" s="313"/>
      <c r="D456" s="313"/>
      <c r="E456" s="311"/>
      <c r="F456" s="313"/>
      <c r="G456" s="313"/>
      <c r="H456" s="312" t="str">
        <f t="shared" si="68"/>
        <v/>
      </c>
      <c r="I456" s="313" t="str">
        <f t="shared" si="69"/>
        <v/>
      </c>
      <c r="J456" s="313"/>
      <c r="K456" s="313"/>
      <c r="L456" s="313"/>
      <c r="P456" t="str">
        <f t="shared" si="70"/>
        <v/>
      </c>
      <c r="Q456" t="str">
        <f t="shared" si="71"/>
        <v/>
      </c>
      <c r="R456" t="str">
        <f>IF(P456="","",TEXT(H456,"yyyymm")&amp;"_"&amp;P456&amp;"_"&amp;(COUNTIFS($H$64:$H$500,H456,$P$64:$P$500,P456,$A$64:$A$500,"&gt;"&amp;A456)+COUNTIFS($H$64:H456,H456,$P$64:P456,P456,$A$64:A456,A456)))</f>
        <v/>
      </c>
      <c r="S456" t="str">
        <f t="shared" si="72"/>
        <v/>
      </c>
      <c r="T456" t="str">
        <f t="shared" si="73"/>
        <v/>
      </c>
      <c r="U456" t="str">
        <f t="shared" si="74"/>
        <v/>
      </c>
      <c r="Y456" t="str">
        <f t="shared" si="75"/>
        <v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6" ht="28" hidden="1" customHeight="1" outlineLevel="1">
      <c r="A457" s="309"/>
      <c r="B457" s="313"/>
      <c r="C457" s="313"/>
      <c r="D457" s="313"/>
      <c r="E457" s="311"/>
      <c r="F457" s="313"/>
      <c r="G457" s="313"/>
      <c r="H457" s="312" t="str">
        <f t="shared" si="68"/>
        <v/>
      </c>
      <c r="I457" s="313" t="str">
        <f t="shared" si="69"/>
        <v/>
      </c>
      <c r="J457" s="313"/>
      <c r="K457" s="313"/>
      <c r="L457" s="313"/>
      <c r="P457" t="str">
        <f t="shared" si="70"/>
        <v/>
      </c>
      <c r="Q457" t="str">
        <f t="shared" si="71"/>
        <v/>
      </c>
      <c r="R457" t="str">
        <f>IF(P457="","",TEXT(H457,"yyyymm")&amp;"_"&amp;P457&amp;"_"&amp;(COUNTIFS($H$64:$H$500,H457,$P$64:$P$500,P457,$A$64:$A$500,"&gt;"&amp;A457)+COUNTIFS($H$64:H457,H457,$P$64:P457,P457,$A$64:A457,A457)))</f>
        <v/>
      </c>
      <c r="S457" t="str">
        <f t="shared" si="72"/>
        <v/>
      </c>
      <c r="T457" t="str">
        <f t="shared" si="73"/>
        <v/>
      </c>
      <c r="U457" t="str">
        <f t="shared" si="74"/>
        <v/>
      </c>
      <c r="Y457" t="str">
        <f t="shared" si="75"/>
        <v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6" ht="28" hidden="1" customHeight="1" outlineLevel="1">
      <c r="A458" s="309"/>
      <c r="B458" s="313"/>
      <c r="C458" s="313"/>
      <c r="D458" s="313"/>
      <c r="E458" s="311"/>
      <c r="F458" s="313"/>
      <c r="G458" s="313"/>
      <c r="H458" s="312" t="str">
        <f t="shared" si="68"/>
        <v/>
      </c>
      <c r="I458" s="313" t="str">
        <f t="shared" si="69"/>
        <v/>
      </c>
      <c r="J458" s="313"/>
      <c r="K458" s="313"/>
      <c r="L458" s="313"/>
      <c r="P458" t="str">
        <f t="shared" si="70"/>
        <v/>
      </c>
      <c r="Q458" t="str">
        <f t="shared" si="71"/>
        <v/>
      </c>
      <c r="R458" t="str">
        <f>IF(P458="","",TEXT(H458,"yyyymm")&amp;"_"&amp;P458&amp;"_"&amp;(COUNTIFS($H$64:$H$500,H458,$P$64:$P$500,P458,$A$64:$A$500,"&gt;"&amp;A458)+COUNTIFS($H$64:H458,H458,$P$64:P458,P458,$A$64:A458,A458)))</f>
        <v/>
      </c>
      <c r="S458" t="str">
        <f t="shared" si="72"/>
        <v/>
      </c>
      <c r="T458" t="str">
        <f t="shared" si="73"/>
        <v/>
      </c>
      <c r="U458" t="str">
        <f t="shared" si="74"/>
        <v/>
      </c>
      <c r="Y458" t="str">
        <f t="shared" si="75"/>
        <v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6" ht="28" hidden="1" customHeight="1" outlineLevel="1">
      <c r="A459" s="309"/>
      <c r="B459" s="313"/>
      <c r="C459" s="313"/>
      <c r="D459" s="313"/>
      <c r="E459" s="311"/>
      <c r="F459" s="313"/>
      <c r="G459" s="313"/>
      <c r="H459" s="312" t="str">
        <f t="shared" si="68"/>
        <v/>
      </c>
      <c r="I459" s="313" t="str">
        <f t="shared" si="69"/>
        <v/>
      </c>
      <c r="J459" s="313"/>
      <c r="K459" s="313"/>
      <c r="L459" s="313"/>
      <c r="P459" t="str">
        <f t="shared" si="70"/>
        <v/>
      </c>
      <c r="Q459" t="str">
        <f t="shared" si="71"/>
        <v/>
      </c>
      <c r="R459" t="str">
        <f>IF(P459="","",TEXT(H459,"yyyymm")&amp;"_"&amp;P459&amp;"_"&amp;(COUNTIFS($H$64:$H$500,H459,$P$64:$P$500,P459,$A$64:$A$500,"&gt;"&amp;A459)+COUNTIFS($H$64:H459,H459,$P$64:P459,P459,$A$64:A459,A459)))</f>
        <v/>
      </c>
      <c r="S459" t="str">
        <f t="shared" si="72"/>
        <v/>
      </c>
      <c r="T459" t="str">
        <f t="shared" si="73"/>
        <v/>
      </c>
      <c r="U459" t="str">
        <f t="shared" si="74"/>
        <v/>
      </c>
      <c r="Y459" t="str">
        <f t="shared" si="75"/>
        <v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6" ht="28" hidden="1" customHeight="1" outlineLevel="1">
      <c r="A460" s="309"/>
      <c r="B460" s="313"/>
      <c r="C460" s="313"/>
      <c r="D460" s="313"/>
      <c r="E460" s="311"/>
      <c r="F460" s="313"/>
      <c r="G460" s="313"/>
      <c r="H460" s="312" t="str">
        <f t="shared" si="68"/>
        <v/>
      </c>
      <c r="I460" s="313" t="str">
        <f t="shared" si="69"/>
        <v/>
      </c>
      <c r="J460" s="313"/>
      <c r="K460" s="313"/>
      <c r="L460" s="313"/>
      <c r="P460" t="str">
        <f t="shared" si="70"/>
        <v/>
      </c>
      <c r="Q460" t="str">
        <f t="shared" si="71"/>
        <v/>
      </c>
      <c r="R460" t="str">
        <f>IF(P460="","",TEXT(H460,"yyyymm")&amp;"_"&amp;P460&amp;"_"&amp;(COUNTIFS($H$64:$H$500,H460,$P$64:$P$500,P460,$A$64:$A$500,"&gt;"&amp;A460)+COUNTIFS($H$64:H460,H460,$P$64:P460,P460,$A$64:A460,A460)))</f>
        <v/>
      </c>
      <c r="S460" t="str">
        <f t="shared" si="72"/>
        <v/>
      </c>
      <c r="T460" t="str">
        <f t="shared" si="73"/>
        <v/>
      </c>
      <c r="U460" t="str">
        <f t="shared" si="74"/>
        <v/>
      </c>
      <c r="Y460" t="str">
        <f t="shared" si="75"/>
        <v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6" ht="28" hidden="1" customHeight="1" outlineLevel="1">
      <c r="A461" s="309"/>
      <c r="B461" s="313"/>
      <c r="C461" s="313"/>
      <c r="D461" s="313"/>
      <c r="E461" s="311"/>
      <c r="F461" s="313"/>
      <c r="G461" s="313"/>
      <c r="H461" s="312" t="str">
        <f t="shared" si="68"/>
        <v/>
      </c>
      <c r="I461" s="313" t="str">
        <f t="shared" si="69"/>
        <v/>
      </c>
      <c r="J461" s="313"/>
      <c r="K461" s="313"/>
      <c r="L461" s="313"/>
      <c r="P461" t="str">
        <f t="shared" si="70"/>
        <v/>
      </c>
      <c r="Q461" t="str">
        <f t="shared" si="71"/>
        <v/>
      </c>
      <c r="R461" t="str">
        <f>IF(P461="","",TEXT(H461,"yyyymm")&amp;"_"&amp;P461&amp;"_"&amp;(COUNTIFS($H$64:$H$500,H461,$P$64:$P$500,P461,$A$64:$A$500,"&gt;"&amp;A461)+COUNTIFS($H$64:H461,H461,$P$64:P461,P461,$A$64:A461,A461)))</f>
        <v/>
      </c>
      <c r="S461" t="str">
        <f t="shared" si="72"/>
        <v/>
      </c>
      <c r="T461" t="str">
        <f t="shared" si="73"/>
        <v/>
      </c>
      <c r="U461" t="str">
        <f t="shared" si="74"/>
        <v/>
      </c>
      <c r="Y461" t="str">
        <f t="shared" si="75"/>
        <v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6" ht="28" hidden="1" customHeight="1" outlineLevel="1">
      <c r="A462" s="309"/>
      <c r="B462" s="313"/>
      <c r="C462" s="313"/>
      <c r="D462" s="313"/>
      <c r="E462" s="311"/>
      <c r="F462" s="313"/>
      <c r="G462" s="313"/>
      <c r="H462" s="312" t="str">
        <f t="shared" si="68"/>
        <v/>
      </c>
      <c r="I462" s="313" t="str">
        <f t="shared" si="69"/>
        <v/>
      </c>
      <c r="J462" s="313"/>
      <c r="K462" s="313"/>
      <c r="L462" s="313"/>
      <c r="P462" t="str">
        <f t="shared" si="70"/>
        <v/>
      </c>
      <c r="Q462" t="str">
        <f t="shared" si="71"/>
        <v/>
      </c>
      <c r="R462" t="str">
        <f>IF(P462="","",TEXT(H462,"yyyymm")&amp;"_"&amp;P462&amp;"_"&amp;(COUNTIFS($H$64:$H$500,H462,$P$64:$P$500,P462,$A$64:$A$500,"&gt;"&amp;A462)+COUNTIFS($H$64:H462,H462,$P$64:P462,P462,$A$64:A462,A462)))</f>
        <v/>
      </c>
      <c r="S462" t="str">
        <f t="shared" si="72"/>
        <v/>
      </c>
      <c r="T462" t="str">
        <f t="shared" si="73"/>
        <v/>
      </c>
      <c r="U462" t="str">
        <f t="shared" si="74"/>
        <v/>
      </c>
      <c r="Y462" t="str">
        <f t="shared" si="75"/>
        <v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6" ht="28" hidden="1" customHeight="1" outlineLevel="1">
      <c r="A463" s="309"/>
      <c r="B463" s="313"/>
      <c r="C463" s="313"/>
      <c r="D463" s="313"/>
      <c r="E463" s="311"/>
      <c r="F463" s="313"/>
      <c r="G463" s="313"/>
      <c r="H463" s="312" t="str">
        <f t="shared" si="68"/>
        <v/>
      </c>
      <c r="I463" s="313" t="str">
        <f t="shared" si="69"/>
        <v/>
      </c>
      <c r="J463" s="313"/>
      <c r="K463" s="313"/>
      <c r="L463" s="313"/>
      <c r="P463" t="str">
        <f t="shared" si="70"/>
        <v/>
      </c>
      <c r="Q463" t="str">
        <f t="shared" si="71"/>
        <v/>
      </c>
      <c r="R463" t="str">
        <f>IF(P463="","",TEXT(H463,"yyyymm")&amp;"_"&amp;P463&amp;"_"&amp;(COUNTIFS($H$64:$H$500,H463,$P$64:$P$500,P463,$A$64:$A$500,"&gt;"&amp;A463)+COUNTIFS($H$64:H463,H463,$P$64:P463,P463,$A$64:A463,A463)))</f>
        <v/>
      </c>
      <c r="S463" t="str">
        <f t="shared" si="72"/>
        <v/>
      </c>
      <c r="T463" t="str">
        <f t="shared" si="73"/>
        <v/>
      </c>
      <c r="U463" t="str">
        <f t="shared" si="74"/>
        <v/>
      </c>
      <c r="Y463" t="str">
        <f t="shared" si="75"/>
        <v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6" ht="28" hidden="1" customHeight="1" outlineLevel="1">
      <c r="A464" s="309"/>
      <c r="B464" s="313"/>
      <c r="C464" s="313"/>
      <c r="D464" s="313"/>
      <c r="E464" s="311"/>
      <c r="F464" s="313"/>
      <c r="G464" s="313"/>
      <c r="H464" s="312" t="str">
        <f t="shared" si="68"/>
        <v/>
      </c>
      <c r="I464" s="313" t="str">
        <f t="shared" si="69"/>
        <v/>
      </c>
      <c r="J464" s="313"/>
      <c r="K464" s="313"/>
      <c r="L464" s="313"/>
      <c r="P464" t="str">
        <f t="shared" si="70"/>
        <v/>
      </c>
      <c r="Q464" t="str">
        <f t="shared" si="71"/>
        <v/>
      </c>
      <c r="R464" t="str">
        <f>IF(P464="","",TEXT(H464,"yyyymm")&amp;"_"&amp;P464&amp;"_"&amp;(COUNTIFS($H$64:$H$500,H464,$P$64:$P$500,P464,$A$64:$A$500,"&gt;"&amp;A464)+COUNTIFS($H$64:H464,H464,$P$64:P464,P464,$A$64:A464,A464)))</f>
        <v/>
      </c>
      <c r="S464" t="str">
        <f t="shared" si="72"/>
        <v/>
      </c>
      <c r="T464" t="str">
        <f t="shared" si="73"/>
        <v/>
      </c>
      <c r="U464" t="str">
        <f t="shared" si="74"/>
        <v/>
      </c>
      <c r="Y464" t="str">
        <f t="shared" si="75"/>
        <v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6" ht="28" hidden="1" customHeight="1" outlineLevel="1">
      <c r="A465" s="309"/>
      <c r="B465" s="313"/>
      <c r="C465" s="313"/>
      <c r="D465" s="313"/>
      <c r="E465" s="311"/>
      <c r="F465" s="313"/>
      <c r="G465" s="313"/>
      <c r="H465" s="312" t="str">
        <f t="shared" si="68"/>
        <v/>
      </c>
      <c r="I465" s="313" t="str">
        <f t="shared" si="69"/>
        <v/>
      </c>
      <c r="J465" s="313"/>
      <c r="K465" s="313"/>
      <c r="L465" s="313"/>
      <c r="P465" t="str">
        <f t="shared" si="70"/>
        <v/>
      </c>
      <c r="Q465" t="str">
        <f t="shared" si="71"/>
        <v/>
      </c>
      <c r="R465" t="str">
        <f>IF(P465="","",TEXT(H465,"yyyymm")&amp;"_"&amp;P465&amp;"_"&amp;(COUNTIFS($H$64:$H$500,H465,$P$64:$P$500,P465,$A$64:$A$500,"&gt;"&amp;A465)+COUNTIFS($H$64:H465,H465,$P$64:P465,P465,$A$64:A465,A465)))</f>
        <v/>
      </c>
      <c r="S465" t="str">
        <f t="shared" si="72"/>
        <v/>
      </c>
      <c r="T465" t="str">
        <f t="shared" si="73"/>
        <v/>
      </c>
      <c r="U465" t="str">
        <f t="shared" si="74"/>
        <v/>
      </c>
      <c r="Y465" t="str">
        <f t="shared" si="75"/>
        <v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6" ht="28" hidden="1" customHeight="1" outlineLevel="1">
      <c r="A466" s="309"/>
      <c r="B466" s="313"/>
      <c r="C466" s="313"/>
      <c r="D466" s="313"/>
      <c r="E466" s="311"/>
      <c r="F466" s="313"/>
      <c r="G466" s="313"/>
      <c r="H466" s="312" t="str">
        <f t="shared" si="68"/>
        <v/>
      </c>
      <c r="I466" s="313" t="str">
        <f t="shared" si="69"/>
        <v/>
      </c>
      <c r="J466" s="313"/>
      <c r="K466" s="313"/>
      <c r="L466" s="313"/>
      <c r="P466" t="str">
        <f t="shared" si="70"/>
        <v/>
      </c>
      <c r="Q466" t="str">
        <f t="shared" si="71"/>
        <v/>
      </c>
      <c r="R466" t="str">
        <f>IF(P466="","",TEXT(H466,"yyyymm")&amp;"_"&amp;P466&amp;"_"&amp;(COUNTIFS($H$64:$H$500,H466,$P$64:$P$500,P466,$A$64:$A$500,"&gt;"&amp;A466)+COUNTIFS($H$64:H466,H466,$P$64:P466,P466,$A$64:A466,A466)))</f>
        <v/>
      </c>
      <c r="S466" t="str">
        <f t="shared" si="72"/>
        <v/>
      </c>
      <c r="T466" t="str">
        <f t="shared" si="73"/>
        <v/>
      </c>
      <c r="U466" t="str">
        <f t="shared" si="74"/>
        <v/>
      </c>
      <c r="Y466" t="str">
        <f t="shared" si="75"/>
        <v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6" ht="28" hidden="1" customHeight="1" outlineLevel="1">
      <c r="A467" s="309"/>
      <c r="B467" s="313"/>
      <c r="C467" s="313"/>
      <c r="D467" s="313"/>
      <c r="E467" s="311"/>
      <c r="F467" s="313"/>
      <c r="G467" s="313"/>
      <c r="H467" s="312" t="str">
        <f t="shared" si="68"/>
        <v/>
      </c>
      <c r="I467" s="313" t="str">
        <f t="shared" si="69"/>
        <v/>
      </c>
      <c r="J467" s="313"/>
      <c r="K467" s="313"/>
      <c r="L467" s="313"/>
      <c r="P467" t="str">
        <f t="shared" si="70"/>
        <v/>
      </c>
      <c r="Q467" t="str">
        <f t="shared" si="71"/>
        <v/>
      </c>
      <c r="R467" t="str">
        <f>IF(P467="","",TEXT(H467,"yyyymm")&amp;"_"&amp;P467&amp;"_"&amp;(COUNTIFS($H$64:$H$500,H467,$P$64:$P$500,P467,$A$64:$A$500,"&gt;"&amp;A467)+COUNTIFS($H$64:H467,H467,$P$64:P467,P467,$A$64:A467,A467)))</f>
        <v/>
      </c>
      <c r="S467" t="str">
        <f t="shared" si="72"/>
        <v/>
      </c>
      <c r="T467" t="str">
        <f t="shared" si="73"/>
        <v/>
      </c>
      <c r="U467" t="str">
        <f t="shared" si="74"/>
        <v/>
      </c>
      <c r="Y467" t="str">
        <f t="shared" si="75"/>
        <v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6" ht="28" hidden="1" customHeight="1" outlineLevel="1">
      <c r="A468" s="309"/>
      <c r="B468" s="313"/>
      <c r="C468" s="313"/>
      <c r="D468" s="313"/>
      <c r="E468" s="311"/>
      <c r="F468" s="313"/>
      <c r="G468" s="313"/>
      <c r="H468" s="312" t="str">
        <f t="shared" si="68"/>
        <v/>
      </c>
      <c r="I468" s="313" t="str">
        <f t="shared" si="69"/>
        <v/>
      </c>
      <c r="J468" s="313"/>
      <c r="K468" s="313"/>
      <c r="L468" s="313"/>
      <c r="P468" t="str">
        <f t="shared" si="70"/>
        <v/>
      </c>
      <c r="Q468" t="str">
        <f t="shared" si="71"/>
        <v/>
      </c>
      <c r="R468" t="str">
        <f>IF(P468="","",TEXT(H468,"yyyymm")&amp;"_"&amp;P468&amp;"_"&amp;(COUNTIFS($H$64:$H$500,H468,$P$64:$P$500,P468,$A$64:$A$500,"&gt;"&amp;A468)+COUNTIFS($H$64:H468,H468,$P$64:P468,P468,$A$64:A468,A468)))</f>
        <v/>
      </c>
      <c r="S468" t="str">
        <f t="shared" si="72"/>
        <v/>
      </c>
      <c r="T468" t="str">
        <f t="shared" si="73"/>
        <v/>
      </c>
      <c r="U468" t="str">
        <f t="shared" si="74"/>
        <v/>
      </c>
      <c r="Y468" t="str">
        <f t="shared" si="75"/>
        <v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6" ht="28" hidden="1" customHeight="1" outlineLevel="1">
      <c r="A469" s="309"/>
      <c r="B469" s="313"/>
      <c r="C469" s="313"/>
      <c r="D469" s="313"/>
      <c r="E469" s="311"/>
      <c r="F469" s="313"/>
      <c r="G469" s="313"/>
      <c r="H469" s="312" t="str">
        <f t="shared" si="68"/>
        <v/>
      </c>
      <c r="I469" s="313" t="str">
        <f t="shared" si="69"/>
        <v/>
      </c>
      <c r="J469" s="313"/>
      <c r="K469" s="313"/>
      <c r="L469" s="313"/>
      <c r="P469" t="str">
        <f t="shared" si="70"/>
        <v/>
      </c>
      <c r="Q469" t="str">
        <f t="shared" si="71"/>
        <v/>
      </c>
      <c r="R469" t="str">
        <f>IF(P469="","",TEXT(H469,"yyyymm")&amp;"_"&amp;P469&amp;"_"&amp;(COUNTIFS($H$64:$H$500,H469,$P$64:$P$500,P469,$A$64:$A$500,"&gt;"&amp;A469)+COUNTIFS($H$64:H469,H469,$P$64:P469,P469,$A$64:A469,A469)))</f>
        <v/>
      </c>
      <c r="S469" t="str">
        <f t="shared" si="72"/>
        <v/>
      </c>
      <c r="T469" t="str">
        <f t="shared" si="73"/>
        <v/>
      </c>
      <c r="U469" t="str">
        <f t="shared" si="74"/>
        <v/>
      </c>
      <c r="Y469" t="str">
        <f t="shared" si="75"/>
        <v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6" ht="28" hidden="1" customHeight="1" outlineLevel="1">
      <c r="A470" s="309"/>
      <c r="B470" s="313"/>
      <c r="C470" s="313"/>
      <c r="D470" s="313"/>
      <c r="E470" s="311"/>
      <c r="F470" s="313"/>
      <c r="G470" s="313"/>
      <c r="H470" s="312" t="str">
        <f t="shared" si="68"/>
        <v/>
      </c>
      <c r="I470" s="313" t="str">
        <f t="shared" si="69"/>
        <v/>
      </c>
      <c r="J470" s="313"/>
      <c r="K470" s="313"/>
      <c r="L470" s="313"/>
      <c r="P470" t="str">
        <f t="shared" si="70"/>
        <v/>
      </c>
      <c r="Q470" t="str">
        <f t="shared" si="71"/>
        <v/>
      </c>
      <c r="R470" t="str">
        <f>IF(P470="","",TEXT(H470,"yyyymm")&amp;"_"&amp;P470&amp;"_"&amp;(COUNTIFS($H$64:$H$500,H470,$P$64:$P$500,P470,$A$64:$A$500,"&gt;"&amp;A470)+COUNTIFS($H$64:H470,H470,$P$64:P470,P470,$A$64:A470,A470)))</f>
        <v/>
      </c>
      <c r="S470" t="str">
        <f t="shared" si="72"/>
        <v/>
      </c>
      <c r="T470" t="str">
        <f t="shared" si="73"/>
        <v/>
      </c>
      <c r="U470" t="str">
        <f t="shared" si="74"/>
        <v/>
      </c>
      <c r="Y470" t="str">
        <f t="shared" si="75"/>
        <v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6" ht="28" hidden="1" customHeight="1" outlineLevel="1">
      <c r="A471" s="309"/>
      <c r="B471" s="313"/>
      <c r="C471" s="313"/>
      <c r="D471" s="313"/>
      <c r="E471" s="311"/>
      <c r="F471" s="313"/>
      <c r="G471" s="313"/>
      <c r="H471" s="312" t="str">
        <f t="shared" si="68"/>
        <v/>
      </c>
      <c r="I471" s="313" t="str">
        <f t="shared" si="69"/>
        <v/>
      </c>
      <c r="J471" s="313"/>
      <c r="K471" s="313"/>
      <c r="L471" s="313"/>
      <c r="P471" t="str">
        <f t="shared" si="70"/>
        <v/>
      </c>
      <c r="Q471" t="str">
        <f t="shared" si="71"/>
        <v/>
      </c>
      <c r="R471" t="str">
        <f>IF(P471="","",TEXT(H471,"yyyymm")&amp;"_"&amp;P471&amp;"_"&amp;(COUNTIFS($H$64:$H$500,H471,$P$64:$P$500,P471,$A$64:$A$500,"&gt;"&amp;A471)+COUNTIFS($H$64:H471,H471,$P$64:P471,P471,$A$64:A471,A471)))</f>
        <v/>
      </c>
      <c r="S471" t="str">
        <f t="shared" si="72"/>
        <v/>
      </c>
      <c r="T471" t="str">
        <f t="shared" si="73"/>
        <v/>
      </c>
      <c r="U471" t="str">
        <f t="shared" si="74"/>
        <v/>
      </c>
      <c r="Y471" t="str">
        <f t="shared" si="75"/>
        <v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6" ht="28" hidden="1" customHeight="1" outlineLevel="1">
      <c r="A472" s="309"/>
      <c r="B472" s="313"/>
      <c r="C472" s="313"/>
      <c r="D472" s="313"/>
      <c r="E472" s="311"/>
      <c r="F472" s="313"/>
      <c r="G472" s="313"/>
      <c r="H472" s="312" t="str">
        <f t="shared" si="68"/>
        <v/>
      </c>
      <c r="I472" s="313" t="str">
        <f t="shared" si="69"/>
        <v/>
      </c>
      <c r="J472" s="313"/>
      <c r="K472" s="313"/>
      <c r="L472" s="313"/>
      <c r="P472" t="str">
        <f t="shared" si="70"/>
        <v/>
      </c>
      <c r="Q472" t="str">
        <f t="shared" si="71"/>
        <v/>
      </c>
      <c r="R472" t="str">
        <f>IF(P472="","",TEXT(H472,"yyyymm")&amp;"_"&amp;P472&amp;"_"&amp;(COUNTIFS($H$64:$H$500,H472,$P$64:$P$500,P472,$A$64:$A$500,"&gt;"&amp;A472)+COUNTIFS($H$64:H472,H472,$P$64:P472,P472,$A$64:A472,A472)))</f>
        <v/>
      </c>
      <c r="S472" t="str">
        <f t="shared" si="72"/>
        <v/>
      </c>
      <c r="T472" t="str">
        <f t="shared" si="73"/>
        <v/>
      </c>
      <c r="U472" t="str">
        <f t="shared" si="74"/>
        <v/>
      </c>
      <c r="Y472" t="str">
        <f t="shared" si="75"/>
        <v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6" ht="28" hidden="1" customHeight="1" outlineLevel="1">
      <c r="A473" s="309"/>
      <c r="B473" s="313"/>
      <c r="C473" s="313"/>
      <c r="D473" s="313"/>
      <c r="E473" s="311"/>
      <c r="F473" s="313"/>
      <c r="G473" s="313"/>
      <c r="H473" s="312" t="str">
        <f t="shared" si="68"/>
        <v/>
      </c>
      <c r="I473" s="313" t="str">
        <f t="shared" si="69"/>
        <v/>
      </c>
      <c r="J473" s="313"/>
      <c r="K473" s="313"/>
      <c r="L473" s="313"/>
      <c r="P473" t="str">
        <f t="shared" si="70"/>
        <v/>
      </c>
      <c r="Q473" t="str">
        <f t="shared" si="71"/>
        <v/>
      </c>
      <c r="R473" t="str">
        <f>IF(P473="","",TEXT(H473,"yyyymm")&amp;"_"&amp;P473&amp;"_"&amp;(COUNTIFS($H$64:$H$500,H473,$P$64:$P$500,P473,$A$64:$A$500,"&gt;"&amp;A473)+COUNTIFS($H$64:H473,H473,$P$64:P473,P473,$A$64:A473,A473)))</f>
        <v/>
      </c>
      <c r="S473" t="str">
        <f t="shared" si="72"/>
        <v/>
      </c>
      <c r="T473" t="str">
        <f t="shared" si="73"/>
        <v/>
      </c>
      <c r="U473" t="str">
        <f t="shared" si="74"/>
        <v/>
      </c>
      <c r="Y473" t="str">
        <f t="shared" si="75"/>
        <v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6" ht="28" hidden="1" customHeight="1" outlineLevel="1">
      <c r="A474" s="309"/>
      <c r="B474" s="313"/>
      <c r="C474" s="313"/>
      <c r="D474" s="313"/>
      <c r="E474" s="311"/>
      <c r="F474" s="313"/>
      <c r="G474" s="313"/>
      <c r="H474" s="312" t="str">
        <f t="shared" si="68"/>
        <v/>
      </c>
      <c r="I474" s="313" t="str">
        <f t="shared" si="69"/>
        <v/>
      </c>
      <c r="J474" s="313"/>
      <c r="K474" s="313"/>
      <c r="L474" s="313"/>
      <c r="P474" t="str">
        <f t="shared" si="70"/>
        <v/>
      </c>
      <c r="Q474" t="str">
        <f t="shared" si="71"/>
        <v/>
      </c>
      <c r="R474" t="str">
        <f>IF(P474="","",TEXT(H474,"yyyymm")&amp;"_"&amp;P474&amp;"_"&amp;(COUNTIFS($H$64:$H$500,H474,$P$64:$P$500,P474,$A$64:$A$500,"&gt;"&amp;A474)+COUNTIFS($H$64:H474,H474,$P$64:P474,P474,$A$64:A474,A474)))</f>
        <v/>
      </c>
      <c r="S474" t="str">
        <f t="shared" si="72"/>
        <v/>
      </c>
      <c r="T474" t="str">
        <f t="shared" si="73"/>
        <v/>
      </c>
      <c r="U474" t="str">
        <f t="shared" si="74"/>
        <v/>
      </c>
      <c r="Y474" t="str">
        <f t="shared" si="75"/>
        <v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6" ht="28" hidden="1" customHeight="1" outlineLevel="1">
      <c r="A475" s="309"/>
      <c r="B475" s="313"/>
      <c r="C475" s="313"/>
      <c r="D475" s="313"/>
      <c r="E475" s="311"/>
      <c r="F475" s="313"/>
      <c r="G475" s="313"/>
      <c r="H475" s="312" t="str">
        <f t="shared" si="68"/>
        <v/>
      </c>
      <c r="I475" s="313" t="str">
        <f t="shared" si="69"/>
        <v/>
      </c>
      <c r="J475" s="313"/>
      <c r="K475" s="313"/>
      <c r="L475" s="313"/>
      <c r="P475" t="str">
        <f t="shared" si="70"/>
        <v/>
      </c>
      <c r="Q475" t="str">
        <f t="shared" si="71"/>
        <v/>
      </c>
      <c r="R475" t="str">
        <f>IF(P475="","",TEXT(H475,"yyyymm")&amp;"_"&amp;P475&amp;"_"&amp;(COUNTIFS($H$64:$H$500,H475,$P$64:$P$500,P475,$A$64:$A$500,"&gt;"&amp;A475)+COUNTIFS($H$64:H475,H475,$P$64:P475,P475,$A$64:A475,A475)))</f>
        <v/>
      </c>
      <c r="S475" t="str">
        <f t="shared" si="72"/>
        <v/>
      </c>
      <c r="T475" t="str">
        <f t="shared" si="73"/>
        <v/>
      </c>
      <c r="U475" t="str">
        <f t="shared" si="74"/>
        <v/>
      </c>
      <c r="Y475" t="str">
        <f t="shared" si="75"/>
        <v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6" ht="28" hidden="1" customHeight="1" outlineLevel="1">
      <c r="A476" s="309"/>
      <c r="B476" s="313"/>
      <c r="C476" s="313"/>
      <c r="D476" s="313"/>
      <c r="E476" s="311"/>
      <c r="F476" s="313"/>
      <c r="G476" s="313"/>
      <c r="H476" s="312" t="str">
        <f t="shared" si="68"/>
        <v/>
      </c>
      <c r="I476" s="313" t="str">
        <f t="shared" si="69"/>
        <v/>
      </c>
      <c r="J476" s="313"/>
      <c r="K476" s="313"/>
      <c r="L476" s="313"/>
      <c r="P476" t="str">
        <f t="shared" si="70"/>
        <v/>
      </c>
      <c r="Q476" t="str">
        <f t="shared" si="71"/>
        <v/>
      </c>
      <c r="R476" t="str">
        <f>IF(P476="","",TEXT(H476,"yyyymm")&amp;"_"&amp;P476&amp;"_"&amp;(COUNTIFS($H$64:$H$500,H476,$P$64:$P$500,P476,$A$64:$A$500,"&gt;"&amp;A476)+COUNTIFS($H$64:H476,H476,$P$64:P476,P476,$A$64:A476,A476)))</f>
        <v/>
      </c>
      <c r="S476" t="str">
        <f t="shared" si="72"/>
        <v/>
      </c>
      <c r="T476" t="str">
        <f t="shared" si="73"/>
        <v/>
      </c>
      <c r="U476" t="str">
        <f t="shared" si="74"/>
        <v/>
      </c>
      <c r="Y476" t="str">
        <f t="shared" si="75"/>
        <v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6" ht="28" hidden="1" customHeight="1" outlineLevel="1">
      <c r="A477" s="309"/>
      <c r="B477" s="313"/>
      <c r="C477" s="313"/>
      <c r="D477" s="313"/>
      <c r="E477" s="311"/>
      <c r="F477" s="313"/>
      <c r="G477" s="313"/>
      <c r="H477" s="312" t="str">
        <f t="shared" si="68"/>
        <v/>
      </c>
      <c r="I477" s="313" t="str">
        <f t="shared" si="69"/>
        <v/>
      </c>
      <c r="J477" s="313"/>
      <c r="K477" s="313"/>
      <c r="L477" s="313"/>
      <c r="P477" t="str">
        <f t="shared" si="70"/>
        <v/>
      </c>
      <c r="Q477" t="str">
        <f t="shared" si="71"/>
        <v/>
      </c>
      <c r="R477" t="str">
        <f>IF(P477="","",TEXT(H477,"yyyymm")&amp;"_"&amp;P477&amp;"_"&amp;(COUNTIFS($H$64:$H$500,H477,$P$64:$P$500,P477,$A$64:$A$500,"&gt;"&amp;A477)+COUNTIFS($H$64:H477,H477,$P$64:P477,P477,$A$64:A477,A477)))</f>
        <v/>
      </c>
      <c r="S477" t="str">
        <f t="shared" si="72"/>
        <v/>
      </c>
      <c r="T477" t="str">
        <f t="shared" si="73"/>
        <v/>
      </c>
      <c r="U477" t="str">
        <f t="shared" si="74"/>
        <v/>
      </c>
      <c r="Y477" t="str">
        <f t="shared" si="75"/>
        <v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6" ht="28" hidden="1" customHeight="1" outlineLevel="1">
      <c r="A478" s="309"/>
      <c r="B478" s="313"/>
      <c r="C478" s="313"/>
      <c r="D478" s="313"/>
      <c r="E478" s="311"/>
      <c r="F478" s="313"/>
      <c r="G478" s="313"/>
      <c r="H478" s="312" t="str">
        <f t="shared" si="68"/>
        <v/>
      </c>
      <c r="I478" s="313" t="str">
        <f t="shared" si="69"/>
        <v/>
      </c>
      <c r="J478" s="313"/>
      <c r="K478" s="313"/>
      <c r="L478" s="313"/>
      <c r="P478" t="str">
        <f t="shared" si="70"/>
        <v/>
      </c>
      <c r="Q478" t="str">
        <f t="shared" si="71"/>
        <v/>
      </c>
      <c r="R478" t="str">
        <f>IF(P478="","",TEXT(H478,"yyyymm")&amp;"_"&amp;P478&amp;"_"&amp;(COUNTIFS($H$64:$H$500,H478,$P$64:$P$500,P478,$A$64:$A$500,"&gt;"&amp;A478)+COUNTIFS($H$64:H478,H478,$P$64:P478,P478,$A$64:A478,A478)))</f>
        <v/>
      </c>
      <c r="S478" t="str">
        <f t="shared" si="72"/>
        <v/>
      </c>
      <c r="T478" t="str">
        <f t="shared" si="73"/>
        <v/>
      </c>
      <c r="U478" t="str">
        <f t="shared" si="74"/>
        <v/>
      </c>
      <c r="Y478" t="str">
        <f t="shared" si="75"/>
        <v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6" ht="28" hidden="1" customHeight="1" outlineLevel="1">
      <c r="A479" s="309"/>
      <c r="B479" s="313"/>
      <c r="C479" s="313"/>
      <c r="D479" s="313"/>
      <c r="E479" s="311"/>
      <c r="F479" s="313"/>
      <c r="G479" s="313"/>
      <c r="H479" s="312" t="str">
        <f t="shared" si="68"/>
        <v/>
      </c>
      <c r="I479" s="313" t="str">
        <f t="shared" si="69"/>
        <v/>
      </c>
      <c r="J479" s="313"/>
      <c r="K479" s="313"/>
      <c r="L479" s="313"/>
      <c r="P479" t="str">
        <f t="shared" si="70"/>
        <v/>
      </c>
      <c r="Q479" t="str">
        <f t="shared" si="71"/>
        <v/>
      </c>
      <c r="R479" t="str">
        <f>IF(P479="","",TEXT(H479,"yyyymm")&amp;"_"&amp;P479&amp;"_"&amp;(COUNTIFS($H$64:$H$500,H479,$P$64:$P$500,P479,$A$64:$A$500,"&gt;"&amp;A479)+COUNTIFS($H$64:H479,H479,$P$64:P479,P479,$A$64:A479,A479)))</f>
        <v/>
      </c>
      <c r="S479" t="str">
        <f t="shared" si="72"/>
        <v/>
      </c>
      <c r="T479" t="str">
        <f t="shared" si="73"/>
        <v/>
      </c>
      <c r="U479" t="str">
        <f t="shared" si="74"/>
        <v/>
      </c>
      <c r="Y479" t="str">
        <f t="shared" si="75"/>
        <v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6" ht="28" hidden="1" customHeight="1" outlineLevel="1">
      <c r="A480" s="309"/>
      <c r="B480" s="313"/>
      <c r="C480" s="313"/>
      <c r="D480" s="313"/>
      <c r="E480" s="311"/>
      <c r="F480" s="313"/>
      <c r="G480" s="313"/>
      <c r="H480" s="312" t="str">
        <f t="shared" si="68"/>
        <v/>
      </c>
      <c r="I480" s="313" t="str">
        <f t="shared" si="69"/>
        <v/>
      </c>
      <c r="J480" s="313"/>
      <c r="K480" s="313"/>
      <c r="L480" s="313"/>
      <c r="P480" t="str">
        <f t="shared" si="70"/>
        <v/>
      </c>
      <c r="Q480" t="str">
        <f t="shared" si="71"/>
        <v/>
      </c>
      <c r="R480" t="str">
        <f>IF(P480="","",TEXT(H480,"yyyymm")&amp;"_"&amp;P480&amp;"_"&amp;(COUNTIFS($H$64:$H$500,H480,$P$64:$P$500,P480,$A$64:$A$500,"&gt;"&amp;A480)+COUNTIFS($H$64:H480,H480,$P$64:P480,P480,$A$64:A480,A480)))</f>
        <v/>
      </c>
      <c r="S480" t="str">
        <f t="shared" si="72"/>
        <v/>
      </c>
      <c r="T480" t="str">
        <f t="shared" si="73"/>
        <v/>
      </c>
      <c r="U480" t="str">
        <f t="shared" si="74"/>
        <v/>
      </c>
      <c r="Y480" t="str">
        <f t="shared" si="75"/>
        <v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6" ht="28" hidden="1" customHeight="1" outlineLevel="1">
      <c r="A481" s="309"/>
      <c r="B481" s="313"/>
      <c r="C481" s="313"/>
      <c r="D481" s="313"/>
      <c r="E481" s="311"/>
      <c r="F481" s="313"/>
      <c r="G481" s="313"/>
      <c r="H481" s="312" t="str">
        <f t="shared" si="68"/>
        <v/>
      </c>
      <c r="I481" s="313" t="str">
        <f t="shared" si="69"/>
        <v/>
      </c>
      <c r="J481" s="313"/>
      <c r="K481" s="313"/>
      <c r="L481" s="313"/>
      <c r="P481" t="str">
        <f t="shared" si="70"/>
        <v/>
      </c>
      <c r="Q481" t="str">
        <f t="shared" si="71"/>
        <v/>
      </c>
      <c r="R481" t="str">
        <f>IF(P481="","",TEXT(H481,"yyyymm")&amp;"_"&amp;P481&amp;"_"&amp;(COUNTIFS($H$64:$H$500,H481,$P$64:$P$500,P481,$A$64:$A$500,"&gt;"&amp;A481)+COUNTIFS($H$64:H481,H481,$P$64:P481,P481,$A$64:A481,A481)))</f>
        <v/>
      </c>
      <c r="S481" t="str">
        <f t="shared" si="72"/>
        <v/>
      </c>
      <c r="T481" t="str">
        <f t="shared" si="73"/>
        <v/>
      </c>
      <c r="U481" t="str">
        <f t="shared" si="74"/>
        <v/>
      </c>
      <c r="Y481" t="str">
        <f t="shared" si="75"/>
        <v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6" ht="28" hidden="1" customHeight="1" outlineLevel="1">
      <c r="A482" s="309"/>
      <c r="B482" s="313"/>
      <c r="C482" s="313"/>
      <c r="D482" s="313"/>
      <c r="E482" s="311"/>
      <c r="F482" s="313"/>
      <c r="G482" s="313"/>
      <c r="H482" s="312" t="str">
        <f t="shared" si="68"/>
        <v/>
      </c>
      <c r="I482" s="313" t="str">
        <f t="shared" si="69"/>
        <v/>
      </c>
      <c r="J482" s="313"/>
      <c r="K482" s="313"/>
      <c r="L482" s="313"/>
      <c r="P482" t="str">
        <f t="shared" si="70"/>
        <v/>
      </c>
      <c r="Q482" t="str">
        <f t="shared" si="71"/>
        <v/>
      </c>
      <c r="R482" t="str">
        <f>IF(P482="","",TEXT(H482,"yyyymm")&amp;"_"&amp;P482&amp;"_"&amp;(COUNTIFS($H$64:$H$500,H482,$P$64:$P$500,P482,$A$64:$A$500,"&gt;"&amp;A482)+COUNTIFS($H$64:H482,H482,$P$64:P482,P482,$A$64:A482,A482)))</f>
        <v/>
      </c>
      <c r="S482" t="str">
        <f t="shared" si="72"/>
        <v/>
      </c>
      <c r="T482" t="str">
        <f t="shared" si="73"/>
        <v/>
      </c>
      <c r="U482" t="str">
        <f t="shared" si="74"/>
        <v/>
      </c>
      <c r="Y482" t="str">
        <f t="shared" si="75"/>
        <v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6" ht="28" hidden="1" customHeight="1" outlineLevel="1">
      <c r="A483" s="309"/>
      <c r="B483" s="313"/>
      <c r="C483" s="313"/>
      <c r="D483" s="313"/>
      <c r="E483" s="311"/>
      <c r="F483" s="313"/>
      <c r="G483" s="313"/>
      <c r="H483" s="312" t="str">
        <f t="shared" si="68"/>
        <v/>
      </c>
      <c r="I483" s="313" t="str">
        <f t="shared" si="69"/>
        <v/>
      </c>
      <c r="J483" s="313"/>
      <c r="K483" s="313"/>
      <c r="L483" s="313"/>
      <c r="P483" t="str">
        <f t="shared" si="70"/>
        <v/>
      </c>
      <c r="Q483" t="str">
        <f t="shared" si="71"/>
        <v/>
      </c>
      <c r="R483" t="str">
        <f>IF(P483="","",TEXT(H483,"yyyymm")&amp;"_"&amp;P483&amp;"_"&amp;(COUNTIFS($H$64:$H$500,H483,$P$64:$P$500,P483,$A$64:$A$500,"&gt;"&amp;A483)+COUNTIFS($H$64:H483,H483,$P$64:P483,P483,$A$64:A483,A483)))</f>
        <v/>
      </c>
      <c r="S483" t="str">
        <f t="shared" si="72"/>
        <v/>
      </c>
      <c r="T483" t="str">
        <f t="shared" si="73"/>
        <v/>
      </c>
      <c r="U483" t="str">
        <f t="shared" si="74"/>
        <v/>
      </c>
      <c r="Y483" t="str">
        <f t="shared" si="75"/>
        <v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6" ht="28" hidden="1" customHeight="1" outlineLevel="1">
      <c r="A484" s="309"/>
      <c r="B484" s="313"/>
      <c r="C484" s="313"/>
      <c r="D484" s="313"/>
      <c r="E484" s="311"/>
      <c r="F484" s="313"/>
      <c r="G484" s="313"/>
      <c r="H484" s="312" t="str">
        <f t="shared" si="68"/>
        <v/>
      </c>
      <c r="I484" s="313" t="str">
        <f t="shared" si="69"/>
        <v/>
      </c>
      <c r="J484" s="313"/>
      <c r="K484" s="313"/>
      <c r="L484" s="313"/>
      <c r="P484" t="str">
        <f t="shared" si="70"/>
        <v/>
      </c>
      <c r="Q484" t="str">
        <f t="shared" si="71"/>
        <v/>
      </c>
      <c r="R484" t="str">
        <f>IF(P484="","",TEXT(H484,"yyyymm")&amp;"_"&amp;P484&amp;"_"&amp;(COUNTIFS($H$64:$H$500,H484,$P$64:$P$500,P484,$A$64:$A$500,"&gt;"&amp;A484)+COUNTIFS($H$64:H484,H484,$P$64:P484,P484,$A$64:A484,A484)))</f>
        <v/>
      </c>
      <c r="S484" t="str">
        <f t="shared" si="72"/>
        <v/>
      </c>
      <c r="T484" t="str">
        <f t="shared" si="73"/>
        <v/>
      </c>
      <c r="U484" t="str">
        <f t="shared" si="74"/>
        <v/>
      </c>
      <c r="Y484" t="str">
        <f t="shared" si="75"/>
        <v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6" ht="28" hidden="1" customHeight="1" outlineLevel="1">
      <c r="A485" s="309"/>
      <c r="B485" s="313"/>
      <c r="C485" s="313"/>
      <c r="D485" s="313"/>
      <c r="E485" s="311"/>
      <c r="F485" s="313"/>
      <c r="G485" s="313"/>
      <c r="H485" s="312" t="str">
        <f t="shared" si="68"/>
        <v/>
      </c>
      <c r="I485" s="313" t="str">
        <f t="shared" si="69"/>
        <v/>
      </c>
      <c r="J485" s="313"/>
      <c r="K485" s="313"/>
      <c r="L485" s="313"/>
      <c r="P485" t="str">
        <f t="shared" si="70"/>
        <v/>
      </c>
      <c r="Q485" t="str">
        <f t="shared" si="71"/>
        <v/>
      </c>
      <c r="R485" t="str">
        <f>IF(P485="","",TEXT(H485,"yyyymm")&amp;"_"&amp;P485&amp;"_"&amp;(COUNTIFS($H$64:$H$500,H485,$P$64:$P$500,P485,$A$64:$A$500,"&gt;"&amp;A485)+COUNTIFS($H$64:H485,H485,$P$64:P485,P485,$A$64:A485,A485)))</f>
        <v/>
      </c>
      <c r="S485" t="str">
        <f t="shared" si="72"/>
        <v/>
      </c>
      <c r="T485" t="str">
        <f t="shared" si="73"/>
        <v/>
      </c>
      <c r="U485" t="str">
        <f t="shared" si="74"/>
        <v/>
      </c>
      <c r="Y485" t="str">
        <f t="shared" si="75"/>
        <v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6" ht="28" hidden="1" customHeight="1" outlineLevel="1">
      <c r="A486" s="309"/>
      <c r="B486" s="313"/>
      <c r="C486" s="313"/>
      <c r="D486" s="313"/>
      <c r="E486" s="311"/>
      <c r="F486" s="313"/>
      <c r="G486" s="313"/>
      <c r="H486" s="312" t="str">
        <f t="shared" si="68"/>
        <v/>
      </c>
      <c r="I486" s="313" t="str">
        <f t="shared" si="69"/>
        <v/>
      </c>
      <c r="J486" s="313"/>
      <c r="K486" s="313"/>
      <c r="L486" s="313"/>
      <c r="P486" t="str">
        <f t="shared" si="70"/>
        <v/>
      </c>
      <c r="Q486" t="str">
        <f t="shared" si="71"/>
        <v/>
      </c>
      <c r="R486" t="str">
        <f>IF(P486="","",TEXT(H486,"yyyymm")&amp;"_"&amp;P486&amp;"_"&amp;(COUNTIFS($H$64:$H$500,H486,$P$64:$P$500,P486,$A$64:$A$500,"&gt;"&amp;A486)+COUNTIFS($H$64:H486,H486,$P$64:P486,P486,$A$64:A486,A486)))</f>
        <v/>
      </c>
      <c r="S486" t="str">
        <f t="shared" si="72"/>
        <v/>
      </c>
      <c r="T486" t="str">
        <f t="shared" si="73"/>
        <v/>
      </c>
      <c r="U486" t="str">
        <f t="shared" si="74"/>
        <v/>
      </c>
      <c r="Y486" t="str">
        <f t="shared" si="75"/>
        <v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6" ht="28" hidden="1" customHeight="1" outlineLevel="1">
      <c r="A487" s="309"/>
      <c r="B487" s="313"/>
      <c r="C487" s="313"/>
      <c r="D487" s="313"/>
      <c r="E487" s="311"/>
      <c r="F487" s="313"/>
      <c r="G487" s="313"/>
      <c r="H487" s="312" t="str">
        <f t="shared" si="68"/>
        <v/>
      </c>
      <c r="I487" s="313" t="str">
        <f t="shared" si="69"/>
        <v/>
      </c>
      <c r="J487" s="313"/>
      <c r="K487" s="313"/>
      <c r="L487" s="313"/>
      <c r="P487" t="str">
        <f t="shared" si="70"/>
        <v/>
      </c>
      <c r="Q487" t="str">
        <f t="shared" si="71"/>
        <v/>
      </c>
      <c r="R487" t="str">
        <f>IF(P487="","",TEXT(H487,"yyyymm")&amp;"_"&amp;P487&amp;"_"&amp;(COUNTIFS($H$64:$H$500,H487,$P$64:$P$500,P487,$A$64:$A$500,"&gt;"&amp;A487)+COUNTIFS($H$64:H487,H487,$P$64:P487,P487,$A$64:A487,A487)))</f>
        <v/>
      </c>
      <c r="S487" t="str">
        <f t="shared" si="72"/>
        <v/>
      </c>
      <c r="T487" t="str">
        <f t="shared" si="73"/>
        <v/>
      </c>
      <c r="U487" t="str">
        <f t="shared" si="74"/>
        <v/>
      </c>
      <c r="Y487" t="str">
        <f t="shared" si="75"/>
        <v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6" ht="28" hidden="1" customHeight="1" outlineLevel="1">
      <c r="A488" s="309"/>
      <c r="B488" s="313"/>
      <c r="C488" s="313"/>
      <c r="D488" s="313"/>
      <c r="E488" s="311"/>
      <c r="F488" s="313"/>
      <c r="G488" s="313"/>
      <c r="H488" s="312" t="str">
        <f t="shared" si="68"/>
        <v/>
      </c>
      <c r="I488" s="313" t="str">
        <f t="shared" si="69"/>
        <v/>
      </c>
      <c r="J488" s="313"/>
      <c r="K488" s="313"/>
      <c r="L488" s="313"/>
      <c r="P488" t="str">
        <f t="shared" si="70"/>
        <v/>
      </c>
      <c r="Q488" t="str">
        <f t="shared" si="71"/>
        <v/>
      </c>
      <c r="R488" t="str">
        <f>IF(P488="","",TEXT(H488,"yyyymm")&amp;"_"&amp;P488&amp;"_"&amp;(COUNTIFS($H$64:$H$500,H488,$P$64:$P$500,P488,$A$64:$A$500,"&gt;"&amp;A488)+COUNTIFS($H$64:H488,H488,$P$64:P488,P488,$A$64:A488,A488)))</f>
        <v/>
      </c>
      <c r="S488" t="str">
        <f t="shared" si="72"/>
        <v/>
      </c>
      <c r="T488" t="str">
        <f t="shared" si="73"/>
        <v/>
      </c>
      <c r="U488" t="str">
        <f t="shared" si="74"/>
        <v/>
      </c>
      <c r="Y488" t="str">
        <f t="shared" si="75"/>
        <v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6" ht="28" hidden="1" customHeight="1" outlineLevel="1">
      <c r="A489" s="309"/>
      <c r="B489" s="313"/>
      <c r="C489" s="313"/>
      <c r="D489" s="313"/>
      <c r="E489" s="311"/>
      <c r="F489" s="313"/>
      <c r="G489" s="313"/>
      <c r="H489" s="312" t="str">
        <f t="shared" si="68"/>
        <v/>
      </c>
      <c r="I489" s="313" t="str">
        <f t="shared" si="69"/>
        <v/>
      </c>
      <c r="J489" s="313"/>
      <c r="K489" s="313"/>
      <c r="L489" s="313"/>
      <c r="P489" t="str">
        <f t="shared" si="70"/>
        <v/>
      </c>
      <c r="Q489" t="str">
        <f t="shared" si="71"/>
        <v/>
      </c>
      <c r="R489" t="str">
        <f>IF(P489="","",TEXT(H489,"yyyymm")&amp;"_"&amp;P489&amp;"_"&amp;(COUNTIFS($H$64:$H$500,H489,$P$64:$P$500,P489,$A$64:$A$500,"&gt;"&amp;A489)+COUNTIFS($H$64:H489,H489,$P$64:P489,P489,$A$64:A489,A489)))</f>
        <v/>
      </c>
      <c r="S489" t="str">
        <f t="shared" si="72"/>
        <v/>
      </c>
      <c r="T489" t="str">
        <f t="shared" si="73"/>
        <v/>
      </c>
      <c r="U489" t="str">
        <f t="shared" si="74"/>
        <v/>
      </c>
      <c r="Y489" t="str">
        <f t="shared" si="75"/>
        <v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6" ht="28" hidden="1" customHeight="1" outlineLevel="1">
      <c r="A490" s="309"/>
      <c r="B490" s="313"/>
      <c r="C490" s="313"/>
      <c r="D490" s="313"/>
      <c r="E490" s="311"/>
      <c r="F490" s="313"/>
      <c r="G490" s="313"/>
      <c r="H490" s="312" t="str">
        <f t="shared" si="68"/>
        <v/>
      </c>
      <c r="I490" s="313" t="str">
        <f t="shared" si="69"/>
        <v/>
      </c>
      <c r="J490" s="313"/>
      <c r="K490" s="313"/>
      <c r="L490" s="313"/>
      <c r="P490" t="str">
        <f t="shared" si="70"/>
        <v/>
      </c>
      <c r="Q490" t="str">
        <f t="shared" si="71"/>
        <v/>
      </c>
      <c r="R490" t="str">
        <f>IF(P490="","",TEXT(H490,"yyyymm")&amp;"_"&amp;P490&amp;"_"&amp;(COUNTIFS($H$64:$H$500,H490,$P$64:$P$500,P490,$A$64:$A$500,"&gt;"&amp;A490)+COUNTIFS($H$64:H490,H490,$P$64:P490,P490,$A$64:A490,A490)))</f>
        <v/>
      </c>
      <c r="S490" t="str">
        <f t="shared" si="72"/>
        <v/>
      </c>
      <c r="T490" t="str">
        <f t="shared" si="73"/>
        <v/>
      </c>
      <c r="U490" t="str">
        <f t="shared" si="74"/>
        <v/>
      </c>
      <c r="Y490" t="str">
        <f t="shared" si="75"/>
        <v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6" ht="28" hidden="1" customHeight="1" outlineLevel="1">
      <c r="A491" s="309"/>
      <c r="B491" s="313"/>
      <c r="C491" s="313"/>
      <c r="D491" s="313"/>
      <c r="E491" s="311"/>
      <c r="F491" s="313"/>
      <c r="G491" s="313"/>
      <c r="H491" s="312" t="str">
        <f t="shared" si="68"/>
        <v/>
      </c>
      <c r="I491" s="313" t="str">
        <f t="shared" si="69"/>
        <v/>
      </c>
      <c r="J491" s="313"/>
      <c r="K491" s="313"/>
      <c r="L491" s="313"/>
      <c r="P491" t="str">
        <f t="shared" si="70"/>
        <v/>
      </c>
      <c r="Q491" t="str">
        <f t="shared" si="71"/>
        <v/>
      </c>
      <c r="R491" t="str">
        <f>IF(P491="","",TEXT(H491,"yyyymm")&amp;"_"&amp;P491&amp;"_"&amp;(COUNTIFS($H$64:$H$500,H491,$P$64:$P$500,P491,$A$64:$A$500,"&gt;"&amp;A491)+COUNTIFS($H$64:H491,H491,$P$64:P491,P491,$A$64:A491,A491)))</f>
        <v/>
      </c>
      <c r="S491" t="str">
        <f t="shared" si="72"/>
        <v/>
      </c>
      <c r="T491" t="str">
        <f t="shared" si="73"/>
        <v/>
      </c>
      <c r="U491" t="str">
        <f t="shared" si="74"/>
        <v/>
      </c>
      <c r="Y491" t="str">
        <f t="shared" si="75"/>
        <v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6" ht="28" hidden="1" customHeight="1" outlineLevel="1">
      <c r="A492" s="309"/>
      <c r="B492" s="313"/>
      <c r="C492" s="313"/>
      <c r="D492" s="313"/>
      <c r="E492" s="311"/>
      <c r="F492" s="313"/>
      <c r="G492" s="313"/>
      <c r="H492" s="312" t="str">
        <f t="shared" si="68"/>
        <v/>
      </c>
      <c r="I492" s="313" t="str">
        <f t="shared" si="69"/>
        <v/>
      </c>
      <c r="J492" s="313"/>
      <c r="K492" s="313"/>
      <c r="L492" s="313"/>
      <c r="P492" t="str">
        <f t="shared" si="70"/>
        <v/>
      </c>
      <c r="Q492" t="str">
        <f t="shared" si="71"/>
        <v/>
      </c>
      <c r="R492" t="str">
        <f>IF(P492="","",TEXT(H492,"yyyymm")&amp;"_"&amp;P492&amp;"_"&amp;(COUNTIFS($H$64:$H$500,H492,$P$64:$P$500,P492,$A$64:$A$500,"&gt;"&amp;A492)+COUNTIFS($H$64:H492,H492,$P$64:P492,P492,$A$64:A492,A492)))</f>
        <v/>
      </c>
      <c r="S492" t="str">
        <f t="shared" si="72"/>
        <v/>
      </c>
      <c r="T492" t="str">
        <f t="shared" si="73"/>
        <v/>
      </c>
      <c r="U492" t="str">
        <f t="shared" si="74"/>
        <v/>
      </c>
      <c r="Y492" t="str">
        <f t="shared" si="75"/>
        <v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6" ht="28" hidden="1" customHeight="1" outlineLevel="1">
      <c r="A493" s="309"/>
      <c r="B493" s="313"/>
      <c r="C493" s="313"/>
      <c r="D493" s="313"/>
      <c r="E493" s="311"/>
      <c r="F493" s="313"/>
      <c r="G493" s="313"/>
      <c r="H493" s="312" t="str">
        <f t="shared" si="68"/>
        <v/>
      </c>
      <c r="I493" s="313" t="str">
        <f t="shared" si="69"/>
        <v/>
      </c>
      <c r="J493" s="313"/>
      <c r="K493" s="313"/>
      <c r="L493" s="313"/>
      <c r="P493" t="str">
        <f t="shared" si="70"/>
        <v/>
      </c>
      <c r="Q493" t="str">
        <f t="shared" si="71"/>
        <v/>
      </c>
      <c r="R493" t="str">
        <f>IF(P493="","",TEXT(H493,"yyyymm")&amp;"_"&amp;P493&amp;"_"&amp;(COUNTIFS($H$64:$H$500,H493,$P$64:$P$500,P493,$A$64:$A$500,"&gt;"&amp;A493)+COUNTIFS($H$64:H493,H493,$P$64:P493,P493,$A$64:A493,A493)))</f>
        <v/>
      </c>
      <c r="S493" t="str">
        <f t="shared" si="72"/>
        <v/>
      </c>
      <c r="T493" t="str">
        <f t="shared" si="73"/>
        <v/>
      </c>
      <c r="U493" t="str">
        <f t="shared" si="74"/>
        <v/>
      </c>
      <c r="Y493" t="str">
        <f t="shared" si="75"/>
        <v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6" ht="28" hidden="1" customHeight="1" outlineLevel="1">
      <c r="A494" s="309"/>
      <c r="B494" s="313"/>
      <c r="C494" s="313"/>
      <c r="D494" s="313"/>
      <c r="E494" s="311"/>
      <c r="F494" s="313"/>
      <c r="G494" s="313"/>
      <c r="H494" s="312" t="str">
        <f t="shared" si="68"/>
        <v/>
      </c>
      <c r="I494" s="313" t="str">
        <f t="shared" si="69"/>
        <v/>
      </c>
      <c r="J494" s="313"/>
      <c r="K494" s="313"/>
      <c r="L494" s="313"/>
      <c r="P494" t="str">
        <f t="shared" si="70"/>
        <v/>
      </c>
      <c r="Q494" t="str">
        <f t="shared" si="71"/>
        <v/>
      </c>
      <c r="R494" t="str">
        <f>IF(P494="","",TEXT(H494,"yyyymm")&amp;"_"&amp;P494&amp;"_"&amp;(COUNTIFS($H$64:$H$500,H494,$P$64:$P$500,P494,$A$64:$A$500,"&gt;"&amp;A494)+COUNTIFS($H$64:H494,H494,$P$64:P494,P494,$A$64:A494,A494)))</f>
        <v/>
      </c>
      <c r="S494" t="str">
        <f t="shared" si="72"/>
        <v/>
      </c>
      <c r="T494" t="str">
        <f t="shared" si="73"/>
        <v/>
      </c>
      <c r="U494" t="str">
        <f t="shared" si="74"/>
        <v/>
      </c>
      <c r="Y494" t="str">
        <f t="shared" si="75"/>
        <v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6" ht="28" hidden="1" customHeight="1" outlineLevel="1">
      <c r="A495" s="309"/>
      <c r="B495" s="313"/>
      <c r="C495" s="313"/>
      <c r="D495" s="313"/>
      <c r="E495" s="311"/>
      <c r="F495" s="313"/>
      <c r="G495" s="313"/>
      <c r="H495" s="312" t="str">
        <f t="shared" si="68"/>
        <v/>
      </c>
      <c r="I495" s="313" t="str">
        <f t="shared" si="69"/>
        <v/>
      </c>
      <c r="J495" s="313"/>
      <c r="K495" s="313"/>
      <c r="L495" s="313"/>
      <c r="P495" t="str">
        <f t="shared" si="70"/>
        <v/>
      </c>
      <c r="Q495" t="str">
        <f t="shared" si="71"/>
        <v/>
      </c>
      <c r="R495" t="str">
        <f>IF(P495="","",TEXT(H495,"yyyymm")&amp;"_"&amp;P495&amp;"_"&amp;(COUNTIFS($H$64:$H$500,H495,$P$64:$P$500,P495,$A$64:$A$500,"&gt;"&amp;A495)+COUNTIFS($H$64:H495,H495,$P$64:P495,P495,$A$64:A495,A495)))</f>
        <v/>
      </c>
      <c r="S495" t="str">
        <f t="shared" si="72"/>
        <v/>
      </c>
      <c r="T495" t="str">
        <f t="shared" si="73"/>
        <v/>
      </c>
      <c r="U495" t="str">
        <f t="shared" si="74"/>
        <v/>
      </c>
      <c r="Y495" t="str">
        <f t="shared" si="75"/>
        <v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6" ht="28" hidden="1" customHeight="1" outlineLevel="1">
      <c r="A496" s="309"/>
      <c r="B496" s="313"/>
      <c r="C496" s="313"/>
      <c r="D496" s="313"/>
      <c r="E496" s="311"/>
      <c r="F496" s="313"/>
      <c r="G496" s="313"/>
      <c r="H496" s="312" t="str">
        <f t="shared" si="68"/>
        <v/>
      </c>
      <c r="I496" s="313" t="str">
        <f t="shared" si="69"/>
        <v/>
      </c>
      <c r="J496" s="313"/>
      <c r="K496" s="313"/>
      <c r="L496" s="313"/>
      <c r="P496" t="str">
        <f t="shared" si="70"/>
        <v/>
      </c>
      <c r="Q496" t="str">
        <f t="shared" si="71"/>
        <v/>
      </c>
      <c r="R496" t="str">
        <f>IF(P496="","",TEXT(H496,"yyyymm")&amp;"_"&amp;P496&amp;"_"&amp;(COUNTIFS($H$64:$H$500,H496,$P$64:$P$500,P496,$A$64:$A$500,"&gt;"&amp;A496)+COUNTIFS($H$64:H496,H496,$P$64:P496,P496,$A$64:A496,A496)))</f>
        <v/>
      </c>
      <c r="S496" t="str">
        <f t="shared" si="72"/>
        <v/>
      </c>
      <c r="T496" t="str">
        <f t="shared" si="73"/>
        <v/>
      </c>
      <c r="U496" t="str">
        <f t="shared" si="74"/>
        <v/>
      </c>
      <c r="Y496" t="str">
        <f t="shared" si="75"/>
        <v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9" ht="28" hidden="1" customHeight="1" outlineLevel="1">
      <c r="A497" s="309"/>
      <c r="B497" s="313"/>
      <c r="C497" s="313"/>
      <c r="D497" s="313"/>
      <c r="E497" s="311"/>
      <c r="F497" s="313"/>
      <c r="G497" s="313"/>
      <c r="H497" s="312" t="str">
        <f t="shared" si="68"/>
        <v/>
      </c>
      <c r="I497" s="313" t="str">
        <f t="shared" si="69"/>
        <v/>
      </c>
      <c r="J497" s="313"/>
      <c r="K497" s="313"/>
      <c r="L497" s="313"/>
      <c r="P497" t="str">
        <f t="shared" si="70"/>
        <v/>
      </c>
      <c r="Q497" t="str">
        <f t="shared" si="71"/>
        <v/>
      </c>
      <c r="R497" t="str">
        <f>IF(P497="","",TEXT(H497,"yyyymm")&amp;"_"&amp;P497&amp;"_"&amp;(COUNTIFS($H$64:$H$500,H497,$P$64:$P$500,P497,$A$64:$A$500,"&gt;"&amp;A497)+COUNTIFS($H$64:H497,H497,$P$64:P497,P497,$A$64:A497,A497)))</f>
        <v/>
      </c>
      <c r="S497" t="str">
        <f t="shared" si="72"/>
        <v/>
      </c>
      <c r="T497" t="str">
        <f t="shared" si="73"/>
        <v/>
      </c>
      <c r="U497" t="str">
        <f t="shared" si="74"/>
        <v/>
      </c>
      <c r="Y497" t="str">
        <f t="shared" si="75"/>
        <v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9" ht="28" hidden="1" customHeight="1" outlineLevel="1">
      <c r="A498" s="309"/>
      <c r="B498" s="313"/>
      <c r="C498" s="313"/>
      <c r="D498" s="313"/>
      <c r="E498" s="311"/>
      <c r="F498" s="313"/>
      <c r="G498" s="313"/>
      <c r="H498" s="312" t="str">
        <f t="shared" si="68"/>
        <v/>
      </c>
      <c r="I498" s="313" t="str">
        <f t="shared" si="69"/>
        <v/>
      </c>
      <c r="J498" s="313"/>
      <c r="K498" s="313"/>
      <c r="L498" s="313"/>
      <c r="P498" t="str">
        <f t="shared" si="70"/>
        <v/>
      </c>
      <c r="Q498" t="str">
        <f t="shared" si="71"/>
        <v/>
      </c>
      <c r="R498" t="str">
        <f>IF(P498="","",TEXT(H498,"yyyymm")&amp;"_"&amp;P498&amp;"_"&amp;(COUNTIFS($H$64:$H$500,H498,$P$64:$P$500,P498,$A$64:$A$500,"&gt;"&amp;A498)+COUNTIFS($H$64:H498,H498,$P$64:P498,P498,$A$64:A498,A498)))</f>
        <v/>
      </c>
      <c r="S498" t="str">
        <f t="shared" si="72"/>
        <v/>
      </c>
      <c r="T498" t="str">
        <f t="shared" si="73"/>
        <v/>
      </c>
      <c r="U498" t="str">
        <f t="shared" si="74"/>
        <v/>
      </c>
      <c r="Y498" t="str">
        <f t="shared" si="75"/>
        <v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9" ht="28" hidden="1" customHeight="1" outlineLevel="1">
      <c r="A499" s="309"/>
      <c r="B499" s="313"/>
      <c r="C499" s="313"/>
      <c r="D499" s="313"/>
      <c r="E499" s="311"/>
      <c r="F499" s="313"/>
      <c r="G499" s="313"/>
      <c r="H499" s="312" t="str">
        <f t="shared" si="68"/>
        <v/>
      </c>
      <c r="I499" s="313" t="str">
        <f t="shared" si="69"/>
        <v/>
      </c>
      <c r="J499" s="313"/>
      <c r="K499" s="313"/>
      <c r="L499" s="313"/>
      <c r="P499" t="str">
        <f t="shared" si="70"/>
        <v/>
      </c>
      <c r="Q499" t="str">
        <f t="shared" si="71"/>
        <v/>
      </c>
      <c r="R499" t="str">
        <f>IF(P499="","",TEXT(H499,"yyyymm")&amp;"_"&amp;P499&amp;"_"&amp;(COUNTIFS($H$64:$H$500,H499,$P$64:$P$500,P499,$A$64:$A$500,"&gt;"&amp;A499)+COUNTIFS($H$64:H499,H499,$P$64:P499,P499,$A$64:A499,A499)))</f>
        <v/>
      </c>
      <c r="S499" t="str">
        <f t="shared" si="72"/>
        <v/>
      </c>
      <c r="T499" t="str">
        <f t="shared" si="73"/>
        <v/>
      </c>
      <c r="U499" t="str">
        <f t="shared" si="74"/>
        <v/>
      </c>
      <c r="Y499" t="str">
        <f t="shared" si="75"/>
        <v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9" ht="28" hidden="1" customHeight="1" outlineLevel="1">
      <c r="A500" s="309"/>
      <c r="B500" s="313"/>
      <c r="C500" s="313"/>
      <c r="D500" s="313"/>
      <c r="E500" s="311"/>
      <c r="F500" s="313"/>
      <c r="G500" s="313"/>
      <c r="H500" s="312" t="str">
        <f t="shared" si="68"/>
        <v/>
      </c>
      <c r="I500" s="313" t="str">
        <f t="shared" si="69"/>
        <v/>
      </c>
      <c r="J500" s="313"/>
      <c r="K500" s="313"/>
      <c r="L500" s="313"/>
      <c r="P500" t="str">
        <f t="shared" si="70"/>
        <v/>
      </c>
      <c r="Q500" t="str">
        <f t="shared" si="71"/>
        <v/>
      </c>
      <c r="R500" t="str">
        <f>IF(P500="","",TEXT(H500,"yyyymm")&amp;"_"&amp;P500&amp;"_"&amp;(COUNTIFS($H$64:$H$500,H500,$P$64:$P$500,P500,$A$64:$A$500,"&gt;"&amp;A500)+COUNTIFS($H$64:H500,H500,$P$64:P500,P500,$A$64:A500,A500)))</f>
        <v/>
      </c>
      <c r="S500" t="str">
        <f t="shared" si="72"/>
        <v/>
      </c>
      <c r="T500" t="str">
        <f t="shared" si="73"/>
        <v/>
      </c>
      <c r="U500" t="str">
        <f t="shared" si="74"/>
        <v/>
      </c>
      <c r="Y500" t="str">
        <f t="shared" si="75"/>
        <v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9" ht="32" customHeight="1" collapsed="1">
      <c r="A501" s="86" t="s">
        <v>2402</v>
      </c>
      <c r="B501" s="304">
        <v>1</v>
      </c>
      <c r="C501" s="410" t="str">
        <f>$AC$501&amp;"건 · 표시 페이지 "&amp;$AA$501&amp;" / "&amp;$AB$501&amp;" · 최신 기록순"</f>
        <v>17건 · 표시 페이지 1 / 1 · 최신 기록순</v>
      </c>
      <c r="D501" s="350"/>
      <c r="E501" s="350"/>
      <c r="F501" s="350"/>
      <c r="G501" s="350"/>
      <c r="H501" s="350"/>
      <c r="I501" s="4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J501" s="350"/>
      <c r="K501" s="350"/>
      <c r="L501" s="350"/>
      <c r="AA501">
        <f>MIN(MAX(1,IFERROR(INT($B$501),1)),$AB$501)</f>
        <v>1</v>
      </c>
      <c r="AB501">
        <f>MAX(1,ROUNDUP($AC$501/22,0))</f>
        <v>1</v>
      </c>
      <c r="AC501">
        <f>COUNTIF($Z$64:$Z$500,"&gt;0")</f>
        <v>17</v>
      </c>
    </row>
    <row r="502" spans="1:29" ht="32" customHeight="1">
      <c r="A502" s="82" t="s">
        <v>2403</v>
      </c>
      <c r="B502" s="82" t="s">
        <v>34</v>
      </c>
      <c r="C502" s="82" t="s">
        <v>35</v>
      </c>
      <c r="D502" s="82" t="s">
        <v>36</v>
      </c>
      <c r="E502" s="82" t="s">
        <v>31</v>
      </c>
      <c r="F502" s="82" t="s">
        <v>30</v>
      </c>
      <c r="G502" s="82" t="s">
        <v>2404</v>
      </c>
      <c r="H502" s="82" t="s">
        <v>38</v>
      </c>
      <c r="I502" s="82" t="s">
        <v>39</v>
      </c>
      <c r="J502" s="82" t="s">
        <v>32</v>
      </c>
      <c r="K502" s="82" t="s">
        <v>33</v>
      </c>
      <c r="L502" s="82" t="s">
        <v>2405</v>
      </c>
    </row>
    <row r="503" spans="1:29" ht="54" customHeight="1">
      <c r="A503" s="306" t="str">
        <f t="shared" ref="A503:A524" si="76">IF($AA503=0,"",TEXT(INDEX($A$64:$A$500,MAX(1,$AA503)),IF(INDEX($L$64:$L$500,MAX(1,$AA503))="원본WRAP","yyyy-mm","m/d hh:mm")))</f>
        <v>10/19 20:48</v>
      </c>
      <c r="B503" s="306" t="str">
        <f t="shared" ref="B503:B524" si="77">IF($AA503=0,"",IF(INDEX($B$64:$B$500,MAX(1,$AA503))="","",INDEX($B$64:$B$500,MAX(1,$AA503))))</f>
        <v>출금</v>
      </c>
      <c r="C503" s="306" t="str">
        <f t="shared" ref="C503:C524" si="78">IF($AA503=0,"",IF(INDEX($C$64:$C$500,MAX(1,$AA503))="","",INDEX($C$64:$C$500,MAX(1,$AA503))))</f>
        <v>생활비</v>
      </c>
      <c r="D503" s="306" t="str">
        <f t="shared" ref="D503:D524" si="79">IF($AA503=0,"",IF(INDEX($D$64:$D$500,MAX(1,$AA503))="","",INDEX($D$64:$D$500,MAX(1,$AA503))))</f>
        <v>지출</v>
      </c>
      <c r="E503" s="28">
        <f t="shared" ref="E503:E524" si="80">IF($AA503=0,"",INDEX($E$64:$E$500,MAX(1,$AA503)))</f>
        <v>110075</v>
      </c>
      <c r="F503" s="306" t="str">
        <f t="shared" ref="F503:F524" si="81">IF($AA503=0,"",IF(INDEX($F$64:$F$500,MAX(1,$AA503))="","",INDEX($F$64:$F$500,MAX(1,$AA503))))</f>
        <v>보증보험료</v>
      </c>
      <c r="G503" s="90" t="str">
        <f t="shared" ref="G503:G524" si="82">IF($AA503=0,"",LEFT(INDEX($G$64:$G$500,MAX(1,$AA503)),40)&amp;IF(LEN(INDEX($G$64:$G$500,MAX(1,$AA503)))&gt;40,"…",""))</f>
        <v>RAW 2493행. 계약기간 2026.09.10~2027.09.09의 주…</v>
      </c>
      <c r="H503" s="306" t="str">
        <f t="shared" ref="H503:H524" si="83">IF($AA503=0,"",TEXT(INDEX($H$64:$H$500,MAX(1,$AA503)),"yyyy-mm"))</f>
        <v>2026-10</v>
      </c>
      <c r="I503" s="306" t="str">
        <f t="shared" ref="I503:I524" si="84">IF($AA503=0,"",IF(INDEX($I$64:$I$500,MAX(1,$AA503))="","",INDEX($I$64:$I$500,MAX(1,$AA503))))</f>
        <v>OK</v>
      </c>
      <c r="J503" s="306" t="str">
        <f t="shared" ref="J503:J524" si="85">IF($AA503=0,"",IF(INDEX($J$64:$J$500,MAX(1,$AA503))="","",INDEX($J$64:$J$500,MAX(1,$AA503))))</f>
        <v>미래에셋_WRAP형CMA</v>
      </c>
      <c r="K503" s="306" t="str">
        <f t="shared" ref="K503:K524" si="86">IF($AA503=0,"",IF(INDEX($K$64:$K$500,MAX(1,$AA503))="","",INDEX($K$64:$K$500,MAX(1,$AA503))))</f>
        <v>외부</v>
      </c>
      <c r="L503" s="306" t="str">
        <f t="shared" ref="L503:L524" si="87">IF($AA503=0,"",HYPERLINK("#'잔액'!A"&amp;($AA503+63),"원장 "&amp;($AA503+63)&amp;"행 ↗"))</f>
        <v>원장 249행 ↗</v>
      </c>
      <c r="AA503">
        <f>IFERROR(MATCH(($AA$501-1)*22+1,$Z$64:$Z$500,0),0)</f>
        <v>186</v>
      </c>
    </row>
    <row r="504" spans="1:29" ht="54" customHeight="1">
      <c r="A504" s="306" t="str">
        <f t="shared" si="76"/>
        <v>10/17 16:01</v>
      </c>
      <c r="B504" s="306" t="str">
        <f t="shared" si="77"/>
        <v>출금</v>
      </c>
      <c r="C504" s="306" t="str">
        <f t="shared" si="78"/>
        <v>생활비</v>
      </c>
      <c r="D504" s="306" t="str">
        <f t="shared" si="79"/>
        <v>지출</v>
      </c>
      <c r="E504" s="28">
        <f t="shared" si="80"/>
        <v>15700</v>
      </c>
      <c r="F504" s="306" t="str">
        <f t="shared" si="81"/>
        <v>외부출금 · 카카오페이 충전</v>
      </c>
      <c r="G504" s="90" t="str">
        <f t="shared" si="82"/>
        <v>KP20261017-01 · 플라잉 더치 구매 연결(사용자 확인). 충전…</v>
      </c>
      <c r="H504" s="306" t="str">
        <f t="shared" si="83"/>
        <v>2026-10</v>
      </c>
      <c r="I504" s="306" t="str">
        <f t="shared" si="84"/>
        <v>OK</v>
      </c>
      <c r="J504" s="306" t="str">
        <f t="shared" si="85"/>
        <v>미래에셋_WRAP형CMA</v>
      </c>
      <c r="K504" s="306" t="str">
        <f t="shared" si="86"/>
        <v>카카오페이머니</v>
      </c>
      <c r="L504" s="306" t="str">
        <f t="shared" si="87"/>
        <v>원장 248행 ↗</v>
      </c>
      <c r="AA504">
        <f>IFERROR(MATCH(($AA$501-1)*22+2,$Z$64:$Z$500,0),0)</f>
        <v>185</v>
      </c>
    </row>
    <row r="505" spans="1:29" ht="54" customHeight="1">
      <c r="A505" s="306" t="str">
        <f t="shared" si="76"/>
        <v>10/15 23:00</v>
      </c>
      <c r="B505" s="306" t="str">
        <f t="shared" si="77"/>
        <v>이체</v>
      </c>
      <c r="C505" s="306" t="str">
        <f t="shared" si="78"/>
        <v>임시보관</v>
      </c>
      <c r="D505" s="306" t="str">
        <f t="shared" si="79"/>
        <v>생활비</v>
      </c>
      <c r="E505" s="28">
        <f t="shared" si="80"/>
        <v>61000</v>
      </c>
      <c r="F505" s="306" t="str">
        <f t="shared" si="81"/>
        <v>생신 잔금 임시보관 → 생활비</v>
      </c>
      <c r="G505" s="90" t="str">
        <f t="shared" si="82"/>
        <v>사용자 요청으로 회수 원금 61,000원을 생활비로 분류 이동. 날짜는 …</v>
      </c>
      <c r="H505" s="306" t="str">
        <f t="shared" si="83"/>
        <v>2026-10</v>
      </c>
      <c r="I505" s="306" t="str">
        <f t="shared" si="84"/>
        <v>OK</v>
      </c>
      <c r="J505" s="306" t="str">
        <f t="shared" si="85"/>
        <v>미래에셋_WRAP형CMA</v>
      </c>
      <c r="K505" s="306" t="str">
        <f t="shared" si="86"/>
        <v>미래에셋_WRAP형CMA</v>
      </c>
      <c r="L505" s="306" t="str">
        <f t="shared" si="87"/>
        <v>원장 247행 ↗</v>
      </c>
      <c r="AA505">
        <f>IFERROR(MATCH(($AA$501-1)*22+3,$Z$64:$Z$500,0),0)</f>
        <v>184</v>
      </c>
    </row>
    <row r="506" spans="1:29" ht="54" customHeight="1">
      <c r="A506" s="306" t="str">
        <f t="shared" si="76"/>
        <v>10/15 22:33</v>
      </c>
      <c r="B506" s="306" t="str">
        <f t="shared" si="77"/>
        <v>이체</v>
      </c>
      <c r="C506" s="306" t="str">
        <f t="shared" si="78"/>
        <v>외부</v>
      </c>
      <c r="D506" s="306" t="str">
        <f t="shared" si="79"/>
        <v>임시보관</v>
      </c>
      <c r="E506" s="28">
        <f t="shared" si="80"/>
        <v>61000</v>
      </c>
      <c r="F506" s="306" t="str">
        <f t="shared" si="81"/>
        <v>부모 생신 미사용 원금 회수</v>
      </c>
      <c r="G506" s="90" t="str">
        <f t="shared" si="82"/>
        <v>RAW 2466행. 8월 가족통장 납입 100,000 중 행사 39,00…</v>
      </c>
      <c r="H506" s="306" t="str">
        <f t="shared" si="83"/>
        <v>2026-10</v>
      </c>
      <c r="I506" s="306" t="str">
        <f t="shared" si="84"/>
        <v>OK</v>
      </c>
      <c r="J506" s="306" t="str">
        <f t="shared" si="85"/>
        <v>가족통장</v>
      </c>
      <c r="K506" s="306" t="str">
        <f t="shared" si="86"/>
        <v>미래에셋_WRAP형CMA</v>
      </c>
      <c r="L506" s="306" t="str">
        <f t="shared" si="87"/>
        <v>원장 246행 ↗</v>
      </c>
      <c r="AA506">
        <f>IFERROR(MATCH(($AA$501-1)*22+4,$Z$64:$Z$500,0),0)</f>
        <v>183</v>
      </c>
    </row>
    <row r="507" spans="1:29" ht="54" customHeight="1">
      <c r="A507" s="306" t="str">
        <f t="shared" si="76"/>
        <v>10/13 20:37</v>
      </c>
      <c r="B507" s="306" t="str">
        <f t="shared" si="77"/>
        <v>입금</v>
      </c>
      <c r="C507" s="306" t="str">
        <f t="shared" si="78"/>
        <v>외부</v>
      </c>
      <c r="D507" s="306" t="str">
        <f t="shared" si="79"/>
        <v>생활비</v>
      </c>
      <c r="E507" s="28">
        <f t="shared" si="80"/>
        <v>535</v>
      </c>
      <c r="F507" s="306" t="str">
        <f t="shared" si="81"/>
        <v>미래에셋 WRAP 이자</v>
      </c>
      <c r="G507" s="90" t="str">
        <f t="shared" si="82"/>
        <v>RAW 2454행 · 10/13 추가 이자 535원. 10/15 RAW …</v>
      </c>
      <c r="H507" s="306" t="str">
        <f t="shared" si="83"/>
        <v>2026-10</v>
      </c>
      <c r="I507" s="306" t="str">
        <f t="shared" si="84"/>
        <v>OK</v>
      </c>
      <c r="J507" s="306" t="str">
        <f t="shared" si="85"/>
        <v>외부</v>
      </c>
      <c r="K507" s="306" t="str">
        <f t="shared" si="86"/>
        <v>미래에셋_WRAP형CMA</v>
      </c>
      <c r="L507" s="306" t="str">
        <f t="shared" si="87"/>
        <v>원장 245행 ↗</v>
      </c>
      <c r="AA507">
        <f>IFERROR(MATCH(($AA$501-1)*22+5,$Z$64:$Z$500,0),0)</f>
        <v>182</v>
      </c>
    </row>
    <row r="508" spans="1:29" ht="54" customHeight="1">
      <c r="A508" s="306" t="str">
        <f t="shared" si="76"/>
        <v>10/13 20:26</v>
      </c>
      <c r="B508" s="306" t="str">
        <f t="shared" si="77"/>
        <v>계좌이체</v>
      </c>
      <c r="C508" s="306" t="str">
        <f t="shared" si="78"/>
        <v>외부</v>
      </c>
      <c r="D508" s="306" t="str">
        <f t="shared" si="79"/>
        <v>생활비</v>
      </c>
      <c r="E508" s="28">
        <f t="shared" si="80"/>
        <v>22210</v>
      </c>
      <c r="F508" s="306" t="str">
        <f t="shared" si="81"/>
        <v>신한은행V2 → 미래에셋 WRAP</v>
      </c>
      <c r="G508" s="90" t="str">
        <f t="shared" si="82"/>
        <v>RAW 2453행 · WRAP 이체입금 22,210원. WRAP에서 나가…</v>
      </c>
      <c r="H508" s="306" t="str">
        <f t="shared" si="83"/>
        <v>2026-10</v>
      </c>
      <c r="I508" s="306" t="str">
        <f t="shared" si="84"/>
        <v>OK</v>
      </c>
      <c r="J508" s="306" t="str">
        <f t="shared" si="85"/>
        <v>신한은행V2</v>
      </c>
      <c r="K508" s="306" t="str">
        <f t="shared" si="86"/>
        <v>미래에셋_WRAP형CMA</v>
      </c>
      <c r="L508" s="306" t="str">
        <f t="shared" si="87"/>
        <v>원장 231행 ↗</v>
      </c>
      <c r="AA508">
        <f>IFERROR(MATCH(($AA$501-1)*22+6,$Z$64:$Z$500,0),0)</f>
        <v>168</v>
      </c>
    </row>
    <row r="509" spans="1:29" ht="54" customHeight="1">
      <c r="A509" s="306" t="str">
        <f t="shared" si="76"/>
        <v>10/13 20:25</v>
      </c>
      <c r="B509" s="306" t="str">
        <f t="shared" si="77"/>
        <v>계좌이체</v>
      </c>
      <c r="C509" s="306" t="str">
        <f t="shared" si="78"/>
        <v>생활비</v>
      </c>
      <c r="D509" s="306" t="str">
        <f t="shared" si="79"/>
        <v>외부</v>
      </c>
      <c r="E509" s="28">
        <f t="shared" si="80"/>
        <v>236270</v>
      </c>
      <c r="F509" s="306" t="str">
        <f t="shared" si="81"/>
        <v>미래에셋 WRAP → 토스뱅크</v>
      </c>
      <c r="G509" s="90" t="str">
        <f t="shared" si="82"/>
        <v>RAW 2452행 · WRAP 이체출금 236,270원. WRAP에서 나…</v>
      </c>
      <c r="H509" s="306" t="str">
        <f t="shared" si="83"/>
        <v>2026-10</v>
      </c>
      <c r="I509" s="306" t="str">
        <f t="shared" si="84"/>
        <v>OK</v>
      </c>
      <c r="J509" s="306" t="str">
        <f t="shared" si="85"/>
        <v>미래에셋_WRAP형CMA</v>
      </c>
      <c r="K509" s="306" t="str">
        <f t="shared" si="86"/>
        <v>토스뱅크</v>
      </c>
      <c r="L509" s="306" t="str">
        <f t="shared" si="87"/>
        <v>원장 232행 ↗</v>
      </c>
      <c r="AA509">
        <f>IFERROR(MATCH(($AA$501-1)*22+7,$Z$64:$Z$500,0),0)</f>
        <v>169</v>
      </c>
    </row>
    <row r="510" spans="1:29" ht="54" customHeight="1">
      <c r="A510" s="306" t="str">
        <f t="shared" si="76"/>
        <v>10/13 20:24</v>
      </c>
      <c r="B510" s="306" t="str">
        <f t="shared" si="77"/>
        <v>계좌이체</v>
      </c>
      <c r="C510" s="306" t="str">
        <f t="shared" si="78"/>
        <v>생활비</v>
      </c>
      <c r="D510" s="306" t="str">
        <f t="shared" si="79"/>
        <v>외부</v>
      </c>
      <c r="E510" s="28">
        <f t="shared" si="80"/>
        <v>246568</v>
      </c>
      <c r="F510" s="306" t="str">
        <f t="shared" si="81"/>
        <v>미래에셋 WRAP → 우리은행</v>
      </c>
      <c r="G510" s="90" t="str">
        <f t="shared" si="82"/>
        <v>RAW 2451행 · WRAP 이체출금 246,568원. WRAP에서 나…</v>
      </c>
      <c r="H510" s="306" t="str">
        <f t="shared" si="83"/>
        <v>2026-10</v>
      </c>
      <c r="I510" s="306" t="str">
        <f t="shared" si="84"/>
        <v>OK</v>
      </c>
      <c r="J510" s="306" t="str">
        <f t="shared" si="85"/>
        <v>미래에셋_WRAP형CMA</v>
      </c>
      <c r="K510" s="306" t="str">
        <f t="shared" si="86"/>
        <v>우리은행</v>
      </c>
      <c r="L510" s="306" t="str">
        <f t="shared" si="87"/>
        <v>원장 233행 ↗</v>
      </c>
      <c r="AA510">
        <f>IFERROR(MATCH(($AA$501-1)*22+8,$Z$64:$Z$500,0),0)</f>
        <v>170</v>
      </c>
    </row>
    <row r="511" spans="1:29" ht="54" customHeight="1">
      <c r="A511" s="306" t="str">
        <f t="shared" si="76"/>
        <v>10/13 20:22</v>
      </c>
      <c r="B511" s="306" t="str">
        <f t="shared" si="77"/>
        <v>계좌이체</v>
      </c>
      <c r="C511" s="306" t="str">
        <f t="shared" si="78"/>
        <v>생활비</v>
      </c>
      <c r="D511" s="306" t="str">
        <f t="shared" si="79"/>
        <v>외부</v>
      </c>
      <c r="E511" s="28">
        <f t="shared" si="80"/>
        <v>360550</v>
      </c>
      <c r="F511" s="306" t="str">
        <f t="shared" si="81"/>
        <v>미래에셋 WRAP → 국민은행</v>
      </c>
      <c r="G511" s="90" t="str">
        <f t="shared" si="82"/>
        <v>RAW 2450행 · WRAP 이체출금 360,550원. WRAP에서 나…</v>
      </c>
      <c r="H511" s="306" t="str">
        <f t="shared" si="83"/>
        <v>2026-10</v>
      </c>
      <c r="I511" s="306" t="str">
        <f t="shared" si="84"/>
        <v>OK</v>
      </c>
      <c r="J511" s="306" t="str">
        <f t="shared" si="85"/>
        <v>미래에셋_WRAP형CMA</v>
      </c>
      <c r="K511" s="306" t="str">
        <f t="shared" si="86"/>
        <v>국민은행</v>
      </c>
      <c r="L511" s="306" t="str">
        <f t="shared" si="87"/>
        <v>원장 234행 ↗</v>
      </c>
      <c r="AA511">
        <f>IFERROR(MATCH(($AA$501-1)*22+9,$Z$64:$Z$500,0),0)</f>
        <v>171</v>
      </c>
    </row>
    <row r="512" spans="1:29" ht="54" customHeight="1">
      <c r="A512" s="306" t="str">
        <f t="shared" si="76"/>
        <v>10/13 20:21</v>
      </c>
      <c r="B512" s="306" t="str">
        <f t="shared" si="77"/>
        <v>계좌이체</v>
      </c>
      <c r="C512" s="306" t="str">
        <f t="shared" si="78"/>
        <v>생활비</v>
      </c>
      <c r="D512" s="306" t="str">
        <f t="shared" si="79"/>
        <v>외부</v>
      </c>
      <c r="E512" s="28">
        <f t="shared" si="80"/>
        <v>798746</v>
      </c>
      <c r="F512" s="306" t="str">
        <f t="shared" si="81"/>
        <v>미래에셋 WRAP → 토스뱅크</v>
      </c>
      <c r="G512" s="90" t="str">
        <f t="shared" si="82"/>
        <v>RAW 2449행 · WRAP 이체출금 798,746원. WRAP에서 나…</v>
      </c>
      <c r="H512" s="306" t="str">
        <f t="shared" si="83"/>
        <v>2026-10</v>
      </c>
      <c r="I512" s="306" t="str">
        <f t="shared" si="84"/>
        <v>OK</v>
      </c>
      <c r="J512" s="306" t="str">
        <f t="shared" si="85"/>
        <v>미래에셋_WRAP형CMA</v>
      </c>
      <c r="K512" s="306" t="str">
        <f t="shared" si="86"/>
        <v>토스뱅크</v>
      </c>
      <c r="L512" s="306" t="str">
        <f t="shared" si="87"/>
        <v>원장 235행 ↗</v>
      </c>
      <c r="AA512">
        <f>IFERROR(MATCH(($AA$501-1)*22+10,$Z$64:$Z$500,0),0)</f>
        <v>172</v>
      </c>
    </row>
    <row r="513" spans="1:27" ht="54" customHeight="1">
      <c r="A513" s="306" t="str">
        <f t="shared" si="76"/>
        <v>10/13 20:18</v>
      </c>
      <c r="B513" s="306" t="str">
        <f t="shared" si="77"/>
        <v>계좌이체</v>
      </c>
      <c r="C513" s="306" t="str">
        <f t="shared" si="78"/>
        <v>외부</v>
      </c>
      <c r="D513" s="306" t="str">
        <f t="shared" si="79"/>
        <v>생활비</v>
      </c>
      <c r="E513" s="28">
        <f t="shared" si="80"/>
        <v>604300</v>
      </c>
      <c r="F513" s="306" t="str">
        <f t="shared" si="81"/>
        <v>토스뱅크 → 미래에셋 WRAP</v>
      </c>
      <c r="G513" s="90" t="str">
        <f t="shared" si="82"/>
        <v>RAW 2448행 · WRAP 이체입금 604,300원. WRAP에서 나…</v>
      </c>
      <c r="H513" s="306" t="str">
        <f t="shared" si="83"/>
        <v>2026-10</v>
      </c>
      <c r="I513" s="306" t="str">
        <f t="shared" si="84"/>
        <v>OK</v>
      </c>
      <c r="J513" s="306" t="str">
        <f t="shared" si="85"/>
        <v>토스뱅크</v>
      </c>
      <c r="K513" s="306" t="str">
        <f t="shared" si="86"/>
        <v>미래에셋_WRAP형CMA</v>
      </c>
      <c r="L513" s="306" t="str">
        <f t="shared" si="87"/>
        <v>원장 236행 ↗</v>
      </c>
      <c r="AA513">
        <f>IFERROR(MATCH(($AA$501-1)*22+11,$Z$64:$Z$500,0),0)</f>
        <v>173</v>
      </c>
    </row>
    <row r="514" spans="1:27" ht="54" customHeight="1">
      <c r="A514" s="306" t="str">
        <f t="shared" si="76"/>
        <v>10/13 17:58</v>
      </c>
      <c r="B514" s="306" t="str">
        <f t="shared" si="77"/>
        <v>계좌이체</v>
      </c>
      <c r="C514" s="306" t="str">
        <f t="shared" si="78"/>
        <v>생활비</v>
      </c>
      <c r="D514" s="306" t="str">
        <f t="shared" si="79"/>
        <v>외부</v>
      </c>
      <c r="E514" s="28">
        <f t="shared" si="80"/>
        <v>753905</v>
      </c>
      <c r="F514" s="306" t="str">
        <f t="shared" si="81"/>
        <v>미래에셋 WRAP → 새마을금고</v>
      </c>
      <c r="G514" s="90" t="str">
        <f t="shared" si="82"/>
        <v>RAW 2446행 · WRAP 이체출금 753,905원. WRAP에서 나…</v>
      </c>
      <c r="H514" s="306" t="str">
        <f t="shared" si="83"/>
        <v>2026-10</v>
      </c>
      <c r="I514" s="306" t="str">
        <f t="shared" si="84"/>
        <v>OK</v>
      </c>
      <c r="J514" s="306" t="str">
        <f t="shared" si="85"/>
        <v>미래에셋_WRAP형CMA</v>
      </c>
      <c r="K514" s="306" t="str">
        <f t="shared" si="86"/>
        <v>새마을금고</v>
      </c>
      <c r="L514" s="306" t="str">
        <f t="shared" si="87"/>
        <v>원장 237행 ↗</v>
      </c>
      <c r="AA514">
        <f>IFERROR(MATCH(($AA$501-1)*22+12,$Z$64:$Z$500,0),0)</f>
        <v>174</v>
      </c>
    </row>
    <row r="515" spans="1:27" ht="54" customHeight="1">
      <c r="A515" s="306" t="str">
        <f t="shared" si="76"/>
        <v>10/12 20:14</v>
      </c>
      <c r="B515" s="306" t="str">
        <f t="shared" si="77"/>
        <v>입금</v>
      </c>
      <c r="C515" s="306" t="str">
        <f t="shared" si="78"/>
        <v>외부</v>
      </c>
      <c r="D515" s="306" t="str">
        <f t="shared" si="79"/>
        <v>생활비</v>
      </c>
      <c r="E515" s="28">
        <f t="shared" si="80"/>
        <v>8557</v>
      </c>
      <c r="F515" s="306" t="str">
        <f t="shared" si="81"/>
        <v>미래에셋 WRAP 이자</v>
      </c>
      <c r="G515" s="90" t="str">
        <f t="shared" si="82"/>
        <v>RAW 2442행 · WRAP 입금 8,557원. 실제 자산은 미래에셋_…</v>
      </c>
      <c r="H515" s="306" t="str">
        <f t="shared" si="83"/>
        <v>2026-10</v>
      </c>
      <c r="I515" s="306" t="str">
        <f t="shared" si="84"/>
        <v>OK</v>
      </c>
      <c r="J515" s="306" t="str">
        <f t="shared" si="85"/>
        <v>외부</v>
      </c>
      <c r="K515" s="306" t="str">
        <f t="shared" si="86"/>
        <v>미래에셋_WRAP형CMA</v>
      </c>
      <c r="L515" s="306" t="str">
        <f t="shared" si="87"/>
        <v>원장 238행 ↗</v>
      </c>
      <c r="AA515">
        <f>IFERROR(MATCH(($AA$501-1)*22+13,$Z$64:$Z$500,0),0)</f>
        <v>175</v>
      </c>
    </row>
    <row r="516" spans="1:27" ht="54" customHeight="1">
      <c r="A516" s="306" t="str">
        <f t="shared" si="76"/>
        <v>10/12 19:48</v>
      </c>
      <c r="B516" s="306" t="str">
        <f t="shared" si="77"/>
        <v>계좌이체</v>
      </c>
      <c r="C516" s="306" t="str">
        <f t="shared" si="78"/>
        <v>생활비</v>
      </c>
      <c r="D516" s="306" t="str">
        <f t="shared" si="79"/>
        <v>외부</v>
      </c>
      <c r="E516" s="28">
        <f t="shared" si="80"/>
        <v>1390</v>
      </c>
      <c r="F516" s="306" t="str">
        <f t="shared" si="81"/>
        <v>미래에셋 WRAP → 카카오뱅크</v>
      </c>
      <c r="G516" s="90" t="str">
        <f t="shared" si="82"/>
        <v>RAW 2430행 · WRAP 이체출금 1,390원. WRAP에서 나가면…</v>
      </c>
      <c r="H516" s="306" t="str">
        <f t="shared" si="83"/>
        <v>2026-10</v>
      </c>
      <c r="I516" s="306" t="str">
        <f t="shared" si="84"/>
        <v>OK</v>
      </c>
      <c r="J516" s="306" t="str">
        <f t="shared" si="85"/>
        <v>미래에셋_WRAP형CMA</v>
      </c>
      <c r="K516" s="306" t="str">
        <f t="shared" si="86"/>
        <v>카카오뱅크</v>
      </c>
      <c r="L516" s="306" t="str">
        <f t="shared" si="87"/>
        <v>원장 239행 ↗</v>
      </c>
      <c r="AA516">
        <f>IFERROR(MATCH(($AA$501-1)*22+14,$Z$64:$Z$500,0),0)</f>
        <v>176</v>
      </c>
    </row>
    <row r="517" spans="1:27" ht="54" customHeight="1">
      <c r="A517" s="306" t="str">
        <f t="shared" si="76"/>
        <v>10/12 19:47</v>
      </c>
      <c r="B517" s="306" t="str">
        <f t="shared" si="77"/>
        <v>계좌이체</v>
      </c>
      <c r="C517" s="306" t="str">
        <f t="shared" si="78"/>
        <v>생활비</v>
      </c>
      <c r="D517" s="306" t="str">
        <f t="shared" si="79"/>
        <v>외부</v>
      </c>
      <c r="E517" s="28">
        <f t="shared" si="80"/>
        <v>90410</v>
      </c>
      <c r="F517" s="306" t="str">
        <f t="shared" si="81"/>
        <v>미래에셋 WRAP → 신한은행</v>
      </c>
      <c r="G517" s="90" t="str">
        <f t="shared" si="82"/>
        <v>RAW 2429행 · WRAP 이체출금 90,410원. WRAP에서 나가…</v>
      </c>
      <c r="H517" s="306" t="str">
        <f t="shared" si="83"/>
        <v>2026-10</v>
      </c>
      <c r="I517" s="306" t="str">
        <f t="shared" si="84"/>
        <v>OK</v>
      </c>
      <c r="J517" s="306" t="str">
        <f t="shared" si="85"/>
        <v>미래에셋_WRAP형CMA</v>
      </c>
      <c r="K517" s="306" t="str">
        <f t="shared" si="86"/>
        <v>신한은행</v>
      </c>
      <c r="L517" s="306" t="str">
        <f t="shared" si="87"/>
        <v>원장 240행 ↗</v>
      </c>
      <c r="AA517">
        <f>IFERROR(MATCH(($AA$501-1)*22+15,$Z$64:$Z$500,0),0)</f>
        <v>177</v>
      </c>
    </row>
    <row r="518" spans="1:27" ht="54" customHeight="1">
      <c r="A518" s="306" t="str">
        <f t="shared" si="76"/>
        <v>10/4 14:53</v>
      </c>
      <c r="B518" s="306" t="str">
        <f t="shared" si="77"/>
        <v>계좌이체</v>
      </c>
      <c r="C518" s="306" t="str">
        <f t="shared" si="78"/>
        <v>생활비</v>
      </c>
      <c r="D518" s="306" t="str">
        <f t="shared" si="79"/>
        <v>외부</v>
      </c>
      <c r="E518" s="28">
        <f t="shared" si="80"/>
        <v>50000</v>
      </c>
      <c r="F518" s="306" t="str">
        <f t="shared" si="81"/>
        <v>미래에셋 WRAP → 모임통장</v>
      </c>
      <c r="G518" s="90" t="str">
        <f t="shared" si="82"/>
        <v>RAW 2347행 · WRAP 이체출금 50,000원. WRAP에서 나가…</v>
      </c>
      <c r="H518" s="306" t="str">
        <f t="shared" si="83"/>
        <v>2026-10</v>
      </c>
      <c r="I518" s="306" t="str">
        <f t="shared" si="84"/>
        <v>OK</v>
      </c>
      <c r="J518" s="306" t="str">
        <f t="shared" si="85"/>
        <v>미래에셋_WRAP형CMA</v>
      </c>
      <c r="K518" s="306" t="str">
        <f t="shared" si="86"/>
        <v>모임통장</v>
      </c>
      <c r="L518" s="306" t="str">
        <f t="shared" si="87"/>
        <v>원장 241행 ↗</v>
      </c>
      <c r="AA518">
        <f>IFERROR(MATCH(($AA$501-1)*22+16,$Z$64:$Z$500,0),0)</f>
        <v>178</v>
      </c>
    </row>
    <row r="519" spans="1:27" ht="54" customHeight="1">
      <c r="A519" s="306" t="str">
        <f t="shared" si="76"/>
        <v>10/2 14:56</v>
      </c>
      <c r="B519" s="306" t="str">
        <f t="shared" si="77"/>
        <v>사용</v>
      </c>
      <c r="C519" s="306" t="str">
        <f t="shared" si="78"/>
        <v>생활비</v>
      </c>
      <c r="D519" s="306" t="str">
        <f t="shared" si="79"/>
        <v>지출</v>
      </c>
      <c r="E519" s="28">
        <f t="shared" si="80"/>
        <v>11900</v>
      </c>
      <c r="F519" s="306" t="str">
        <f t="shared" si="81"/>
        <v>두끼떡볶이</v>
      </c>
      <c r="G519" s="90" t="str">
        <f t="shared" si="82"/>
        <v>RAW 2334행 · WRAP 출금 11,900원. 실제 자산은 미래에셋…</v>
      </c>
      <c r="H519" s="306" t="str">
        <f t="shared" si="83"/>
        <v>2026-10</v>
      </c>
      <c r="I519" s="306" t="str">
        <f t="shared" si="84"/>
        <v>OK</v>
      </c>
      <c r="J519" s="306" t="str">
        <f t="shared" si="85"/>
        <v>미래에셋_WRAP형CMA</v>
      </c>
      <c r="K519" s="306" t="str">
        <f t="shared" si="86"/>
        <v>외부</v>
      </c>
      <c r="L519" s="306" t="str">
        <f t="shared" si="87"/>
        <v>원장 242행 ↗</v>
      </c>
      <c r="AA519">
        <f>IFERROR(MATCH(($AA$501-1)*22+17,$Z$64:$Z$500,0),0)</f>
        <v>179</v>
      </c>
    </row>
    <row r="520" spans="1:27" ht="54" customHeight="1">
      <c r="A520" s="306" t="str">
        <f t="shared" si="76"/>
        <v/>
      </c>
      <c r="B520" s="306" t="str">
        <f t="shared" si="77"/>
        <v/>
      </c>
      <c r="C520" s="306" t="str">
        <f t="shared" si="78"/>
        <v/>
      </c>
      <c r="D520" s="306" t="str">
        <f t="shared" si="79"/>
        <v/>
      </c>
      <c r="E520" s="28" t="str">
        <f t="shared" si="80"/>
        <v/>
      </c>
      <c r="F520" s="306" t="str">
        <f t="shared" si="81"/>
        <v/>
      </c>
      <c r="G520" s="90" t="str">
        <f t="shared" si="82"/>
        <v/>
      </c>
      <c r="H520" s="306" t="str">
        <f t="shared" si="83"/>
        <v/>
      </c>
      <c r="I520" s="306" t="str">
        <f t="shared" si="84"/>
        <v/>
      </c>
      <c r="J520" s="306" t="str">
        <f t="shared" si="85"/>
        <v/>
      </c>
      <c r="K520" s="306" t="str">
        <f t="shared" si="86"/>
        <v/>
      </c>
      <c r="L520" s="306" t="str">
        <f t="shared" si="87"/>
        <v/>
      </c>
      <c r="AA520">
        <f>IFERROR(MATCH(($AA$501-1)*22+18,$Z$64:$Z$500,0),0)</f>
        <v>0</v>
      </c>
    </row>
    <row r="521" spans="1:27" ht="54" customHeight="1">
      <c r="A521" s="306" t="str">
        <f t="shared" si="76"/>
        <v/>
      </c>
      <c r="B521" s="306" t="str">
        <f t="shared" si="77"/>
        <v/>
      </c>
      <c r="C521" s="306" t="str">
        <f t="shared" si="78"/>
        <v/>
      </c>
      <c r="D521" s="306" t="str">
        <f t="shared" si="79"/>
        <v/>
      </c>
      <c r="E521" s="28" t="str">
        <f t="shared" si="80"/>
        <v/>
      </c>
      <c r="F521" s="306" t="str">
        <f t="shared" si="81"/>
        <v/>
      </c>
      <c r="G521" s="90" t="str">
        <f t="shared" si="82"/>
        <v/>
      </c>
      <c r="H521" s="306" t="str">
        <f t="shared" si="83"/>
        <v/>
      </c>
      <c r="I521" s="306" t="str">
        <f t="shared" si="84"/>
        <v/>
      </c>
      <c r="J521" s="306" t="str">
        <f t="shared" si="85"/>
        <v/>
      </c>
      <c r="K521" s="306" t="str">
        <f t="shared" si="86"/>
        <v/>
      </c>
      <c r="L521" s="306" t="str">
        <f t="shared" si="87"/>
        <v/>
      </c>
      <c r="AA521">
        <f>IFERROR(MATCH(($AA$501-1)*22+19,$Z$64:$Z$500,0),0)</f>
        <v>0</v>
      </c>
    </row>
    <row r="522" spans="1:27" ht="54" customHeight="1">
      <c r="A522" s="306" t="str">
        <f t="shared" si="76"/>
        <v/>
      </c>
      <c r="B522" s="306" t="str">
        <f t="shared" si="77"/>
        <v/>
      </c>
      <c r="C522" s="306" t="str">
        <f t="shared" si="78"/>
        <v/>
      </c>
      <c r="D522" s="306" t="str">
        <f t="shared" si="79"/>
        <v/>
      </c>
      <c r="E522" s="28" t="str">
        <f t="shared" si="80"/>
        <v/>
      </c>
      <c r="F522" s="306" t="str">
        <f t="shared" si="81"/>
        <v/>
      </c>
      <c r="G522" s="90" t="str">
        <f t="shared" si="82"/>
        <v/>
      </c>
      <c r="H522" s="306" t="str">
        <f t="shared" si="83"/>
        <v/>
      </c>
      <c r="I522" s="306" t="str">
        <f t="shared" si="84"/>
        <v/>
      </c>
      <c r="J522" s="306" t="str">
        <f t="shared" si="85"/>
        <v/>
      </c>
      <c r="K522" s="306" t="str">
        <f t="shared" si="86"/>
        <v/>
      </c>
      <c r="L522" s="306" t="str">
        <f t="shared" si="87"/>
        <v/>
      </c>
      <c r="AA522">
        <f>IFERROR(MATCH(($AA$501-1)*22+20,$Z$64:$Z$500,0),0)</f>
        <v>0</v>
      </c>
    </row>
    <row r="523" spans="1:27" ht="54" customHeight="1">
      <c r="A523" s="306" t="str">
        <f t="shared" si="76"/>
        <v/>
      </c>
      <c r="B523" s="306" t="str">
        <f t="shared" si="77"/>
        <v/>
      </c>
      <c r="C523" s="306" t="str">
        <f t="shared" si="78"/>
        <v/>
      </c>
      <c r="D523" s="306" t="str">
        <f t="shared" si="79"/>
        <v/>
      </c>
      <c r="E523" s="28" t="str">
        <f t="shared" si="80"/>
        <v/>
      </c>
      <c r="F523" s="306" t="str">
        <f t="shared" si="81"/>
        <v/>
      </c>
      <c r="G523" s="90" t="str">
        <f t="shared" si="82"/>
        <v/>
      </c>
      <c r="H523" s="306" t="str">
        <f t="shared" si="83"/>
        <v/>
      </c>
      <c r="I523" s="306" t="str">
        <f t="shared" si="84"/>
        <v/>
      </c>
      <c r="J523" s="306" t="str">
        <f t="shared" si="85"/>
        <v/>
      </c>
      <c r="K523" s="306" t="str">
        <f t="shared" si="86"/>
        <v/>
      </c>
      <c r="L523" s="306" t="str">
        <f t="shared" si="87"/>
        <v/>
      </c>
      <c r="AA523">
        <f>IFERROR(MATCH(($AA$501-1)*22+21,$Z$64:$Z$500,0),0)</f>
        <v>0</v>
      </c>
    </row>
    <row r="524" spans="1:27" ht="54" customHeight="1">
      <c r="A524" s="306" t="str">
        <f t="shared" si="76"/>
        <v/>
      </c>
      <c r="B524" s="306" t="str">
        <f t="shared" si="77"/>
        <v/>
      </c>
      <c r="C524" s="306" t="str">
        <f t="shared" si="78"/>
        <v/>
      </c>
      <c r="D524" s="306" t="str">
        <f t="shared" si="79"/>
        <v/>
      </c>
      <c r="E524" s="28" t="str">
        <f t="shared" si="80"/>
        <v/>
      </c>
      <c r="F524" s="306" t="str">
        <f t="shared" si="81"/>
        <v/>
      </c>
      <c r="G524" s="90" t="str">
        <f t="shared" si="82"/>
        <v/>
      </c>
      <c r="H524" s="306" t="str">
        <f t="shared" si="83"/>
        <v/>
      </c>
      <c r="I524" s="306" t="str">
        <f t="shared" si="84"/>
        <v/>
      </c>
      <c r="J524" s="306" t="str">
        <f t="shared" si="85"/>
        <v/>
      </c>
      <c r="K524" s="306" t="str">
        <f t="shared" si="86"/>
        <v/>
      </c>
      <c r="L524" s="306" t="str">
        <f t="shared" si="87"/>
        <v/>
      </c>
      <c r="AA524">
        <f>IFERROR(MATCH(($AA$501-1)*22+22,$Z$64:$Z$500,0),0)</f>
        <v>0</v>
      </c>
    </row>
    <row r="525" spans="1:27" ht="40" customHeight="1">
      <c r="A525" s="412" t="s">
        <v>2406</v>
      </c>
      <c r="B525" s="350"/>
      <c r="C525" s="350"/>
      <c r="D525" s="350"/>
      <c r="E525" s="350"/>
      <c r="F525" s="350"/>
      <c r="G525" s="350"/>
      <c r="H525" s="350"/>
      <c r="I525" s="350"/>
      <c r="J525" s="350"/>
      <c r="K525" s="350"/>
      <c r="L525" s="350"/>
    </row>
  </sheetData>
  <mergeCells count="73">
    <mergeCell ref="A60:L60"/>
    <mergeCell ref="A36:F36"/>
    <mergeCell ref="G36:L36"/>
    <mergeCell ref="K38:L38"/>
    <mergeCell ref="C45:E45"/>
    <mergeCell ref="K57:L57"/>
    <mergeCell ref="K37:L37"/>
    <mergeCell ref="C47:E47"/>
    <mergeCell ref="C59:E59"/>
    <mergeCell ref="C43:E43"/>
    <mergeCell ref="K55:L55"/>
    <mergeCell ref="K54:L54"/>
    <mergeCell ref="A32:B32"/>
    <mergeCell ref="D3:K3"/>
    <mergeCell ref="K53:L53"/>
    <mergeCell ref="A4:K4"/>
    <mergeCell ref="A29:B29"/>
    <mergeCell ref="A28:B28"/>
    <mergeCell ref="A18:L18"/>
    <mergeCell ref="A27:B27"/>
    <mergeCell ref="K40:L40"/>
    <mergeCell ref="A31:L31"/>
    <mergeCell ref="C52:E52"/>
    <mergeCell ref="K42:L42"/>
    <mergeCell ref="C49:E49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A23:B23"/>
    <mergeCell ref="K39:L39"/>
    <mergeCell ref="A34:L34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C44:E44"/>
    <mergeCell ref="C41:E41"/>
    <mergeCell ref="C50:E50"/>
    <mergeCell ref="C501:H501"/>
    <mergeCell ref="I501:L501"/>
    <mergeCell ref="A525:L525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</mergeCells>
  <phoneticPr fontId="27" type="noConversion"/>
  <conditionalFormatting sqref="F35:F59">
    <cfRule type="cellIs" dxfId="85" priority="1" operator="greaterThan">
      <formula>0</formula>
    </cfRule>
    <cfRule type="cellIs" dxfId="84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howInputMessage="1" showErrorMessage="1" errorTitle="목록에서 월을 선택하세요" error="조회월은 목록에 있는 2026년 3~12월 중에서 선택해주세요." promptTitle="조회월 선택" prompt="조회월을 고르면 상단 잔액·내역과 하단 WRAP 원장이 같은 월로 바뀝니다." sqref="B3" xr:uid="{00000000-0002-0000-0200-000005000000}">
      <formula1>$C$21:$L$21</formula1>
    </dataValidation>
    <dataValidation type="whole" showInputMessage="1" showErrorMessage="1" errorTitle="페이지 확인" error="현재 월의 페이지 범위 안에서 선택하세요." promptTitle="선택월 원장 페이지" prompt="표시된 페이지 범위 안의 정수를 입력하세요." sqref="B501" xr:uid="{00000000-0002-0000-0200-000006000000}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328</v>
      </c>
      <c r="L5" s="38" t="s">
        <v>329</v>
      </c>
      <c r="M5" s="34" t="s">
        <v>330</v>
      </c>
      <c r="N5" s="34" t="s">
        <v>331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333</v>
      </c>
      <c r="L6" s="31" t="s">
        <v>329</v>
      </c>
      <c r="M6" s="27" t="s">
        <v>330</v>
      </c>
      <c r="N6" s="27" t="s">
        <v>334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350</v>
      </c>
      <c r="L11" s="38" t="s">
        <v>351</v>
      </c>
      <c r="M11" s="34" t="s">
        <v>352</v>
      </c>
      <c r="N11" s="34" t="s">
        <v>353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354</v>
      </c>
      <c r="M12" s="27" t="s">
        <v>355</v>
      </c>
      <c r="N12" s="27" t="s">
        <v>356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382</v>
      </c>
      <c r="T22" s="27" t="s">
        <v>383</v>
      </c>
      <c r="U22" s="27"/>
    </row>
    <row r="23" spans="1:22" ht="22" customHeight="1">
      <c r="A23" s="39" t="s">
        <v>384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385</v>
      </c>
      <c r="M23" s="34" t="s">
        <v>344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386</v>
      </c>
      <c r="T23" s="34" t="s">
        <v>371</v>
      </c>
      <c r="U23" s="34"/>
    </row>
    <row r="24" spans="1:22" ht="22" customHeight="1">
      <c r="A24" s="31" t="s">
        <v>323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223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HYPERLINK("#'1월계산기'!A1","계산기 대조 · 1월계산기 열기")</f>
        <v>계산기 대조 · 1월계산기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1157000</v>
      </c>
      <c r="N28" s="365"/>
      <c r="O28" s="366" t="s">
        <v>212</v>
      </c>
      <c r="P28" s="365"/>
      <c r="Q28" s="364">
        <f>'1월계산기'!W12</f>
        <v>1157000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1157000</v>
      </c>
      <c r="N29" s="365"/>
      <c r="O29" s="366" t="s">
        <v>213</v>
      </c>
      <c r="P29" s="365"/>
      <c r="Q29" s="364">
        <f>'1월계산기'!W13</f>
        <v>1157000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19120</v>
      </c>
      <c r="N30" s="365"/>
      <c r="O30" s="366" t="s">
        <v>391</v>
      </c>
      <c r="P30" s="365"/>
      <c r="Q30" s="364">
        <f>SUM(I4,I9,I14,I19,I24,I29)-I33</f>
        <v>19120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'1월계산기'!W14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2785740</v>
      </c>
      <c r="D37" s="27"/>
      <c r="E37" s="27" t="s">
        <v>306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I33-_예비비계산!AG2</f>
        <v>1137880</v>
      </c>
      <c r="I38" s="27">
        <f>SUM(I4,I9,I14,I19,I24,I29)-_예비비계산!AH2</f>
        <v>1157000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402</v>
      </c>
      <c r="L39" s="31" t="s">
        <v>406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2785740</v>
      </c>
      <c r="D41" s="27"/>
      <c r="E41" s="49" t="s">
        <v>411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181088</v>
      </c>
      <c r="I43" s="27">
        <f>H43</f>
        <v>181088</v>
      </c>
      <c r="J43" s="12"/>
      <c r="K43" s="31" t="s">
        <v>402</v>
      </c>
      <c r="L43" s="31" t="s">
        <v>416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418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5">
        <v>46045</v>
      </c>
      <c r="B52" s="35" t="s">
        <v>431</v>
      </c>
      <c r="C52" s="35" t="s">
        <v>99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5">
        <v>46052</v>
      </c>
      <c r="B53" s="35" t="s">
        <v>431</v>
      </c>
      <c r="C53" s="35" t="s">
        <v>99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432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94000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7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378"/>
      <c r="T65" s="359"/>
      <c r="U65" s="360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50000</v>
      </c>
      <c r="N66" s="40">
        <f>_예비비계산!AD2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26" t="s">
        <v>447</v>
      </c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200000</v>
      </c>
      <c r="N68" s="40">
        <f>_예비비계산!AF2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449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649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649000</v>
      </c>
      <c r="AA3">
        <v>649</v>
      </c>
    </row>
    <row r="4" spans="1:27" ht="18" customHeight="1">
      <c r="A4" s="117" t="s">
        <v>453</v>
      </c>
      <c r="B4" s="125"/>
      <c r="C4" s="119">
        <f>IFERROR(colorfunction(B4,$B$15:$U$144,FALSE),$AA$4)</f>
        <v>129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129000</v>
      </c>
      <c r="AA4">
        <v>129</v>
      </c>
    </row>
    <row r="5" spans="1:27" ht="18" customHeight="1">
      <c r="A5" s="117" t="s">
        <v>454</v>
      </c>
      <c r="B5" s="127"/>
      <c r="C5" s="119">
        <f>IFERROR(colorfunction(B5,$B$15:$U$144,FALSE),$AA$5)</f>
        <v>0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0</v>
      </c>
      <c r="AA5">
        <v>0</v>
      </c>
    </row>
    <row r="6" spans="1:27" ht="18" customHeight="1">
      <c r="A6" s="117" t="s">
        <v>455</v>
      </c>
      <c r="B6" s="128"/>
      <c r="C6" s="119">
        <f>IFERROR(colorfunction(B6,$B$15:$U$144,FALSE),$AA$6)</f>
        <v>5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5000</v>
      </c>
      <c r="AA6">
        <v>5</v>
      </c>
    </row>
    <row r="7" spans="1:27" ht="18" customHeight="1">
      <c r="A7" s="117" t="s">
        <v>456</v>
      </c>
      <c r="B7" s="129"/>
      <c r="C7" s="119">
        <f>IFERROR(colorfunction(B7,$B$15:$U$144,FALSE),$AA$7)</f>
        <v>57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57000</v>
      </c>
      <c r="AA7">
        <v>57</v>
      </c>
    </row>
    <row r="8" spans="1:27" ht="18" customHeight="1">
      <c r="A8" s="117" t="s">
        <v>457</v>
      </c>
      <c r="B8" s="130"/>
      <c r="C8" s="119">
        <f>IFERROR(colorfunction(B8,$B$15:$U$144,FALSE),$AA$8)</f>
        <v>94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94000</v>
      </c>
      <c r="AA8">
        <v>94</v>
      </c>
    </row>
    <row r="9" spans="1:27" ht="18" customHeight="1">
      <c r="A9" s="117" t="s">
        <v>458</v>
      </c>
      <c r="B9" s="131"/>
      <c r="C9" s="119">
        <f>IFERROR(colorfunction(B9,$B$15:$U$144,FALSE),$AA$9)</f>
        <v>212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212000</v>
      </c>
      <c r="AA9">
        <v>212</v>
      </c>
    </row>
    <row r="10" spans="1:27" ht="18" customHeight="1">
      <c r="A10" s="117" t="s">
        <v>459</v>
      </c>
      <c r="B10" s="132"/>
      <c r="C10" s="119">
        <f>IFERROR(colorfunction(B10,$B$15:$U$144,FALSE),$AA$10)</f>
        <v>11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11000</v>
      </c>
      <c r="AA10">
        <v>11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1157000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1157000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0+_예비비계산!AH2</f>
        <v>0</v>
      </c>
    </row>
    <row r="15" spans="1:27" ht="12" customHeight="1">
      <c r="A15" s="122"/>
      <c r="B15" s="133"/>
      <c r="C15" s="134"/>
      <c r="D15" s="133"/>
      <c r="E15" s="134"/>
      <c r="F15" s="133"/>
      <c r="G15" s="134"/>
      <c r="H15" s="133"/>
      <c r="I15" s="134"/>
      <c r="J15" s="133"/>
      <c r="K15" s="134"/>
      <c r="L15" s="133"/>
      <c r="M15" s="134"/>
      <c r="N15" s="135"/>
      <c r="O15" s="136"/>
      <c r="P15" s="133"/>
      <c r="Q15" s="134"/>
      <c r="R15" s="133"/>
      <c r="S15" s="134"/>
      <c r="T15" s="133"/>
      <c r="U15" s="134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7"/>
      <c r="C16" s="138"/>
      <c r="D16" s="137"/>
      <c r="E16" s="138"/>
      <c r="F16" s="137"/>
      <c r="G16" s="138"/>
      <c r="H16" s="137"/>
      <c r="I16" s="138"/>
      <c r="J16" s="137"/>
      <c r="K16" s="138"/>
      <c r="L16" s="137"/>
      <c r="M16" s="138"/>
      <c r="N16" s="139"/>
      <c r="O16" s="140"/>
      <c r="P16" s="137"/>
      <c r="Q16" s="138"/>
      <c r="R16" s="137"/>
      <c r="S16" s="138"/>
      <c r="T16" s="137"/>
      <c r="U16" s="138"/>
      <c r="V16" s="299" t="s">
        <v>211</v>
      </c>
      <c r="W16" s="300">
        <f>SUM(W3:W10)</f>
        <v>1157000</v>
      </c>
    </row>
    <row r="17" spans="1:27" ht="12" customHeight="1">
      <c r="A17" s="122"/>
      <c r="B17" s="137"/>
      <c r="C17" s="138"/>
      <c r="D17" s="137"/>
      <c r="E17" s="138"/>
      <c r="F17" s="137"/>
      <c r="G17" s="138"/>
      <c r="H17" s="137"/>
      <c r="I17" s="138"/>
      <c r="J17" s="137"/>
      <c r="K17" s="138"/>
      <c r="L17" s="137"/>
      <c r="M17" s="138"/>
      <c r="N17" s="139"/>
      <c r="O17" s="140"/>
      <c r="P17" s="137"/>
      <c r="Q17" s="138"/>
      <c r="R17" s="137"/>
      <c r="S17" s="138"/>
      <c r="T17" s="137"/>
      <c r="U17" s="138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7"/>
      <c r="C18" s="138"/>
      <c r="D18" s="137"/>
      <c r="E18" s="138"/>
      <c r="F18" s="137"/>
      <c r="G18" s="138"/>
      <c r="H18" s="137"/>
      <c r="I18" s="138"/>
      <c r="J18" s="137"/>
      <c r="K18" s="138"/>
      <c r="L18" s="137"/>
      <c r="M18" s="138"/>
      <c r="N18" s="139"/>
      <c r="O18" s="140"/>
      <c r="P18" s="137"/>
      <c r="Q18" s="138"/>
      <c r="R18" s="137"/>
      <c r="S18" s="138"/>
      <c r="T18" s="137"/>
      <c r="U18" s="138"/>
      <c r="V18" s="122"/>
      <c r="W18" s="122"/>
    </row>
    <row r="19" spans="1:27" ht="12" customHeight="1" thickBot="1">
      <c r="A19" s="141">
        <v>1</v>
      </c>
      <c r="B19" s="142"/>
      <c r="C19" s="143"/>
      <c r="D19" s="142"/>
      <c r="E19" s="143"/>
      <c r="F19" s="142"/>
      <c r="G19" s="143"/>
      <c r="H19" s="142"/>
      <c r="I19" s="143"/>
      <c r="J19" s="142"/>
      <c r="K19" s="143"/>
      <c r="L19" s="142"/>
      <c r="M19" s="143"/>
      <c r="N19" s="144"/>
      <c r="O19" s="145"/>
      <c r="P19" s="142"/>
      <c r="Q19" s="143"/>
      <c r="R19" s="142"/>
      <c r="S19" s="143"/>
      <c r="T19" s="142"/>
      <c r="U19" s="143"/>
      <c r="V19" s="122"/>
      <c r="W19" s="122"/>
    </row>
    <row r="20" spans="1:27" ht="12" customHeight="1">
      <c r="A20" s="122"/>
      <c r="B20" s="146"/>
      <c r="C20" s="147"/>
      <c r="D20" s="146"/>
      <c r="E20" s="147"/>
      <c r="F20" s="146"/>
      <c r="G20" s="147"/>
      <c r="H20" s="135"/>
      <c r="I20" s="136"/>
      <c r="J20" s="133"/>
      <c r="K20" s="134"/>
      <c r="L20" s="146"/>
      <c r="M20" s="147"/>
      <c r="N20" s="146"/>
      <c r="O20" s="136"/>
      <c r="P20" s="135"/>
      <c r="Q20" s="148"/>
      <c r="R20" s="149"/>
      <c r="S20" s="150"/>
      <c r="T20" s="151"/>
      <c r="U20" s="147"/>
      <c r="V20" s="122"/>
      <c r="W20" s="122"/>
    </row>
    <row r="21" spans="1:27" ht="12" customHeight="1">
      <c r="A21" s="122"/>
      <c r="B21" s="152"/>
      <c r="C21" s="153"/>
      <c r="D21" s="152"/>
      <c r="E21" s="153"/>
      <c r="F21" s="152"/>
      <c r="G21" s="153"/>
      <c r="H21" s="139"/>
      <c r="I21" s="140"/>
      <c r="J21" s="137"/>
      <c r="K21" s="138"/>
      <c r="L21" s="152"/>
      <c r="M21" s="153"/>
      <c r="N21" s="152"/>
      <c r="O21" s="140"/>
      <c r="P21" s="139"/>
      <c r="Q21" s="154"/>
      <c r="R21" s="155"/>
      <c r="S21" s="156"/>
      <c r="T21" s="157"/>
      <c r="U21" s="153"/>
      <c r="V21" s="122"/>
      <c r="W21" s="122"/>
    </row>
    <row r="22" spans="1:27" ht="12" customHeight="1">
      <c r="A22" s="122"/>
      <c r="B22" s="152"/>
      <c r="C22" s="153"/>
      <c r="D22" s="152"/>
      <c r="E22" s="153"/>
      <c r="F22" s="152"/>
      <c r="G22" s="153"/>
      <c r="H22" s="139"/>
      <c r="I22" s="140"/>
      <c r="J22" s="137"/>
      <c r="K22" s="138"/>
      <c r="L22" s="152"/>
      <c r="M22" s="153"/>
      <c r="N22" s="152"/>
      <c r="O22" s="140"/>
      <c r="P22" s="139"/>
      <c r="Q22" s="154"/>
      <c r="R22" s="155"/>
      <c r="S22" s="156"/>
      <c r="T22" s="157"/>
      <c r="U22" s="153"/>
      <c r="V22" s="122"/>
      <c r="W22" s="122"/>
    </row>
    <row r="23" spans="1:27" ht="12" customHeight="1">
      <c r="A23" s="122"/>
      <c r="B23" s="152"/>
      <c r="C23" s="153"/>
      <c r="D23" s="152"/>
      <c r="E23" s="153"/>
      <c r="F23" s="152"/>
      <c r="G23" s="153"/>
      <c r="H23" s="139"/>
      <c r="I23" s="140"/>
      <c r="J23" s="137"/>
      <c r="K23" s="138"/>
      <c r="L23" s="152"/>
      <c r="M23" s="153"/>
      <c r="N23" s="152"/>
      <c r="O23" s="140"/>
      <c r="P23" s="139"/>
      <c r="Q23" s="154"/>
      <c r="R23" s="155"/>
      <c r="S23" s="156"/>
      <c r="T23" s="157"/>
      <c r="U23" s="153"/>
      <c r="V23" s="122"/>
      <c r="W23" s="122"/>
    </row>
    <row r="24" spans="1:27" ht="12" customHeight="1" thickBot="1">
      <c r="A24" s="141">
        <v>2</v>
      </c>
      <c r="B24" s="158"/>
      <c r="C24" s="159"/>
      <c r="D24" s="158"/>
      <c r="E24" s="159"/>
      <c r="F24" s="158"/>
      <c r="G24" s="159"/>
      <c r="H24" s="144"/>
      <c r="I24" s="145"/>
      <c r="J24" s="142"/>
      <c r="K24" s="143"/>
      <c r="L24" s="158"/>
      <c r="M24" s="159"/>
      <c r="N24" s="158"/>
      <c r="O24" s="145"/>
      <c r="P24" s="144"/>
      <c r="Q24" s="160"/>
      <c r="R24" s="161"/>
      <c r="S24" s="162"/>
      <c r="T24" s="163"/>
      <c r="U24" s="160"/>
      <c r="V24" s="122"/>
      <c r="W24" s="122"/>
    </row>
    <row r="25" spans="1:27" ht="12" customHeight="1">
      <c r="A25" s="122"/>
      <c r="B25" s="151"/>
      <c r="C25" s="150"/>
      <c r="D25" s="151"/>
      <c r="E25" s="150"/>
      <c r="F25" s="151"/>
      <c r="G25" s="150"/>
      <c r="H25" s="135"/>
      <c r="I25" s="136"/>
      <c r="J25" s="133"/>
      <c r="K25" s="134"/>
      <c r="L25" s="146"/>
      <c r="M25" s="147"/>
      <c r="N25" s="146"/>
      <c r="O25" s="147"/>
      <c r="P25" s="146"/>
      <c r="Q25" s="147"/>
      <c r="R25" s="133"/>
      <c r="S25" s="134"/>
      <c r="T25" s="133"/>
      <c r="U25" s="134"/>
      <c r="V25" s="122"/>
      <c r="W25" s="122"/>
    </row>
    <row r="26" spans="1:27" ht="12" customHeight="1">
      <c r="A26" s="122"/>
      <c r="B26" s="157"/>
      <c r="C26" s="156"/>
      <c r="D26" s="157"/>
      <c r="E26" s="156"/>
      <c r="F26" s="157"/>
      <c r="G26" s="156"/>
      <c r="H26" s="139"/>
      <c r="I26" s="140"/>
      <c r="J26" s="137"/>
      <c r="K26" s="138"/>
      <c r="L26" s="152"/>
      <c r="M26" s="153"/>
      <c r="N26" s="152"/>
      <c r="O26" s="153"/>
      <c r="P26" s="152"/>
      <c r="Q26" s="153"/>
      <c r="R26" s="137"/>
      <c r="S26" s="138"/>
      <c r="T26" s="137"/>
      <c r="U26" s="138"/>
      <c r="V26" s="122"/>
      <c r="W26" s="122"/>
    </row>
    <row r="27" spans="1:27" ht="12" customHeight="1">
      <c r="A27" s="122"/>
      <c r="B27" s="157"/>
      <c r="C27" s="156"/>
      <c r="D27" s="157"/>
      <c r="E27" s="156"/>
      <c r="F27" s="157"/>
      <c r="G27" s="156"/>
      <c r="H27" s="139"/>
      <c r="I27" s="140"/>
      <c r="J27" s="137"/>
      <c r="K27" s="138"/>
      <c r="L27" s="152"/>
      <c r="M27" s="153"/>
      <c r="N27" s="152"/>
      <c r="O27" s="153"/>
      <c r="P27" s="152"/>
      <c r="Q27" s="153"/>
      <c r="R27" s="137"/>
      <c r="S27" s="138"/>
      <c r="T27" s="137"/>
      <c r="U27" s="138"/>
      <c r="V27" s="122"/>
      <c r="W27" s="122"/>
    </row>
    <row r="28" spans="1:27" ht="12" customHeight="1">
      <c r="A28" s="122"/>
      <c r="B28" s="157"/>
      <c r="C28" s="156"/>
      <c r="D28" s="157"/>
      <c r="E28" s="156"/>
      <c r="F28" s="157"/>
      <c r="G28" s="156"/>
      <c r="H28" s="139"/>
      <c r="I28" s="140"/>
      <c r="J28" s="137"/>
      <c r="K28" s="138"/>
      <c r="L28" s="152"/>
      <c r="M28" s="153"/>
      <c r="N28" s="152"/>
      <c r="O28" s="153"/>
      <c r="P28" s="152"/>
      <c r="Q28" s="153"/>
      <c r="R28" s="137"/>
      <c r="S28" s="138"/>
      <c r="T28" s="137"/>
      <c r="U28" s="138"/>
      <c r="V28" s="122"/>
      <c r="W28" s="122"/>
    </row>
    <row r="29" spans="1:27" ht="12" customHeight="1" thickBot="1">
      <c r="A29" s="141">
        <v>3</v>
      </c>
      <c r="B29" s="163"/>
      <c r="C29" s="162"/>
      <c r="D29" s="163"/>
      <c r="E29" s="162"/>
      <c r="F29" s="163"/>
      <c r="G29" s="162"/>
      <c r="H29" s="144"/>
      <c r="I29" s="145"/>
      <c r="J29" s="142"/>
      <c r="K29" s="143"/>
      <c r="L29" s="158"/>
      <c r="M29" s="159"/>
      <c r="N29" s="158"/>
      <c r="O29" s="159"/>
      <c r="P29" s="158"/>
      <c r="Q29" s="159"/>
      <c r="R29" s="142"/>
      <c r="S29" s="143"/>
      <c r="T29" s="142"/>
      <c r="U29" s="143"/>
      <c r="V29" s="122"/>
      <c r="W29" s="122"/>
    </row>
    <row r="30" spans="1:27" ht="12" customHeight="1">
      <c r="A30" s="122"/>
      <c r="B30" s="133"/>
      <c r="C30" s="136"/>
      <c r="D30" s="146"/>
      <c r="E30" s="147"/>
      <c r="F30" s="146"/>
      <c r="G30" s="147"/>
      <c r="H30" s="146"/>
      <c r="I30" s="134"/>
      <c r="J30" s="133"/>
      <c r="K30" s="134"/>
      <c r="L30" s="133"/>
      <c r="M30" s="134"/>
      <c r="N30" s="133"/>
      <c r="O30" s="134"/>
      <c r="P30" s="133"/>
      <c r="Q30" s="134"/>
      <c r="R30" s="146"/>
      <c r="S30" s="134"/>
      <c r="T30" s="135"/>
      <c r="U30" s="134"/>
      <c r="V30" s="122"/>
      <c r="W30" s="122"/>
    </row>
    <row r="31" spans="1:27" ht="12" customHeight="1">
      <c r="A31" s="122"/>
      <c r="B31" s="137"/>
      <c r="C31" s="140"/>
      <c r="D31" s="152"/>
      <c r="E31" s="153"/>
      <c r="F31" s="152"/>
      <c r="G31" s="153"/>
      <c r="H31" s="152"/>
      <c r="I31" s="138"/>
      <c r="J31" s="137"/>
      <c r="K31" s="138"/>
      <c r="L31" s="137"/>
      <c r="M31" s="138"/>
      <c r="N31" s="137"/>
      <c r="O31" s="138"/>
      <c r="P31" s="137"/>
      <c r="Q31" s="138"/>
      <c r="R31" s="152"/>
      <c r="S31" s="138"/>
      <c r="T31" s="139"/>
      <c r="U31" s="138"/>
      <c r="V31" s="122"/>
      <c r="W31" s="122"/>
    </row>
    <row r="32" spans="1:27" ht="12" customHeight="1">
      <c r="A32" s="122"/>
      <c r="B32" s="137"/>
      <c r="C32" s="140"/>
      <c r="D32" s="152"/>
      <c r="E32" s="153"/>
      <c r="F32" s="152"/>
      <c r="G32" s="153"/>
      <c r="H32" s="152"/>
      <c r="I32" s="138"/>
      <c r="J32" s="137"/>
      <c r="K32" s="138"/>
      <c r="L32" s="137"/>
      <c r="M32" s="138"/>
      <c r="N32" s="137"/>
      <c r="O32" s="138"/>
      <c r="P32" s="137"/>
      <c r="Q32" s="138"/>
      <c r="R32" s="137"/>
      <c r="S32" s="138"/>
      <c r="T32" s="139"/>
      <c r="U32" s="138"/>
      <c r="V32" s="122"/>
      <c r="W32" s="122"/>
    </row>
    <row r="33" spans="1:23" ht="12" customHeight="1">
      <c r="A33" s="122"/>
      <c r="B33" s="137"/>
      <c r="C33" s="140"/>
      <c r="D33" s="152"/>
      <c r="E33" s="153"/>
      <c r="F33" s="152"/>
      <c r="G33" s="153"/>
      <c r="H33" s="152"/>
      <c r="I33" s="138"/>
      <c r="J33" s="137"/>
      <c r="K33" s="138"/>
      <c r="L33" s="137"/>
      <c r="M33" s="138"/>
      <c r="N33" s="137"/>
      <c r="O33" s="138"/>
      <c r="P33" s="137"/>
      <c r="Q33" s="138"/>
      <c r="R33" s="137"/>
      <c r="S33" s="138"/>
      <c r="T33" s="139"/>
      <c r="U33" s="138"/>
      <c r="V33" s="122"/>
      <c r="W33" s="122"/>
    </row>
    <row r="34" spans="1:23" ht="12" customHeight="1" thickBot="1">
      <c r="A34" s="141">
        <v>4</v>
      </c>
      <c r="B34" s="142"/>
      <c r="C34" s="145"/>
      <c r="D34" s="158"/>
      <c r="E34" s="159"/>
      <c r="F34" s="158"/>
      <c r="G34" s="159"/>
      <c r="H34" s="158"/>
      <c r="I34" s="143"/>
      <c r="J34" s="142"/>
      <c r="K34" s="143"/>
      <c r="L34" s="142"/>
      <c r="M34" s="143"/>
      <c r="N34" s="142"/>
      <c r="O34" s="143"/>
      <c r="P34" s="142"/>
      <c r="Q34" s="143"/>
      <c r="R34" s="142"/>
      <c r="S34" s="143"/>
      <c r="T34" s="142"/>
      <c r="U34" s="143"/>
      <c r="V34" s="122"/>
      <c r="W34" s="122"/>
    </row>
    <row r="35" spans="1:23" ht="12" customHeight="1">
      <c r="A35" s="122"/>
      <c r="B35" s="146"/>
      <c r="C35" s="147"/>
      <c r="D35" s="133"/>
      <c r="E35" s="134"/>
      <c r="F35" s="135"/>
      <c r="G35" s="136"/>
      <c r="H35" s="133"/>
      <c r="I35" s="134"/>
      <c r="J35" s="133"/>
      <c r="K35" s="134"/>
      <c r="L35" s="133"/>
      <c r="M35" s="134"/>
      <c r="N35" s="133"/>
      <c r="O35" s="134"/>
      <c r="P35" s="133"/>
      <c r="Q35" s="134"/>
      <c r="R35" s="133"/>
      <c r="S35" s="134"/>
      <c r="T35" s="146"/>
      <c r="U35" s="134"/>
      <c r="V35" s="122"/>
      <c r="W35" s="122"/>
    </row>
    <row r="36" spans="1:23" ht="12" customHeight="1">
      <c r="A36" s="122"/>
      <c r="B36" s="152"/>
      <c r="C36" s="153"/>
      <c r="D36" s="137"/>
      <c r="E36" s="138"/>
      <c r="F36" s="139"/>
      <c r="G36" s="140"/>
      <c r="H36" s="137"/>
      <c r="I36" s="138"/>
      <c r="J36" s="137"/>
      <c r="K36" s="138"/>
      <c r="L36" s="137"/>
      <c r="M36" s="138"/>
      <c r="N36" s="137"/>
      <c r="O36" s="138"/>
      <c r="P36" s="137"/>
      <c r="Q36" s="138"/>
      <c r="R36" s="137"/>
      <c r="S36" s="138"/>
      <c r="T36" s="152"/>
      <c r="U36" s="153"/>
      <c r="V36" s="122"/>
      <c r="W36" s="122"/>
    </row>
    <row r="37" spans="1:23" ht="12" customHeight="1">
      <c r="A37" s="122"/>
      <c r="B37" s="152"/>
      <c r="C37" s="153"/>
      <c r="D37" s="137"/>
      <c r="E37" s="138"/>
      <c r="F37" s="139"/>
      <c r="G37" s="140"/>
      <c r="H37" s="137"/>
      <c r="I37" s="138"/>
      <c r="J37" s="137"/>
      <c r="K37" s="138"/>
      <c r="L37" s="137"/>
      <c r="M37" s="138"/>
      <c r="N37" s="137"/>
      <c r="O37" s="138"/>
      <c r="P37" s="137"/>
      <c r="Q37" s="138"/>
      <c r="R37" s="137"/>
      <c r="S37" s="138"/>
      <c r="T37" s="152"/>
      <c r="U37" s="153"/>
      <c r="V37" s="122"/>
      <c r="W37" s="122"/>
    </row>
    <row r="38" spans="1:23" ht="12" customHeight="1">
      <c r="A38" s="122"/>
      <c r="B38" s="152"/>
      <c r="C38" s="153"/>
      <c r="D38" s="137"/>
      <c r="E38" s="138"/>
      <c r="F38" s="139"/>
      <c r="G38" s="140"/>
      <c r="H38" s="137"/>
      <c r="I38" s="138"/>
      <c r="J38" s="137"/>
      <c r="K38" s="138"/>
      <c r="L38" s="137"/>
      <c r="M38" s="138"/>
      <c r="N38" s="137"/>
      <c r="O38" s="138"/>
      <c r="P38" s="137"/>
      <c r="Q38" s="138"/>
      <c r="R38" s="137"/>
      <c r="S38" s="138"/>
      <c r="T38" s="152"/>
      <c r="U38" s="153"/>
      <c r="V38" s="122"/>
      <c r="W38" s="122"/>
    </row>
    <row r="39" spans="1:23" ht="12" customHeight="1" thickBot="1">
      <c r="A39" s="141">
        <v>5</v>
      </c>
      <c r="B39" s="158"/>
      <c r="C39" s="159"/>
      <c r="D39" s="142"/>
      <c r="E39" s="143"/>
      <c r="F39" s="144"/>
      <c r="G39" s="145"/>
      <c r="H39" s="142"/>
      <c r="I39" s="143"/>
      <c r="J39" s="142"/>
      <c r="K39" s="143"/>
      <c r="L39" s="142"/>
      <c r="M39" s="143"/>
      <c r="N39" s="142"/>
      <c r="O39" s="143"/>
      <c r="P39" s="142"/>
      <c r="Q39" s="143"/>
      <c r="R39" s="142"/>
      <c r="S39" s="143"/>
      <c r="T39" s="158"/>
      <c r="U39" s="159"/>
      <c r="V39" s="122"/>
      <c r="W39" s="122"/>
    </row>
    <row r="40" spans="1:23" ht="12" customHeight="1">
      <c r="A40" s="122"/>
      <c r="B40" s="133"/>
      <c r="C40" s="134"/>
      <c r="D40" s="133"/>
      <c r="E40" s="134"/>
      <c r="F40" s="133"/>
      <c r="G40" s="136"/>
      <c r="H40" s="135"/>
      <c r="I40" s="134"/>
      <c r="J40" s="133"/>
      <c r="K40" s="134"/>
      <c r="L40" s="133"/>
      <c r="M40" s="134"/>
      <c r="N40" s="133"/>
      <c r="O40" s="147"/>
      <c r="P40" s="146"/>
      <c r="Q40" s="147"/>
      <c r="R40" s="146"/>
      <c r="S40" s="147"/>
      <c r="T40" s="146"/>
      <c r="U40" s="134"/>
      <c r="V40" s="122"/>
      <c r="W40" s="122"/>
    </row>
    <row r="41" spans="1:23" ht="12" customHeight="1">
      <c r="A41" s="122"/>
      <c r="B41" s="137"/>
      <c r="C41" s="138"/>
      <c r="D41" s="137"/>
      <c r="E41" s="138"/>
      <c r="F41" s="137"/>
      <c r="G41" s="140"/>
      <c r="H41" s="139"/>
      <c r="I41" s="138"/>
      <c r="J41" s="137"/>
      <c r="K41" s="138"/>
      <c r="L41" s="137"/>
      <c r="M41" s="138"/>
      <c r="N41" s="137"/>
      <c r="O41" s="153"/>
      <c r="P41" s="152"/>
      <c r="Q41" s="153"/>
      <c r="R41" s="152"/>
      <c r="S41" s="153"/>
      <c r="T41" s="137"/>
      <c r="U41" s="138"/>
      <c r="V41" s="122"/>
      <c r="W41" s="122"/>
    </row>
    <row r="42" spans="1:23" ht="12" customHeight="1">
      <c r="A42" s="122"/>
      <c r="B42" s="137"/>
      <c r="C42" s="138"/>
      <c r="D42" s="137"/>
      <c r="E42" s="138"/>
      <c r="F42" s="137"/>
      <c r="G42" s="140"/>
      <c r="H42" s="139"/>
      <c r="I42" s="138"/>
      <c r="J42" s="137"/>
      <c r="K42" s="138"/>
      <c r="L42" s="137"/>
      <c r="M42" s="138"/>
      <c r="N42" s="137"/>
      <c r="O42" s="153"/>
      <c r="P42" s="152"/>
      <c r="Q42" s="153"/>
      <c r="R42" s="152"/>
      <c r="S42" s="153"/>
      <c r="T42" s="137"/>
      <c r="U42" s="138"/>
      <c r="V42" s="122"/>
      <c r="W42" s="122"/>
    </row>
    <row r="43" spans="1:23" ht="12" customHeight="1">
      <c r="A43" s="122"/>
      <c r="B43" s="137"/>
      <c r="C43" s="138"/>
      <c r="D43" s="137"/>
      <c r="E43" s="138"/>
      <c r="F43" s="137"/>
      <c r="G43" s="140"/>
      <c r="H43" s="139"/>
      <c r="I43" s="138"/>
      <c r="J43" s="137"/>
      <c r="K43" s="138"/>
      <c r="L43" s="137"/>
      <c r="M43" s="138"/>
      <c r="N43" s="137"/>
      <c r="O43" s="153"/>
      <c r="P43" s="152"/>
      <c r="Q43" s="153"/>
      <c r="R43" s="152"/>
      <c r="S43" s="153"/>
      <c r="T43" s="137"/>
      <c r="U43" s="138"/>
      <c r="V43" s="122"/>
      <c r="W43" s="122"/>
    </row>
    <row r="44" spans="1:23" ht="12" customHeight="1" thickBot="1">
      <c r="A44" s="141">
        <v>6</v>
      </c>
      <c r="B44" s="142"/>
      <c r="C44" s="143"/>
      <c r="D44" s="142"/>
      <c r="E44" s="143"/>
      <c r="F44" s="142"/>
      <c r="G44" s="145"/>
      <c r="H44" s="144"/>
      <c r="I44" s="143"/>
      <c r="J44" s="142"/>
      <c r="K44" s="143"/>
      <c r="L44" s="142"/>
      <c r="M44" s="143"/>
      <c r="N44" s="142"/>
      <c r="O44" s="159"/>
      <c r="P44" s="158"/>
      <c r="Q44" s="159"/>
      <c r="R44" s="158"/>
      <c r="S44" s="159"/>
      <c r="T44" s="142"/>
      <c r="U44" s="143"/>
      <c r="V44" s="122"/>
      <c r="W44" s="122"/>
    </row>
    <row r="45" spans="1:23" ht="12" customHeight="1">
      <c r="A45" s="122"/>
      <c r="B45" s="146"/>
      <c r="C45" s="134"/>
      <c r="D45" s="133"/>
      <c r="E45" s="134"/>
      <c r="F45" s="133"/>
      <c r="G45" s="134"/>
      <c r="H45" s="133"/>
      <c r="I45" s="134"/>
      <c r="J45" s="133"/>
      <c r="K45" s="134"/>
      <c r="L45" s="133"/>
      <c r="M45" s="134"/>
      <c r="N45" s="133"/>
      <c r="O45" s="134"/>
      <c r="P45" s="133"/>
      <c r="Q45" s="136"/>
      <c r="R45" s="135"/>
      <c r="S45" s="134"/>
      <c r="T45" s="133"/>
      <c r="U45" s="134"/>
      <c r="V45" s="122"/>
      <c r="W45" s="122"/>
    </row>
    <row r="46" spans="1:23" ht="12" customHeight="1">
      <c r="A46" s="122"/>
      <c r="B46" s="152"/>
      <c r="C46" s="138"/>
      <c r="D46" s="137"/>
      <c r="E46" s="138"/>
      <c r="F46" s="137"/>
      <c r="G46" s="138"/>
      <c r="H46" s="137"/>
      <c r="I46" s="138"/>
      <c r="J46" s="137"/>
      <c r="K46" s="138"/>
      <c r="L46" s="137"/>
      <c r="M46" s="138"/>
      <c r="N46" s="137"/>
      <c r="O46" s="138"/>
      <c r="P46" s="137"/>
      <c r="Q46" s="140"/>
      <c r="R46" s="139"/>
      <c r="S46" s="138"/>
      <c r="T46" s="137"/>
      <c r="U46" s="138"/>
      <c r="V46" s="122"/>
      <c r="W46" s="122"/>
    </row>
    <row r="47" spans="1:23" ht="12" customHeight="1">
      <c r="A47" s="122"/>
      <c r="B47" s="152"/>
      <c r="C47" s="138"/>
      <c r="D47" s="137"/>
      <c r="E47" s="138"/>
      <c r="F47" s="137"/>
      <c r="G47" s="138"/>
      <c r="H47" s="137"/>
      <c r="I47" s="138"/>
      <c r="J47" s="137"/>
      <c r="K47" s="138"/>
      <c r="L47" s="137"/>
      <c r="M47" s="138"/>
      <c r="N47" s="137"/>
      <c r="O47" s="138"/>
      <c r="P47" s="137"/>
      <c r="Q47" s="140"/>
      <c r="R47" s="139"/>
      <c r="S47" s="138"/>
      <c r="T47" s="137"/>
      <c r="U47" s="138"/>
      <c r="V47" s="122"/>
      <c r="W47" s="122"/>
    </row>
    <row r="48" spans="1:23" ht="12" customHeight="1">
      <c r="A48" s="122"/>
      <c r="B48" s="152"/>
      <c r="C48" s="138"/>
      <c r="D48" s="137"/>
      <c r="E48" s="138"/>
      <c r="F48" s="137"/>
      <c r="G48" s="138"/>
      <c r="H48" s="137"/>
      <c r="I48" s="138"/>
      <c r="J48" s="137"/>
      <c r="K48" s="138"/>
      <c r="L48" s="137"/>
      <c r="M48" s="138"/>
      <c r="N48" s="137"/>
      <c r="O48" s="138"/>
      <c r="P48" s="137"/>
      <c r="Q48" s="140"/>
      <c r="R48" s="139"/>
      <c r="S48" s="138"/>
      <c r="T48" s="137"/>
      <c r="U48" s="138"/>
      <c r="V48" s="122"/>
      <c r="W48" s="122"/>
    </row>
    <row r="49" spans="1:23" ht="12" customHeight="1" thickBot="1">
      <c r="A49" s="141">
        <v>7</v>
      </c>
      <c r="B49" s="158"/>
      <c r="C49" s="143"/>
      <c r="D49" s="142"/>
      <c r="E49" s="143"/>
      <c r="F49" s="142"/>
      <c r="G49" s="143"/>
      <c r="H49" s="142"/>
      <c r="I49" s="143"/>
      <c r="J49" s="142"/>
      <c r="K49" s="143"/>
      <c r="L49" s="142"/>
      <c r="M49" s="143"/>
      <c r="N49" s="142"/>
      <c r="O49" s="143"/>
      <c r="P49" s="142"/>
      <c r="Q49" s="145"/>
      <c r="R49" s="144"/>
      <c r="S49" s="143"/>
      <c r="T49" s="142"/>
      <c r="U49" s="143"/>
      <c r="V49" s="122"/>
      <c r="W49" s="122"/>
    </row>
    <row r="50" spans="1:23" ht="12" customHeight="1">
      <c r="A50" s="122"/>
      <c r="B50" s="146"/>
      <c r="C50" s="147"/>
      <c r="D50" s="133"/>
      <c r="E50" s="134"/>
      <c r="F50" s="135"/>
      <c r="G50" s="136"/>
      <c r="H50" s="133"/>
      <c r="I50" s="134"/>
      <c r="J50" s="133"/>
      <c r="K50" s="134"/>
      <c r="L50" s="135"/>
      <c r="M50" s="136"/>
      <c r="N50" s="133"/>
      <c r="O50" s="134"/>
      <c r="P50" s="133"/>
      <c r="Q50" s="147"/>
      <c r="R50" s="146"/>
      <c r="S50" s="134"/>
      <c r="T50" s="137"/>
      <c r="U50" s="147"/>
      <c r="V50" s="122"/>
      <c r="W50" s="122"/>
    </row>
    <row r="51" spans="1:23" ht="12" customHeight="1">
      <c r="A51" s="122"/>
      <c r="B51" s="152"/>
      <c r="C51" s="153"/>
      <c r="D51" s="137"/>
      <c r="E51" s="138"/>
      <c r="F51" s="139"/>
      <c r="G51" s="140"/>
      <c r="H51" s="137"/>
      <c r="I51" s="138"/>
      <c r="J51" s="137"/>
      <c r="K51" s="138"/>
      <c r="L51" s="139"/>
      <c r="M51" s="140"/>
      <c r="N51" s="137"/>
      <c r="O51" s="138"/>
      <c r="P51" s="137"/>
      <c r="Q51" s="153"/>
      <c r="R51" s="152"/>
      <c r="S51" s="138"/>
      <c r="T51" s="137"/>
      <c r="U51" s="153"/>
      <c r="V51" s="122"/>
      <c r="W51" s="122"/>
    </row>
    <row r="52" spans="1:23" ht="12" customHeight="1">
      <c r="A52" s="122"/>
      <c r="B52" s="152"/>
      <c r="C52" s="153"/>
      <c r="D52" s="137"/>
      <c r="E52" s="138"/>
      <c r="F52" s="139"/>
      <c r="G52" s="140"/>
      <c r="H52" s="137"/>
      <c r="I52" s="138"/>
      <c r="J52" s="137"/>
      <c r="K52" s="138"/>
      <c r="L52" s="139"/>
      <c r="M52" s="140"/>
      <c r="N52" s="137"/>
      <c r="O52" s="138"/>
      <c r="P52" s="137"/>
      <c r="Q52" s="153"/>
      <c r="R52" s="137"/>
      <c r="S52" s="138"/>
      <c r="T52" s="164"/>
      <c r="U52" s="153"/>
      <c r="V52" s="122"/>
      <c r="W52" s="122"/>
    </row>
    <row r="53" spans="1:23" ht="12" customHeight="1">
      <c r="A53" s="122"/>
      <c r="B53" s="152"/>
      <c r="C53" s="153"/>
      <c r="D53" s="137"/>
      <c r="E53" s="138"/>
      <c r="F53" s="139"/>
      <c r="G53" s="140"/>
      <c r="H53" s="137"/>
      <c r="I53" s="138"/>
      <c r="J53" s="137"/>
      <c r="K53" s="138"/>
      <c r="L53" s="139"/>
      <c r="M53" s="140"/>
      <c r="N53" s="137"/>
      <c r="O53" s="138"/>
      <c r="P53" s="137"/>
      <c r="Q53" s="153"/>
      <c r="R53" s="137"/>
      <c r="S53" s="138"/>
      <c r="T53" s="164"/>
      <c r="U53" s="153"/>
      <c r="V53" s="122"/>
      <c r="W53" s="122"/>
    </row>
    <row r="54" spans="1:23" ht="12" customHeight="1" thickBot="1">
      <c r="A54" s="141">
        <v>8</v>
      </c>
      <c r="B54" s="158"/>
      <c r="C54" s="159"/>
      <c r="D54" s="142"/>
      <c r="E54" s="143"/>
      <c r="F54" s="144"/>
      <c r="G54" s="145"/>
      <c r="H54" s="142"/>
      <c r="I54" s="143"/>
      <c r="J54" s="142"/>
      <c r="K54" s="143"/>
      <c r="L54" s="144"/>
      <c r="M54" s="145"/>
      <c r="N54" s="142"/>
      <c r="O54" s="143"/>
      <c r="P54" s="142"/>
      <c r="Q54" s="159"/>
      <c r="R54" s="142"/>
      <c r="S54" s="143"/>
      <c r="T54" s="165"/>
      <c r="U54" s="159"/>
      <c r="V54" s="122"/>
      <c r="W54" s="122"/>
    </row>
    <row r="55" spans="1:23" ht="12" customHeight="1">
      <c r="A55" s="122"/>
      <c r="B55" s="133"/>
      <c r="C55" s="134"/>
      <c r="D55" s="133"/>
      <c r="E55" s="134"/>
      <c r="F55" s="133"/>
      <c r="G55" s="134"/>
      <c r="H55" s="133"/>
      <c r="I55" s="134"/>
      <c r="J55" s="133"/>
      <c r="K55" s="134"/>
      <c r="L55" s="133"/>
      <c r="M55" s="134"/>
      <c r="N55" s="133"/>
      <c r="O55" s="134"/>
      <c r="P55" s="135"/>
      <c r="Q55" s="136"/>
      <c r="R55" s="133"/>
      <c r="S55" s="166"/>
      <c r="T55" s="167"/>
      <c r="U55" s="134"/>
      <c r="V55" s="122"/>
      <c r="W55" s="122"/>
    </row>
    <row r="56" spans="1:23" ht="12" customHeight="1">
      <c r="A56" s="122"/>
      <c r="B56" s="137"/>
      <c r="C56" s="138"/>
      <c r="D56" s="137"/>
      <c r="E56" s="138"/>
      <c r="F56" s="137"/>
      <c r="G56" s="138"/>
      <c r="H56" s="137"/>
      <c r="I56" s="138"/>
      <c r="J56" s="137"/>
      <c r="K56" s="138"/>
      <c r="L56" s="137"/>
      <c r="M56" s="138"/>
      <c r="N56" s="137"/>
      <c r="O56" s="138"/>
      <c r="P56" s="139"/>
      <c r="Q56" s="138"/>
      <c r="R56" s="137"/>
      <c r="S56" s="168"/>
      <c r="T56" s="169"/>
      <c r="U56" s="138"/>
      <c r="V56" s="122"/>
      <c r="W56" s="122"/>
    </row>
    <row r="57" spans="1:23" ht="12" customHeight="1">
      <c r="A57" s="122"/>
      <c r="B57" s="137"/>
      <c r="C57" s="138"/>
      <c r="D57" s="137"/>
      <c r="E57" s="138"/>
      <c r="F57" s="137"/>
      <c r="G57" s="138"/>
      <c r="H57" s="137"/>
      <c r="I57" s="138"/>
      <c r="J57" s="137"/>
      <c r="K57" s="138"/>
      <c r="L57" s="137"/>
      <c r="M57" s="138"/>
      <c r="N57" s="137"/>
      <c r="O57" s="140"/>
      <c r="P57" s="139"/>
      <c r="Q57" s="138"/>
      <c r="R57" s="137"/>
      <c r="S57" s="168"/>
      <c r="T57" s="169"/>
      <c r="U57" s="138"/>
      <c r="V57" s="122"/>
      <c r="W57" s="122"/>
    </row>
    <row r="58" spans="1:23" ht="12" customHeight="1">
      <c r="A58" s="122"/>
      <c r="B58" s="137"/>
      <c r="C58" s="138"/>
      <c r="D58" s="137"/>
      <c r="E58" s="138"/>
      <c r="F58" s="137"/>
      <c r="G58" s="138"/>
      <c r="H58" s="137"/>
      <c r="I58" s="138"/>
      <c r="J58" s="137"/>
      <c r="K58" s="138"/>
      <c r="L58" s="137"/>
      <c r="M58" s="138"/>
      <c r="N58" s="137"/>
      <c r="O58" s="140"/>
      <c r="P58" s="139"/>
      <c r="Q58" s="138"/>
      <c r="R58" s="137"/>
      <c r="S58" s="168"/>
      <c r="T58" s="169"/>
      <c r="U58" s="138"/>
      <c r="V58" s="122"/>
      <c r="W58" s="122"/>
    </row>
    <row r="59" spans="1:23" ht="12" customHeight="1" thickBot="1">
      <c r="A59" s="141">
        <v>9</v>
      </c>
      <c r="B59" s="142"/>
      <c r="C59" s="143"/>
      <c r="D59" s="142"/>
      <c r="E59" s="143"/>
      <c r="F59" s="142"/>
      <c r="G59" s="143"/>
      <c r="H59" s="142"/>
      <c r="I59" s="143"/>
      <c r="J59" s="142"/>
      <c r="K59" s="143"/>
      <c r="L59" s="142"/>
      <c r="M59" s="143"/>
      <c r="N59" s="142"/>
      <c r="O59" s="145"/>
      <c r="P59" s="144"/>
      <c r="Q59" s="143"/>
      <c r="R59" s="142"/>
      <c r="S59" s="170"/>
      <c r="T59" s="171"/>
      <c r="U59" s="172"/>
      <c r="V59" s="122"/>
      <c r="W59" s="122"/>
    </row>
    <row r="60" spans="1:23" ht="12" customHeight="1">
      <c r="A60" s="122"/>
      <c r="B60" s="167"/>
      <c r="C60" s="166"/>
      <c r="D60" s="167"/>
      <c r="E60" s="134"/>
      <c r="F60" s="133"/>
      <c r="G60" s="136"/>
      <c r="H60" s="135"/>
      <c r="I60" s="134"/>
      <c r="J60" s="146"/>
      <c r="K60" s="147"/>
      <c r="L60" s="146"/>
      <c r="M60" s="147"/>
      <c r="N60" s="146"/>
      <c r="O60" s="134"/>
      <c r="P60" s="133"/>
      <c r="Q60" s="134"/>
      <c r="R60" s="133"/>
      <c r="S60" s="134"/>
      <c r="T60" s="146"/>
      <c r="U60" s="173"/>
      <c r="V60" s="122"/>
      <c r="W60" s="122"/>
    </row>
    <row r="61" spans="1:23" ht="12" customHeight="1">
      <c r="A61" s="122"/>
      <c r="B61" s="169"/>
      <c r="C61" s="168"/>
      <c r="D61" s="169"/>
      <c r="E61" s="138"/>
      <c r="F61" s="137"/>
      <c r="G61" s="140"/>
      <c r="H61" s="139"/>
      <c r="I61" s="138"/>
      <c r="J61" s="152"/>
      <c r="K61" s="153"/>
      <c r="L61" s="152"/>
      <c r="M61" s="153"/>
      <c r="N61" s="152"/>
      <c r="O61" s="138"/>
      <c r="P61" s="137"/>
      <c r="Q61" s="138"/>
      <c r="R61" s="137"/>
      <c r="S61" s="138"/>
      <c r="T61" s="152"/>
      <c r="U61" s="138"/>
      <c r="V61" s="122"/>
      <c r="W61" s="122"/>
    </row>
    <row r="62" spans="1:23" ht="12" customHeight="1">
      <c r="A62" s="122"/>
      <c r="B62" s="169"/>
      <c r="C62" s="168"/>
      <c r="D62" s="169"/>
      <c r="E62" s="138"/>
      <c r="F62" s="137"/>
      <c r="G62" s="140"/>
      <c r="H62" s="139"/>
      <c r="I62" s="138"/>
      <c r="J62" s="152"/>
      <c r="K62" s="153"/>
      <c r="L62" s="152"/>
      <c r="M62" s="153"/>
      <c r="N62" s="152"/>
      <c r="O62" s="138"/>
      <c r="P62" s="137"/>
      <c r="Q62" s="138"/>
      <c r="R62" s="137"/>
      <c r="S62" s="138"/>
      <c r="T62" s="152"/>
      <c r="U62" s="138"/>
      <c r="V62" s="122"/>
      <c r="W62" s="122"/>
    </row>
    <row r="63" spans="1:23" ht="12" customHeight="1">
      <c r="A63" s="122"/>
      <c r="B63" s="169"/>
      <c r="C63" s="168"/>
      <c r="D63" s="169"/>
      <c r="E63" s="138"/>
      <c r="F63" s="137"/>
      <c r="G63" s="140"/>
      <c r="H63" s="139"/>
      <c r="I63" s="138"/>
      <c r="J63" s="152"/>
      <c r="K63" s="153"/>
      <c r="L63" s="152"/>
      <c r="M63" s="153"/>
      <c r="N63" s="152"/>
      <c r="O63" s="138"/>
      <c r="P63" s="137"/>
      <c r="Q63" s="138"/>
      <c r="R63" s="137"/>
      <c r="S63" s="138"/>
      <c r="T63" s="152"/>
      <c r="U63" s="138"/>
      <c r="V63" s="122"/>
      <c r="W63" s="122"/>
    </row>
    <row r="64" spans="1:23" ht="12" customHeight="1" thickBot="1">
      <c r="A64" s="141">
        <v>10</v>
      </c>
      <c r="B64" s="171"/>
      <c r="C64" s="170"/>
      <c r="D64" s="171"/>
      <c r="E64" s="143"/>
      <c r="F64" s="142"/>
      <c r="G64" s="145"/>
      <c r="H64" s="144"/>
      <c r="I64" s="143"/>
      <c r="J64" s="158"/>
      <c r="K64" s="159"/>
      <c r="L64" s="158"/>
      <c r="M64" s="159"/>
      <c r="N64" s="158"/>
      <c r="O64" s="143"/>
      <c r="P64" s="142"/>
      <c r="Q64" s="143"/>
      <c r="R64" s="142"/>
      <c r="S64" s="143"/>
      <c r="T64" s="142"/>
      <c r="U64" s="143"/>
      <c r="V64" s="122"/>
      <c r="W64" s="122"/>
    </row>
    <row r="65" spans="1:23" ht="12" customHeight="1">
      <c r="A65" s="122"/>
      <c r="B65" s="133"/>
      <c r="C65" s="134"/>
      <c r="D65" s="133"/>
      <c r="E65" s="134"/>
      <c r="F65" s="133"/>
      <c r="G65" s="134"/>
      <c r="H65" s="133"/>
      <c r="I65" s="134"/>
      <c r="J65" s="135"/>
      <c r="K65" s="136"/>
      <c r="L65" s="151"/>
      <c r="M65" s="150"/>
      <c r="N65" s="151"/>
      <c r="O65" s="134"/>
      <c r="P65" s="133"/>
      <c r="Q65" s="147"/>
      <c r="R65" s="146"/>
      <c r="S65" s="166"/>
      <c r="T65" s="167"/>
      <c r="U65" s="134"/>
      <c r="V65" s="122"/>
      <c r="W65" s="122"/>
    </row>
    <row r="66" spans="1:23" ht="12" customHeight="1">
      <c r="A66" s="122"/>
      <c r="B66" s="137"/>
      <c r="C66" s="138"/>
      <c r="D66" s="137"/>
      <c r="E66" s="138"/>
      <c r="F66" s="137"/>
      <c r="G66" s="138"/>
      <c r="H66" s="137"/>
      <c r="I66" s="138"/>
      <c r="J66" s="139"/>
      <c r="K66" s="140"/>
      <c r="L66" s="157"/>
      <c r="M66" s="156"/>
      <c r="N66" s="157"/>
      <c r="O66" s="138"/>
      <c r="P66" s="137"/>
      <c r="Q66" s="153"/>
      <c r="R66" s="152"/>
      <c r="S66" s="168"/>
      <c r="T66" s="169"/>
      <c r="U66" s="138"/>
      <c r="V66" s="122"/>
      <c r="W66" s="122"/>
    </row>
    <row r="67" spans="1:23" ht="12" customHeight="1">
      <c r="A67" s="122"/>
      <c r="B67" s="137"/>
      <c r="C67" s="138"/>
      <c r="D67" s="137"/>
      <c r="E67" s="138"/>
      <c r="F67" s="137"/>
      <c r="G67" s="138"/>
      <c r="H67" s="137"/>
      <c r="I67" s="138"/>
      <c r="J67" s="139"/>
      <c r="K67" s="140"/>
      <c r="L67" s="157"/>
      <c r="M67" s="156"/>
      <c r="N67" s="157"/>
      <c r="O67" s="138"/>
      <c r="P67" s="137"/>
      <c r="Q67" s="140"/>
      <c r="R67" s="152"/>
      <c r="S67" s="168"/>
      <c r="T67" s="169"/>
      <c r="U67" s="138"/>
      <c r="V67" s="122"/>
      <c r="W67" s="122"/>
    </row>
    <row r="68" spans="1:23" ht="12" customHeight="1">
      <c r="A68" s="122"/>
      <c r="B68" s="137"/>
      <c r="C68" s="138"/>
      <c r="D68" s="137"/>
      <c r="E68" s="138"/>
      <c r="F68" s="137"/>
      <c r="G68" s="138"/>
      <c r="H68" s="137"/>
      <c r="I68" s="138"/>
      <c r="J68" s="139"/>
      <c r="K68" s="140"/>
      <c r="L68" s="157"/>
      <c r="M68" s="156"/>
      <c r="N68" s="157"/>
      <c r="O68" s="156"/>
      <c r="P68" s="137"/>
      <c r="Q68" s="138"/>
      <c r="R68" s="169"/>
      <c r="S68" s="168"/>
      <c r="T68" s="169"/>
      <c r="U68" s="138"/>
      <c r="V68" s="122"/>
      <c r="W68" s="122"/>
    </row>
    <row r="69" spans="1:23" ht="12" customHeight="1" thickBot="1">
      <c r="A69" s="141">
        <v>11</v>
      </c>
      <c r="B69" s="142"/>
      <c r="C69" s="143"/>
      <c r="D69" s="142"/>
      <c r="E69" s="143"/>
      <c r="F69" s="142"/>
      <c r="G69" s="143"/>
      <c r="H69" s="142"/>
      <c r="I69" s="143"/>
      <c r="J69" s="144"/>
      <c r="K69" s="145"/>
      <c r="L69" s="163"/>
      <c r="M69" s="162"/>
      <c r="N69" s="163"/>
      <c r="O69" s="162"/>
      <c r="P69" s="142"/>
      <c r="Q69" s="143"/>
      <c r="R69" s="171"/>
      <c r="S69" s="170"/>
      <c r="T69" s="171"/>
      <c r="U69" s="143"/>
      <c r="V69" s="122"/>
      <c r="W69" s="122"/>
    </row>
    <row r="70" spans="1:23" ht="12" customHeight="1">
      <c r="A70" s="122"/>
      <c r="B70" s="167"/>
      <c r="C70" s="166"/>
      <c r="D70" s="167"/>
      <c r="E70" s="166"/>
      <c r="F70" s="167"/>
      <c r="G70" s="166"/>
      <c r="H70" s="167"/>
      <c r="I70" s="166"/>
      <c r="J70" s="167"/>
      <c r="K70" s="166"/>
      <c r="L70" s="167"/>
      <c r="M70" s="166"/>
      <c r="N70" s="174"/>
      <c r="O70" s="175"/>
      <c r="P70" s="174"/>
      <c r="Q70" s="175"/>
      <c r="R70" s="174"/>
      <c r="S70" s="175"/>
      <c r="T70" s="174"/>
      <c r="U70" s="175"/>
      <c r="V70" s="122"/>
      <c r="W70" s="122"/>
    </row>
    <row r="71" spans="1:23" ht="12" customHeight="1">
      <c r="A71" s="122"/>
      <c r="B71" s="169"/>
      <c r="C71" s="168"/>
      <c r="D71" s="169"/>
      <c r="E71" s="168"/>
      <c r="F71" s="169"/>
      <c r="G71" s="168"/>
      <c r="H71" s="169"/>
      <c r="I71" s="168"/>
      <c r="J71" s="169"/>
      <c r="K71" s="168"/>
      <c r="L71" s="169"/>
      <c r="M71" s="168"/>
      <c r="N71" s="176"/>
      <c r="O71" s="177"/>
      <c r="P71" s="176"/>
      <c r="Q71" s="177"/>
      <c r="R71" s="176"/>
      <c r="S71" s="177"/>
      <c r="T71" s="176"/>
      <c r="U71" s="177"/>
      <c r="V71" s="122"/>
      <c r="W71" s="122"/>
    </row>
    <row r="72" spans="1:23" ht="12" customHeight="1">
      <c r="A72" s="122"/>
      <c r="B72" s="169"/>
      <c r="C72" s="168"/>
      <c r="D72" s="169"/>
      <c r="E72" s="168"/>
      <c r="F72" s="169"/>
      <c r="G72" s="168"/>
      <c r="H72" s="169"/>
      <c r="I72" s="168"/>
      <c r="J72" s="169"/>
      <c r="K72" s="168"/>
      <c r="L72" s="169"/>
      <c r="M72" s="177"/>
      <c r="N72" s="176"/>
      <c r="O72" s="177"/>
      <c r="P72" s="176"/>
      <c r="Q72" s="177"/>
      <c r="R72" s="176"/>
      <c r="S72" s="177"/>
      <c r="T72" s="176"/>
      <c r="U72" s="177"/>
      <c r="V72" s="122"/>
      <c r="W72" s="122"/>
    </row>
    <row r="73" spans="1:23" ht="12" customHeight="1">
      <c r="A73" s="122"/>
      <c r="B73" s="169"/>
      <c r="C73" s="168"/>
      <c r="D73" s="169"/>
      <c r="E73" s="168"/>
      <c r="F73" s="169"/>
      <c r="G73" s="168"/>
      <c r="H73" s="169"/>
      <c r="I73" s="168"/>
      <c r="J73" s="169"/>
      <c r="K73" s="168"/>
      <c r="L73" s="169"/>
      <c r="M73" s="177"/>
      <c r="N73" s="176"/>
      <c r="O73" s="177"/>
      <c r="P73" s="176"/>
      <c r="Q73" s="177"/>
      <c r="R73" s="176"/>
      <c r="S73" s="177"/>
      <c r="T73" s="176"/>
      <c r="U73" s="177"/>
      <c r="V73" s="122"/>
      <c r="W73" s="122"/>
    </row>
    <row r="74" spans="1:23" ht="12" customHeight="1" thickBot="1">
      <c r="A74" s="141">
        <v>12</v>
      </c>
      <c r="B74" s="171"/>
      <c r="C74" s="170"/>
      <c r="D74" s="171"/>
      <c r="E74" s="170"/>
      <c r="F74" s="171"/>
      <c r="G74" s="170"/>
      <c r="H74" s="171"/>
      <c r="I74" s="170"/>
      <c r="J74" s="171"/>
      <c r="K74" s="170"/>
      <c r="L74" s="171"/>
      <c r="M74" s="178"/>
      <c r="N74" s="179"/>
      <c r="O74" s="178"/>
      <c r="P74" s="179"/>
      <c r="Q74" s="178"/>
      <c r="R74" s="179"/>
      <c r="S74" s="178"/>
      <c r="T74" s="179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HYPERLINK("#'1월'!A1","← 1월 월간 가계부로 돌아가기")</f>
        <v>← 1월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1157000</v>
      </c>
      <c r="J149" s="433"/>
      <c r="K149" s="433"/>
      <c r="L149" s="433"/>
      <c r="M149" s="433"/>
      <c r="N149" s="365"/>
      <c r="O149" s="362" t="b">
        <f>IF('1월'!AA1,I149=('1월'!M28),"미입력")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1157000</v>
      </c>
      <c r="J150" s="433"/>
      <c r="K150" s="433"/>
      <c r="L150" s="433"/>
      <c r="M150" s="433"/>
      <c r="N150" s="365"/>
      <c r="O150" s="362" t="b">
        <f>IF('1월'!AA1,I150=('1월'!I38),"미입력")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328</v>
      </c>
      <c r="L5" s="38" t="s">
        <v>468</v>
      </c>
      <c r="M5" s="34" t="s">
        <v>330</v>
      </c>
      <c r="N5" s="34" t="s">
        <v>331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333</v>
      </c>
      <c r="L6" s="31" t="s">
        <v>468</v>
      </c>
      <c r="M6" s="27" t="s">
        <v>330</v>
      </c>
      <c r="N6" s="27" t="s">
        <v>334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350</v>
      </c>
      <c r="L11" s="38" t="s">
        <v>469</v>
      </c>
      <c r="M11" s="34" t="s">
        <v>352</v>
      </c>
      <c r="N11" s="34" t="s">
        <v>353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470</v>
      </c>
      <c r="M12" s="27" t="s">
        <v>355</v>
      </c>
      <c r="N12" s="27" t="s">
        <v>356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471</v>
      </c>
      <c r="T22" s="27" t="s">
        <v>383</v>
      </c>
      <c r="U22" s="27"/>
    </row>
    <row r="23" spans="1:22" ht="22" customHeight="1">
      <c r="A23" s="39" t="s">
        <v>384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385</v>
      </c>
      <c r="M23" s="34" t="s">
        <v>344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472</v>
      </c>
      <c r="T23" s="34" t="s">
        <v>371</v>
      </c>
      <c r="U23" s="34"/>
    </row>
    <row r="24" spans="1:22" ht="22" customHeight="1">
      <c r="A24" s="31" t="s">
        <v>323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223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HYPERLINK("#'2월계산기'!A1","계산기 대조 · 2월계산기 열기")</f>
        <v>계산기 대조 · 2월계산기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975000</v>
      </c>
      <c r="N28" s="365"/>
      <c r="O28" s="366" t="s">
        <v>212</v>
      </c>
      <c r="P28" s="365"/>
      <c r="Q28" s="364">
        <f>'2월계산기'!W12</f>
        <v>975000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975000</v>
      </c>
      <c r="N29" s="365"/>
      <c r="O29" s="366" t="s">
        <v>213</v>
      </c>
      <c r="P29" s="365"/>
      <c r="Q29" s="364">
        <f>'2월계산기'!W13</f>
        <v>975000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24740</v>
      </c>
      <c r="N30" s="365"/>
      <c r="O30" s="366" t="s">
        <v>391</v>
      </c>
      <c r="P30" s="365"/>
      <c r="Q30" s="364">
        <f>SUM(I4,I9,I14,I19,I24,I29)-I33</f>
        <v>24740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'2월계산기'!W14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3409110</v>
      </c>
      <c r="D37" s="27"/>
      <c r="E37" s="27" t="s">
        <v>306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I33-_예비비계산!AG3</f>
        <v>950260</v>
      </c>
      <c r="I38" s="27">
        <f>SUM(I4,I9,I14,I19,I24,I29)-_예비비계산!AH3</f>
        <v>975000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300000</v>
      </c>
      <c r="D39" s="27"/>
      <c r="E39" s="49" t="s">
        <v>405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402</v>
      </c>
      <c r="L39" s="31" t="s">
        <v>406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3709110</v>
      </c>
      <c r="D41" s="27"/>
      <c r="E41" s="49" t="s">
        <v>411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24800</v>
      </c>
      <c r="I43" s="27">
        <f>H43</f>
        <v>24800</v>
      </c>
      <c r="J43" s="12"/>
      <c r="K43" s="31" t="s">
        <v>402</v>
      </c>
      <c r="L43" s="31" t="s">
        <v>416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418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5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5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432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100000</v>
      </c>
      <c r="N64" s="40">
        <f>_예비비계산!AB3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378"/>
      <c r="T67" s="359"/>
      <c r="U67" s="360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50" t="s">
        <v>473</v>
      </c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474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608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608000</v>
      </c>
      <c r="AA3">
        <v>608</v>
      </c>
    </row>
    <row r="4" spans="1:27" ht="18" customHeight="1">
      <c r="A4" s="117" t="s">
        <v>453</v>
      </c>
      <c r="B4" s="125"/>
      <c r="C4" s="119">
        <f>IFERROR(colorfunction(B4,$B$15:$U$144,FALSE),$AA$4)</f>
        <v>69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69000</v>
      </c>
      <c r="AA4">
        <v>69</v>
      </c>
    </row>
    <row r="5" spans="1:27" ht="18" customHeight="1">
      <c r="A5" s="117" t="s">
        <v>454</v>
      </c>
      <c r="B5" s="127"/>
      <c r="C5" s="119">
        <f>IFERROR(colorfunction(B5,$B$15:$U$144,FALSE),$AA$5)</f>
        <v>0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0</v>
      </c>
      <c r="AA5">
        <v>0</v>
      </c>
    </row>
    <row r="6" spans="1:27" ht="18" customHeight="1">
      <c r="A6" s="117" t="s">
        <v>455</v>
      </c>
      <c r="B6" s="128"/>
      <c r="C6" s="119">
        <f>IFERROR(colorfunction(B6,$B$15:$U$144,FALSE),$AA$6)</f>
        <v>72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72000</v>
      </c>
      <c r="AA6">
        <v>72</v>
      </c>
    </row>
    <row r="7" spans="1:27" ht="18" customHeight="1">
      <c r="A7" s="117" t="s">
        <v>456</v>
      </c>
      <c r="B7" s="129"/>
      <c r="C7" s="119">
        <f>IFERROR(colorfunction(B7,$B$15:$U$144,FALSE),$AA$7)</f>
        <v>67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67000</v>
      </c>
      <c r="AA7">
        <v>67</v>
      </c>
    </row>
    <row r="8" spans="1:27" ht="18" customHeight="1">
      <c r="A8" s="117" t="s">
        <v>457</v>
      </c>
      <c r="B8" s="130"/>
      <c r="C8" s="119">
        <f>IFERROR(colorfunction(B8,$B$15:$U$144,FALSE),$AA$8)</f>
        <v>72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72000</v>
      </c>
      <c r="AA8">
        <v>72</v>
      </c>
    </row>
    <row r="9" spans="1:27" ht="18" customHeight="1">
      <c r="A9" s="117" t="s">
        <v>458</v>
      </c>
      <c r="B9" s="131"/>
      <c r="C9" s="119">
        <f>IFERROR(colorfunction(B9,$B$15:$U$144,FALSE),$AA$9)</f>
        <v>87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87000</v>
      </c>
      <c r="AA9">
        <v>87</v>
      </c>
    </row>
    <row r="10" spans="1:27" ht="18" customHeight="1">
      <c r="A10" s="117" t="s">
        <v>459</v>
      </c>
      <c r="B10" s="132"/>
      <c r="C10" s="119">
        <f>IFERROR(colorfunction(B10,$B$15:$U$144,FALSE),$AA$10)</f>
        <v>0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0</v>
      </c>
      <c r="AA10">
        <v>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975000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975000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0+_예비비계산!AH3</f>
        <v>0</v>
      </c>
    </row>
    <row r="15" spans="1:27" ht="12" customHeight="1">
      <c r="A15" s="122"/>
      <c r="B15" s="135"/>
      <c r="C15" s="136"/>
      <c r="D15" s="133"/>
      <c r="E15" s="134"/>
      <c r="F15" s="133"/>
      <c r="G15" s="134"/>
      <c r="H15" s="133"/>
      <c r="I15" s="173"/>
      <c r="J15" s="181"/>
      <c r="K15" s="134"/>
      <c r="L15" s="133"/>
      <c r="M15" s="134"/>
      <c r="N15" s="133"/>
      <c r="O15" s="134"/>
      <c r="P15" s="133"/>
      <c r="Q15" s="134"/>
      <c r="R15" s="133"/>
      <c r="S15" s="134"/>
      <c r="T15" s="146"/>
      <c r="U15" s="147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9"/>
      <c r="C16" s="140"/>
      <c r="D16" s="137"/>
      <c r="E16" s="138"/>
      <c r="F16" s="137"/>
      <c r="G16" s="138"/>
      <c r="H16" s="137"/>
      <c r="I16" s="182"/>
      <c r="J16" s="164"/>
      <c r="K16" s="138"/>
      <c r="L16" s="137"/>
      <c r="M16" s="138"/>
      <c r="N16" s="137"/>
      <c r="O16" s="138"/>
      <c r="P16" s="137"/>
      <c r="Q16" s="138"/>
      <c r="R16" s="137"/>
      <c r="S16" s="153"/>
      <c r="T16" s="152"/>
      <c r="U16" s="153"/>
      <c r="V16" s="299" t="s">
        <v>211</v>
      </c>
      <c r="W16" s="300">
        <f>SUM(W3:W10)</f>
        <v>975000</v>
      </c>
    </row>
    <row r="17" spans="1:27" ht="12" customHeight="1">
      <c r="A17" s="122"/>
      <c r="B17" s="139"/>
      <c r="C17" s="140"/>
      <c r="D17" s="137"/>
      <c r="E17" s="138"/>
      <c r="F17" s="137"/>
      <c r="G17" s="138"/>
      <c r="H17" s="137"/>
      <c r="I17" s="182"/>
      <c r="J17" s="164"/>
      <c r="K17" s="138"/>
      <c r="L17" s="137"/>
      <c r="M17" s="138"/>
      <c r="N17" s="137"/>
      <c r="O17" s="138"/>
      <c r="P17" s="137"/>
      <c r="Q17" s="138"/>
      <c r="R17" s="137"/>
      <c r="S17" s="153"/>
      <c r="T17" s="152"/>
      <c r="U17" s="153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9"/>
      <c r="C18" s="140"/>
      <c r="D18" s="137"/>
      <c r="E18" s="138"/>
      <c r="F18" s="137"/>
      <c r="G18" s="138"/>
      <c r="H18" s="137"/>
      <c r="I18" s="182"/>
      <c r="J18" s="164"/>
      <c r="K18" s="138"/>
      <c r="L18" s="137"/>
      <c r="M18" s="138"/>
      <c r="N18" s="137"/>
      <c r="O18" s="138"/>
      <c r="P18" s="137"/>
      <c r="Q18" s="138"/>
      <c r="R18" s="137"/>
      <c r="S18" s="153"/>
      <c r="T18" s="152"/>
      <c r="U18" s="153"/>
      <c r="V18" s="122"/>
      <c r="W18" s="122"/>
    </row>
    <row r="19" spans="1:27" ht="12" customHeight="1" thickBot="1">
      <c r="A19" s="141">
        <v>1</v>
      </c>
      <c r="B19" s="144"/>
      <c r="C19" s="143"/>
      <c r="D19" s="142"/>
      <c r="E19" s="143"/>
      <c r="F19" s="142"/>
      <c r="G19" s="143"/>
      <c r="H19" s="165"/>
      <c r="I19" s="172"/>
      <c r="J19" s="142"/>
      <c r="K19" s="143"/>
      <c r="L19" s="142"/>
      <c r="M19" s="143"/>
      <c r="N19" s="142"/>
      <c r="O19" s="143"/>
      <c r="P19" s="142"/>
      <c r="Q19" s="143"/>
      <c r="R19" s="142"/>
      <c r="S19" s="159"/>
      <c r="T19" s="158"/>
      <c r="U19" s="159"/>
      <c r="V19" s="122"/>
      <c r="W19" s="122"/>
    </row>
    <row r="20" spans="1:27" ht="12" customHeight="1">
      <c r="A20" s="122"/>
      <c r="B20" s="146"/>
      <c r="C20" s="147"/>
      <c r="D20" s="133"/>
      <c r="E20" s="134"/>
      <c r="F20" s="133"/>
      <c r="G20" s="134"/>
      <c r="H20" s="135"/>
      <c r="I20" s="134"/>
      <c r="J20" s="133"/>
      <c r="K20" s="136"/>
      <c r="L20" s="135"/>
      <c r="M20" s="166"/>
      <c r="N20" s="167"/>
      <c r="O20" s="166"/>
      <c r="P20" s="167"/>
      <c r="Q20" s="166"/>
      <c r="R20" s="167"/>
      <c r="S20" s="166"/>
      <c r="T20" s="133"/>
      <c r="U20" s="134"/>
      <c r="V20" s="122"/>
      <c r="W20" s="122"/>
    </row>
    <row r="21" spans="1:27" ht="12" customHeight="1">
      <c r="A21" s="122"/>
      <c r="B21" s="152"/>
      <c r="C21" s="140"/>
      <c r="D21" s="137"/>
      <c r="E21" s="138"/>
      <c r="F21" s="137"/>
      <c r="G21" s="138"/>
      <c r="H21" s="139"/>
      <c r="I21" s="138"/>
      <c r="J21" s="137"/>
      <c r="K21" s="140"/>
      <c r="L21" s="139"/>
      <c r="M21" s="168"/>
      <c r="N21" s="169"/>
      <c r="O21" s="168"/>
      <c r="P21" s="169"/>
      <c r="Q21" s="168"/>
      <c r="R21" s="169"/>
      <c r="S21" s="168"/>
      <c r="T21" s="137"/>
      <c r="U21" s="138"/>
      <c r="V21" s="122"/>
      <c r="W21" s="122"/>
    </row>
    <row r="22" spans="1:27" ht="12" customHeight="1">
      <c r="A22" s="122"/>
      <c r="B22" s="152"/>
      <c r="C22" s="140"/>
      <c r="D22" s="137"/>
      <c r="E22" s="138"/>
      <c r="F22" s="137"/>
      <c r="G22" s="138"/>
      <c r="H22" s="139"/>
      <c r="I22" s="138"/>
      <c r="J22" s="152"/>
      <c r="K22" s="153"/>
      <c r="L22" s="139"/>
      <c r="M22" s="168"/>
      <c r="N22" s="169"/>
      <c r="O22" s="168"/>
      <c r="P22" s="169"/>
      <c r="Q22" s="168"/>
      <c r="R22" s="169"/>
      <c r="S22" s="168"/>
      <c r="T22" s="137"/>
      <c r="U22" s="138"/>
      <c r="V22" s="122"/>
      <c r="W22" s="122"/>
    </row>
    <row r="23" spans="1:27" ht="12" customHeight="1">
      <c r="A23" s="122"/>
      <c r="B23" s="152"/>
      <c r="C23" s="140"/>
      <c r="D23" s="137"/>
      <c r="E23" s="138"/>
      <c r="F23" s="137"/>
      <c r="G23" s="140"/>
      <c r="H23" s="137"/>
      <c r="I23" s="138"/>
      <c r="J23" s="152"/>
      <c r="K23" s="153"/>
      <c r="L23" s="169"/>
      <c r="M23" s="168"/>
      <c r="N23" s="169"/>
      <c r="O23" s="168"/>
      <c r="P23" s="169"/>
      <c r="Q23" s="168"/>
      <c r="R23" s="169"/>
      <c r="S23" s="168"/>
      <c r="T23" s="137"/>
      <c r="U23" s="138"/>
      <c r="V23" s="122"/>
      <c r="W23" s="122"/>
    </row>
    <row r="24" spans="1:27" ht="12" customHeight="1" thickBot="1">
      <c r="A24" s="141">
        <v>2</v>
      </c>
      <c r="B24" s="158"/>
      <c r="C24" s="145"/>
      <c r="D24" s="144"/>
      <c r="E24" s="143"/>
      <c r="F24" s="142"/>
      <c r="G24" s="145"/>
      <c r="H24" s="142"/>
      <c r="I24" s="143"/>
      <c r="J24" s="158"/>
      <c r="K24" s="159"/>
      <c r="L24" s="171"/>
      <c r="M24" s="170"/>
      <c r="N24" s="171"/>
      <c r="O24" s="170"/>
      <c r="P24" s="171"/>
      <c r="Q24" s="170"/>
      <c r="R24" s="171"/>
      <c r="S24" s="170"/>
      <c r="T24" s="142"/>
      <c r="U24" s="143"/>
      <c r="V24" s="122"/>
      <c r="W24" s="122"/>
    </row>
    <row r="25" spans="1:27" ht="12" customHeight="1">
      <c r="A25" s="122"/>
      <c r="B25" s="133"/>
      <c r="C25" s="134"/>
      <c r="D25" s="133"/>
      <c r="E25" s="134"/>
      <c r="F25" s="135"/>
      <c r="G25" s="136"/>
      <c r="H25" s="133"/>
      <c r="I25" s="150"/>
      <c r="J25" s="151"/>
      <c r="K25" s="147"/>
      <c r="L25" s="133"/>
      <c r="M25" s="134"/>
      <c r="N25" s="133"/>
      <c r="O25" s="136"/>
      <c r="P25" s="135"/>
      <c r="Q25" s="134"/>
      <c r="R25" s="133"/>
      <c r="S25" s="150"/>
      <c r="T25" s="151"/>
      <c r="U25" s="134"/>
      <c r="V25" s="122"/>
      <c r="W25" s="122"/>
    </row>
    <row r="26" spans="1:27" ht="12" customHeight="1">
      <c r="A26" s="122"/>
      <c r="B26" s="137"/>
      <c r="C26" s="138"/>
      <c r="D26" s="137"/>
      <c r="E26" s="138"/>
      <c r="F26" s="139"/>
      <c r="G26" s="140"/>
      <c r="H26" s="137"/>
      <c r="I26" s="138"/>
      <c r="J26" s="157"/>
      <c r="K26" s="156"/>
      <c r="L26" s="137"/>
      <c r="M26" s="138"/>
      <c r="N26" s="137"/>
      <c r="O26" s="140"/>
      <c r="P26" s="139"/>
      <c r="Q26" s="138"/>
      <c r="R26" s="137"/>
      <c r="S26" s="156"/>
      <c r="T26" s="157"/>
      <c r="U26" s="138"/>
      <c r="V26" s="122"/>
      <c r="W26" s="122"/>
    </row>
    <row r="27" spans="1:27" ht="12" customHeight="1">
      <c r="A27" s="122"/>
      <c r="B27" s="137"/>
      <c r="C27" s="138"/>
      <c r="D27" s="137"/>
      <c r="E27" s="138"/>
      <c r="F27" s="139"/>
      <c r="G27" s="140"/>
      <c r="H27" s="137"/>
      <c r="I27" s="138"/>
      <c r="J27" s="157"/>
      <c r="K27" s="156"/>
      <c r="L27" s="137"/>
      <c r="M27" s="138"/>
      <c r="N27" s="137"/>
      <c r="O27" s="140"/>
      <c r="P27" s="139"/>
      <c r="Q27" s="138"/>
      <c r="R27" s="157"/>
      <c r="S27" s="156"/>
      <c r="T27" s="137"/>
      <c r="U27" s="138"/>
      <c r="V27" s="122"/>
      <c r="W27" s="122"/>
    </row>
    <row r="28" spans="1:27" ht="12" customHeight="1">
      <c r="A28" s="122"/>
      <c r="B28" s="137"/>
      <c r="C28" s="138"/>
      <c r="D28" s="137"/>
      <c r="E28" s="138"/>
      <c r="F28" s="139"/>
      <c r="G28" s="140"/>
      <c r="H28" s="137"/>
      <c r="I28" s="138"/>
      <c r="J28" s="157"/>
      <c r="K28" s="156"/>
      <c r="L28" s="137"/>
      <c r="M28" s="138"/>
      <c r="N28" s="137"/>
      <c r="O28" s="140"/>
      <c r="P28" s="139"/>
      <c r="Q28" s="138"/>
      <c r="R28" s="157"/>
      <c r="S28" s="156"/>
      <c r="T28" s="137"/>
      <c r="U28" s="138"/>
      <c r="V28" s="122"/>
      <c r="W28" s="122"/>
    </row>
    <row r="29" spans="1:27" ht="12" customHeight="1" thickBot="1">
      <c r="A29" s="141">
        <v>3</v>
      </c>
      <c r="B29" s="142"/>
      <c r="C29" s="143"/>
      <c r="D29" s="142"/>
      <c r="E29" s="143"/>
      <c r="F29" s="144"/>
      <c r="G29" s="145"/>
      <c r="H29" s="142"/>
      <c r="I29" s="143"/>
      <c r="J29" s="163"/>
      <c r="K29" s="162"/>
      <c r="L29" s="142"/>
      <c r="M29" s="143"/>
      <c r="N29" s="142"/>
      <c r="O29" s="145"/>
      <c r="P29" s="144"/>
      <c r="Q29" s="143"/>
      <c r="R29" s="163"/>
      <c r="S29" s="162"/>
      <c r="T29" s="142"/>
      <c r="U29" s="143"/>
      <c r="V29" s="122"/>
      <c r="W29" s="122"/>
    </row>
    <row r="30" spans="1:27" ht="12" customHeight="1">
      <c r="A30" s="122"/>
      <c r="B30" s="133"/>
      <c r="C30" s="150"/>
      <c r="D30" s="151"/>
      <c r="E30" s="150"/>
      <c r="F30" s="135"/>
      <c r="G30" s="136"/>
      <c r="H30" s="133"/>
      <c r="I30" s="134"/>
      <c r="J30" s="133"/>
      <c r="K30" s="134"/>
      <c r="L30" s="133"/>
      <c r="M30" s="134"/>
      <c r="N30" s="181"/>
      <c r="O30" s="173"/>
      <c r="P30" s="181"/>
      <c r="Q30" s="173"/>
      <c r="R30" s="146"/>
      <c r="S30" s="147"/>
      <c r="T30" s="146"/>
      <c r="U30" s="134"/>
      <c r="V30" s="122"/>
      <c r="W30" s="122"/>
    </row>
    <row r="31" spans="1:27" ht="12" customHeight="1">
      <c r="A31" s="122"/>
      <c r="B31" s="137"/>
      <c r="C31" s="156"/>
      <c r="D31" s="157"/>
      <c r="E31" s="156"/>
      <c r="F31" s="139"/>
      <c r="G31" s="140"/>
      <c r="H31" s="137"/>
      <c r="I31" s="138"/>
      <c r="J31" s="137"/>
      <c r="K31" s="138"/>
      <c r="L31" s="137"/>
      <c r="M31" s="138"/>
      <c r="N31" s="164"/>
      <c r="O31" s="182"/>
      <c r="P31" s="164"/>
      <c r="Q31" s="182"/>
      <c r="R31" s="152"/>
      <c r="S31" s="153"/>
      <c r="T31" s="152"/>
      <c r="U31" s="138"/>
      <c r="V31" s="122"/>
      <c r="W31" s="122"/>
    </row>
    <row r="32" spans="1:27" ht="12" customHeight="1">
      <c r="A32" s="122"/>
      <c r="B32" s="137"/>
      <c r="C32" s="156"/>
      <c r="D32" s="157"/>
      <c r="E32" s="156"/>
      <c r="F32" s="157"/>
      <c r="G32" s="140"/>
      <c r="H32" s="139"/>
      <c r="I32" s="138"/>
      <c r="J32" s="137"/>
      <c r="K32" s="138"/>
      <c r="L32" s="137"/>
      <c r="M32" s="138"/>
      <c r="N32" s="164"/>
      <c r="O32" s="182"/>
      <c r="P32" s="164"/>
      <c r="Q32" s="182"/>
      <c r="R32" s="152"/>
      <c r="S32" s="153"/>
      <c r="T32" s="152"/>
      <c r="U32" s="153"/>
      <c r="V32" s="122"/>
      <c r="W32" s="122"/>
    </row>
    <row r="33" spans="1:23" ht="12" customHeight="1">
      <c r="A33" s="122"/>
      <c r="B33" s="137"/>
      <c r="C33" s="156"/>
      <c r="D33" s="157"/>
      <c r="E33" s="156"/>
      <c r="F33" s="157"/>
      <c r="G33" s="140"/>
      <c r="H33" s="139"/>
      <c r="I33" s="138"/>
      <c r="J33" s="137"/>
      <c r="K33" s="138"/>
      <c r="L33" s="137"/>
      <c r="M33" s="138"/>
      <c r="N33" s="137"/>
      <c r="O33" s="182"/>
      <c r="P33" s="164"/>
      <c r="Q33" s="182"/>
      <c r="R33" s="152"/>
      <c r="S33" s="153"/>
      <c r="T33" s="152"/>
      <c r="U33" s="153"/>
      <c r="V33" s="122"/>
      <c r="W33" s="122"/>
    </row>
    <row r="34" spans="1:23" ht="12" customHeight="1" thickBot="1">
      <c r="A34" s="141">
        <v>4</v>
      </c>
      <c r="B34" s="142"/>
      <c r="C34" s="162"/>
      <c r="D34" s="163"/>
      <c r="E34" s="162"/>
      <c r="F34" s="163"/>
      <c r="G34" s="145"/>
      <c r="H34" s="144"/>
      <c r="I34" s="143"/>
      <c r="J34" s="142"/>
      <c r="K34" s="143"/>
      <c r="L34" s="142"/>
      <c r="M34" s="143"/>
      <c r="N34" s="142"/>
      <c r="O34" s="172"/>
      <c r="P34" s="165"/>
      <c r="Q34" s="159"/>
      <c r="R34" s="158"/>
      <c r="S34" s="159"/>
      <c r="T34" s="158"/>
      <c r="U34" s="159"/>
      <c r="V34" s="122"/>
      <c r="W34" s="122"/>
    </row>
    <row r="35" spans="1:23" ht="12" customHeight="1">
      <c r="A35" s="122"/>
      <c r="B35" s="146"/>
      <c r="C35" s="147"/>
      <c r="D35" s="146"/>
      <c r="E35" s="147"/>
      <c r="F35" s="133"/>
      <c r="G35" s="134"/>
      <c r="H35" s="133"/>
      <c r="I35" s="134"/>
      <c r="J35" s="133"/>
      <c r="K35" s="134"/>
      <c r="L35" s="133"/>
      <c r="M35" s="134"/>
      <c r="N35" s="133"/>
      <c r="O35" s="134"/>
      <c r="P35" s="133"/>
      <c r="Q35" s="147"/>
      <c r="R35" s="146"/>
      <c r="S35" s="147"/>
      <c r="T35" s="146"/>
      <c r="U35" s="134"/>
      <c r="V35" s="122"/>
      <c r="W35" s="122"/>
    </row>
    <row r="36" spans="1:23" ht="12" customHeight="1">
      <c r="A36" s="122"/>
      <c r="B36" s="152"/>
      <c r="C36" s="153"/>
      <c r="D36" s="152"/>
      <c r="E36" s="138"/>
      <c r="F36" s="137"/>
      <c r="G36" s="138"/>
      <c r="H36" s="137"/>
      <c r="I36" s="138"/>
      <c r="J36" s="137"/>
      <c r="K36" s="138"/>
      <c r="L36" s="137"/>
      <c r="M36" s="138"/>
      <c r="N36" s="137"/>
      <c r="O36" s="138"/>
      <c r="P36" s="137"/>
      <c r="Q36" s="153"/>
      <c r="R36" s="152"/>
      <c r="S36" s="153"/>
      <c r="T36" s="137"/>
      <c r="U36" s="138"/>
      <c r="V36" s="122"/>
      <c r="W36" s="122"/>
    </row>
    <row r="37" spans="1:23" ht="12" customHeight="1">
      <c r="A37" s="122"/>
      <c r="B37" s="152"/>
      <c r="C37" s="153"/>
      <c r="D37" s="152"/>
      <c r="E37" s="138"/>
      <c r="F37" s="137"/>
      <c r="G37" s="138"/>
      <c r="H37" s="137"/>
      <c r="I37" s="138"/>
      <c r="J37" s="137"/>
      <c r="K37" s="138"/>
      <c r="L37" s="137"/>
      <c r="M37" s="138"/>
      <c r="N37" s="137"/>
      <c r="O37" s="138"/>
      <c r="P37" s="137"/>
      <c r="Q37" s="153"/>
      <c r="R37" s="152"/>
      <c r="S37" s="153"/>
      <c r="T37" s="137"/>
      <c r="U37" s="138"/>
      <c r="V37" s="122"/>
      <c r="W37" s="122"/>
    </row>
    <row r="38" spans="1:23" ht="12" customHeight="1">
      <c r="A38" s="122"/>
      <c r="B38" s="152"/>
      <c r="C38" s="153"/>
      <c r="D38" s="152"/>
      <c r="E38" s="138"/>
      <c r="F38" s="137"/>
      <c r="G38" s="138"/>
      <c r="H38" s="137"/>
      <c r="I38" s="138"/>
      <c r="J38" s="137"/>
      <c r="K38" s="138"/>
      <c r="L38" s="137"/>
      <c r="M38" s="138"/>
      <c r="N38" s="137"/>
      <c r="O38" s="138"/>
      <c r="P38" s="152"/>
      <c r="Q38" s="153"/>
      <c r="R38" s="152"/>
      <c r="S38" s="153"/>
      <c r="T38" s="137"/>
      <c r="U38" s="138"/>
      <c r="V38" s="122"/>
      <c r="W38" s="122"/>
    </row>
    <row r="39" spans="1:23" ht="12" customHeight="1" thickBot="1">
      <c r="A39" s="141">
        <v>5</v>
      </c>
      <c r="B39" s="158"/>
      <c r="C39" s="159"/>
      <c r="D39" s="158"/>
      <c r="E39" s="143"/>
      <c r="F39" s="142"/>
      <c r="G39" s="143"/>
      <c r="H39" s="142"/>
      <c r="I39" s="143"/>
      <c r="J39" s="142"/>
      <c r="K39" s="143"/>
      <c r="L39" s="142"/>
      <c r="M39" s="143"/>
      <c r="N39" s="142"/>
      <c r="O39" s="143"/>
      <c r="P39" s="158"/>
      <c r="Q39" s="159"/>
      <c r="R39" s="158"/>
      <c r="S39" s="159"/>
      <c r="T39" s="142"/>
      <c r="U39" s="143"/>
      <c r="V39" s="122"/>
      <c r="W39" s="122"/>
    </row>
    <row r="40" spans="1:23" ht="12" customHeight="1">
      <c r="A40" s="122"/>
      <c r="B40" s="133"/>
      <c r="C40" s="134"/>
      <c r="D40" s="133"/>
      <c r="E40" s="134"/>
      <c r="F40" s="133"/>
      <c r="G40" s="166"/>
      <c r="H40" s="167"/>
      <c r="I40" s="166"/>
      <c r="J40" s="133"/>
      <c r="K40" s="134"/>
      <c r="L40" s="133"/>
      <c r="M40" s="134"/>
      <c r="N40" s="133"/>
      <c r="O40" s="134"/>
      <c r="P40" s="133"/>
      <c r="Q40" s="134"/>
      <c r="R40" s="135"/>
      <c r="S40" s="166"/>
      <c r="T40" s="167"/>
      <c r="U40" s="166"/>
      <c r="V40" s="122"/>
      <c r="W40" s="122"/>
    </row>
    <row r="41" spans="1:23" ht="12" customHeight="1">
      <c r="A41" s="122"/>
      <c r="B41" s="137"/>
      <c r="C41" s="138"/>
      <c r="D41" s="137"/>
      <c r="E41" s="138"/>
      <c r="F41" s="137"/>
      <c r="G41" s="168"/>
      <c r="H41" s="169"/>
      <c r="I41" s="168"/>
      <c r="J41" s="137"/>
      <c r="K41" s="138"/>
      <c r="L41" s="137"/>
      <c r="M41" s="138"/>
      <c r="N41" s="137"/>
      <c r="O41" s="138"/>
      <c r="P41" s="137"/>
      <c r="Q41" s="138"/>
      <c r="R41" s="139"/>
      <c r="S41" s="168"/>
      <c r="T41" s="169"/>
      <c r="U41" s="168"/>
      <c r="V41" s="122"/>
      <c r="W41" s="122"/>
    </row>
    <row r="42" spans="1:23" ht="12" customHeight="1">
      <c r="A42" s="122"/>
      <c r="B42" s="137"/>
      <c r="C42" s="138"/>
      <c r="D42" s="137"/>
      <c r="E42" s="138"/>
      <c r="F42" s="137"/>
      <c r="G42" s="168"/>
      <c r="H42" s="169"/>
      <c r="I42" s="168"/>
      <c r="J42" s="137"/>
      <c r="K42" s="138"/>
      <c r="L42" s="137"/>
      <c r="M42" s="138"/>
      <c r="N42" s="137"/>
      <c r="O42" s="138"/>
      <c r="P42" s="137"/>
      <c r="Q42" s="140"/>
      <c r="R42" s="169"/>
      <c r="S42" s="168"/>
      <c r="T42" s="169"/>
      <c r="U42" s="168"/>
      <c r="V42" s="122"/>
      <c r="W42" s="122"/>
    </row>
    <row r="43" spans="1:23" ht="12" customHeight="1">
      <c r="A43" s="122"/>
      <c r="B43" s="137"/>
      <c r="C43" s="138"/>
      <c r="D43" s="137"/>
      <c r="E43" s="138"/>
      <c r="F43" s="137"/>
      <c r="G43" s="138"/>
      <c r="H43" s="169"/>
      <c r="I43" s="168"/>
      <c r="J43" s="137"/>
      <c r="K43" s="138"/>
      <c r="L43" s="137"/>
      <c r="M43" s="138"/>
      <c r="N43" s="137"/>
      <c r="O43" s="138"/>
      <c r="P43" s="137"/>
      <c r="Q43" s="140"/>
      <c r="R43" s="169"/>
      <c r="S43" s="168"/>
      <c r="T43" s="169"/>
      <c r="U43" s="168"/>
      <c r="V43" s="122"/>
      <c r="W43" s="122"/>
    </row>
    <row r="44" spans="1:23" ht="12" customHeight="1" thickBot="1">
      <c r="A44" s="141">
        <v>6</v>
      </c>
      <c r="B44" s="142"/>
      <c r="C44" s="143"/>
      <c r="D44" s="142"/>
      <c r="E44" s="143"/>
      <c r="F44" s="142"/>
      <c r="G44" s="143"/>
      <c r="H44" s="171"/>
      <c r="I44" s="170"/>
      <c r="J44" s="142"/>
      <c r="K44" s="143"/>
      <c r="L44" s="142"/>
      <c r="M44" s="143"/>
      <c r="N44" s="142"/>
      <c r="O44" s="143"/>
      <c r="P44" s="142"/>
      <c r="Q44" s="145"/>
      <c r="R44" s="171"/>
      <c r="S44" s="170"/>
      <c r="T44" s="171"/>
      <c r="U44" s="170"/>
      <c r="V44" s="122"/>
      <c r="W44" s="122"/>
    </row>
    <row r="45" spans="1:23" ht="12" customHeight="1">
      <c r="A45" s="122"/>
      <c r="B45" s="167"/>
      <c r="C45" s="134"/>
      <c r="D45" s="133"/>
      <c r="E45" s="173"/>
      <c r="F45" s="181"/>
      <c r="G45" s="173"/>
      <c r="H45" s="181"/>
      <c r="I45" s="173"/>
      <c r="J45" s="181"/>
      <c r="K45" s="173"/>
      <c r="L45" s="181"/>
      <c r="M45" s="173"/>
      <c r="N45" s="146"/>
      <c r="O45" s="147"/>
      <c r="P45" s="135"/>
      <c r="Q45" s="134"/>
      <c r="R45" s="133"/>
      <c r="S45" s="134"/>
      <c r="T45" s="133"/>
      <c r="U45" s="134"/>
      <c r="V45" s="122"/>
      <c r="W45" s="122"/>
    </row>
    <row r="46" spans="1:23" ht="12" customHeight="1">
      <c r="A46" s="122"/>
      <c r="B46" s="169"/>
      <c r="C46" s="138"/>
      <c r="D46" s="137"/>
      <c r="E46" s="182"/>
      <c r="F46" s="164"/>
      <c r="G46" s="182"/>
      <c r="H46" s="164"/>
      <c r="I46" s="182"/>
      <c r="J46" s="164"/>
      <c r="K46" s="182"/>
      <c r="L46" s="164"/>
      <c r="M46" s="182"/>
      <c r="N46" s="152"/>
      <c r="O46" s="140"/>
      <c r="P46" s="137"/>
      <c r="Q46" s="138"/>
      <c r="R46" s="137"/>
      <c r="S46" s="138"/>
      <c r="T46" s="137"/>
      <c r="U46" s="138"/>
      <c r="V46" s="122"/>
      <c r="W46" s="122"/>
    </row>
    <row r="47" spans="1:23" ht="12" customHeight="1">
      <c r="A47" s="122"/>
      <c r="B47" s="169"/>
      <c r="C47" s="138"/>
      <c r="D47" s="137"/>
      <c r="E47" s="182"/>
      <c r="F47" s="164"/>
      <c r="G47" s="182"/>
      <c r="H47" s="164"/>
      <c r="I47" s="182"/>
      <c r="J47" s="164"/>
      <c r="K47" s="182"/>
      <c r="L47" s="164"/>
      <c r="M47" s="182"/>
      <c r="N47" s="152"/>
      <c r="O47" s="140"/>
      <c r="P47" s="137"/>
      <c r="Q47" s="138"/>
      <c r="R47" s="137"/>
      <c r="S47" s="138"/>
      <c r="T47" s="137"/>
      <c r="U47" s="138"/>
      <c r="V47" s="122"/>
      <c r="W47" s="122"/>
    </row>
    <row r="48" spans="1:23" ht="12" customHeight="1">
      <c r="A48" s="122"/>
      <c r="B48" s="169"/>
      <c r="C48" s="138"/>
      <c r="D48" s="137"/>
      <c r="E48" s="182"/>
      <c r="F48" s="164"/>
      <c r="G48" s="182"/>
      <c r="H48" s="164"/>
      <c r="I48" s="182"/>
      <c r="J48" s="164"/>
      <c r="K48" s="182"/>
      <c r="L48" s="164"/>
      <c r="M48" s="182"/>
      <c r="N48" s="152"/>
      <c r="O48" s="140"/>
      <c r="P48" s="137"/>
      <c r="Q48" s="138"/>
      <c r="R48" s="137"/>
      <c r="S48" s="138"/>
      <c r="T48" s="137"/>
      <c r="U48" s="138"/>
      <c r="V48" s="122"/>
      <c r="W48" s="122"/>
    </row>
    <row r="49" spans="1:23" ht="12" customHeight="1" thickBot="1">
      <c r="A49" s="141">
        <v>7</v>
      </c>
      <c r="B49" s="142"/>
      <c r="C49" s="143"/>
      <c r="D49" s="165"/>
      <c r="E49" s="172"/>
      <c r="F49" s="165"/>
      <c r="G49" s="172"/>
      <c r="H49" s="165"/>
      <c r="I49" s="172"/>
      <c r="J49" s="165"/>
      <c r="K49" s="172"/>
      <c r="L49" s="165"/>
      <c r="M49" s="159"/>
      <c r="N49" s="158"/>
      <c r="O49" s="145"/>
      <c r="P49" s="142"/>
      <c r="Q49" s="143"/>
      <c r="R49" s="142"/>
      <c r="S49" s="143"/>
      <c r="T49" s="142"/>
      <c r="U49" s="143"/>
      <c r="V49" s="122"/>
      <c r="W49" s="122"/>
    </row>
    <row r="50" spans="1:23" ht="12" customHeight="1">
      <c r="A50" s="122"/>
      <c r="B50" s="133"/>
      <c r="C50" s="134"/>
      <c r="D50" s="133"/>
      <c r="E50" s="134"/>
      <c r="F50" s="133"/>
      <c r="G50" s="134"/>
      <c r="H50" s="133"/>
      <c r="I50" s="136"/>
      <c r="J50" s="133"/>
      <c r="K50" s="134"/>
      <c r="L50" s="133"/>
      <c r="M50" s="134"/>
      <c r="N50" s="133"/>
      <c r="O50" s="134"/>
      <c r="P50" s="133"/>
      <c r="Q50" s="134"/>
      <c r="R50" s="133"/>
      <c r="S50" s="134"/>
      <c r="T50" s="137"/>
      <c r="U50" s="134"/>
      <c r="V50" s="122"/>
      <c r="W50" s="122"/>
    </row>
    <row r="51" spans="1:23" ht="12" customHeight="1">
      <c r="A51" s="122"/>
      <c r="B51" s="137"/>
      <c r="C51" s="138"/>
      <c r="D51" s="137"/>
      <c r="E51" s="138"/>
      <c r="F51" s="137"/>
      <c r="G51" s="138"/>
      <c r="H51" s="137"/>
      <c r="I51" s="140"/>
      <c r="J51" s="137"/>
      <c r="K51" s="138"/>
      <c r="L51" s="137"/>
      <c r="M51" s="138"/>
      <c r="N51" s="137"/>
      <c r="O51" s="138"/>
      <c r="P51" s="137"/>
      <c r="Q51" s="138"/>
      <c r="R51" s="137"/>
      <c r="S51" s="138"/>
      <c r="T51" s="137"/>
      <c r="U51" s="138"/>
      <c r="V51" s="122"/>
      <c r="W51" s="122"/>
    </row>
    <row r="52" spans="1:23" ht="12" customHeight="1">
      <c r="A52" s="122"/>
      <c r="B52" s="137"/>
      <c r="C52" s="138"/>
      <c r="D52" s="137"/>
      <c r="E52" s="138"/>
      <c r="F52" s="137"/>
      <c r="G52" s="138"/>
      <c r="H52" s="137"/>
      <c r="I52" s="140"/>
      <c r="J52" s="137"/>
      <c r="K52" s="138"/>
      <c r="L52" s="137"/>
      <c r="M52" s="138"/>
      <c r="N52" s="137"/>
      <c r="O52" s="138"/>
      <c r="P52" s="137"/>
      <c r="Q52" s="138"/>
      <c r="R52" s="137"/>
      <c r="S52" s="138"/>
      <c r="T52" s="137"/>
      <c r="U52" s="138"/>
      <c r="V52" s="122"/>
      <c r="W52" s="122"/>
    </row>
    <row r="53" spans="1:23" ht="12" customHeight="1">
      <c r="A53" s="122"/>
      <c r="B53" s="137"/>
      <c r="C53" s="138"/>
      <c r="D53" s="137"/>
      <c r="E53" s="138"/>
      <c r="F53" s="137"/>
      <c r="G53" s="138"/>
      <c r="H53" s="137"/>
      <c r="I53" s="140"/>
      <c r="J53" s="137"/>
      <c r="K53" s="138"/>
      <c r="L53" s="137"/>
      <c r="M53" s="138"/>
      <c r="N53" s="137"/>
      <c r="O53" s="138"/>
      <c r="P53" s="137"/>
      <c r="Q53" s="138"/>
      <c r="R53" s="137"/>
      <c r="S53" s="138"/>
      <c r="T53" s="137"/>
      <c r="U53" s="138"/>
      <c r="V53" s="122"/>
      <c r="W53" s="122"/>
    </row>
    <row r="54" spans="1:23" ht="12" customHeight="1" thickBot="1">
      <c r="A54" s="141">
        <v>8</v>
      </c>
      <c r="B54" s="142"/>
      <c r="C54" s="143"/>
      <c r="D54" s="142"/>
      <c r="E54" s="143"/>
      <c r="F54" s="142"/>
      <c r="G54" s="143"/>
      <c r="H54" s="142"/>
      <c r="I54" s="145"/>
      <c r="J54" s="142"/>
      <c r="K54" s="143"/>
      <c r="L54" s="142"/>
      <c r="M54" s="143"/>
      <c r="N54" s="142"/>
      <c r="O54" s="143"/>
      <c r="P54" s="142"/>
      <c r="Q54" s="143"/>
      <c r="R54" s="142"/>
      <c r="S54" s="143"/>
      <c r="T54" s="142"/>
      <c r="U54" s="143"/>
      <c r="V54" s="122"/>
      <c r="W54" s="122"/>
    </row>
    <row r="55" spans="1:23" ht="12" customHeight="1">
      <c r="A55" s="122"/>
      <c r="B55" s="133"/>
      <c r="C55" s="134"/>
      <c r="D55" s="133"/>
      <c r="E55" s="134"/>
      <c r="F55" s="133"/>
      <c r="G55" s="134"/>
      <c r="H55" s="133"/>
      <c r="I55" s="134"/>
      <c r="J55" s="151"/>
      <c r="K55" s="150"/>
      <c r="L55" s="133"/>
      <c r="M55" s="134"/>
      <c r="N55" s="133"/>
      <c r="O55" s="134"/>
      <c r="P55" s="133"/>
      <c r="Q55" s="150"/>
      <c r="R55" s="151"/>
      <c r="S55" s="150"/>
      <c r="T55" s="151"/>
      <c r="U55" s="134"/>
      <c r="V55" s="122"/>
      <c r="W55" s="122"/>
    </row>
    <row r="56" spans="1:23" ht="12" customHeight="1">
      <c r="A56" s="122"/>
      <c r="B56" s="137"/>
      <c r="C56" s="138"/>
      <c r="D56" s="137"/>
      <c r="E56" s="138"/>
      <c r="F56" s="137"/>
      <c r="G56" s="138"/>
      <c r="H56" s="137"/>
      <c r="I56" s="138"/>
      <c r="J56" s="157"/>
      <c r="K56" s="156"/>
      <c r="L56" s="137"/>
      <c r="M56" s="138"/>
      <c r="N56" s="137"/>
      <c r="O56" s="138"/>
      <c r="P56" s="137"/>
      <c r="Q56" s="156"/>
      <c r="R56" s="157"/>
      <c r="S56" s="156"/>
      <c r="T56" s="137"/>
      <c r="U56" s="138"/>
      <c r="V56" s="122"/>
      <c r="W56" s="122"/>
    </row>
    <row r="57" spans="1:23" ht="12" customHeight="1">
      <c r="A57" s="122"/>
      <c r="B57" s="137"/>
      <c r="C57" s="138"/>
      <c r="D57" s="137"/>
      <c r="E57" s="138"/>
      <c r="F57" s="137"/>
      <c r="G57" s="138"/>
      <c r="H57" s="137"/>
      <c r="I57" s="138"/>
      <c r="J57" s="157"/>
      <c r="K57" s="156"/>
      <c r="L57" s="137"/>
      <c r="M57" s="138"/>
      <c r="N57" s="137"/>
      <c r="O57" s="138"/>
      <c r="P57" s="157"/>
      <c r="Q57" s="156"/>
      <c r="R57" s="157"/>
      <c r="S57" s="156"/>
      <c r="T57" s="137"/>
      <c r="U57" s="138"/>
      <c r="V57" s="122"/>
      <c r="W57" s="122"/>
    </row>
    <row r="58" spans="1:23" ht="12" customHeight="1">
      <c r="A58" s="122"/>
      <c r="B58" s="137"/>
      <c r="C58" s="138"/>
      <c r="D58" s="137"/>
      <c r="E58" s="138"/>
      <c r="F58" s="137"/>
      <c r="G58" s="138"/>
      <c r="H58" s="137"/>
      <c r="I58" s="138"/>
      <c r="J58" s="137"/>
      <c r="K58" s="156"/>
      <c r="L58" s="157"/>
      <c r="M58" s="138"/>
      <c r="N58" s="137"/>
      <c r="O58" s="138"/>
      <c r="P58" s="157"/>
      <c r="Q58" s="156"/>
      <c r="R58" s="157"/>
      <c r="S58" s="156"/>
      <c r="T58" s="137"/>
      <c r="U58" s="138"/>
      <c r="V58" s="122"/>
      <c r="W58" s="122"/>
    </row>
    <row r="59" spans="1:23" ht="12" customHeight="1" thickBot="1">
      <c r="A59" s="141">
        <v>9</v>
      </c>
      <c r="B59" s="142"/>
      <c r="C59" s="143"/>
      <c r="D59" s="142"/>
      <c r="E59" s="143"/>
      <c r="F59" s="142"/>
      <c r="G59" s="143"/>
      <c r="H59" s="142"/>
      <c r="I59" s="143"/>
      <c r="J59" s="142"/>
      <c r="K59" s="162"/>
      <c r="L59" s="163"/>
      <c r="M59" s="143"/>
      <c r="N59" s="142"/>
      <c r="O59" s="143"/>
      <c r="P59" s="163"/>
      <c r="Q59" s="162"/>
      <c r="R59" s="163"/>
      <c r="S59" s="162"/>
      <c r="T59" s="142"/>
      <c r="U59" s="143"/>
      <c r="V59" s="122"/>
      <c r="W59" s="122"/>
    </row>
    <row r="60" spans="1:23" ht="12" customHeight="1">
      <c r="A60" s="122"/>
      <c r="B60" s="133"/>
      <c r="C60" s="134"/>
      <c r="D60" s="133"/>
      <c r="E60" s="134"/>
      <c r="F60" s="133"/>
      <c r="G60" s="134"/>
      <c r="H60" s="133"/>
      <c r="I60" s="134"/>
      <c r="J60" s="133"/>
      <c r="K60" s="134"/>
      <c r="L60" s="133"/>
      <c r="M60" s="134"/>
      <c r="N60" s="133"/>
      <c r="O60" s="134"/>
      <c r="P60" s="133"/>
      <c r="Q60" s="175"/>
      <c r="R60" s="174"/>
      <c r="S60" s="175"/>
      <c r="T60" s="174"/>
      <c r="U60" s="175"/>
      <c r="V60" s="122"/>
      <c r="W60" s="122"/>
    </row>
    <row r="61" spans="1:23" ht="12" customHeight="1">
      <c r="A61" s="122"/>
      <c r="B61" s="137"/>
      <c r="C61" s="138"/>
      <c r="D61" s="137"/>
      <c r="E61" s="138"/>
      <c r="F61" s="137"/>
      <c r="G61" s="138"/>
      <c r="H61" s="137"/>
      <c r="I61" s="138"/>
      <c r="J61" s="137"/>
      <c r="K61" s="138"/>
      <c r="L61" s="137"/>
      <c r="M61" s="138"/>
      <c r="N61" s="137"/>
      <c r="O61" s="138"/>
      <c r="P61" s="137"/>
      <c r="Q61" s="177"/>
      <c r="R61" s="176"/>
      <c r="S61" s="177"/>
      <c r="T61" s="176"/>
      <c r="U61" s="177"/>
      <c r="V61" s="122"/>
      <c r="W61" s="122"/>
    </row>
    <row r="62" spans="1:23" ht="12" customHeight="1">
      <c r="A62" s="122"/>
      <c r="B62" s="137"/>
      <c r="C62" s="138"/>
      <c r="D62" s="137"/>
      <c r="E62" s="138"/>
      <c r="F62" s="137"/>
      <c r="G62" s="138"/>
      <c r="H62" s="137"/>
      <c r="I62" s="138"/>
      <c r="J62" s="137"/>
      <c r="K62" s="138"/>
      <c r="L62" s="137"/>
      <c r="M62" s="138"/>
      <c r="N62" s="137"/>
      <c r="O62" s="138"/>
      <c r="P62" s="137"/>
      <c r="Q62" s="177"/>
      <c r="R62" s="176"/>
      <c r="S62" s="177"/>
      <c r="T62" s="176"/>
      <c r="U62" s="177"/>
      <c r="V62" s="122"/>
      <c r="W62" s="122"/>
    </row>
    <row r="63" spans="1:23" ht="12" customHeight="1">
      <c r="A63" s="122"/>
      <c r="B63" s="137"/>
      <c r="C63" s="138"/>
      <c r="D63" s="137"/>
      <c r="E63" s="138"/>
      <c r="F63" s="137"/>
      <c r="G63" s="138"/>
      <c r="H63" s="137"/>
      <c r="I63" s="138"/>
      <c r="J63" s="137"/>
      <c r="K63" s="138"/>
      <c r="L63" s="137"/>
      <c r="M63" s="138"/>
      <c r="N63" s="137"/>
      <c r="O63" s="138"/>
      <c r="P63" s="137"/>
      <c r="Q63" s="177"/>
      <c r="R63" s="176"/>
      <c r="S63" s="177"/>
      <c r="T63" s="176"/>
      <c r="U63" s="177"/>
      <c r="V63" s="122"/>
      <c r="W63" s="122"/>
    </row>
    <row r="64" spans="1:23" ht="12" customHeight="1" thickBot="1">
      <c r="A64" s="141">
        <v>10</v>
      </c>
      <c r="B64" s="142"/>
      <c r="C64" s="143"/>
      <c r="D64" s="142"/>
      <c r="E64" s="143"/>
      <c r="F64" s="142"/>
      <c r="G64" s="143"/>
      <c r="H64" s="142"/>
      <c r="I64" s="143"/>
      <c r="J64" s="142"/>
      <c r="K64" s="143"/>
      <c r="L64" s="142"/>
      <c r="M64" s="143"/>
      <c r="N64" s="142"/>
      <c r="O64" s="143"/>
      <c r="P64" s="142"/>
      <c r="Q64" s="178"/>
      <c r="R64" s="179"/>
      <c r="S64" s="178"/>
      <c r="T64" s="179"/>
      <c r="U64" s="178"/>
      <c r="V64" s="122"/>
      <c r="W64" s="122"/>
    </row>
    <row r="65" spans="1:23" ht="12" customHeight="1">
      <c r="A65" s="122"/>
      <c r="B65" s="174"/>
      <c r="C65" s="175"/>
      <c r="D65" s="174"/>
      <c r="E65" s="175"/>
      <c r="F65" s="174"/>
      <c r="G65" s="175"/>
      <c r="H65" s="174"/>
      <c r="I65" s="175"/>
      <c r="J65" s="174"/>
      <c r="K65" s="175"/>
      <c r="L65" s="174"/>
      <c r="M65" s="175"/>
      <c r="N65" s="174"/>
      <c r="O65" s="175"/>
      <c r="P65" s="174"/>
      <c r="Q65" s="175"/>
      <c r="R65" s="174"/>
      <c r="S65" s="175"/>
      <c r="T65" s="174"/>
      <c r="U65" s="175"/>
      <c r="V65" s="122"/>
      <c r="W65" s="122"/>
    </row>
    <row r="66" spans="1:23" ht="12" customHeight="1">
      <c r="A66" s="122"/>
      <c r="B66" s="176"/>
      <c r="C66" s="177"/>
      <c r="D66" s="176"/>
      <c r="E66" s="177"/>
      <c r="F66" s="176"/>
      <c r="G66" s="177"/>
      <c r="H66" s="176"/>
      <c r="I66" s="177"/>
      <c r="J66" s="176"/>
      <c r="K66" s="177"/>
      <c r="L66" s="176"/>
      <c r="M66" s="177"/>
      <c r="N66" s="176"/>
      <c r="O66" s="177"/>
      <c r="P66" s="176"/>
      <c r="Q66" s="177"/>
      <c r="R66" s="176"/>
      <c r="S66" s="177"/>
      <c r="T66" s="176"/>
      <c r="U66" s="177"/>
      <c r="V66" s="122"/>
      <c r="W66" s="122"/>
    </row>
    <row r="67" spans="1:23" ht="12" customHeight="1">
      <c r="A67" s="122"/>
      <c r="B67" s="176"/>
      <c r="C67" s="177"/>
      <c r="D67" s="176"/>
      <c r="E67" s="177"/>
      <c r="F67" s="176"/>
      <c r="G67" s="177"/>
      <c r="H67" s="176"/>
      <c r="I67" s="177"/>
      <c r="J67" s="176"/>
      <c r="K67" s="177"/>
      <c r="L67" s="176"/>
      <c r="M67" s="177"/>
      <c r="N67" s="176"/>
      <c r="O67" s="177"/>
      <c r="P67" s="176"/>
      <c r="Q67" s="177"/>
      <c r="R67" s="176"/>
      <c r="S67" s="177"/>
      <c r="T67" s="176"/>
      <c r="U67" s="177"/>
      <c r="V67" s="122"/>
      <c r="W67" s="122"/>
    </row>
    <row r="68" spans="1:23" ht="12" customHeight="1">
      <c r="A68" s="122"/>
      <c r="B68" s="176"/>
      <c r="C68" s="177"/>
      <c r="D68" s="176"/>
      <c r="E68" s="177"/>
      <c r="F68" s="176"/>
      <c r="G68" s="177"/>
      <c r="H68" s="176"/>
      <c r="I68" s="177"/>
      <c r="J68" s="176"/>
      <c r="K68" s="177"/>
      <c r="L68" s="176"/>
      <c r="M68" s="177"/>
      <c r="N68" s="176"/>
      <c r="O68" s="177"/>
      <c r="P68" s="176"/>
      <c r="Q68" s="177"/>
      <c r="R68" s="176"/>
      <c r="S68" s="177"/>
      <c r="T68" s="176"/>
      <c r="U68" s="177"/>
      <c r="V68" s="122"/>
      <c r="W68" s="122"/>
    </row>
    <row r="69" spans="1:23" ht="12" customHeight="1" thickBot="1">
      <c r="A69" s="141">
        <v>11</v>
      </c>
      <c r="B69" s="179"/>
      <c r="C69" s="178"/>
      <c r="D69" s="179"/>
      <c r="E69" s="178"/>
      <c r="F69" s="179"/>
      <c r="G69" s="178"/>
      <c r="H69" s="179"/>
      <c r="I69" s="178"/>
      <c r="J69" s="179"/>
      <c r="K69" s="178"/>
      <c r="L69" s="179"/>
      <c r="M69" s="178"/>
      <c r="N69" s="179"/>
      <c r="O69" s="178"/>
      <c r="P69" s="179"/>
      <c r="Q69" s="178"/>
      <c r="R69" s="179"/>
      <c r="S69" s="178"/>
      <c r="T69" s="179"/>
      <c r="U69" s="178"/>
      <c r="V69" s="122"/>
      <c r="W69" s="122"/>
    </row>
    <row r="70" spans="1:23" ht="12" customHeight="1">
      <c r="A70" s="122"/>
      <c r="B70" s="174"/>
      <c r="C70" s="175"/>
      <c r="D70" s="174"/>
      <c r="E70" s="175"/>
      <c r="F70" s="174"/>
      <c r="G70" s="175"/>
      <c r="H70" s="174"/>
      <c r="I70" s="175"/>
      <c r="J70" s="174"/>
      <c r="K70" s="175"/>
      <c r="L70" s="174"/>
      <c r="M70" s="175"/>
      <c r="N70" s="174"/>
      <c r="O70" s="175"/>
      <c r="P70" s="174"/>
      <c r="Q70" s="175"/>
      <c r="R70" s="174"/>
      <c r="S70" s="175"/>
      <c r="T70" s="174"/>
      <c r="U70" s="175"/>
      <c r="V70" s="122"/>
      <c r="W70" s="122"/>
    </row>
    <row r="71" spans="1:23" ht="12" customHeight="1">
      <c r="A71" s="122"/>
      <c r="B71" s="176"/>
      <c r="C71" s="177"/>
      <c r="D71" s="176"/>
      <c r="E71" s="177"/>
      <c r="F71" s="176"/>
      <c r="G71" s="177"/>
      <c r="H71" s="176"/>
      <c r="I71" s="177"/>
      <c r="J71" s="176"/>
      <c r="K71" s="177"/>
      <c r="L71" s="176"/>
      <c r="M71" s="177"/>
      <c r="N71" s="176"/>
      <c r="O71" s="177"/>
      <c r="P71" s="176"/>
      <c r="Q71" s="177"/>
      <c r="R71" s="176"/>
      <c r="S71" s="177"/>
      <c r="T71" s="176"/>
      <c r="U71" s="177"/>
      <c r="V71" s="122"/>
      <c r="W71" s="122"/>
    </row>
    <row r="72" spans="1:23" ht="12" customHeight="1">
      <c r="A72" s="122"/>
      <c r="B72" s="176"/>
      <c r="C72" s="177"/>
      <c r="D72" s="176"/>
      <c r="E72" s="177"/>
      <c r="F72" s="176"/>
      <c r="G72" s="177"/>
      <c r="H72" s="176"/>
      <c r="I72" s="177"/>
      <c r="J72" s="176"/>
      <c r="K72" s="177"/>
      <c r="L72" s="176"/>
      <c r="M72" s="177"/>
      <c r="N72" s="176"/>
      <c r="O72" s="177"/>
      <c r="P72" s="176"/>
      <c r="Q72" s="177"/>
      <c r="R72" s="176"/>
      <c r="S72" s="177"/>
      <c r="T72" s="176"/>
      <c r="U72" s="177"/>
      <c r="V72" s="122"/>
      <c r="W72" s="122"/>
    </row>
    <row r="73" spans="1:23" ht="12" customHeight="1">
      <c r="A73" s="122"/>
      <c r="B73" s="176"/>
      <c r="C73" s="177"/>
      <c r="D73" s="176"/>
      <c r="E73" s="177"/>
      <c r="F73" s="176"/>
      <c r="G73" s="177"/>
      <c r="H73" s="176"/>
      <c r="I73" s="177"/>
      <c r="J73" s="176"/>
      <c r="K73" s="177"/>
      <c r="L73" s="176"/>
      <c r="M73" s="177"/>
      <c r="N73" s="176"/>
      <c r="O73" s="177"/>
      <c r="P73" s="176"/>
      <c r="Q73" s="177"/>
      <c r="R73" s="176"/>
      <c r="S73" s="177"/>
      <c r="T73" s="176"/>
      <c r="U73" s="177"/>
      <c r="V73" s="122"/>
      <c r="W73" s="122"/>
    </row>
    <row r="74" spans="1:23" ht="12" customHeight="1" thickBot="1">
      <c r="A74" s="141">
        <v>12</v>
      </c>
      <c r="B74" s="179"/>
      <c r="C74" s="178"/>
      <c r="D74" s="179"/>
      <c r="E74" s="178"/>
      <c r="F74" s="179"/>
      <c r="G74" s="178"/>
      <c r="H74" s="179"/>
      <c r="I74" s="178"/>
      <c r="J74" s="179"/>
      <c r="K74" s="178"/>
      <c r="L74" s="179"/>
      <c r="M74" s="178"/>
      <c r="N74" s="179"/>
      <c r="O74" s="178"/>
      <c r="P74" s="179"/>
      <c r="Q74" s="178"/>
      <c r="R74" s="179"/>
      <c r="S74" s="178"/>
      <c r="T74" s="179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HYPERLINK("#'2월'!A1","← 2월 월간 가계부로 돌아가기")</f>
        <v>← 2월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975000</v>
      </c>
      <c r="J149" s="433"/>
      <c r="K149" s="433"/>
      <c r="L149" s="433"/>
      <c r="M149" s="433"/>
      <c r="N149" s="365"/>
      <c r="O149" s="362" t="b">
        <f>IF('2월'!AA1,I149=('2월'!M28),"미입력")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975000</v>
      </c>
      <c r="J150" s="433"/>
      <c r="K150" s="433"/>
      <c r="L150" s="433"/>
      <c r="M150" s="433"/>
      <c r="N150" s="365"/>
      <c r="O150" s="362" t="b">
        <f>IF('2월'!AA1,I150=('2월'!I38),"미입력")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328</v>
      </c>
      <c r="L5" s="38" t="s">
        <v>475</v>
      </c>
      <c r="M5" s="34" t="s">
        <v>330</v>
      </c>
      <c r="N5" s="34" t="s">
        <v>331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333</v>
      </c>
      <c r="L6" s="31" t="s">
        <v>475</v>
      </c>
      <c r="M6" s="27" t="s">
        <v>330</v>
      </c>
      <c r="N6" s="27" t="s">
        <v>334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350</v>
      </c>
      <c r="L11" s="38" t="s">
        <v>476</v>
      </c>
      <c r="M11" s="34" t="s">
        <v>352</v>
      </c>
      <c r="N11" s="34" t="s">
        <v>353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355</v>
      </c>
      <c r="N12" s="27" t="s">
        <v>356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478</v>
      </c>
      <c r="T22" s="27" t="s">
        <v>383</v>
      </c>
      <c r="U22" s="27"/>
    </row>
    <row r="23" spans="1:22" ht="22" customHeight="1">
      <c r="A23" s="39" t="s">
        <v>384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385</v>
      </c>
      <c r="M23" s="34" t="s">
        <v>344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382</v>
      </c>
      <c r="T23" s="34" t="s">
        <v>371</v>
      </c>
      <c r="U23" s="34"/>
    </row>
    <row r="24" spans="1:22" ht="22" customHeight="1">
      <c r="A24" s="31" t="s">
        <v>323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223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HYPERLINK("#'3월계산기'!A1","계산기 대조 · 3월계산기 열기")</f>
        <v>계산기 대조 · 3월계산기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9" t="s">
        <v>479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367" t="s">
        <v>210</v>
      </c>
      <c r="L28" s="365"/>
      <c r="M28" s="364">
        <f>SUM(I4,I9,I14,I19,I24,I29)</f>
        <v>926000</v>
      </c>
      <c r="N28" s="365"/>
      <c r="O28" s="366" t="s">
        <v>212</v>
      </c>
      <c r="P28" s="365"/>
      <c r="Q28" s="364">
        <f>'3월계산기'!W12</f>
        <v>926000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 t="s">
        <v>323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367" t="s">
        <v>389</v>
      </c>
      <c r="L29" s="365"/>
      <c r="M29" s="364">
        <f>I38</f>
        <v>926000</v>
      </c>
      <c r="N29" s="365"/>
      <c r="O29" s="366" t="s">
        <v>213</v>
      </c>
      <c r="P29" s="365"/>
      <c r="Q29" s="364">
        <f>'3월계산기'!W13</f>
        <v>926000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 t="s">
        <v>322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367" t="s">
        <v>390</v>
      </c>
      <c r="L30" s="365"/>
      <c r="M30" s="364">
        <f>SUM(I6,I11,I16,I21,I26,I31)</f>
        <v>31520</v>
      </c>
      <c r="N30" s="365"/>
      <c r="O30" s="366" t="s">
        <v>391</v>
      </c>
      <c r="P30" s="365"/>
      <c r="Q30" s="364">
        <f>SUM(I4,I9,I14,I19,I24,I29)-I33</f>
        <v>31520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 t="s">
        <v>223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367" t="s">
        <v>214</v>
      </c>
      <c r="L31" s="365"/>
      <c r="M31" s="364">
        <f>'3월계산기'!W14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2785740</v>
      </c>
      <c r="D37" s="27"/>
      <c r="E37" s="27" t="s">
        <v>306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I33-_예비비계산!AG4</f>
        <v>894480</v>
      </c>
      <c r="I38" s="27">
        <f>SUM(I4,I9,I14,I19,I24,I29)-_예비비계산!AH4</f>
        <v>926000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2785740</v>
      </c>
      <c r="D41" s="27"/>
      <c r="E41" s="49" t="s">
        <v>411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41600</v>
      </c>
      <c r="I43" s="27">
        <f>H43</f>
        <v>41600</v>
      </c>
      <c r="J43" s="12"/>
      <c r="K43" s="31" t="s">
        <v>402</v>
      </c>
      <c r="L43" s="31" t="s">
        <v>416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418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5">
        <v>46107</v>
      </c>
      <c r="B52" s="35" t="s">
        <v>431</v>
      </c>
      <c r="C52" s="35" t="s">
        <v>99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5">
        <f>RAW!A528</f>
        <v>46087.967939814807</v>
      </c>
      <c r="B53" s="35" t="s">
        <v>480</v>
      </c>
      <c r="C53" s="35" t="s">
        <v>481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482</v>
      </c>
      <c r="J53" s="12"/>
      <c r="K53" s="50" t="s">
        <v>432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47900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483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617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617000</v>
      </c>
      <c r="AA3">
        <v>617</v>
      </c>
    </row>
    <row r="4" spans="1:27" ht="18" customHeight="1">
      <c r="A4" s="117" t="s">
        <v>453</v>
      </c>
      <c r="B4" s="125"/>
      <c r="C4" s="119">
        <f>IFERROR(colorfunction(B4,$B$15:$U$144,FALSE),$AA$4)</f>
        <v>50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50000</v>
      </c>
      <c r="AA4">
        <v>50</v>
      </c>
    </row>
    <row r="5" spans="1:27" ht="18" customHeight="1">
      <c r="A5" s="117" t="s">
        <v>454</v>
      </c>
      <c r="B5" s="127"/>
      <c r="C5" s="119">
        <f>IFERROR(colorfunction(B5,$B$15:$U$144,FALSE),$AA$5)</f>
        <v>0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0</v>
      </c>
      <c r="AA5">
        <v>0</v>
      </c>
    </row>
    <row r="6" spans="1:27" ht="18" customHeight="1">
      <c r="A6" s="117" t="s">
        <v>455</v>
      </c>
      <c r="B6" s="128"/>
      <c r="C6" s="119">
        <f>IFERROR(colorfunction(B6,$B$15:$U$144,FALSE),$AA$6)</f>
        <v>101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101000</v>
      </c>
      <c r="AA6">
        <v>101</v>
      </c>
    </row>
    <row r="7" spans="1:27" ht="18" customHeight="1">
      <c r="A7" s="117" t="s">
        <v>456</v>
      </c>
      <c r="B7" s="129"/>
      <c r="C7" s="119">
        <f>IFERROR(colorfunction(B7,$B$15:$U$144,FALSE),$AA$7)</f>
        <v>27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27000</v>
      </c>
      <c r="AA7">
        <v>27</v>
      </c>
    </row>
    <row r="8" spans="1:27" ht="18" customHeight="1">
      <c r="A8" s="117" t="s">
        <v>457</v>
      </c>
      <c r="B8" s="130"/>
      <c r="C8" s="119">
        <f>IFERROR(colorfunction(B8,$B$15:$U$144,FALSE),$AA$8)</f>
        <v>0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0</v>
      </c>
      <c r="AA8">
        <v>0</v>
      </c>
    </row>
    <row r="9" spans="1:27" ht="18" customHeight="1">
      <c r="A9" s="117" t="s">
        <v>458</v>
      </c>
      <c r="B9" s="131"/>
      <c r="C9" s="119">
        <f>IFERROR(colorfunction(B9,$B$15:$U$144,FALSE),$AA$9)</f>
        <v>111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111000</v>
      </c>
      <c r="AA9">
        <v>111</v>
      </c>
    </row>
    <row r="10" spans="1:27" ht="18" customHeight="1">
      <c r="A10" s="117" t="s">
        <v>459</v>
      </c>
      <c r="B10" s="132"/>
      <c r="C10" s="119">
        <f>IFERROR(colorfunction(B10,$B$15:$U$144,FALSE),$AA$10)</f>
        <v>20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20000</v>
      </c>
      <c r="AA10">
        <v>20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926000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926000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0+_예비비계산!AH4</f>
        <v>0</v>
      </c>
    </row>
    <row r="15" spans="1:27" ht="12" customHeight="1">
      <c r="A15" s="122"/>
      <c r="B15" s="133"/>
      <c r="C15" s="173"/>
      <c r="D15" s="181"/>
      <c r="E15" s="147"/>
      <c r="F15" s="146"/>
      <c r="G15" s="134"/>
      <c r="H15" s="146"/>
      <c r="I15" s="147"/>
      <c r="J15" s="133"/>
      <c r="K15" s="134"/>
      <c r="L15" s="146"/>
      <c r="M15" s="134"/>
      <c r="N15" s="133"/>
      <c r="O15" s="134"/>
      <c r="P15" s="133"/>
      <c r="Q15" s="134"/>
      <c r="R15" s="149"/>
      <c r="S15" s="148"/>
      <c r="T15" s="149"/>
      <c r="U15" s="148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7"/>
      <c r="C16" s="182"/>
      <c r="D16" s="164"/>
      <c r="E16" s="153"/>
      <c r="F16" s="137"/>
      <c r="G16" s="153"/>
      <c r="H16" s="152"/>
      <c r="I16" s="138"/>
      <c r="J16" s="137"/>
      <c r="K16" s="138"/>
      <c r="L16" s="152"/>
      <c r="M16" s="138"/>
      <c r="N16" s="137"/>
      <c r="O16" s="138"/>
      <c r="P16" s="137"/>
      <c r="Q16" s="138"/>
      <c r="R16" s="155"/>
      <c r="S16" s="154"/>
      <c r="T16" s="155"/>
      <c r="U16" s="154"/>
      <c r="V16" s="299" t="s">
        <v>211</v>
      </c>
      <c r="W16" s="300">
        <f>SUM(W3:W10)</f>
        <v>926000</v>
      </c>
    </row>
    <row r="17" spans="1:27" ht="12" customHeight="1">
      <c r="A17" s="122"/>
      <c r="B17" s="137"/>
      <c r="C17" s="182"/>
      <c r="D17" s="152"/>
      <c r="E17" s="153"/>
      <c r="F17" s="137"/>
      <c r="G17" s="153"/>
      <c r="H17" s="152"/>
      <c r="I17" s="138"/>
      <c r="J17" s="137"/>
      <c r="K17" s="138"/>
      <c r="L17" s="152"/>
      <c r="M17" s="138"/>
      <c r="N17" s="137"/>
      <c r="O17" s="138"/>
      <c r="P17" s="137"/>
      <c r="Q17" s="154"/>
      <c r="R17" s="155"/>
      <c r="S17" s="154"/>
      <c r="T17" s="155"/>
      <c r="U17" s="138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7"/>
      <c r="C18" s="182"/>
      <c r="D18" s="152"/>
      <c r="E18" s="153"/>
      <c r="F18" s="137"/>
      <c r="G18" s="153"/>
      <c r="H18" s="152"/>
      <c r="I18" s="138"/>
      <c r="J18" s="137"/>
      <c r="K18" s="138"/>
      <c r="L18" s="152"/>
      <c r="M18" s="138"/>
      <c r="N18" s="137"/>
      <c r="O18" s="138"/>
      <c r="P18" s="137"/>
      <c r="Q18" s="154"/>
      <c r="R18" s="155"/>
      <c r="S18" s="154"/>
      <c r="T18" s="155"/>
      <c r="U18" s="138"/>
      <c r="V18" s="122"/>
      <c r="W18" s="122"/>
    </row>
    <row r="19" spans="1:27" ht="12" customHeight="1" thickBot="1">
      <c r="A19" s="141">
        <v>1</v>
      </c>
      <c r="B19" s="142"/>
      <c r="C19" s="172"/>
      <c r="D19" s="158"/>
      <c r="E19" s="159"/>
      <c r="F19" s="142"/>
      <c r="G19" s="159"/>
      <c r="H19" s="158"/>
      <c r="I19" s="143"/>
      <c r="J19" s="142"/>
      <c r="K19" s="159"/>
      <c r="L19" s="142"/>
      <c r="M19" s="143"/>
      <c r="N19" s="142"/>
      <c r="O19" s="143"/>
      <c r="P19" s="142"/>
      <c r="Q19" s="160"/>
      <c r="R19" s="161"/>
      <c r="S19" s="160"/>
      <c r="T19" s="161"/>
      <c r="U19" s="143"/>
      <c r="V19" s="122"/>
      <c r="W19" s="122"/>
    </row>
    <row r="20" spans="1:27" ht="12" customHeight="1">
      <c r="A20" s="122"/>
      <c r="B20" s="133"/>
      <c r="C20" s="134"/>
      <c r="D20" s="133"/>
      <c r="E20" s="134"/>
      <c r="F20" s="133"/>
      <c r="G20" s="134"/>
      <c r="H20" s="133"/>
      <c r="I20" s="134"/>
      <c r="J20" s="133"/>
      <c r="K20" s="134"/>
      <c r="L20" s="133"/>
      <c r="M20" s="134"/>
      <c r="N20" s="133"/>
      <c r="O20" s="134"/>
      <c r="P20" s="133"/>
      <c r="Q20" s="134"/>
      <c r="R20" s="133"/>
      <c r="S20" s="134"/>
      <c r="T20" s="146"/>
      <c r="U20" s="147"/>
      <c r="V20" s="122"/>
      <c r="W20" s="122"/>
    </row>
    <row r="21" spans="1:27" ht="12" customHeight="1">
      <c r="A21" s="122"/>
      <c r="B21" s="137"/>
      <c r="C21" s="138"/>
      <c r="D21" s="137"/>
      <c r="E21" s="138"/>
      <c r="F21" s="137"/>
      <c r="G21" s="138"/>
      <c r="H21" s="137"/>
      <c r="I21" s="138"/>
      <c r="J21" s="137"/>
      <c r="K21" s="138"/>
      <c r="L21" s="137"/>
      <c r="M21" s="138"/>
      <c r="N21" s="137"/>
      <c r="O21" s="138"/>
      <c r="P21" s="137"/>
      <c r="Q21" s="138"/>
      <c r="R21" s="137"/>
      <c r="S21" s="138"/>
      <c r="T21" s="152"/>
      <c r="U21" s="153"/>
      <c r="V21" s="122"/>
      <c r="W21" s="122"/>
    </row>
    <row r="22" spans="1:27" ht="12" customHeight="1">
      <c r="A22" s="122"/>
      <c r="B22" s="137"/>
      <c r="C22" s="138"/>
      <c r="D22" s="137"/>
      <c r="E22" s="138"/>
      <c r="F22" s="137"/>
      <c r="G22" s="138"/>
      <c r="H22" s="137"/>
      <c r="I22" s="138"/>
      <c r="J22" s="137"/>
      <c r="K22" s="138"/>
      <c r="L22" s="137"/>
      <c r="M22" s="138"/>
      <c r="N22" s="152"/>
      <c r="O22" s="153"/>
      <c r="P22" s="137"/>
      <c r="Q22" s="138"/>
      <c r="R22" s="137"/>
      <c r="S22" s="138"/>
      <c r="T22" s="152"/>
      <c r="U22" s="138"/>
      <c r="V22" s="122"/>
      <c r="W22" s="122"/>
    </row>
    <row r="23" spans="1:27" ht="12" customHeight="1">
      <c r="A23" s="122"/>
      <c r="B23" s="137"/>
      <c r="C23" s="138"/>
      <c r="D23" s="137"/>
      <c r="E23" s="138"/>
      <c r="F23" s="137"/>
      <c r="G23" s="138"/>
      <c r="H23" s="137"/>
      <c r="I23" s="138"/>
      <c r="J23" s="137"/>
      <c r="K23" s="138"/>
      <c r="L23" s="137"/>
      <c r="M23" s="138"/>
      <c r="N23" s="152"/>
      <c r="O23" s="153"/>
      <c r="P23" s="137"/>
      <c r="Q23" s="138"/>
      <c r="R23" s="137"/>
      <c r="S23" s="138"/>
      <c r="T23" s="152"/>
      <c r="U23" s="138"/>
      <c r="V23" s="122"/>
      <c r="W23" s="122"/>
    </row>
    <row r="24" spans="1:27" ht="12" customHeight="1" thickBot="1">
      <c r="A24" s="141">
        <v>2</v>
      </c>
      <c r="B24" s="142"/>
      <c r="C24" s="143"/>
      <c r="D24" s="142"/>
      <c r="E24" s="143"/>
      <c r="F24" s="142"/>
      <c r="G24" s="143"/>
      <c r="H24" s="142"/>
      <c r="I24" s="143"/>
      <c r="J24" s="142"/>
      <c r="K24" s="143"/>
      <c r="L24" s="142"/>
      <c r="M24" s="143"/>
      <c r="N24" s="158"/>
      <c r="O24" s="159"/>
      <c r="P24" s="142"/>
      <c r="Q24" s="143"/>
      <c r="R24" s="142"/>
      <c r="S24" s="159"/>
      <c r="T24" s="158"/>
      <c r="U24" s="143"/>
      <c r="V24" s="122"/>
      <c r="W24" s="122"/>
    </row>
    <row r="25" spans="1:27" ht="12" customHeight="1">
      <c r="A25" s="122"/>
      <c r="B25" s="133"/>
      <c r="C25" s="134"/>
      <c r="D25" s="133"/>
      <c r="E25" s="147"/>
      <c r="F25" s="133"/>
      <c r="G25" s="134"/>
      <c r="H25" s="133"/>
      <c r="I25" s="134"/>
      <c r="J25" s="133"/>
      <c r="K25" s="134"/>
      <c r="L25" s="133"/>
      <c r="M25" s="134"/>
      <c r="N25" s="133"/>
      <c r="O25" s="147"/>
      <c r="P25" s="133"/>
      <c r="Q25" s="134"/>
      <c r="R25" s="181"/>
      <c r="S25" s="134"/>
      <c r="T25" s="133"/>
      <c r="U25" s="134"/>
      <c r="V25" s="122"/>
      <c r="W25" s="122"/>
    </row>
    <row r="26" spans="1:27" ht="12" customHeight="1">
      <c r="A26" s="122"/>
      <c r="B26" s="137"/>
      <c r="C26" s="138"/>
      <c r="D26" s="137"/>
      <c r="E26" s="153"/>
      <c r="F26" s="137"/>
      <c r="G26" s="138"/>
      <c r="H26" s="137"/>
      <c r="I26" s="138"/>
      <c r="J26" s="137"/>
      <c r="K26" s="138"/>
      <c r="L26" s="137"/>
      <c r="M26" s="138"/>
      <c r="N26" s="137"/>
      <c r="O26" s="153"/>
      <c r="P26" s="137"/>
      <c r="Q26" s="138"/>
      <c r="R26" s="164"/>
      <c r="S26" s="138"/>
      <c r="T26" s="137"/>
      <c r="U26" s="138"/>
      <c r="V26" s="122"/>
      <c r="W26" s="122"/>
    </row>
    <row r="27" spans="1:27" ht="12" customHeight="1">
      <c r="A27" s="122"/>
      <c r="B27" s="137"/>
      <c r="C27" s="138"/>
      <c r="D27" s="137"/>
      <c r="E27" s="153"/>
      <c r="F27" s="137"/>
      <c r="G27" s="138"/>
      <c r="H27" s="137"/>
      <c r="I27" s="138"/>
      <c r="J27" s="137"/>
      <c r="K27" s="138"/>
      <c r="L27" s="137"/>
      <c r="M27" s="138"/>
      <c r="N27" s="137"/>
      <c r="O27" s="153"/>
      <c r="P27" s="137"/>
      <c r="Q27" s="138"/>
      <c r="R27" s="164"/>
      <c r="S27" s="138"/>
      <c r="T27" s="137"/>
      <c r="U27" s="138"/>
      <c r="V27" s="122"/>
      <c r="W27" s="122"/>
    </row>
    <row r="28" spans="1:27" ht="12" customHeight="1">
      <c r="A28" s="122"/>
      <c r="B28" s="137"/>
      <c r="C28" s="138"/>
      <c r="D28" s="137"/>
      <c r="E28" s="153"/>
      <c r="F28" s="137"/>
      <c r="G28" s="138"/>
      <c r="H28" s="137"/>
      <c r="I28" s="138"/>
      <c r="J28" s="137"/>
      <c r="K28" s="138"/>
      <c r="L28" s="137"/>
      <c r="M28" s="138"/>
      <c r="N28" s="137"/>
      <c r="O28" s="153"/>
      <c r="P28" s="137"/>
      <c r="Q28" s="138"/>
      <c r="R28" s="137"/>
      <c r="S28" s="138"/>
      <c r="T28" s="137"/>
      <c r="U28" s="138"/>
      <c r="V28" s="122"/>
      <c r="W28" s="122"/>
    </row>
    <row r="29" spans="1:27" ht="12" customHeight="1" thickBot="1">
      <c r="A29" s="141">
        <v>3</v>
      </c>
      <c r="B29" s="142"/>
      <c r="C29" s="143"/>
      <c r="D29" s="142"/>
      <c r="E29" s="159"/>
      <c r="F29" s="142"/>
      <c r="G29" s="143"/>
      <c r="H29" s="142"/>
      <c r="I29" s="143"/>
      <c r="J29" s="142"/>
      <c r="K29" s="143"/>
      <c r="L29" s="142"/>
      <c r="M29" s="143"/>
      <c r="N29" s="142"/>
      <c r="O29" s="159"/>
      <c r="P29" s="142"/>
      <c r="Q29" s="143"/>
      <c r="R29" s="142"/>
      <c r="S29" s="143"/>
      <c r="T29" s="142"/>
      <c r="U29" s="143"/>
      <c r="V29" s="122"/>
      <c r="W29" s="122"/>
    </row>
    <row r="30" spans="1:27" ht="12" customHeight="1">
      <c r="A30" s="122"/>
      <c r="B30" s="133"/>
      <c r="C30" s="134"/>
      <c r="D30" s="133"/>
      <c r="E30" s="134"/>
      <c r="F30" s="133"/>
      <c r="G30" s="134"/>
      <c r="H30" s="133"/>
      <c r="I30" s="147"/>
      <c r="J30" s="146"/>
      <c r="K30" s="147"/>
      <c r="L30" s="146"/>
      <c r="M30" s="147"/>
      <c r="N30" s="146"/>
      <c r="O30" s="134"/>
      <c r="P30" s="133"/>
      <c r="Q30" s="134"/>
      <c r="R30" s="133"/>
      <c r="S30" s="134"/>
      <c r="T30" s="133"/>
      <c r="U30" s="134"/>
      <c r="V30" s="122"/>
      <c r="W30" s="122"/>
    </row>
    <row r="31" spans="1:27" ht="12" customHeight="1">
      <c r="A31" s="122"/>
      <c r="B31" s="137"/>
      <c r="C31" s="138"/>
      <c r="D31" s="137"/>
      <c r="E31" s="138"/>
      <c r="F31" s="137"/>
      <c r="G31" s="138"/>
      <c r="H31" s="137"/>
      <c r="I31" s="153"/>
      <c r="J31" s="152"/>
      <c r="K31" s="153"/>
      <c r="L31" s="152"/>
      <c r="M31" s="153"/>
      <c r="N31" s="152"/>
      <c r="O31" s="138"/>
      <c r="P31" s="137"/>
      <c r="Q31" s="138"/>
      <c r="R31" s="137"/>
      <c r="S31" s="138"/>
      <c r="T31" s="137"/>
      <c r="U31" s="138"/>
      <c r="V31" s="122"/>
      <c r="W31" s="122"/>
    </row>
    <row r="32" spans="1:27" ht="12" customHeight="1">
      <c r="A32" s="122"/>
      <c r="B32" s="137"/>
      <c r="C32" s="138"/>
      <c r="D32" s="137"/>
      <c r="E32" s="138"/>
      <c r="F32" s="137"/>
      <c r="G32" s="138"/>
      <c r="H32" s="137"/>
      <c r="I32" s="153"/>
      <c r="J32" s="152"/>
      <c r="K32" s="153"/>
      <c r="L32" s="152"/>
      <c r="M32" s="153"/>
      <c r="N32" s="152"/>
      <c r="O32" s="138"/>
      <c r="P32" s="137"/>
      <c r="Q32" s="138"/>
      <c r="R32" s="137"/>
      <c r="S32" s="138"/>
      <c r="T32" s="137"/>
      <c r="U32" s="138"/>
      <c r="V32" s="122"/>
      <c r="W32" s="122"/>
    </row>
    <row r="33" spans="1:23" ht="12" customHeight="1">
      <c r="A33" s="122"/>
      <c r="B33" s="137"/>
      <c r="C33" s="138"/>
      <c r="D33" s="137"/>
      <c r="E33" s="153"/>
      <c r="F33" s="137"/>
      <c r="G33" s="138"/>
      <c r="H33" s="137"/>
      <c r="I33" s="153"/>
      <c r="J33" s="152"/>
      <c r="K33" s="153"/>
      <c r="L33" s="152"/>
      <c r="M33" s="153"/>
      <c r="N33" s="152"/>
      <c r="O33" s="138"/>
      <c r="P33" s="137"/>
      <c r="Q33" s="138"/>
      <c r="R33" s="137"/>
      <c r="S33" s="138"/>
      <c r="T33" s="137"/>
      <c r="U33" s="138"/>
      <c r="V33" s="122"/>
      <c r="W33" s="122"/>
    </row>
    <row r="34" spans="1:23" ht="12" customHeight="1" thickBot="1">
      <c r="A34" s="141">
        <v>4</v>
      </c>
      <c r="B34" s="142"/>
      <c r="C34" s="143"/>
      <c r="D34" s="142"/>
      <c r="E34" s="159"/>
      <c r="F34" s="142"/>
      <c r="G34" s="143"/>
      <c r="H34" s="158"/>
      <c r="I34" s="159"/>
      <c r="J34" s="158"/>
      <c r="K34" s="159"/>
      <c r="L34" s="158"/>
      <c r="M34" s="159"/>
      <c r="N34" s="158"/>
      <c r="O34" s="143"/>
      <c r="P34" s="142"/>
      <c r="Q34" s="143"/>
      <c r="R34" s="142"/>
      <c r="S34" s="143"/>
      <c r="T34" s="142"/>
      <c r="U34" s="143"/>
      <c r="V34" s="122"/>
      <c r="W34" s="122"/>
    </row>
    <row r="35" spans="1:23" ht="12" customHeight="1">
      <c r="A35" s="122"/>
      <c r="B35" s="133"/>
      <c r="C35" s="134"/>
      <c r="D35" s="133"/>
      <c r="E35" s="134"/>
      <c r="F35" s="133"/>
      <c r="G35" s="134"/>
      <c r="H35" s="133"/>
      <c r="I35" s="134"/>
      <c r="J35" s="133"/>
      <c r="K35" s="134"/>
      <c r="L35" s="133"/>
      <c r="M35" s="134"/>
      <c r="N35" s="146"/>
      <c r="O35" s="134"/>
      <c r="P35" s="133"/>
      <c r="Q35" s="134"/>
      <c r="R35" s="133"/>
      <c r="S35" s="150"/>
      <c r="T35" s="151"/>
      <c r="U35" s="150"/>
      <c r="V35" s="122"/>
      <c r="W35" s="122"/>
    </row>
    <row r="36" spans="1:23" ht="12" customHeight="1">
      <c r="A36" s="122"/>
      <c r="B36" s="137"/>
      <c r="C36" s="138"/>
      <c r="D36" s="137"/>
      <c r="E36" s="138"/>
      <c r="F36" s="137"/>
      <c r="G36" s="138"/>
      <c r="H36" s="137"/>
      <c r="I36" s="138"/>
      <c r="J36" s="137"/>
      <c r="K36" s="138"/>
      <c r="L36" s="137"/>
      <c r="M36" s="138"/>
      <c r="N36" s="152"/>
      <c r="O36" s="138"/>
      <c r="P36" s="137"/>
      <c r="Q36" s="138"/>
      <c r="R36" s="137"/>
      <c r="S36" s="156"/>
      <c r="T36" s="157"/>
      <c r="U36" s="156"/>
      <c r="V36" s="122"/>
      <c r="W36" s="122"/>
    </row>
    <row r="37" spans="1:23" ht="12" customHeight="1">
      <c r="A37" s="122"/>
      <c r="B37" s="137"/>
      <c r="C37" s="138"/>
      <c r="D37" s="137"/>
      <c r="E37" s="138"/>
      <c r="F37" s="137"/>
      <c r="G37" s="138"/>
      <c r="H37" s="137"/>
      <c r="I37" s="138"/>
      <c r="J37" s="137"/>
      <c r="K37" s="138"/>
      <c r="L37" s="137"/>
      <c r="M37" s="138"/>
      <c r="N37" s="152"/>
      <c r="O37" s="138"/>
      <c r="P37" s="137"/>
      <c r="Q37" s="138"/>
      <c r="R37" s="139"/>
      <c r="S37" s="156"/>
      <c r="T37" s="157"/>
      <c r="U37" s="156"/>
      <c r="V37" s="122"/>
      <c r="W37" s="122"/>
    </row>
    <row r="38" spans="1:23" ht="12" customHeight="1">
      <c r="A38" s="122"/>
      <c r="B38" s="137"/>
      <c r="C38" s="138"/>
      <c r="D38" s="137"/>
      <c r="E38" s="138"/>
      <c r="F38" s="137"/>
      <c r="G38" s="138"/>
      <c r="H38" s="137"/>
      <c r="I38" s="138"/>
      <c r="J38" s="137"/>
      <c r="K38" s="138"/>
      <c r="L38" s="137"/>
      <c r="M38" s="138"/>
      <c r="N38" s="152"/>
      <c r="O38" s="138"/>
      <c r="P38" s="137"/>
      <c r="Q38" s="138"/>
      <c r="R38" s="139"/>
      <c r="S38" s="140"/>
      <c r="T38" s="157"/>
      <c r="U38" s="156"/>
      <c r="V38" s="122"/>
      <c r="W38" s="122"/>
    </row>
    <row r="39" spans="1:23" ht="12" customHeight="1" thickBot="1">
      <c r="A39" s="141">
        <v>5</v>
      </c>
      <c r="B39" s="142"/>
      <c r="C39" s="143"/>
      <c r="D39" s="142"/>
      <c r="E39" s="143"/>
      <c r="F39" s="142"/>
      <c r="G39" s="143"/>
      <c r="H39" s="142"/>
      <c r="I39" s="143"/>
      <c r="J39" s="142"/>
      <c r="K39" s="143"/>
      <c r="L39" s="142"/>
      <c r="M39" s="143"/>
      <c r="N39" s="142"/>
      <c r="O39" s="143"/>
      <c r="P39" s="142"/>
      <c r="Q39" s="143"/>
      <c r="R39" s="144"/>
      <c r="S39" s="145"/>
      <c r="T39" s="163"/>
      <c r="U39" s="162"/>
      <c r="V39" s="122"/>
      <c r="W39" s="122"/>
    </row>
    <row r="40" spans="1:23" ht="12" customHeight="1">
      <c r="A40" s="122"/>
      <c r="B40" s="151"/>
      <c r="C40" s="150"/>
      <c r="D40" s="151"/>
      <c r="E40" s="134"/>
      <c r="F40" s="133"/>
      <c r="G40" s="134"/>
      <c r="H40" s="135"/>
      <c r="I40" s="134"/>
      <c r="J40" s="133"/>
      <c r="K40" s="134"/>
      <c r="L40" s="133"/>
      <c r="M40" s="147"/>
      <c r="N40" s="146"/>
      <c r="O40" s="134"/>
      <c r="P40" s="133"/>
      <c r="Q40" s="173"/>
      <c r="R40" s="181"/>
      <c r="S40" s="134"/>
      <c r="T40" s="133"/>
      <c r="U40" s="136"/>
      <c r="V40" s="122"/>
      <c r="W40" s="122"/>
    </row>
    <row r="41" spans="1:23" ht="12" customHeight="1">
      <c r="A41" s="122"/>
      <c r="B41" s="157"/>
      <c r="C41" s="156"/>
      <c r="D41" s="157"/>
      <c r="E41" s="138"/>
      <c r="F41" s="137"/>
      <c r="G41" s="140"/>
      <c r="H41" s="137"/>
      <c r="I41" s="138"/>
      <c r="J41" s="137"/>
      <c r="K41" s="138"/>
      <c r="L41" s="137"/>
      <c r="M41" s="153"/>
      <c r="N41" s="152"/>
      <c r="O41" s="138"/>
      <c r="P41" s="164"/>
      <c r="Q41" s="182"/>
      <c r="R41" s="164"/>
      <c r="S41" s="138"/>
      <c r="T41" s="137"/>
      <c r="U41" s="140"/>
      <c r="V41" s="122"/>
      <c r="W41" s="122"/>
    </row>
    <row r="42" spans="1:23" ht="12" customHeight="1">
      <c r="A42" s="122"/>
      <c r="B42" s="157"/>
      <c r="C42" s="156"/>
      <c r="D42" s="157"/>
      <c r="E42" s="138"/>
      <c r="F42" s="137"/>
      <c r="G42" s="140"/>
      <c r="H42" s="137"/>
      <c r="I42" s="138"/>
      <c r="J42" s="137"/>
      <c r="K42" s="138"/>
      <c r="L42" s="137"/>
      <c r="M42" s="153"/>
      <c r="N42" s="152"/>
      <c r="O42" s="138"/>
      <c r="P42" s="164"/>
      <c r="Q42" s="182"/>
      <c r="R42" s="164"/>
      <c r="S42" s="138"/>
      <c r="T42" s="139"/>
      <c r="U42" s="138"/>
      <c r="V42" s="122"/>
      <c r="W42" s="122"/>
    </row>
    <row r="43" spans="1:23" ht="12" customHeight="1">
      <c r="A43" s="122"/>
      <c r="B43" s="157"/>
      <c r="C43" s="156"/>
      <c r="D43" s="157"/>
      <c r="E43" s="138"/>
      <c r="F43" s="137"/>
      <c r="G43" s="140"/>
      <c r="H43" s="137"/>
      <c r="I43" s="138"/>
      <c r="J43" s="137"/>
      <c r="K43" s="138"/>
      <c r="L43" s="137"/>
      <c r="M43" s="153"/>
      <c r="N43" s="137"/>
      <c r="O43" s="138"/>
      <c r="P43" s="164"/>
      <c r="Q43" s="182"/>
      <c r="R43" s="152"/>
      <c r="S43" s="138"/>
      <c r="T43" s="139"/>
      <c r="U43" s="138"/>
      <c r="V43" s="122"/>
      <c r="W43" s="122"/>
    </row>
    <row r="44" spans="1:23" ht="12" customHeight="1" thickBot="1">
      <c r="A44" s="141">
        <v>6</v>
      </c>
      <c r="B44" s="163"/>
      <c r="C44" s="162"/>
      <c r="D44" s="142"/>
      <c r="E44" s="143"/>
      <c r="F44" s="142"/>
      <c r="G44" s="145"/>
      <c r="H44" s="142"/>
      <c r="I44" s="143"/>
      <c r="J44" s="142"/>
      <c r="K44" s="143"/>
      <c r="L44" s="158"/>
      <c r="M44" s="159"/>
      <c r="N44" s="142"/>
      <c r="O44" s="143"/>
      <c r="P44" s="165"/>
      <c r="Q44" s="172"/>
      <c r="R44" s="158"/>
      <c r="S44" s="143"/>
      <c r="T44" s="144"/>
      <c r="U44" s="143"/>
      <c r="V44" s="122"/>
      <c r="W44" s="122"/>
    </row>
    <row r="45" spans="1:23" ht="12" customHeight="1">
      <c r="A45" s="122"/>
      <c r="B45" s="133"/>
      <c r="C45" s="134"/>
      <c r="D45" s="146"/>
      <c r="E45" s="147"/>
      <c r="F45" s="146"/>
      <c r="G45" s="134"/>
      <c r="H45" s="133"/>
      <c r="I45" s="136"/>
      <c r="J45" s="133"/>
      <c r="K45" s="136"/>
      <c r="L45" s="133"/>
      <c r="M45" s="134"/>
      <c r="N45" s="133"/>
      <c r="O45" s="134"/>
      <c r="P45" s="133"/>
      <c r="Q45" s="134"/>
      <c r="R45" s="135"/>
      <c r="S45" s="134"/>
      <c r="T45" s="133"/>
      <c r="U45" s="134"/>
      <c r="V45" s="122"/>
      <c r="W45" s="122"/>
    </row>
    <row r="46" spans="1:23" ht="12" customHeight="1">
      <c r="A46" s="122"/>
      <c r="B46" s="137"/>
      <c r="C46" s="138"/>
      <c r="D46" s="152"/>
      <c r="E46" s="153"/>
      <c r="F46" s="152"/>
      <c r="G46" s="138"/>
      <c r="H46" s="137"/>
      <c r="I46" s="140"/>
      <c r="J46" s="139"/>
      <c r="K46" s="138"/>
      <c r="L46" s="137"/>
      <c r="M46" s="138"/>
      <c r="N46" s="137"/>
      <c r="O46" s="138"/>
      <c r="P46" s="137"/>
      <c r="Q46" s="138"/>
      <c r="R46" s="139"/>
      <c r="S46" s="138"/>
      <c r="T46" s="137"/>
      <c r="U46" s="138"/>
      <c r="V46" s="122"/>
      <c r="W46" s="122"/>
    </row>
    <row r="47" spans="1:23" ht="12" customHeight="1">
      <c r="A47" s="122"/>
      <c r="B47" s="137"/>
      <c r="C47" s="138"/>
      <c r="D47" s="152"/>
      <c r="E47" s="153"/>
      <c r="F47" s="152"/>
      <c r="G47" s="138"/>
      <c r="H47" s="137"/>
      <c r="I47" s="140"/>
      <c r="J47" s="139"/>
      <c r="K47" s="138"/>
      <c r="L47" s="137"/>
      <c r="M47" s="138"/>
      <c r="N47" s="137"/>
      <c r="O47" s="138"/>
      <c r="P47" s="137"/>
      <c r="Q47" s="140"/>
      <c r="R47" s="137"/>
      <c r="S47" s="138"/>
      <c r="T47" s="137"/>
      <c r="U47" s="138"/>
      <c r="V47" s="122"/>
      <c r="W47" s="122"/>
    </row>
    <row r="48" spans="1:23" ht="12" customHeight="1">
      <c r="A48" s="122"/>
      <c r="B48" s="137"/>
      <c r="C48" s="153"/>
      <c r="D48" s="152"/>
      <c r="E48" s="153"/>
      <c r="F48" s="137"/>
      <c r="G48" s="138"/>
      <c r="H48" s="137"/>
      <c r="I48" s="140"/>
      <c r="J48" s="139"/>
      <c r="K48" s="138"/>
      <c r="L48" s="137"/>
      <c r="M48" s="138"/>
      <c r="N48" s="137"/>
      <c r="O48" s="138"/>
      <c r="P48" s="137"/>
      <c r="Q48" s="140"/>
      <c r="R48" s="137"/>
      <c r="S48" s="138"/>
      <c r="T48" s="137"/>
      <c r="U48" s="138"/>
      <c r="V48" s="122"/>
      <c r="W48" s="122"/>
    </row>
    <row r="49" spans="1:23" ht="12" customHeight="1" thickBot="1">
      <c r="A49" s="141">
        <v>7</v>
      </c>
      <c r="B49" s="142"/>
      <c r="C49" s="159"/>
      <c r="D49" s="158"/>
      <c r="E49" s="159"/>
      <c r="F49" s="142"/>
      <c r="G49" s="143"/>
      <c r="H49" s="142"/>
      <c r="I49" s="145"/>
      <c r="J49" s="144"/>
      <c r="K49" s="143"/>
      <c r="L49" s="142"/>
      <c r="M49" s="143"/>
      <c r="N49" s="142"/>
      <c r="O49" s="143"/>
      <c r="P49" s="142"/>
      <c r="Q49" s="145"/>
      <c r="R49" s="142"/>
      <c r="S49" s="143"/>
      <c r="T49" s="142"/>
      <c r="U49" s="143"/>
      <c r="V49" s="122"/>
      <c r="W49" s="122"/>
    </row>
    <row r="50" spans="1:23" ht="12" customHeight="1">
      <c r="A50" s="122"/>
      <c r="B50" s="133"/>
      <c r="C50" s="134"/>
      <c r="D50" s="133"/>
      <c r="E50" s="134"/>
      <c r="F50" s="133"/>
      <c r="G50" s="136"/>
      <c r="H50" s="181"/>
      <c r="I50" s="173"/>
      <c r="J50" s="133"/>
      <c r="K50" s="134"/>
      <c r="L50" s="181"/>
      <c r="M50" s="173"/>
      <c r="N50" s="181"/>
      <c r="O50" s="173"/>
      <c r="P50" s="181"/>
      <c r="Q50" s="173"/>
      <c r="R50" s="181"/>
      <c r="S50" s="173"/>
      <c r="T50" s="164"/>
      <c r="U50" s="173"/>
      <c r="V50" s="122"/>
      <c r="W50" s="122"/>
    </row>
    <row r="51" spans="1:23" ht="12" customHeight="1">
      <c r="A51" s="122"/>
      <c r="B51" s="137"/>
      <c r="C51" s="138"/>
      <c r="D51" s="137"/>
      <c r="E51" s="138"/>
      <c r="F51" s="137"/>
      <c r="G51" s="140"/>
      <c r="H51" s="164"/>
      <c r="I51" s="182"/>
      <c r="J51" s="137"/>
      <c r="K51" s="138"/>
      <c r="L51" s="164"/>
      <c r="M51" s="182"/>
      <c r="N51" s="164"/>
      <c r="O51" s="182"/>
      <c r="P51" s="164"/>
      <c r="Q51" s="182"/>
      <c r="R51" s="164"/>
      <c r="S51" s="182"/>
      <c r="T51" s="164"/>
      <c r="U51" s="182"/>
      <c r="V51" s="122"/>
      <c r="W51" s="122"/>
    </row>
    <row r="52" spans="1:23" ht="12" customHeight="1">
      <c r="A52" s="122"/>
      <c r="B52" s="137"/>
      <c r="C52" s="138"/>
      <c r="D52" s="137"/>
      <c r="E52" s="138"/>
      <c r="F52" s="137"/>
      <c r="G52" s="140"/>
      <c r="H52" s="164"/>
      <c r="I52" s="182"/>
      <c r="J52" s="137"/>
      <c r="K52" s="138"/>
      <c r="L52" s="164"/>
      <c r="M52" s="182"/>
      <c r="N52" s="164"/>
      <c r="O52" s="182"/>
      <c r="P52" s="164"/>
      <c r="Q52" s="182"/>
      <c r="R52" s="164"/>
      <c r="S52" s="182"/>
      <c r="T52" s="164"/>
      <c r="U52" s="182"/>
      <c r="V52" s="122"/>
      <c r="W52" s="122"/>
    </row>
    <row r="53" spans="1:23" ht="12" customHeight="1">
      <c r="A53" s="122"/>
      <c r="B53" s="137"/>
      <c r="C53" s="138"/>
      <c r="D53" s="137"/>
      <c r="E53" s="138"/>
      <c r="F53" s="137"/>
      <c r="G53" s="140"/>
      <c r="H53" s="164"/>
      <c r="I53" s="182"/>
      <c r="J53" s="137"/>
      <c r="K53" s="182"/>
      <c r="L53" s="164"/>
      <c r="M53" s="182"/>
      <c r="N53" s="164"/>
      <c r="O53" s="182"/>
      <c r="P53" s="164"/>
      <c r="Q53" s="182"/>
      <c r="R53" s="164"/>
      <c r="S53" s="182"/>
      <c r="T53" s="164"/>
      <c r="U53" s="182"/>
      <c r="V53" s="122"/>
      <c r="W53" s="122"/>
    </row>
    <row r="54" spans="1:23" ht="12" customHeight="1" thickBot="1">
      <c r="A54" s="141">
        <v>8</v>
      </c>
      <c r="B54" s="142"/>
      <c r="C54" s="143"/>
      <c r="D54" s="142"/>
      <c r="E54" s="143"/>
      <c r="F54" s="142"/>
      <c r="G54" s="145"/>
      <c r="H54" s="165"/>
      <c r="I54" s="172"/>
      <c r="J54" s="142"/>
      <c r="K54" s="172"/>
      <c r="L54" s="165"/>
      <c r="M54" s="172"/>
      <c r="N54" s="165"/>
      <c r="O54" s="172"/>
      <c r="P54" s="165"/>
      <c r="Q54" s="172"/>
      <c r="R54" s="165"/>
      <c r="S54" s="172"/>
      <c r="T54" s="165"/>
      <c r="U54" s="172"/>
      <c r="V54" s="122"/>
      <c r="W54" s="122"/>
    </row>
    <row r="55" spans="1:23" ht="12" customHeight="1">
      <c r="A55" s="122"/>
      <c r="B55" s="181"/>
      <c r="C55" s="173"/>
      <c r="D55" s="181"/>
      <c r="E55" s="134"/>
      <c r="F55" s="133"/>
      <c r="G55" s="134"/>
      <c r="H55" s="133"/>
      <c r="I55" s="134"/>
      <c r="J55" s="133"/>
      <c r="K55" s="134"/>
      <c r="L55" s="133"/>
      <c r="M55" s="134"/>
      <c r="N55" s="133"/>
      <c r="O55" s="134"/>
      <c r="P55" s="133"/>
      <c r="Q55" s="134"/>
      <c r="R55" s="133"/>
      <c r="S55" s="134"/>
      <c r="T55" s="133"/>
      <c r="U55" s="134"/>
      <c r="V55" s="122"/>
      <c r="W55" s="122"/>
    </row>
    <row r="56" spans="1:23" ht="12" customHeight="1">
      <c r="A56" s="122"/>
      <c r="B56" s="164"/>
      <c r="C56" s="182"/>
      <c r="D56" s="164"/>
      <c r="E56" s="138"/>
      <c r="F56" s="137"/>
      <c r="G56" s="140"/>
      <c r="H56" s="137"/>
      <c r="I56" s="138"/>
      <c r="J56" s="137"/>
      <c r="K56" s="140"/>
      <c r="L56" s="137"/>
      <c r="M56" s="138"/>
      <c r="N56" s="137"/>
      <c r="O56" s="140"/>
      <c r="P56" s="137"/>
      <c r="Q56" s="138"/>
      <c r="R56" s="137"/>
      <c r="S56" s="138"/>
      <c r="T56" s="137"/>
      <c r="U56" s="138"/>
      <c r="V56" s="122"/>
      <c r="W56" s="122"/>
    </row>
    <row r="57" spans="1:23" ht="12" customHeight="1">
      <c r="A57" s="122"/>
      <c r="B57" s="164"/>
      <c r="C57" s="182"/>
      <c r="D57" s="164"/>
      <c r="E57" s="138"/>
      <c r="F57" s="137"/>
      <c r="G57" s="140"/>
      <c r="H57" s="137"/>
      <c r="I57" s="138"/>
      <c r="J57" s="137"/>
      <c r="K57" s="140"/>
      <c r="L57" s="137"/>
      <c r="M57" s="138"/>
      <c r="N57" s="137"/>
      <c r="O57" s="140"/>
      <c r="P57" s="137"/>
      <c r="Q57" s="138"/>
      <c r="R57" s="137"/>
      <c r="S57" s="138"/>
      <c r="T57" s="137"/>
      <c r="U57" s="138"/>
      <c r="V57" s="122"/>
      <c r="W57" s="122"/>
    </row>
    <row r="58" spans="1:23" ht="12" customHeight="1">
      <c r="A58" s="122"/>
      <c r="B58" s="164"/>
      <c r="C58" s="182"/>
      <c r="D58" s="164"/>
      <c r="E58" s="182"/>
      <c r="F58" s="137"/>
      <c r="G58" s="140"/>
      <c r="H58" s="137"/>
      <c r="I58" s="138"/>
      <c r="J58" s="137"/>
      <c r="K58" s="140"/>
      <c r="L58" s="137"/>
      <c r="M58" s="138"/>
      <c r="N58" s="137"/>
      <c r="O58" s="140"/>
      <c r="P58" s="137"/>
      <c r="Q58" s="138"/>
      <c r="R58" s="137"/>
      <c r="S58" s="138"/>
      <c r="T58" s="137"/>
      <c r="U58" s="138"/>
      <c r="V58" s="122"/>
      <c r="W58" s="122"/>
    </row>
    <row r="59" spans="1:23" ht="12" customHeight="1" thickBot="1">
      <c r="A59" s="141">
        <v>9</v>
      </c>
      <c r="B59" s="165"/>
      <c r="C59" s="172"/>
      <c r="D59" s="165"/>
      <c r="E59" s="172"/>
      <c r="F59" s="144"/>
      <c r="G59" s="145"/>
      <c r="H59" s="142"/>
      <c r="I59" s="143"/>
      <c r="J59" s="144"/>
      <c r="K59" s="145"/>
      <c r="L59" s="142"/>
      <c r="M59" s="143"/>
      <c r="N59" s="144"/>
      <c r="O59" s="145"/>
      <c r="P59" s="142"/>
      <c r="Q59" s="143"/>
      <c r="R59" s="142"/>
      <c r="S59" s="143"/>
      <c r="T59" s="142"/>
      <c r="U59" s="143"/>
      <c r="V59" s="122"/>
      <c r="W59" s="122"/>
    </row>
    <row r="60" spans="1:23" ht="12" customHeight="1">
      <c r="A60" s="122"/>
      <c r="B60" s="133"/>
      <c r="C60" s="134"/>
      <c r="D60" s="133"/>
      <c r="E60" s="134"/>
      <c r="F60" s="133"/>
      <c r="G60" s="134"/>
      <c r="H60" s="174"/>
      <c r="I60" s="175"/>
      <c r="J60" s="174"/>
      <c r="K60" s="175"/>
      <c r="L60" s="174"/>
      <c r="M60" s="175"/>
      <c r="N60" s="174"/>
      <c r="O60" s="175"/>
      <c r="P60" s="174"/>
      <c r="Q60" s="175"/>
      <c r="R60" s="174"/>
      <c r="S60" s="175"/>
      <c r="T60" s="174"/>
      <c r="U60" s="175"/>
      <c r="V60" s="122"/>
      <c r="W60" s="122"/>
    </row>
    <row r="61" spans="1:23" ht="12" customHeight="1">
      <c r="A61" s="122"/>
      <c r="B61" s="137"/>
      <c r="C61" s="138"/>
      <c r="D61" s="137"/>
      <c r="E61" s="138"/>
      <c r="F61" s="137"/>
      <c r="G61" s="177"/>
      <c r="H61" s="176"/>
      <c r="I61" s="177"/>
      <c r="J61" s="176"/>
      <c r="K61" s="177"/>
      <c r="L61" s="176"/>
      <c r="M61" s="177"/>
      <c r="N61" s="176"/>
      <c r="O61" s="177"/>
      <c r="P61" s="176"/>
      <c r="Q61" s="177"/>
      <c r="R61" s="176"/>
      <c r="S61" s="177"/>
      <c r="T61" s="176"/>
      <c r="U61" s="177"/>
      <c r="V61" s="122"/>
      <c r="W61" s="122"/>
    </row>
    <row r="62" spans="1:23" ht="12" customHeight="1">
      <c r="A62" s="122"/>
      <c r="B62" s="137"/>
      <c r="C62" s="138"/>
      <c r="D62" s="137"/>
      <c r="E62" s="138"/>
      <c r="F62" s="137"/>
      <c r="G62" s="177"/>
      <c r="H62" s="176"/>
      <c r="I62" s="177"/>
      <c r="J62" s="176"/>
      <c r="K62" s="177"/>
      <c r="L62" s="176"/>
      <c r="M62" s="177"/>
      <c r="N62" s="176"/>
      <c r="O62" s="177"/>
      <c r="P62" s="176"/>
      <c r="Q62" s="177"/>
      <c r="R62" s="176"/>
      <c r="S62" s="177"/>
      <c r="T62" s="176"/>
      <c r="U62" s="177"/>
      <c r="V62" s="122"/>
      <c r="W62" s="122"/>
    </row>
    <row r="63" spans="1:23" ht="12" customHeight="1">
      <c r="A63" s="122"/>
      <c r="B63" s="137"/>
      <c r="C63" s="138"/>
      <c r="D63" s="137"/>
      <c r="E63" s="138"/>
      <c r="F63" s="137"/>
      <c r="G63" s="177"/>
      <c r="H63" s="176"/>
      <c r="I63" s="177"/>
      <c r="J63" s="176"/>
      <c r="K63" s="177"/>
      <c r="L63" s="176"/>
      <c r="M63" s="177"/>
      <c r="N63" s="176"/>
      <c r="O63" s="177"/>
      <c r="P63" s="176"/>
      <c r="Q63" s="177"/>
      <c r="R63" s="176"/>
      <c r="S63" s="177"/>
      <c r="T63" s="176"/>
      <c r="U63" s="177"/>
      <c r="V63" s="122"/>
      <c r="W63" s="122"/>
    </row>
    <row r="64" spans="1:23" ht="12" customHeight="1" thickBot="1">
      <c r="A64" s="141">
        <v>10</v>
      </c>
      <c r="B64" s="142"/>
      <c r="C64" s="143"/>
      <c r="D64" s="142"/>
      <c r="E64" s="143"/>
      <c r="F64" s="142"/>
      <c r="G64" s="178"/>
      <c r="H64" s="179"/>
      <c r="I64" s="178"/>
      <c r="J64" s="179"/>
      <c r="K64" s="178"/>
      <c r="L64" s="179"/>
      <c r="M64" s="178"/>
      <c r="N64" s="179"/>
      <c r="O64" s="178"/>
      <c r="P64" s="179"/>
      <c r="Q64" s="178"/>
      <c r="R64" s="179"/>
      <c r="S64" s="178"/>
      <c r="T64" s="179"/>
      <c r="U64" s="178"/>
      <c r="V64" s="122"/>
      <c r="W64" s="122"/>
    </row>
    <row r="65" spans="1:23" ht="12" customHeight="1">
      <c r="A65" s="122"/>
      <c r="B65" s="174"/>
      <c r="C65" s="175"/>
      <c r="D65" s="174"/>
      <c r="E65" s="175"/>
      <c r="F65" s="174"/>
      <c r="G65" s="175"/>
      <c r="H65" s="174"/>
      <c r="I65" s="175"/>
      <c r="J65" s="174"/>
      <c r="K65" s="175"/>
      <c r="L65" s="174"/>
      <c r="M65" s="175"/>
      <c r="N65" s="174"/>
      <c r="O65" s="175"/>
      <c r="P65" s="174"/>
      <c r="Q65" s="175"/>
      <c r="R65" s="174"/>
      <c r="S65" s="175"/>
      <c r="T65" s="174"/>
      <c r="U65" s="175"/>
      <c r="V65" s="122"/>
      <c r="W65" s="122"/>
    </row>
    <row r="66" spans="1:23" ht="12" customHeight="1">
      <c r="A66" s="122"/>
      <c r="B66" s="176"/>
      <c r="C66" s="177"/>
      <c r="D66" s="176"/>
      <c r="E66" s="177"/>
      <c r="F66" s="176"/>
      <c r="G66" s="177"/>
      <c r="H66" s="176"/>
      <c r="I66" s="177"/>
      <c r="J66" s="176"/>
      <c r="K66" s="177"/>
      <c r="L66" s="176"/>
      <c r="M66" s="177"/>
      <c r="N66" s="176"/>
      <c r="O66" s="177"/>
      <c r="P66" s="176"/>
      <c r="Q66" s="177"/>
      <c r="R66" s="176"/>
      <c r="S66" s="177"/>
      <c r="T66" s="176"/>
      <c r="U66" s="177"/>
      <c r="V66" s="122"/>
      <c r="W66" s="122"/>
    </row>
    <row r="67" spans="1:23" ht="12" customHeight="1">
      <c r="A67" s="122"/>
      <c r="B67" s="176"/>
      <c r="C67" s="177"/>
      <c r="D67" s="176"/>
      <c r="E67" s="177"/>
      <c r="F67" s="176"/>
      <c r="G67" s="177"/>
      <c r="H67" s="176"/>
      <c r="I67" s="177"/>
      <c r="J67" s="176"/>
      <c r="K67" s="177"/>
      <c r="L67" s="176"/>
      <c r="M67" s="177"/>
      <c r="N67" s="176"/>
      <c r="O67" s="177"/>
      <c r="P67" s="176"/>
      <c r="Q67" s="177"/>
      <c r="R67" s="176"/>
      <c r="S67" s="177"/>
      <c r="T67" s="176"/>
      <c r="U67" s="177"/>
      <c r="V67" s="122"/>
      <c r="W67" s="122"/>
    </row>
    <row r="68" spans="1:23" ht="12" customHeight="1">
      <c r="A68" s="122"/>
      <c r="B68" s="176"/>
      <c r="C68" s="177"/>
      <c r="D68" s="176"/>
      <c r="E68" s="177"/>
      <c r="F68" s="176"/>
      <c r="G68" s="177"/>
      <c r="H68" s="176"/>
      <c r="I68" s="177"/>
      <c r="J68" s="176"/>
      <c r="K68" s="177"/>
      <c r="L68" s="176"/>
      <c r="M68" s="177"/>
      <c r="N68" s="176"/>
      <c r="O68" s="177"/>
      <c r="P68" s="176"/>
      <c r="Q68" s="177"/>
      <c r="R68" s="176"/>
      <c r="S68" s="177"/>
      <c r="T68" s="176"/>
      <c r="U68" s="177"/>
      <c r="V68" s="122"/>
      <c r="W68" s="122"/>
    </row>
    <row r="69" spans="1:23" ht="12" customHeight="1" thickBot="1">
      <c r="A69" s="141">
        <v>11</v>
      </c>
      <c r="B69" s="179"/>
      <c r="C69" s="178"/>
      <c r="D69" s="179"/>
      <c r="E69" s="178"/>
      <c r="F69" s="179"/>
      <c r="G69" s="178"/>
      <c r="H69" s="179"/>
      <c r="I69" s="178"/>
      <c r="J69" s="179"/>
      <c r="K69" s="178"/>
      <c r="L69" s="179"/>
      <c r="M69" s="178"/>
      <c r="N69" s="179"/>
      <c r="O69" s="178"/>
      <c r="P69" s="179"/>
      <c r="Q69" s="178"/>
      <c r="R69" s="179"/>
      <c r="S69" s="178"/>
      <c r="T69" s="179"/>
      <c r="U69" s="178"/>
      <c r="V69" s="122"/>
      <c r="W69" s="122"/>
    </row>
    <row r="70" spans="1:23" ht="12" customHeight="1">
      <c r="A70" s="122"/>
      <c r="B70" s="174"/>
      <c r="C70" s="175"/>
      <c r="D70" s="174"/>
      <c r="E70" s="175"/>
      <c r="F70" s="174"/>
      <c r="G70" s="175"/>
      <c r="H70" s="174"/>
      <c r="I70" s="175"/>
      <c r="J70" s="174"/>
      <c r="K70" s="175"/>
      <c r="L70" s="174"/>
      <c r="M70" s="175"/>
      <c r="N70" s="174"/>
      <c r="O70" s="175"/>
      <c r="P70" s="174"/>
      <c r="Q70" s="175"/>
      <c r="R70" s="174"/>
      <c r="S70" s="175"/>
      <c r="T70" s="174"/>
      <c r="U70" s="175"/>
      <c r="V70" s="122"/>
      <c r="W70" s="122"/>
    </row>
    <row r="71" spans="1:23" ht="12" customHeight="1">
      <c r="A71" s="122"/>
      <c r="B71" s="176"/>
      <c r="C71" s="177"/>
      <c r="D71" s="176"/>
      <c r="E71" s="177"/>
      <c r="F71" s="176"/>
      <c r="G71" s="177"/>
      <c r="H71" s="176"/>
      <c r="I71" s="177"/>
      <c r="J71" s="176"/>
      <c r="K71" s="177"/>
      <c r="L71" s="176"/>
      <c r="M71" s="177"/>
      <c r="N71" s="176"/>
      <c r="O71" s="177"/>
      <c r="P71" s="176"/>
      <c r="Q71" s="177"/>
      <c r="R71" s="176"/>
      <c r="S71" s="177"/>
      <c r="T71" s="176"/>
      <c r="U71" s="177"/>
      <c r="V71" s="122"/>
      <c r="W71" s="122"/>
    </row>
    <row r="72" spans="1:23" ht="12" customHeight="1">
      <c r="A72" s="122"/>
      <c r="B72" s="176"/>
      <c r="C72" s="177"/>
      <c r="D72" s="176"/>
      <c r="E72" s="177"/>
      <c r="F72" s="176"/>
      <c r="G72" s="177"/>
      <c r="H72" s="176"/>
      <c r="I72" s="177"/>
      <c r="J72" s="176"/>
      <c r="K72" s="177"/>
      <c r="L72" s="176"/>
      <c r="M72" s="177"/>
      <c r="N72" s="176"/>
      <c r="O72" s="177"/>
      <c r="P72" s="176"/>
      <c r="Q72" s="177"/>
      <c r="R72" s="176"/>
      <c r="S72" s="177"/>
      <c r="T72" s="176"/>
      <c r="U72" s="177"/>
      <c r="V72" s="122"/>
      <c r="W72" s="122"/>
    </row>
    <row r="73" spans="1:23" ht="12" customHeight="1">
      <c r="A73" s="122"/>
      <c r="B73" s="176"/>
      <c r="C73" s="177"/>
      <c r="D73" s="176"/>
      <c r="E73" s="177"/>
      <c r="F73" s="176"/>
      <c r="G73" s="177"/>
      <c r="H73" s="176"/>
      <c r="I73" s="177"/>
      <c r="J73" s="176"/>
      <c r="K73" s="177"/>
      <c r="L73" s="176"/>
      <c r="M73" s="177"/>
      <c r="N73" s="176"/>
      <c r="O73" s="177"/>
      <c r="P73" s="176"/>
      <c r="Q73" s="177"/>
      <c r="R73" s="176"/>
      <c r="S73" s="177"/>
      <c r="T73" s="176"/>
      <c r="U73" s="177"/>
      <c r="V73" s="122"/>
      <c r="W73" s="122"/>
    </row>
    <row r="74" spans="1:23" ht="12" customHeight="1" thickBot="1">
      <c r="A74" s="141">
        <v>12</v>
      </c>
      <c r="B74" s="179"/>
      <c r="C74" s="178"/>
      <c r="D74" s="179"/>
      <c r="E74" s="178"/>
      <c r="F74" s="179"/>
      <c r="G74" s="178"/>
      <c r="H74" s="179"/>
      <c r="I74" s="178"/>
      <c r="J74" s="179"/>
      <c r="K74" s="178"/>
      <c r="L74" s="179"/>
      <c r="M74" s="178"/>
      <c r="N74" s="179"/>
      <c r="O74" s="178"/>
      <c r="P74" s="179"/>
      <c r="Q74" s="178"/>
      <c r="R74" s="179"/>
      <c r="S74" s="178"/>
      <c r="T74" s="179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HYPERLINK("#'3월'!A1","← 3월 월간 가계부로 돌아가기")</f>
        <v>← 3월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926000</v>
      </c>
      <c r="J149" s="433"/>
      <c r="K149" s="433"/>
      <c r="L149" s="433"/>
      <c r="M149" s="433"/>
      <c r="N149" s="365"/>
      <c r="O149" s="362" t="b">
        <f>IF('3월'!AA1,I149=('3월'!M28),"미입력")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926000</v>
      </c>
      <c r="J150" s="433"/>
      <c r="K150" s="433"/>
      <c r="L150" s="433"/>
      <c r="M150" s="433"/>
      <c r="N150" s="365"/>
      <c r="O150" s="362" t="b">
        <f>IF('3월'!AA1,I150=('3월'!I38),"미입력")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328</v>
      </c>
      <c r="L5" s="38" t="s">
        <v>484</v>
      </c>
      <c r="M5" s="34" t="s">
        <v>330</v>
      </c>
      <c r="N5" s="34" t="s">
        <v>331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333</v>
      </c>
      <c r="L6" s="31" t="s">
        <v>484</v>
      </c>
      <c r="M6" s="27" t="s">
        <v>330</v>
      </c>
      <c r="N6" s="27" t="s">
        <v>334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350</v>
      </c>
      <c r="L11" s="38" t="s">
        <v>485</v>
      </c>
      <c r="M11" s="34" t="s">
        <v>352</v>
      </c>
      <c r="N11" s="34" t="s">
        <v>353</v>
      </c>
      <c r="O11" s="35"/>
      <c r="P11" s="35"/>
      <c r="Q11" s="34" t="str">
        <f t="shared" si="0"/>
        <v/>
      </c>
      <c r="R11" s="34" t="str">
        <f t="shared" si="1"/>
        <v/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486</v>
      </c>
      <c r="M12" s="27" t="s">
        <v>355</v>
      </c>
      <c r="N12" s="27" t="s">
        <v>356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487</v>
      </c>
      <c r="T22" s="27" t="s">
        <v>383</v>
      </c>
      <c r="U22" s="27"/>
    </row>
    <row r="23" spans="1:22" ht="22" customHeight="1">
      <c r="A23" s="39" t="s">
        <v>384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 t="str">
        <f t="shared" si="0"/>
        <v/>
      </c>
      <c r="R23" s="34" t="str">
        <f t="shared" si="1"/>
        <v/>
      </c>
      <c r="S23" s="34"/>
      <c r="T23" s="34"/>
      <c r="U23" s="34"/>
    </row>
    <row r="24" spans="1:22" ht="22" customHeight="1">
      <c r="A24" s="31" t="s">
        <v>323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223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HYPERLINK("#'4월계산기'!A1","계산기 대조 · 4월계산기 열기")</f>
        <v>계산기 대조 · 4월계산기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1047000</v>
      </c>
      <c r="N28" s="365"/>
      <c r="O28" s="366" t="s">
        <v>212</v>
      </c>
      <c r="P28" s="365"/>
      <c r="Q28" s="364">
        <f>'4월계산기'!W12</f>
        <v>1047000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1047000</v>
      </c>
      <c r="N29" s="365"/>
      <c r="O29" s="366" t="s">
        <v>213</v>
      </c>
      <c r="P29" s="365"/>
      <c r="Q29" s="364">
        <f>'4월계산기'!W13</f>
        <v>1047000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30360</v>
      </c>
      <c r="N30" s="365"/>
      <c r="O30" s="366" t="s">
        <v>391</v>
      </c>
      <c r="P30" s="365"/>
      <c r="Q30" s="364">
        <f>SUM(I4,I9,I14,I19,I24,I29)-I33</f>
        <v>30360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'4월계산기'!W14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2716370</v>
      </c>
      <c r="D37" s="27"/>
      <c r="E37" s="27" t="s">
        <v>306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200000</v>
      </c>
      <c r="D38" s="27"/>
      <c r="E38" s="27" t="s">
        <v>305</v>
      </c>
      <c r="F38" s="27"/>
      <c r="G38" s="27"/>
      <c r="H38" s="27">
        <f>I33-_예비비계산!AG5</f>
        <v>1016640</v>
      </c>
      <c r="I38" s="27">
        <f>SUM(I4,I9,I14,I19,I24,I29)-_예비비계산!AH5</f>
        <v>1047000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2916370</v>
      </c>
      <c r="D41" s="27"/>
      <c r="E41" s="49" t="s">
        <v>411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19350</v>
      </c>
      <c r="I43" s="27">
        <f>H43</f>
        <v>19350</v>
      </c>
      <c r="J43" s="12"/>
      <c r="K43" s="31" t="s">
        <v>402</v>
      </c>
      <c r="L43" s="31" t="s">
        <v>416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418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5">
        <v>46137</v>
      </c>
      <c r="B52" s="35" t="s">
        <v>59</v>
      </c>
      <c r="C52" s="35" t="s">
        <v>488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489</v>
      </c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5">
        <f>RAW!A740</f>
        <v>46113.010150462957</v>
      </c>
      <c r="B53" s="35" t="s">
        <v>480</v>
      </c>
      <c r="C53" s="35" t="s">
        <v>62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490</v>
      </c>
      <c r="J53" s="12"/>
      <c r="K53" s="50" t="s">
        <v>432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5"/>
        <v/>
      </c>
      <c r="G54" s="35"/>
      <c r="H54" s="27" t="str">
        <f t="shared" si="6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5"/>
        <v/>
      </c>
      <c r="G55" s="35"/>
      <c r="H55" s="34" t="str">
        <f t="shared" si="6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5"/>
        <v/>
      </c>
      <c r="G56" s="35"/>
      <c r="H56" s="27" t="str">
        <f t="shared" si="6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5"/>
        <v/>
      </c>
      <c r="G57" s="35"/>
      <c r="H57" s="34" t="str">
        <f t="shared" si="6"/>
        <v/>
      </c>
      <c r="I57" s="35"/>
      <c r="J57" s="12"/>
      <c r="K57" s="31" t="s">
        <v>435</v>
      </c>
      <c r="L57" s="31" t="s">
        <v>190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5"/>
        <v/>
      </c>
      <c r="G58" s="35"/>
      <c r="H58" s="27" t="str">
        <f t="shared" si="6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5"/>
        <v/>
      </c>
      <c r="G59" s="35"/>
      <c r="H59" s="34" t="str">
        <f t="shared" si="6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5"/>
        <v/>
      </c>
      <c r="G60" s="35"/>
      <c r="H60" s="27" t="str">
        <f t="shared" si="6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5"/>
        <v/>
      </c>
      <c r="G61" s="35"/>
      <c r="H61" s="34" t="str">
        <f t="shared" si="6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60550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491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640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640000</v>
      </c>
      <c r="AA3">
        <v>640</v>
      </c>
    </row>
    <row r="4" spans="1:27" ht="18" customHeight="1">
      <c r="A4" s="117" t="s">
        <v>453</v>
      </c>
      <c r="B4" s="125"/>
      <c r="C4" s="119">
        <f>IFERROR(colorfunction(B4,$B$15:$U$144,FALSE),$AA$4)</f>
        <v>121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121000</v>
      </c>
      <c r="AA4">
        <v>121</v>
      </c>
    </row>
    <row r="5" spans="1:27" ht="18" customHeight="1">
      <c r="A5" s="117" t="s">
        <v>454</v>
      </c>
      <c r="B5" s="127"/>
      <c r="C5" s="119">
        <f>IFERROR(colorfunction(B5,$B$15:$U$144,FALSE),$AA$5)</f>
        <v>17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17000</v>
      </c>
      <c r="AA5">
        <v>17</v>
      </c>
    </row>
    <row r="6" spans="1:27" ht="18" customHeight="1">
      <c r="A6" s="117" t="s">
        <v>455</v>
      </c>
      <c r="B6" s="128"/>
      <c r="C6" s="119">
        <f>IFERROR(colorfunction(B6,$B$15:$U$144,FALSE),$AA$6)</f>
        <v>124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124000</v>
      </c>
      <c r="AA6">
        <v>124</v>
      </c>
    </row>
    <row r="7" spans="1:27" ht="18" customHeight="1">
      <c r="A7" s="117" t="s">
        <v>456</v>
      </c>
      <c r="B7" s="129"/>
      <c r="C7" s="119">
        <f>IFERROR(colorfunction(B7,$B$15:$U$144,FALSE),$AA$7)</f>
        <v>6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6000</v>
      </c>
      <c r="AA7">
        <v>6</v>
      </c>
    </row>
    <row r="8" spans="1:27" ht="18" customHeight="1">
      <c r="A8" s="117" t="s">
        <v>457</v>
      </c>
      <c r="B8" s="130"/>
      <c r="C8" s="119">
        <f>IFERROR(colorfunction(B8,$B$15:$U$144,FALSE),$AA$8)</f>
        <v>20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20000</v>
      </c>
      <c r="AA8">
        <v>20</v>
      </c>
    </row>
    <row r="9" spans="1:27" ht="18" customHeight="1">
      <c r="A9" s="117" t="s">
        <v>458</v>
      </c>
      <c r="B9" s="131"/>
      <c r="C9" s="119">
        <f>IFERROR(colorfunction(B9,$B$15:$U$144,FALSE),$AA$9)</f>
        <v>119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119000</v>
      </c>
      <c r="AA9">
        <v>119</v>
      </c>
    </row>
    <row r="10" spans="1:27" ht="18" customHeight="1">
      <c r="A10" s="117" t="s">
        <v>459</v>
      </c>
      <c r="B10" s="132"/>
      <c r="C10" s="119">
        <f>IFERROR(colorfunction(B10,$B$15:$U$144,FALSE),$AA$10)</f>
        <v>0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0</v>
      </c>
      <c r="AA10">
        <v>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1047000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1047000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0+_예비비계산!AH5</f>
        <v>0</v>
      </c>
    </row>
    <row r="15" spans="1:27" ht="12" customHeight="1">
      <c r="A15" s="122"/>
      <c r="B15" s="135"/>
      <c r="C15" s="134"/>
      <c r="D15" s="133"/>
      <c r="E15" s="134"/>
      <c r="F15" s="133"/>
      <c r="G15" s="134"/>
      <c r="H15" s="133"/>
      <c r="I15" s="134"/>
      <c r="J15" s="133"/>
      <c r="K15" s="134"/>
      <c r="L15" s="133"/>
      <c r="M15" s="136"/>
      <c r="N15" s="133"/>
      <c r="O15" s="136"/>
      <c r="P15" s="133"/>
      <c r="Q15" s="134"/>
      <c r="R15" s="133"/>
      <c r="S15" s="134"/>
      <c r="T15" s="133"/>
      <c r="U15" s="134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9"/>
      <c r="C16" s="138"/>
      <c r="D16" s="137"/>
      <c r="E16" s="138"/>
      <c r="F16" s="137"/>
      <c r="G16" s="138"/>
      <c r="H16" s="137"/>
      <c r="I16" s="138"/>
      <c r="J16" s="137"/>
      <c r="K16" s="138"/>
      <c r="L16" s="137"/>
      <c r="M16" s="140"/>
      <c r="N16" s="137"/>
      <c r="O16" s="140"/>
      <c r="P16" s="137"/>
      <c r="Q16" s="138"/>
      <c r="R16" s="137"/>
      <c r="S16" s="138"/>
      <c r="T16" s="137"/>
      <c r="U16" s="138"/>
      <c r="V16" s="299" t="s">
        <v>211</v>
      </c>
      <c r="W16" s="300">
        <f>SUM(W3:W10)</f>
        <v>1047000</v>
      </c>
    </row>
    <row r="17" spans="1:27" ht="12" customHeight="1">
      <c r="A17" s="122"/>
      <c r="B17" s="139"/>
      <c r="C17" s="138"/>
      <c r="D17" s="137"/>
      <c r="E17" s="138"/>
      <c r="F17" s="137"/>
      <c r="G17" s="138"/>
      <c r="H17" s="137"/>
      <c r="I17" s="138"/>
      <c r="J17" s="137"/>
      <c r="K17" s="138"/>
      <c r="L17" s="137"/>
      <c r="M17" s="140"/>
      <c r="N17" s="137"/>
      <c r="O17" s="140"/>
      <c r="P17" s="137"/>
      <c r="Q17" s="138"/>
      <c r="R17" s="137"/>
      <c r="S17" s="138"/>
      <c r="T17" s="137"/>
      <c r="U17" s="138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9"/>
      <c r="C18" s="138"/>
      <c r="D18" s="137"/>
      <c r="E18" s="138"/>
      <c r="F18" s="137"/>
      <c r="G18" s="138"/>
      <c r="H18" s="137"/>
      <c r="I18" s="138"/>
      <c r="J18" s="137"/>
      <c r="K18" s="138"/>
      <c r="L18" s="137"/>
      <c r="M18" s="140"/>
      <c r="N18" s="137"/>
      <c r="O18" s="140"/>
      <c r="P18" s="137"/>
      <c r="Q18" s="138"/>
      <c r="R18" s="137"/>
      <c r="S18" s="138"/>
      <c r="T18" s="137"/>
      <c r="U18" s="138"/>
      <c r="V18" s="122"/>
      <c r="W18" s="122"/>
    </row>
    <row r="19" spans="1:27" ht="12" customHeight="1" thickBot="1">
      <c r="A19" s="141">
        <v>1</v>
      </c>
      <c r="B19" s="144"/>
      <c r="C19" s="143"/>
      <c r="D19" s="142"/>
      <c r="E19" s="143"/>
      <c r="F19" s="142"/>
      <c r="G19" s="143"/>
      <c r="H19" s="142"/>
      <c r="I19" s="143"/>
      <c r="J19" s="142"/>
      <c r="K19" s="143"/>
      <c r="L19" s="142"/>
      <c r="M19" s="145"/>
      <c r="N19" s="142"/>
      <c r="O19" s="145"/>
      <c r="P19" s="142"/>
      <c r="Q19" s="143"/>
      <c r="R19" s="142"/>
      <c r="S19" s="143"/>
      <c r="T19" s="142"/>
      <c r="U19" s="172"/>
      <c r="V19" s="122"/>
      <c r="W19" s="122"/>
    </row>
    <row r="20" spans="1:27" ht="12" customHeight="1">
      <c r="A20" s="122"/>
      <c r="B20" s="135"/>
      <c r="C20" s="173"/>
      <c r="D20" s="181"/>
      <c r="E20" s="173"/>
      <c r="F20" s="181"/>
      <c r="G20" s="173"/>
      <c r="H20" s="181"/>
      <c r="I20" s="166"/>
      <c r="J20" s="167"/>
      <c r="K20" s="166"/>
      <c r="L20" s="167"/>
      <c r="M20" s="136"/>
      <c r="N20" s="133"/>
      <c r="O20" s="134"/>
      <c r="P20" s="133"/>
      <c r="Q20" s="134"/>
      <c r="R20" s="133"/>
      <c r="S20" s="134"/>
      <c r="T20" s="133"/>
      <c r="U20" s="136"/>
      <c r="V20" s="122"/>
      <c r="W20" s="122"/>
    </row>
    <row r="21" spans="1:27" ht="12" customHeight="1">
      <c r="A21" s="122"/>
      <c r="B21" s="139"/>
      <c r="C21" s="182"/>
      <c r="D21" s="164"/>
      <c r="E21" s="182"/>
      <c r="F21" s="164"/>
      <c r="G21" s="182"/>
      <c r="H21" s="164"/>
      <c r="I21" s="168"/>
      <c r="J21" s="169"/>
      <c r="K21" s="168"/>
      <c r="L21" s="169"/>
      <c r="M21" s="140"/>
      <c r="N21" s="137"/>
      <c r="O21" s="138"/>
      <c r="P21" s="137"/>
      <c r="Q21" s="138"/>
      <c r="R21" s="137"/>
      <c r="S21" s="138"/>
      <c r="T21" s="137"/>
      <c r="U21" s="140"/>
      <c r="V21" s="122"/>
      <c r="W21" s="122"/>
    </row>
    <row r="22" spans="1:27" ht="12" customHeight="1">
      <c r="A22" s="122"/>
      <c r="B22" s="139"/>
      <c r="C22" s="182"/>
      <c r="D22" s="164"/>
      <c r="E22" s="182"/>
      <c r="F22" s="164"/>
      <c r="G22" s="182"/>
      <c r="H22" s="164"/>
      <c r="I22" s="168"/>
      <c r="J22" s="169"/>
      <c r="K22" s="168"/>
      <c r="L22" s="169"/>
      <c r="M22" s="140"/>
      <c r="N22" s="137"/>
      <c r="O22" s="138"/>
      <c r="P22" s="137"/>
      <c r="Q22" s="138"/>
      <c r="R22" s="137"/>
      <c r="S22" s="138"/>
      <c r="T22" s="137"/>
      <c r="U22" s="140"/>
      <c r="V22" s="122"/>
      <c r="W22" s="122"/>
    </row>
    <row r="23" spans="1:27" ht="12" customHeight="1">
      <c r="A23" s="122"/>
      <c r="B23" s="139"/>
      <c r="C23" s="182"/>
      <c r="D23" s="164"/>
      <c r="E23" s="182"/>
      <c r="F23" s="164"/>
      <c r="G23" s="182"/>
      <c r="H23" s="164"/>
      <c r="I23" s="168"/>
      <c r="J23" s="169"/>
      <c r="K23" s="168"/>
      <c r="L23" s="169"/>
      <c r="M23" s="140"/>
      <c r="N23" s="137"/>
      <c r="O23" s="138"/>
      <c r="P23" s="137"/>
      <c r="Q23" s="138"/>
      <c r="R23" s="137"/>
      <c r="S23" s="138"/>
      <c r="T23" s="137"/>
      <c r="U23" s="140"/>
      <c r="V23" s="122"/>
      <c r="W23" s="122"/>
    </row>
    <row r="24" spans="1:27" ht="12" customHeight="1" thickBot="1">
      <c r="A24" s="141">
        <v>2</v>
      </c>
      <c r="B24" s="144"/>
      <c r="C24" s="172"/>
      <c r="D24" s="165"/>
      <c r="E24" s="172"/>
      <c r="F24" s="165"/>
      <c r="G24" s="172"/>
      <c r="H24" s="165"/>
      <c r="I24" s="170"/>
      <c r="J24" s="171"/>
      <c r="K24" s="170"/>
      <c r="L24" s="171"/>
      <c r="M24" s="145"/>
      <c r="N24" s="142"/>
      <c r="O24" s="143"/>
      <c r="P24" s="142"/>
      <c r="Q24" s="143"/>
      <c r="R24" s="142"/>
      <c r="S24" s="143"/>
      <c r="T24" s="142"/>
      <c r="U24" s="145"/>
      <c r="V24" s="122"/>
      <c r="W24" s="122"/>
    </row>
    <row r="25" spans="1:27" ht="12" customHeight="1">
      <c r="A25" s="122"/>
      <c r="B25" s="133"/>
      <c r="C25" s="134"/>
      <c r="D25" s="133"/>
      <c r="E25" s="134"/>
      <c r="F25" s="133"/>
      <c r="G25" s="134"/>
      <c r="H25" s="133"/>
      <c r="I25" s="134"/>
      <c r="J25" s="133"/>
      <c r="K25" s="134"/>
      <c r="L25" s="133"/>
      <c r="M25" s="134"/>
      <c r="N25" s="133"/>
      <c r="O25" s="134"/>
      <c r="P25" s="133"/>
      <c r="Q25" s="134"/>
      <c r="R25" s="133"/>
      <c r="S25" s="134"/>
      <c r="T25" s="133"/>
      <c r="U25" s="173"/>
      <c r="V25" s="122"/>
      <c r="W25" s="122"/>
    </row>
    <row r="26" spans="1:27" ht="12" customHeight="1">
      <c r="A26" s="122"/>
      <c r="B26" s="137"/>
      <c r="C26" s="138"/>
      <c r="D26" s="137"/>
      <c r="E26" s="138"/>
      <c r="F26" s="137"/>
      <c r="G26" s="138"/>
      <c r="H26" s="139"/>
      <c r="I26" s="138"/>
      <c r="J26" s="137"/>
      <c r="K26" s="138"/>
      <c r="L26" s="137"/>
      <c r="M26" s="138"/>
      <c r="N26" s="137"/>
      <c r="O26" s="138"/>
      <c r="P26" s="137"/>
      <c r="Q26" s="138"/>
      <c r="R26" s="137"/>
      <c r="S26" s="138"/>
      <c r="T26" s="137"/>
      <c r="U26" s="182"/>
      <c r="V26" s="122"/>
      <c r="W26" s="122"/>
    </row>
    <row r="27" spans="1:27" ht="12" customHeight="1">
      <c r="A27" s="122"/>
      <c r="B27" s="137"/>
      <c r="C27" s="138"/>
      <c r="D27" s="137"/>
      <c r="E27" s="138"/>
      <c r="F27" s="137"/>
      <c r="G27" s="138"/>
      <c r="H27" s="139"/>
      <c r="I27" s="138"/>
      <c r="J27" s="137"/>
      <c r="K27" s="140"/>
      <c r="L27" s="137"/>
      <c r="M27" s="138"/>
      <c r="N27" s="137"/>
      <c r="O27" s="138"/>
      <c r="P27" s="137"/>
      <c r="Q27" s="138"/>
      <c r="R27" s="137"/>
      <c r="S27" s="138"/>
      <c r="T27" s="137"/>
      <c r="U27" s="182"/>
      <c r="V27" s="122"/>
      <c r="W27" s="122"/>
    </row>
    <row r="28" spans="1:27" ht="12" customHeight="1">
      <c r="A28" s="122"/>
      <c r="B28" s="137"/>
      <c r="C28" s="138"/>
      <c r="D28" s="137"/>
      <c r="E28" s="138"/>
      <c r="F28" s="137"/>
      <c r="G28" s="138"/>
      <c r="H28" s="139"/>
      <c r="I28" s="138"/>
      <c r="J28" s="139"/>
      <c r="K28" s="140"/>
      <c r="L28" s="137"/>
      <c r="M28" s="138"/>
      <c r="N28" s="137"/>
      <c r="O28" s="138"/>
      <c r="P28" s="137"/>
      <c r="Q28" s="138"/>
      <c r="R28" s="137"/>
      <c r="S28" s="138"/>
      <c r="T28" s="137"/>
      <c r="U28" s="182"/>
      <c r="V28" s="122"/>
      <c r="W28" s="122"/>
    </row>
    <row r="29" spans="1:27" ht="12" customHeight="1" thickBot="1">
      <c r="A29" s="141">
        <v>3</v>
      </c>
      <c r="B29" s="142"/>
      <c r="C29" s="143"/>
      <c r="D29" s="142"/>
      <c r="E29" s="143"/>
      <c r="F29" s="142"/>
      <c r="G29" s="143"/>
      <c r="H29" s="144"/>
      <c r="I29" s="145"/>
      <c r="J29" s="144"/>
      <c r="K29" s="145"/>
      <c r="L29" s="142"/>
      <c r="M29" s="143"/>
      <c r="N29" s="142"/>
      <c r="O29" s="143"/>
      <c r="P29" s="142"/>
      <c r="Q29" s="143"/>
      <c r="R29" s="142"/>
      <c r="S29" s="143"/>
      <c r="T29" s="142"/>
      <c r="U29" s="172"/>
      <c r="V29" s="122"/>
      <c r="W29" s="122"/>
    </row>
    <row r="30" spans="1:27" ht="12" customHeight="1">
      <c r="A30" s="122"/>
      <c r="B30" s="181"/>
      <c r="C30" s="173"/>
      <c r="D30" s="181"/>
      <c r="E30" s="134"/>
      <c r="F30" s="133"/>
      <c r="G30" s="147"/>
      <c r="H30" s="146"/>
      <c r="I30" s="134"/>
      <c r="J30" s="133"/>
      <c r="K30" s="136"/>
      <c r="L30" s="181"/>
      <c r="M30" s="173"/>
      <c r="N30" s="181"/>
      <c r="O30" s="173"/>
      <c r="P30" s="181"/>
      <c r="Q30" s="173"/>
      <c r="R30" s="181"/>
      <c r="S30" s="183"/>
      <c r="T30" s="184"/>
      <c r="U30" s="183"/>
      <c r="V30" s="122"/>
      <c r="W30" s="122"/>
    </row>
    <row r="31" spans="1:27" ht="12" customHeight="1">
      <c r="A31" s="122"/>
      <c r="B31" s="164"/>
      <c r="C31" s="182"/>
      <c r="D31" s="164"/>
      <c r="E31" s="138"/>
      <c r="F31" s="137"/>
      <c r="G31" s="153"/>
      <c r="H31" s="152"/>
      <c r="I31" s="138"/>
      <c r="J31" s="139"/>
      <c r="K31" s="182"/>
      <c r="L31" s="164"/>
      <c r="M31" s="182"/>
      <c r="N31" s="164"/>
      <c r="O31" s="182"/>
      <c r="P31" s="164"/>
      <c r="Q31" s="182"/>
      <c r="R31" s="185"/>
      <c r="S31" s="186"/>
      <c r="T31" s="185"/>
      <c r="U31" s="186"/>
      <c r="V31" s="122"/>
      <c r="W31" s="122"/>
    </row>
    <row r="32" spans="1:27" ht="12" customHeight="1">
      <c r="A32" s="122"/>
      <c r="B32" s="164"/>
      <c r="C32" s="182"/>
      <c r="D32" s="137"/>
      <c r="E32" s="138"/>
      <c r="F32" s="137"/>
      <c r="G32" s="153"/>
      <c r="H32" s="152"/>
      <c r="I32" s="138"/>
      <c r="J32" s="139"/>
      <c r="K32" s="182"/>
      <c r="L32" s="164"/>
      <c r="M32" s="182"/>
      <c r="N32" s="164"/>
      <c r="O32" s="182"/>
      <c r="P32" s="164"/>
      <c r="Q32" s="182"/>
      <c r="R32" s="185"/>
      <c r="S32" s="186"/>
      <c r="T32" s="185"/>
      <c r="U32" s="186"/>
      <c r="V32" s="122"/>
      <c r="W32" s="122"/>
    </row>
    <row r="33" spans="1:23" ht="12" customHeight="1">
      <c r="A33" s="122"/>
      <c r="B33" s="164"/>
      <c r="C33" s="182"/>
      <c r="D33" s="137"/>
      <c r="E33" s="138"/>
      <c r="F33" s="152"/>
      <c r="G33" s="153"/>
      <c r="H33" s="152"/>
      <c r="I33" s="138"/>
      <c r="J33" s="139"/>
      <c r="K33" s="182"/>
      <c r="L33" s="164"/>
      <c r="M33" s="182"/>
      <c r="N33" s="164"/>
      <c r="O33" s="182"/>
      <c r="P33" s="164"/>
      <c r="Q33" s="182"/>
      <c r="R33" s="185"/>
      <c r="S33" s="186"/>
      <c r="T33" s="185"/>
      <c r="U33" s="138"/>
      <c r="V33" s="122"/>
      <c r="W33" s="122"/>
    </row>
    <row r="34" spans="1:23" ht="12" customHeight="1" thickBot="1">
      <c r="A34" s="141">
        <v>4</v>
      </c>
      <c r="B34" s="165"/>
      <c r="C34" s="172"/>
      <c r="D34" s="142"/>
      <c r="E34" s="143"/>
      <c r="F34" s="158"/>
      <c r="G34" s="159"/>
      <c r="H34" s="158"/>
      <c r="I34" s="143"/>
      <c r="J34" s="144"/>
      <c r="K34" s="172"/>
      <c r="L34" s="165"/>
      <c r="M34" s="172"/>
      <c r="N34" s="165"/>
      <c r="O34" s="172"/>
      <c r="P34" s="165"/>
      <c r="Q34" s="172"/>
      <c r="R34" s="187"/>
      <c r="S34" s="188"/>
      <c r="T34" s="187"/>
      <c r="U34" s="143"/>
      <c r="V34" s="122"/>
      <c r="W34" s="122"/>
    </row>
    <row r="35" spans="1:23" ht="12" customHeight="1">
      <c r="A35" s="122"/>
      <c r="B35" s="133"/>
      <c r="C35" s="134"/>
      <c r="D35" s="133"/>
      <c r="E35" s="134"/>
      <c r="F35" s="133"/>
      <c r="G35" s="136"/>
      <c r="H35" s="133"/>
      <c r="I35" s="134"/>
      <c r="J35" s="133"/>
      <c r="K35" s="134"/>
      <c r="L35" s="133"/>
      <c r="M35" s="134"/>
      <c r="N35" s="133"/>
      <c r="O35" s="134"/>
      <c r="P35" s="133"/>
      <c r="Q35" s="134"/>
      <c r="R35" s="133"/>
      <c r="S35" s="134"/>
      <c r="T35" s="135"/>
      <c r="U35" s="136"/>
      <c r="V35" s="122"/>
      <c r="W35" s="122"/>
    </row>
    <row r="36" spans="1:23" ht="12" customHeight="1">
      <c r="A36" s="122"/>
      <c r="B36" s="137"/>
      <c r="C36" s="138"/>
      <c r="D36" s="137"/>
      <c r="E36" s="138"/>
      <c r="F36" s="139"/>
      <c r="G36" s="138"/>
      <c r="H36" s="137"/>
      <c r="I36" s="138"/>
      <c r="J36" s="137"/>
      <c r="K36" s="138"/>
      <c r="L36" s="137"/>
      <c r="M36" s="138"/>
      <c r="N36" s="137"/>
      <c r="O36" s="138"/>
      <c r="P36" s="137"/>
      <c r="Q36" s="138"/>
      <c r="R36" s="137"/>
      <c r="S36" s="138"/>
      <c r="T36" s="139"/>
      <c r="U36" s="140"/>
      <c r="V36" s="122"/>
      <c r="W36" s="122"/>
    </row>
    <row r="37" spans="1:23" ht="12" customHeight="1">
      <c r="A37" s="122"/>
      <c r="B37" s="137"/>
      <c r="C37" s="138"/>
      <c r="D37" s="137"/>
      <c r="E37" s="138"/>
      <c r="F37" s="139"/>
      <c r="G37" s="138"/>
      <c r="H37" s="137"/>
      <c r="I37" s="138"/>
      <c r="J37" s="137"/>
      <c r="K37" s="138"/>
      <c r="L37" s="137"/>
      <c r="M37" s="140"/>
      <c r="N37" s="137"/>
      <c r="O37" s="138"/>
      <c r="P37" s="137"/>
      <c r="Q37" s="138"/>
      <c r="R37" s="137"/>
      <c r="S37" s="138"/>
      <c r="T37" s="137"/>
      <c r="U37" s="140"/>
      <c r="V37" s="122"/>
      <c r="W37" s="122"/>
    </row>
    <row r="38" spans="1:23" ht="12" customHeight="1">
      <c r="A38" s="122"/>
      <c r="B38" s="137"/>
      <c r="C38" s="138"/>
      <c r="D38" s="137"/>
      <c r="E38" s="138"/>
      <c r="F38" s="139"/>
      <c r="G38" s="138"/>
      <c r="H38" s="137"/>
      <c r="I38" s="138"/>
      <c r="J38" s="137"/>
      <c r="K38" s="138"/>
      <c r="L38" s="139"/>
      <c r="M38" s="140"/>
      <c r="N38" s="137"/>
      <c r="O38" s="138"/>
      <c r="P38" s="137"/>
      <c r="Q38" s="138"/>
      <c r="R38" s="137"/>
      <c r="S38" s="138"/>
      <c r="T38" s="137"/>
      <c r="U38" s="138"/>
      <c r="V38" s="122"/>
      <c r="W38" s="122"/>
    </row>
    <row r="39" spans="1:23" ht="12" customHeight="1" thickBot="1">
      <c r="A39" s="141">
        <v>5</v>
      </c>
      <c r="B39" s="142"/>
      <c r="C39" s="143"/>
      <c r="D39" s="142"/>
      <c r="E39" s="143"/>
      <c r="F39" s="144"/>
      <c r="G39" s="143"/>
      <c r="H39" s="142"/>
      <c r="I39" s="143"/>
      <c r="J39" s="142"/>
      <c r="K39" s="143"/>
      <c r="L39" s="144"/>
      <c r="M39" s="145"/>
      <c r="N39" s="142"/>
      <c r="O39" s="143"/>
      <c r="P39" s="142"/>
      <c r="Q39" s="143"/>
      <c r="R39" s="142"/>
      <c r="S39" s="143"/>
      <c r="T39" s="142"/>
      <c r="U39" s="143"/>
      <c r="V39" s="122"/>
      <c r="W39" s="122"/>
    </row>
    <row r="40" spans="1:23" ht="12" customHeight="1">
      <c r="A40" s="122"/>
      <c r="B40" s="133"/>
      <c r="C40" s="134"/>
      <c r="D40" s="133"/>
      <c r="E40" s="134"/>
      <c r="F40" s="133"/>
      <c r="G40" s="134"/>
      <c r="H40" s="133"/>
      <c r="I40" s="134"/>
      <c r="J40" s="133"/>
      <c r="K40" s="147"/>
      <c r="L40" s="146"/>
      <c r="M40" s="147"/>
      <c r="N40" s="146"/>
      <c r="O40" s="136"/>
      <c r="P40" s="133"/>
      <c r="Q40" s="134"/>
      <c r="R40" s="133"/>
      <c r="S40" s="134"/>
      <c r="T40" s="133"/>
      <c r="U40" s="147"/>
      <c r="V40" s="122"/>
      <c r="W40" s="122"/>
    </row>
    <row r="41" spans="1:23" ht="12" customHeight="1">
      <c r="A41" s="122"/>
      <c r="B41" s="137"/>
      <c r="C41" s="138"/>
      <c r="D41" s="137"/>
      <c r="E41" s="138"/>
      <c r="F41" s="137"/>
      <c r="G41" s="138"/>
      <c r="H41" s="137"/>
      <c r="I41" s="138"/>
      <c r="J41" s="137"/>
      <c r="K41" s="153"/>
      <c r="L41" s="152"/>
      <c r="M41" s="153"/>
      <c r="N41" s="152"/>
      <c r="O41" s="140"/>
      <c r="P41" s="137"/>
      <c r="Q41" s="138"/>
      <c r="R41" s="137"/>
      <c r="S41" s="138"/>
      <c r="T41" s="137"/>
      <c r="U41" s="153"/>
      <c r="V41" s="122"/>
      <c r="W41" s="122"/>
    </row>
    <row r="42" spans="1:23" ht="12" customHeight="1">
      <c r="A42" s="122"/>
      <c r="B42" s="137"/>
      <c r="C42" s="138"/>
      <c r="D42" s="137"/>
      <c r="E42" s="138"/>
      <c r="F42" s="137"/>
      <c r="G42" s="138"/>
      <c r="H42" s="137"/>
      <c r="I42" s="138"/>
      <c r="J42" s="137"/>
      <c r="K42" s="153"/>
      <c r="L42" s="152"/>
      <c r="M42" s="153"/>
      <c r="N42" s="152"/>
      <c r="O42" s="140"/>
      <c r="P42" s="137"/>
      <c r="Q42" s="138"/>
      <c r="R42" s="137"/>
      <c r="S42" s="138"/>
      <c r="T42" s="137"/>
      <c r="U42" s="153"/>
      <c r="V42" s="122"/>
      <c r="W42" s="122"/>
    </row>
    <row r="43" spans="1:23" ht="12" customHeight="1">
      <c r="A43" s="122"/>
      <c r="B43" s="137"/>
      <c r="C43" s="138"/>
      <c r="D43" s="137"/>
      <c r="E43" s="138"/>
      <c r="F43" s="137"/>
      <c r="G43" s="138"/>
      <c r="H43" s="137"/>
      <c r="I43" s="138"/>
      <c r="J43" s="152"/>
      <c r="K43" s="153"/>
      <c r="L43" s="152"/>
      <c r="M43" s="153"/>
      <c r="N43" s="152"/>
      <c r="O43" s="140"/>
      <c r="P43" s="137"/>
      <c r="Q43" s="138"/>
      <c r="R43" s="137"/>
      <c r="S43" s="138"/>
      <c r="T43" s="137"/>
      <c r="U43" s="138"/>
      <c r="V43" s="122"/>
      <c r="W43" s="122"/>
    </row>
    <row r="44" spans="1:23" ht="12" customHeight="1" thickBot="1">
      <c r="A44" s="141">
        <v>6</v>
      </c>
      <c r="B44" s="142"/>
      <c r="C44" s="143"/>
      <c r="D44" s="142"/>
      <c r="E44" s="143"/>
      <c r="F44" s="142"/>
      <c r="G44" s="143"/>
      <c r="H44" s="142"/>
      <c r="I44" s="143"/>
      <c r="J44" s="158"/>
      <c r="K44" s="159"/>
      <c r="L44" s="158"/>
      <c r="M44" s="159"/>
      <c r="N44" s="158"/>
      <c r="O44" s="145"/>
      <c r="P44" s="142"/>
      <c r="Q44" s="143"/>
      <c r="R44" s="142"/>
      <c r="S44" s="143"/>
      <c r="T44" s="142"/>
      <c r="U44" s="143"/>
      <c r="V44" s="122"/>
      <c r="W44" s="122"/>
    </row>
    <row r="45" spans="1:23" ht="12" customHeight="1">
      <c r="A45" s="122"/>
      <c r="B45" s="146"/>
      <c r="C45" s="147"/>
      <c r="D45" s="146"/>
      <c r="E45" s="147"/>
      <c r="F45" s="135"/>
      <c r="G45" s="134"/>
      <c r="H45" s="133"/>
      <c r="I45" s="173"/>
      <c r="J45" s="181"/>
      <c r="K45" s="173"/>
      <c r="L45" s="181"/>
      <c r="M45" s="173"/>
      <c r="N45" s="181"/>
      <c r="O45" s="173"/>
      <c r="P45" s="181"/>
      <c r="Q45" s="147"/>
      <c r="R45" s="146"/>
      <c r="S45" s="147"/>
      <c r="T45" s="135"/>
      <c r="U45" s="134"/>
      <c r="V45" s="122"/>
      <c r="W45" s="122"/>
    </row>
    <row r="46" spans="1:23" ht="12" customHeight="1">
      <c r="A46" s="122"/>
      <c r="B46" s="152"/>
      <c r="C46" s="153"/>
      <c r="D46" s="152"/>
      <c r="E46" s="138"/>
      <c r="F46" s="139"/>
      <c r="G46" s="138"/>
      <c r="H46" s="137"/>
      <c r="I46" s="182"/>
      <c r="J46" s="164"/>
      <c r="K46" s="182"/>
      <c r="L46" s="164"/>
      <c r="M46" s="182"/>
      <c r="N46" s="164"/>
      <c r="O46" s="182"/>
      <c r="P46" s="152"/>
      <c r="Q46" s="153"/>
      <c r="R46" s="152"/>
      <c r="S46" s="153"/>
      <c r="T46" s="139"/>
      <c r="U46" s="138"/>
      <c r="V46" s="122"/>
      <c r="W46" s="122"/>
    </row>
    <row r="47" spans="1:23" ht="12" customHeight="1">
      <c r="A47" s="122"/>
      <c r="B47" s="152"/>
      <c r="C47" s="153"/>
      <c r="D47" s="152"/>
      <c r="E47" s="138"/>
      <c r="F47" s="139"/>
      <c r="G47" s="138"/>
      <c r="H47" s="137"/>
      <c r="I47" s="138"/>
      <c r="J47" s="164"/>
      <c r="K47" s="182"/>
      <c r="L47" s="164"/>
      <c r="M47" s="182"/>
      <c r="N47" s="164"/>
      <c r="O47" s="182"/>
      <c r="P47" s="152"/>
      <c r="Q47" s="153"/>
      <c r="R47" s="152"/>
      <c r="S47" s="138"/>
      <c r="T47" s="139"/>
      <c r="U47" s="138"/>
      <c r="V47" s="122"/>
      <c r="W47" s="122"/>
    </row>
    <row r="48" spans="1:23" ht="12" customHeight="1">
      <c r="A48" s="122"/>
      <c r="B48" s="152"/>
      <c r="C48" s="153"/>
      <c r="D48" s="152"/>
      <c r="E48" s="140"/>
      <c r="F48" s="137"/>
      <c r="G48" s="138"/>
      <c r="H48" s="137"/>
      <c r="I48" s="138"/>
      <c r="J48" s="164"/>
      <c r="K48" s="182"/>
      <c r="L48" s="164"/>
      <c r="M48" s="182"/>
      <c r="N48" s="164"/>
      <c r="O48" s="182"/>
      <c r="P48" s="152"/>
      <c r="Q48" s="153"/>
      <c r="R48" s="152"/>
      <c r="S48" s="138"/>
      <c r="T48" s="139"/>
      <c r="U48" s="138"/>
      <c r="V48" s="122"/>
      <c r="W48" s="122"/>
    </row>
    <row r="49" spans="1:23" ht="12" customHeight="1" thickBot="1">
      <c r="A49" s="141">
        <v>7</v>
      </c>
      <c r="B49" s="158"/>
      <c r="C49" s="159"/>
      <c r="D49" s="158"/>
      <c r="E49" s="145"/>
      <c r="F49" s="142"/>
      <c r="G49" s="143"/>
      <c r="H49" s="142"/>
      <c r="I49" s="143"/>
      <c r="J49" s="165"/>
      <c r="K49" s="172"/>
      <c r="L49" s="165"/>
      <c r="M49" s="172"/>
      <c r="N49" s="165"/>
      <c r="O49" s="172"/>
      <c r="P49" s="158"/>
      <c r="Q49" s="159"/>
      <c r="R49" s="158"/>
      <c r="S49" s="143"/>
      <c r="T49" s="144"/>
      <c r="U49" s="143"/>
      <c r="V49" s="122"/>
      <c r="W49" s="122"/>
    </row>
    <row r="50" spans="1:23" ht="12" customHeight="1">
      <c r="A50" s="122"/>
      <c r="B50" s="133"/>
      <c r="C50" s="134"/>
      <c r="D50" s="133"/>
      <c r="E50" s="134"/>
      <c r="F50" s="133"/>
      <c r="G50" s="134"/>
      <c r="H50" s="133"/>
      <c r="I50" s="134"/>
      <c r="J50" s="135"/>
      <c r="K50" s="136"/>
      <c r="L50" s="133"/>
      <c r="M50" s="134"/>
      <c r="N50" s="135"/>
      <c r="O50" s="134"/>
      <c r="P50" s="133"/>
      <c r="Q50" s="134"/>
      <c r="R50" s="133"/>
      <c r="S50" s="134"/>
      <c r="T50" s="137"/>
      <c r="U50" s="134"/>
      <c r="V50" s="122"/>
      <c r="W50" s="122"/>
    </row>
    <row r="51" spans="1:23" ht="12" customHeight="1">
      <c r="A51" s="122"/>
      <c r="B51" s="137"/>
      <c r="C51" s="138"/>
      <c r="D51" s="137"/>
      <c r="E51" s="138"/>
      <c r="F51" s="137"/>
      <c r="G51" s="138"/>
      <c r="H51" s="137"/>
      <c r="I51" s="138"/>
      <c r="J51" s="139"/>
      <c r="K51" s="140"/>
      <c r="L51" s="137"/>
      <c r="M51" s="138"/>
      <c r="N51" s="139"/>
      <c r="O51" s="138"/>
      <c r="P51" s="137"/>
      <c r="Q51" s="138"/>
      <c r="R51" s="137"/>
      <c r="S51" s="138"/>
      <c r="T51" s="137"/>
      <c r="U51" s="138"/>
      <c r="V51" s="122"/>
      <c r="W51" s="122"/>
    </row>
    <row r="52" spans="1:23" ht="12" customHeight="1">
      <c r="A52" s="122"/>
      <c r="B52" s="137"/>
      <c r="C52" s="138"/>
      <c r="D52" s="137"/>
      <c r="E52" s="138"/>
      <c r="F52" s="137"/>
      <c r="G52" s="140"/>
      <c r="H52" s="137"/>
      <c r="I52" s="138"/>
      <c r="J52" s="137"/>
      <c r="K52" s="140"/>
      <c r="L52" s="137"/>
      <c r="M52" s="138"/>
      <c r="N52" s="139"/>
      <c r="O52" s="138"/>
      <c r="P52" s="137"/>
      <c r="Q52" s="138"/>
      <c r="R52" s="137"/>
      <c r="S52" s="138"/>
      <c r="T52" s="137"/>
      <c r="U52" s="138"/>
      <c r="V52" s="122"/>
      <c r="W52" s="122"/>
    </row>
    <row r="53" spans="1:23" ht="12" customHeight="1">
      <c r="A53" s="122"/>
      <c r="B53" s="137"/>
      <c r="C53" s="138"/>
      <c r="D53" s="137"/>
      <c r="E53" s="138"/>
      <c r="F53" s="139"/>
      <c r="G53" s="140"/>
      <c r="H53" s="137"/>
      <c r="I53" s="138"/>
      <c r="J53" s="137"/>
      <c r="K53" s="138"/>
      <c r="L53" s="137"/>
      <c r="M53" s="138"/>
      <c r="N53" s="139"/>
      <c r="O53" s="138"/>
      <c r="P53" s="137"/>
      <c r="Q53" s="138"/>
      <c r="R53" s="137"/>
      <c r="S53" s="138"/>
      <c r="T53" s="137"/>
      <c r="U53" s="138"/>
      <c r="V53" s="122"/>
      <c r="W53" s="122"/>
    </row>
    <row r="54" spans="1:23" ht="12" customHeight="1" thickBot="1">
      <c r="A54" s="141">
        <v>8</v>
      </c>
      <c r="B54" s="142"/>
      <c r="C54" s="143"/>
      <c r="D54" s="142"/>
      <c r="E54" s="143"/>
      <c r="F54" s="144"/>
      <c r="G54" s="145"/>
      <c r="H54" s="142"/>
      <c r="I54" s="143"/>
      <c r="J54" s="142"/>
      <c r="K54" s="143"/>
      <c r="L54" s="142"/>
      <c r="M54" s="143"/>
      <c r="N54" s="144"/>
      <c r="O54" s="143"/>
      <c r="P54" s="142"/>
      <c r="Q54" s="143"/>
      <c r="R54" s="142"/>
      <c r="S54" s="143"/>
      <c r="T54" s="142"/>
      <c r="U54" s="143"/>
      <c r="V54" s="122"/>
      <c r="W54" s="122"/>
    </row>
    <row r="55" spans="1:23" ht="12" customHeight="1">
      <c r="A55" s="122"/>
      <c r="B55" s="133"/>
      <c r="C55" s="134"/>
      <c r="D55" s="133"/>
      <c r="E55" s="134"/>
      <c r="F55" s="133"/>
      <c r="G55" s="134"/>
      <c r="H55" s="135"/>
      <c r="I55" s="173"/>
      <c r="J55" s="133"/>
      <c r="K55" s="134"/>
      <c r="L55" s="133"/>
      <c r="M55" s="134"/>
      <c r="N55" s="133"/>
      <c r="O55" s="134"/>
      <c r="P55" s="133"/>
      <c r="Q55" s="134"/>
      <c r="R55" s="135"/>
      <c r="S55" s="147"/>
      <c r="T55" s="146"/>
      <c r="U55" s="147"/>
      <c r="V55" s="122"/>
      <c r="W55" s="122"/>
    </row>
    <row r="56" spans="1:23" ht="12" customHeight="1">
      <c r="A56" s="122"/>
      <c r="B56" s="137"/>
      <c r="C56" s="138"/>
      <c r="D56" s="137"/>
      <c r="E56" s="138"/>
      <c r="F56" s="137"/>
      <c r="G56" s="138"/>
      <c r="H56" s="139"/>
      <c r="I56" s="182"/>
      <c r="J56" s="137"/>
      <c r="K56" s="138"/>
      <c r="L56" s="137"/>
      <c r="M56" s="138"/>
      <c r="N56" s="137"/>
      <c r="O56" s="138"/>
      <c r="P56" s="137"/>
      <c r="Q56" s="138"/>
      <c r="R56" s="139"/>
      <c r="S56" s="153"/>
      <c r="T56" s="152"/>
      <c r="U56" s="153"/>
      <c r="V56" s="122"/>
      <c r="W56" s="122"/>
    </row>
    <row r="57" spans="1:23" ht="12" customHeight="1">
      <c r="A57" s="122"/>
      <c r="B57" s="137"/>
      <c r="C57" s="138"/>
      <c r="D57" s="137"/>
      <c r="E57" s="138"/>
      <c r="F57" s="137"/>
      <c r="G57" s="140"/>
      <c r="H57" s="164"/>
      <c r="I57" s="182"/>
      <c r="J57" s="137"/>
      <c r="K57" s="138"/>
      <c r="L57" s="137"/>
      <c r="M57" s="138"/>
      <c r="N57" s="137"/>
      <c r="O57" s="138"/>
      <c r="P57" s="137"/>
      <c r="Q57" s="140"/>
      <c r="R57" s="137"/>
      <c r="S57" s="153"/>
      <c r="T57" s="152"/>
      <c r="U57" s="153"/>
      <c r="V57" s="122"/>
      <c r="W57" s="122"/>
    </row>
    <row r="58" spans="1:23" ht="12" customHeight="1">
      <c r="A58" s="122"/>
      <c r="B58" s="137"/>
      <c r="C58" s="138"/>
      <c r="D58" s="137"/>
      <c r="E58" s="138"/>
      <c r="F58" s="137"/>
      <c r="G58" s="140"/>
      <c r="H58" s="164"/>
      <c r="I58" s="182"/>
      <c r="J58" s="137"/>
      <c r="K58" s="138"/>
      <c r="L58" s="137"/>
      <c r="M58" s="138"/>
      <c r="N58" s="137"/>
      <c r="O58" s="138"/>
      <c r="P58" s="137"/>
      <c r="Q58" s="140"/>
      <c r="R58" s="137"/>
      <c r="S58" s="153"/>
      <c r="T58" s="152"/>
      <c r="U58" s="153"/>
      <c r="V58" s="122"/>
      <c r="W58" s="122"/>
    </row>
    <row r="59" spans="1:23" ht="12" customHeight="1" thickBot="1">
      <c r="A59" s="141">
        <v>9</v>
      </c>
      <c r="B59" s="142"/>
      <c r="C59" s="143"/>
      <c r="D59" s="142"/>
      <c r="E59" s="143"/>
      <c r="F59" s="142"/>
      <c r="G59" s="145"/>
      <c r="H59" s="165"/>
      <c r="I59" s="172"/>
      <c r="J59" s="142"/>
      <c r="K59" s="143"/>
      <c r="L59" s="142"/>
      <c r="M59" s="143"/>
      <c r="N59" s="142"/>
      <c r="O59" s="143"/>
      <c r="P59" s="142"/>
      <c r="Q59" s="145"/>
      <c r="R59" s="142"/>
      <c r="S59" s="159"/>
      <c r="T59" s="158"/>
      <c r="U59" s="159"/>
      <c r="V59" s="122"/>
      <c r="W59" s="122"/>
    </row>
    <row r="60" spans="1:23" ht="12" customHeight="1">
      <c r="A60" s="122"/>
      <c r="B60" s="146"/>
      <c r="C60" s="147"/>
      <c r="D60" s="146"/>
      <c r="E60" s="147"/>
      <c r="F60" s="146"/>
      <c r="G60" s="147"/>
      <c r="H60" s="146"/>
      <c r="I60" s="134"/>
      <c r="J60" s="133"/>
      <c r="K60" s="134"/>
      <c r="L60" s="151"/>
      <c r="M60" s="136"/>
      <c r="N60" s="135"/>
      <c r="O60" s="136"/>
      <c r="P60" s="135"/>
      <c r="Q60" s="134"/>
      <c r="R60" s="133"/>
      <c r="S60" s="134"/>
      <c r="T60" s="135"/>
      <c r="U60" s="134"/>
      <c r="V60" s="122"/>
      <c r="W60" s="122"/>
    </row>
    <row r="61" spans="1:23" ht="12" customHeight="1">
      <c r="A61" s="122"/>
      <c r="B61" s="152"/>
      <c r="C61" s="153"/>
      <c r="D61" s="152"/>
      <c r="E61" s="153"/>
      <c r="F61" s="152"/>
      <c r="G61" s="153"/>
      <c r="H61" s="152"/>
      <c r="I61" s="138"/>
      <c r="J61" s="137"/>
      <c r="K61" s="156"/>
      <c r="L61" s="157"/>
      <c r="M61" s="140"/>
      <c r="N61" s="139"/>
      <c r="O61" s="138"/>
      <c r="P61" s="139"/>
      <c r="Q61" s="138"/>
      <c r="R61" s="137"/>
      <c r="S61" s="138"/>
      <c r="T61" s="139"/>
      <c r="U61" s="138"/>
      <c r="V61" s="122"/>
      <c r="W61" s="122"/>
    </row>
    <row r="62" spans="1:23" ht="12" customHeight="1">
      <c r="A62" s="122"/>
      <c r="B62" s="152"/>
      <c r="C62" s="153"/>
      <c r="D62" s="152"/>
      <c r="E62" s="153"/>
      <c r="F62" s="152"/>
      <c r="G62" s="153"/>
      <c r="H62" s="152"/>
      <c r="I62" s="138"/>
      <c r="J62" s="137"/>
      <c r="K62" s="156"/>
      <c r="L62" s="137"/>
      <c r="M62" s="138"/>
      <c r="N62" s="139"/>
      <c r="O62" s="138"/>
      <c r="P62" s="139"/>
      <c r="Q62" s="138"/>
      <c r="R62" s="137"/>
      <c r="S62" s="138"/>
      <c r="T62" s="139"/>
      <c r="U62" s="138"/>
      <c r="V62" s="122"/>
      <c r="W62" s="122"/>
    </row>
    <row r="63" spans="1:23" ht="12" customHeight="1">
      <c r="A63" s="122"/>
      <c r="B63" s="152"/>
      <c r="C63" s="153"/>
      <c r="D63" s="152"/>
      <c r="E63" s="153"/>
      <c r="F63" s="152"/>
      <c r="G63" s="153"/>
      <c r="H63" s="152"/>
      <c r="I63" s="138"/>
      <c r="J63" s="137"/>
      <c r="K63" s="156"/>
      <c r="L63" s="137"/>
      <c r="M63" s="138"/>
      <c r="N63" s="139"/>
      <c r="O63" s="138"/>
      <c r="P63" s="139"/>
      <c r="Q63" s="138"/>
      <c r="R63" s="137"/>
      <c r="S63" s="138"/>
      <c r="T63" s="139"/>
      <c r="U63" s="138"/>
      <c r="V63" s="122"/>
      <c r="W63" s="122"/>
    </row>
    <row r="64" spans="1:23" ht="12" customHeight="1" thickBot="1">
      <c r="A64" s="141">
        <v>10</v>
      </c>
      <c r="B64" s="158"/>
      <c r="C64" s="159"/>
      <c r="D64" s="158"/>
      <c r="E64" s="159"/>
      <c r="F64" s="158"/>
      <c r="G64" s="159"/>
      <c r="H64" s="158"/>
      <c r="I64" s="143"/>
      <c r="J64" s="142"/>
      <c r="K64" s="162"/>
      <c r="L64" s="142"/>
      <c r="M64" s="143"/>
      <c r="N64" s="142"/>
      <c r="O64" s="143"/>
      <c r="P64" s="142"/>
      <c r="Q64" s="143"/>
      <c r="R64" s="142"/>
      <c r="S64" s="143"/>
      <c r="T64" s="144"/>
      <c r="U64" s="143"/>
      <c r="V64" s="122"/>
      <c r="W64" s="122"/>
    </row>
    <row r="65" spans="1:23" ht="12" customHeight="1">
      <c r="A65" s="122"/>
      <c r="B65" s="133"/>
      <c r="C65" s="134"/>
      <c r="D65" s="133"/>
      <c r="E65" s="134"/>
      <c r="F65" s="133"/>
      <c r="G65" s="134"/>
      <c r="H65" s="133"/>
      <c r="I65" s="134"/>
      <c r="J65" s="133"/>
      <c r="K65" s="136"/>
      <c r="L65" s="174"/>
      <c r="M65" s="175"/>
      <c r="N65" s="174"/>
      <c r="O65" s="175"/>
      <c r="P65" s="174"/>
      <c r="Q65" s="175"/>
      <c r="R65" s="174"/>
      <c r="S65" s="175"/>
      <c r="T65" s="174"/>
      <c r="U65" s="175"/>
      <c r="V65" s="122"/>
      <c r="W65" s="122"/>
    </row>
    <row r="66" spans="1:23" ht="12" customHeight="1">
      <c r="A66" s="122"/>
      <c r="B66" s="137"/>
      <c r="C66" s="138"/>
      <c r="D66" s="137"/>
      <c r="E66" s="138"/>
      <c r="F66" s="137"/>
      <c r="G66" s="138"/>
      <c r="H66" s="137"/>
      <c r="I66" s="138"/>
      <c r="J66" s="137"/>
      <c r="K66" s="140"/>
      <c r="L66" s="176"/>
      <c r="M66" s="177"/>
      <c r="N66" s="176"/>
      <c r="O66" s="177"/>
      <c r="P66" s="176"/>
      <c r="Q66" s="177"/>
      <c r="R66" s="176"/>
      <c r="S66" s="177"/>
      <c r="T66" s="176"/>
      <c r="U66" s="177"/>
      <c r="V66" s="122"/>
      <c r="W66" s="122"/>
    </row>
    <row r="67" spans="1:23" ht="12" customHeight="1">
      <c r="A67" s="122"/>
      <c r="B67" s="137"/>
      <c r="C67" s="138"/>
      <c r="D67" s="137"/>
      <c r="E67" s="138"/>
      <c r="F67" s="137"/>
      <c r="G67" s="138"/>
      <c r="H67" s="137"/>
      <c r="I67" s="138"/>
      <c r="J67" s="189"/>
      <c r="K67" s="177"/>
      <c r="L67" s="122"/>
      <c r="M67" s="177"/>
      <c r="N67" s="176"/>
      <c r="O67" s="177"/>
      <c r="P67" s="176"/>
      <c r="Q67" s="177"/>
      <c r="R67" s="176"/>
      <c r="S67" s="177"/>
      <c r="T67" s="176"/>
      <c r="U67" s="177"/>
      <c r="V67" s="122"/>
      <c r="W67" s="122"/>
    </row>
    <row r="68" spans="1:23" ht="12" customHeight="1">
      <c r="A68" s="122"/>
      <c r="B68" s="137"/>
      <c r="C68" s="138"/>
      <c r="D68" s="137"/>
      <c r="E68" s="138"/>
      <c r="F68" s="137"/>
      <c r="G68" s="138"/>
      <c r="H68" s="137"/>
      <c r="I68" s="138"/>
      <c r="J68" s="139"/>
      <c r="K68" s="177"/>
      <c r="L68" s="176"/>
      <c r="M68" s="177"/>
      <c r="N68" s="176"/>
      <c r="O68" s="177"/>
      <c r="P68" s="176"/>
      <c r="Q68" s="177"/>
      <c r="R68" s="176"/>
      <c r="S68" s="177"/>
      <c r="T68" s="176"/>
      <c r="U68" s="177"/>
      <c r="V68" s="122"/>
      <c r="W68" s="122"/>
    </row>
    <row r="69" spans="1:23" ht="12" customHeight="1" thickBot="1">
      <c r="A69" s="141">
        <v>11</v>
      </c>
      <c r="B69" s="142"/>
      <c r="C69" s="143"/>
      <c r="D69" s="142"/>
      <c r="E69" s="143"/>
      <c r="F69" s="142"/>
      <c r="G69" s="143"/>
      <c r="H69" s="142"/>
      <c r="I69" s="143"/>
      <c r="J69" s="139"/>
      <c r="K69" s="178"/>
      <c r="L69" s="176"/>
      <c r="M69" s="178"/>
      <c r="N69" s="179"/>
      <c r="O69" s="178"/>
      <c r="P69" s="179"/>
      <c r="Q69" s="178"/>
      <c r="R69" s="179"/>
      <c r="S69" s="178"/>
      <c r="T69" s="179"/>
      <c r="U69" s="178"/>
      <c r="V69" s="122"/>
      <c r="W69" s="122"/>
    </row>
    <row r="70" spans="1:23" ht="12" customHeight="1">
      <c r="A70" s="122"/>
      <c r="B70" s="174"/>
      <c r="C70" s="175"/>
      <c r="D70" s="174"/>
      <c r="E70" s="175"/>
      <c r="F70" s="174"/>
      <c r="G70" s="175"/>
      <c r="H70" s="174"/>
      <c r="I70" s="175"/>
      <c r="J70" s="174"/>
      <c r="K70" s="175"/>
      <c r="L70" s="174"/>
      <c r="M70" s="175"/>
      <c r="N70" s="174"/>
      <c r="O70" s="175"/>
      <c r="P70" s="174"/>
      <c r="Q70" s="175"/>
      <c r="R70" s="174"/>
      <c r="S70" s="175"/>
      <c r="T70" s="174"/>
      <c r="U70" s="175"/>
      <c r="V70" s="122"/>
      <c r="W70" s="122"/>
    </row>
    <row r="71" spans="1:23" ht="12" customHeight="1">
      <c r="A71" s="122"/>
      <c r="B71" s="176"/>
      <c r="C71" s="177"/>
      <c r="D71" s="176"/>
      <c r="E71" s="177"/>
      <c r="F71" s="176"/>
      <c r="G71" s="177"/>
      <c r="H71" s="176"/>
      <c r="I71" s="177"/>
      <c r="J71" s="176"/>
      <c r="K71" s="177"/>
      <c r="L71" s="176"/>
      <c r="M71" s="177"/>
      <c r="N71" s="176"/>
      <c r="O71" s="177"/>
      <c r="P71" s="176"/>
      <c r="Q71" s="177"/>
      <c r="R71" s="176"/>
      <c r="S71" s="177"/>
      <c r="T71" s="176"/>
      <c r="U71" s="177"/>
      <c r="V71" s="122"/>
      <c r="W71" s="122"/>
    </row>
    <row r="72" spans="1:23" ht="12" customHeight="1">
      <c r="A72" s="122"/>
      <c r="B72" s="176"/>
      <c r="C72" s="177"/>
      <c r="D72" s="176"/>
      <c r="E72" s="177"/>
      <c r="F72" s="176"/>
      <c r="G72" s="177"/>
      <c r="H72" s="176"/>
      <c r="I72" s="177"/>
      <c r="J72" s="176"/>
      <c r="K72" s="177"/>
      <c r="L72" s="176"/>
      <c r="M72" s="177"/>
      <c r="N72" s="176"/>
      <c r="O72" s="177"/>
      <c r="P72" s="176"/>
      <c r="Q72" s="177"/>
      <c r="R72" s="176"/>
      <c r="S72" s="177"/>
      <c r="T72" s="176"/>
      <c r="U72" s="177"/>
      <c r="V72" s="122"/>
      <c r="W72" s="122"/>
    </row>
    <row r="73" spans="1:23" ht="12" customHeight="1">
      <c r="A73" s="122"/>
      <c r="B73" s="176"/>
      <c r="C73" s="177"/>
      <c r="D73" s="176"/>
      <c r="E73" s="177"/>
      <c r="F73" s="176"/>
      <c r="G73" s="177"/>
      <c r="H73" s="176"/>
      <c r="I73" s="177"/>
      <c r="J73" s="176"/>
      <c r="K73" s="177"/>
      <c r="L73" s="176"/>
      <c r="M73" s="177"/>
      <c r="N73" s="176"/>
      <c r="O73" s="177"/>
      <c r="P73" s="176"/>
      <c r="Q73" s="177"/>
      <c r="R73" s="176"/>
      <c r="S73" s="177"/>
      <c r="T73" s="176"/>
      <c r="U73" s="177"/>
      <c r="V73" s="122"/>
      <c r="W73" s="122"/>
    </row>
    <row r="74" spans="1:23" ht="12" customHeight="1" thickBot="1">
      <c r="A74" s="141">
        <v>12</v>
      </c>
      <c r="B74" s="179"/>
      <c r="C74" s="178"/>
      <c r="D74" s="179"/>
      <c r="E74" s="178"/>
      <c r="F74" s="179"/>
      <c r="G74" s="178"/>
      <c r="H74" s="179"/>
      <c r="I74" s="178"/>
      <c r="J74" s="179"/>
      <c r="K74" s="178"/>
      <c r="L74" s="179"/>
      <c r="M74" s="178"/>
      <c r="N74" s="179"/>
      <c r="O74" s="178"/>
      <c r="P74" s="179"/>
      <c r="Q74" s="178"/>
      <c r="R74" s="179"/>
      <c r="S74" s="178"/>
      <c r="T74" s="179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HYPERLINK("#'4월'!A1","← 4월 월간 가계부로 돌아가기")</f>
        <v>← 4월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1047000</v>
      </c>
      <c r="J149" s="433"/>
      <c r="K149" s="433"/>
      <c r="L149" s="433"/>
      <c r="M149" s="433"/>
      <c r="N149" s="365"/>
      <c r="O149" s="362" t="b">
        <f>IF('4월'!AA1,I149=('4월'!M28),"미입력")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1047000</v>
      </c>
      <c r="J150" s="433"/>
      <c r="K150" s="433"/>
      <c r="L150" s="433"/>
      <c r="M150" s="433"/>
      <c r="N150" s="365"/>
      <c r="O150" s="362" t="b">
        <f>IF('4월'!AA1,I150=('4월'!I38),"미입력")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328</v>
      </c>
      <c r="L5" s="38" t="s">
        <v>492</v>
      </c>
      <c r="M5" s="34" t="s">
        <v>330</v>
      </c>
      <c r="N5" s="34" t="s">
        <v>331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333</v>
      </c>
      <c r="L6" s="31" t="s">
        <v>492</v>
      </c>
      <c r="M6" s="27" t="s">
        <v>330</v>
      </c>
      <c r="N6" s="27" t="s">
        <v>334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350</v>
      </c>
      <c r="L11" s="38" t="s">
        <v>493</v>
      </c>
      <c r="M11" s="34" t="s">
        <v>352</v>
      </c>
      <c r="N11" s="34" t="s">
        <v>353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494</v>
      </c>
      <c r="M12" s="27" t="s">
        <v>355</v>
      </c>
      <c r="N12" s="27" t="s">
        <v>356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495</v>
      </c>
      <c r="T22" s="27" t="s">
        <v>383</v>
      </c>
      <c r="U22" s="27"/>
    </row>
    <row r="23" spans="1:22" ht="22" customHeight="1">
      <c r="A23" s="39" t="s">
        <v>384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498</v>
      </c>
      <c r="T23" s="34" t="s">
        <v>76</v>
      </c>
      <c r="U23" s="34"/>
    </row>
    <row r="24" spans="1:22" ht="22" customHeight="1">
      <c r="A24" s="31" t="s">
        <v>323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223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HYPERLINK("#'5월계산기'!A1","계산기 대조 · 5월계산기 열기")</f>
        <v>계산기 대조 · 5월계산기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1197000</v>
      </c>
      <c r="N28" s="365"/>
      <c r="O28" s="366" t="s">
        <v>212</v>
      </c>
      <c r="P28" s="365"/>
      <c r="Q28" s="364">
        <f>'5월계산기'!W12</f>
        <v>1197000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1048000</v>
      </c>
      <c r="N29" s="365"/>
      <c r="O29" s="366" t="s">
        <v>213</v>
      </c>
      <c r="P29" s="365"/>
      <c r="Q29" s="364">
        <f>'5월계산기'!W13</f>
        <v>1048000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44185</v>
      </c>
      <c r="N30" s="365"/>
      <c r="O30" s="366" t="s">
        <v>391</v>
      </c>
      <c r="P30" s="365"/>
      <c r="Q30" s="364">
        <f>SUM(I4,I9,I14,I19,I24,I29)-I33</f>
        <v>44185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'5월계산기'!W14</f>
        <v>149000</v>
      </c>
      <c r="N31" s="365"/>
      <c r="O31" s="366" t="s">
        <v>392</v>
      </c>
      <c r="P31" s="365"/>
      <c r="Q31" s="364">
        <f>SUM(I4,I9,I14,I19,I24,I29)-I38</f>
        <v>149000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2785740</v>
      </c>
      <c r="D37" s="27"/>
      <c r="E37" s="27" t="s">
        <v>306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50000</v>
      </c>
      <c r="D38" s="27"/>
      <c r="E38" s="27" t="s">
        <v>499</v>
      </c>
      <c r="F38" s="27"/>
      <c r="G38" s="27"/>
      <c r="H38" s="27">
        <f>I33-148900-_예비비계산!AG6</f>
        <v>1003915</v>
      </c>
      <c r="I38" s="27">
        <f>SUM(I4,I9,I14,I19,I24,I29)-149000-_예비비계산!AH6</f>
        <v>1048000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2835740</v>
      </c>
      <c r="D41" s="27"/>
      <c r="E41" s="49" t="s">
        <v>411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47100</v>
      </c>
      <c r="I43" s="27">
        <f>H43</f>
        <v>47100</v>
      </c>
      <c r="J43" s="12"/>
      <c r="K43" s="31" t="s">
        <v>402</v>
      </c>
      <c r="L43" s="31" t="s">
        <v>416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418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5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5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432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200000</v>
      </c>
      <c r="N64" s="40">
        <f>_예비비계산!AB6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26" t="s">
        <v>500</v>
      </c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350000</v>
      </c>
      <c r="N67" s="46">
        <f>_예비비계산!AE6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501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538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538000</v>
      </c>
      <c r="AA3">
        <v>538</v>
      </c>
    </row>
    <row r="4" spans="1:27" ht="18" customHeight="1">
      <c r="A4" s="117" t="s">
        <v>453</v>
      </c>
      <c r="B4" s="125"/>
      <c r="C4" s="119">
        <f>IFERROR(colorfunction(B4,$B$15:$U$144,FALSE),$AA$4)</f>
        <v>132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132000</v>
      </c>
      <c r="AA4">
        <v>132</v>
      </c>
    </row>
    <row r="5" spans="1:27" ht="18" customHeight="1">
      <c r="A5" s="117" t="s">
        <v>454</v>
      </c>
      <c r="B5" s="127"/>
      <c r="C5" s="119">
        <f>IFERROR(colorfunction(B5,$B$15:$U$144,FALSE),$AA$5)</f>
        <v>14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14000</v>
      </c>
      <c r="AA5">
        <v>14</v>
      </c>
    </row>
    <row r="6" spans="1:27" ht="18" customHeight="1">
      <c r="A6" s="117" t="s">
        <v>455</v>
      </c>
      <c r="B6" s="128"/>
      <c r="C6" s="119">
        <f>IFERROR(colorfunction(B6,$B$15:$U$144,FALSE),$AA$6)</f>
        <v>87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87000</v>
      </c>
      <c r="AA6">
        <v>87</v>
      </c>
    </row>
    <row r="7" spans="1:27" ht="18" customHeight="1">
      <c r="A7" s="117" t="s">
        <v>456</v>
      </c>
      <c r="B7" s="129"/>
      <c r="C7" s="119">
        <f>IFERROR(colorfunction(B7,$B$15:$U$144,FALSE),$AA$7)</f>
        <v>91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91000</v>
      </c>
      <c r="AA7">
        <v>91</v>
      </c>
    </row>
    <row r="8" spans="1:27" ht="18" customHeight="1">
      <c r="A8" s="117" t="s">
        <v>457</v>
      </c>
      <c r="B8" s="130"/>
      <c r="C8" s="119">
        <f>IFERROR(colorfunction(B8,$B$15:$U$144,FALSE),$AA$8)</f>
        <v>103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103000</v>
      </c>
      <c r="AA8">
        <v>103</v>
      </c>
    </row>
    <row r="9" spans="1:27" ht="18" customHeight="1">
      <c r="A9" s="117" t="s">
        <v>458</v>
      </c>
      <c r="B9" s="131"/>
      <c r="C9" s="119">
        <f>IFERROR(colorfunction(B9,$B$15:$U$144,FALSE),$AA$9)</f>
        <v>165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165000</v>
      </c>
      <c r="AA9">
        <v>165</v>
      </c>
    </row>
    <row r="10" spans="1:27" ht="18" customHeight="1">
      <c r="A10" s="117" t="s">
        <v>459</v>
      </c>
      <c r="B10" s="132"/>
      <c r="C10" s="119">
        <f>IFERROR(colorfunction(B10,$B$15:$U$144,FALSE),$AA$10)</f>
        <v>67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67000</v>
      </c>
      <c r="AA10">
        <v>67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1197000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1048000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CEILING(RAW!K960,1000)+CEILING(RAW!K991,1000)+_예비비계산!AH6</f>
        <v>149000</v>
      </c>
    </row>
    <row r="15" spans="1:27" ht="12" customHeight="1">
      <c r="A15" s="122"/>
      <c r="B15" s="133"/>
      <c r="C15" s="147"/>
      <c r="D15" s="146"/>
      <c r="E15" s="147"/>
      <c r="F15" s="146"/>
      <c r="G15" s="134"/>
      <c r="H15" s="135"/>
      <c r="I15" s="134"/>
      <c r="J15" s="133"/>
      <c r="K15" s="134"/>
      <c r="L15" s="133"/>
      <c r="M15" s="134"/>
      <c r="N15" s="133"/>
      <c r="O15" s="134"/>
      <c r="P15" s="135"/>
      <c r="Q15" s="134"/>
      <c r="R15" s="133"/>
      <c r="S15" s="147"/>
      <c r="T15" s="133"/>
      <c r="U15" s="136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7"/>
      <c r="C16" s="153"/>
      <c r="D16" s="152"/>
      <c r="E16" s="153"/>
      <c r="F16" s="137"/>
      <c r="G16" s="140"/>
      <c r="H16" s="137"/>
      <c r="I16" s="138"/>
      <c r="J16" s="137"/>
      <c r="K16" s="138"/>
      <c r="L16" s="137"/>
      <c r="M16" s="138"/>
      <c r="N16" s="137"/>
      <c r="O16" s="138"/>
      <c r="P16" s="139"/>
      <c r="Q16" s="138"/>
      <c r="R16" s="152"/>
      <c r="S16" s="153"/>
      <c r="T16" s="137"/>
      <c r="U16" s="140"/>
      <c r="V16" s="299" t="s">
        <v>211</v>
      </c>
      <c r="W16" s="300">
        <f>SUM(W3:W10)</f>
        <v>1197000</v>
      </c>
    </row>
    <row r="17" spans="1:27" ht="12" customHeight="1">
      <c r="A17" s="122"/>
      <c r="B17" s="137"/>
      <c r="C17" s="153"/>
      <c r="D17" s="152"/>
      <c r="E17" s="153"/>
      <c r="F17" s="137"/>
      <c r="G17" s="140"/>
      <c r="H17" s="137"/>
      <c r="I17" s="138"/>
      <c r="J17" s="137"/>
      <c r="K17" s="138"/>
      <c r="L17" s="137"/>
      <c r="M17" s="138"/>
      <c r="N17" s="137"/>
      <c r="O17" s="138"/>
      <c r="P17" s="139"/>
      <c r="Q17" s="138"/>
      <c r="R17" s="152"/>
      <c r="S17" s="153"/>
      <c r="T17" s="137"/>
      <c r="U17" s="140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7"/>
      <c r="C18" s="153"/>
      <c r="D18" s="152"/>
      <c r="E18" s="153"/>
      <c r="F18" s="137"/>
      <c r="G18" s="140"/>
      <c r="H18" s="137"/>
      <c r="I18" s="138"/>
      <c r="J18" s="137"/>
      <c r="K18" s="138"/>
      <c r="L18" s="137"/>
      <c r="M18" s="138"/>
      <c r="N18" s="137"/>
      <c r="O18" s="140"/>
      <c r="P18" s="137"/>
      <c r="Q18" s="138"/>
      <c r="R18" s="152"/>
      <c r="S18" s="138"/>
      <c r="T18" s="139"/>
      <c r="U18" s="153"/>
      <c r="V18" s="122"/>
      <c r="W18" s="122"/>
    </row>
    <row r="19" spans="1:27" ht="12" customHeight="1" thickBot="1">
      <c r="A19" s="141">
        <v>1</v>
      </c>
      <c r="B19" s="142"/>
      <c r="C19" s="159"/>
      <c r="D19" s="158"/>
      <c r="E19" s="159"/>
      <c r="F19" s="142"/>
      <c r="G19" s="145"/>
      <c r="H19" s="142"/>
      <c r="I19" s="143"/>
      <c r="J19" s="142"/>
      <c r="K19" s="143"/>
      <c r="L19" s="142"/>
      <c r="M19" s="143"/>
      <c r="N19" s="142"/>
      <c r="O19" s="145"/>
      <c r="P19" s="142"/>
      <c r="Q19" s="143"/>
      <c r="R19" s="158"/>
      <c r="S19" s="143"/>
      <c r="T19" s="144"/>
      <c r="U19" s="159"/>
      <c r="V19" s="122"/>
      <c r="W19" s="122"/>
    </row>
    <row r="20" spans="1:27" ht="12" customHeight="1">
      <c r="A20" s="122"/>
      <c r="B20" s="146"/>
      <c r="C20" s="147"/>
      <c r="D20" s="146"/>
      <c r="E20" s="134"/>
      <c r="F20" s="133"/>
      <c r="G20" s="136"/>
      <c r="H20" s="133"/>
      <c r="I20" s="134"/>
      <c r="J20" s="133"/>
      <c r="K20" s="136"/>
      <c r="L20" s="133"/>
      <c r="M20" s="134"/>
      <c r="N20" s="135"/>
      <c r="O20" s="134"/>
      <c r="P20" s="135"/>
      <c r="Q20" s="147"/>
      <c r="R20" s="146"/>
      <c r="S20" s="147"/>
      <c r="T20" s="146"/>
      <c r="U20" s="147"/>
      <c r="V20" s="122"/>
      <c r="W20" s="122"/>
    </row>
    <row r="21" spans="1:27" ht="12" customHeight="1">
      <c r="A21" s="122"/>
      <c r="B21" s="152"/>
      <c r="C21" s="153"/>
      <c r="D21" s="152"/>
      <c r="E21" s="138"/>
      <c r="F21" s="137"/>
      <c r="G21" s="140"/>
      <c r="H21" s="137"/>
      <c r="I21" s="138"/>
      <c r="J21" s="137"/>
      <c r="K21" s="140"/>
      <c r="L21" s="137"/>
      <c r="M21" s="140"/>
      <c r="N21" s="137"/>
      <c r="O21" s="140"/>
      <c r="P21" s="152"/>
      <c r="Q21" s="153"/>
      <c r="R21" s="152"/>
      <c r="S21" s="153"/>
      <c r="T21" s="152"/>
      <c r="U21" s="153"/>
      <c r="V21" s="122"/>
      <c r="W21" s="122"/>
    </row>
    <row r="22" spans="1:27" ht="12" customHeight="1">
      <c r="A22" s="122"/>
      <c r="B22" s="152"/>
      <c r="C22" s="153"/>
      <c r="D22" s="137"/>
      <c r="E22" s="138"/>
      <c r="F22" s="137"/>
      <c r="G22" s="140"/>
      <c r="H22" s="137"/>
      <c r="I22" s="138"/>
      <c r="J22" s="137"/>
      <c r="K22" s="140"/>
      <c r="L22" s="137"/>
      <c r="M22" s="140"/>
      <c r="N22" s="137"/>
      <c r="O22" s="140"/>
      <c r="P22" s="152"/>
      <c r="Q22" s="153"/>
      <c r="R22" s="152"/>
      <c r="S22" s="153"/>
      <c r="T22" s="152"/>
      <c r="U22" s="153"/>
      <c r="V22" s="122"/>
      <c r="W22" s="122"/>
    </row>
    <row r="23" spans="1:27" ht="12" customHeight="1">
      <c r="A23" s="122"/>
      <c r="B23" s="152"/>
      <c r="C23" s="153"/>
      <c r="D23" s="137"/>
      <c r="E23" s="138"/>
      <c r="F23" s="137"/>
      <c r="G23" s="140"/>
      <c r="H23" s="137"/>
      <c r="I23" s="138"/>
      <c r="J23" s="137"/>
      <c r="K23" s="140"/>
      <c r="L23" s="137"/>
      <c r="M23" s="140"/>
      <c r="N23" s="137"/>
      <c r="O23" s="140"/>
      <c r="P23" s="152"/>
      <c r="Q23" s="153"/>
      <c r="R23" s="152"/>
      <c r="S23" s="153"/>
      <c r="T23" s="152"/>
      <c r="U23" s="153"/>
      <c r="V23" s="122"/>
      <c r="W23" s="122"/>
    </row>
    <row r="24" spans="1:27" ht="12" customHeight="1" thickBot="1">
      <c r="A24" s="141">
        <v>2</v>
      </c>
      <c r="B24" s="158"/>
      <c r="C24" s="159"/>
      <c r="D24" s="142"/>
      <c r="E24" s="143"/>
      <c r="F24" s="142"/>
      <c r="G24" s="145"/>
      <c r="H24" s="142"/>
      <c r="I24" s="143"/>
      <c r="J24" s="142"/>
      <c r="K24" s="145"/>
      <c r="L24" s="142"/>
      <c r="M24" s="145"/>
      <c r="N24" s="142"/>
      <c r="O24" s="145"/>
      <c r="P24" s="158"/>
      <c r="Q24" s="159"/>
      <c r="R24" s="158"/>
      <c r="S24" s="159"/>
      <c r="T24" s="158"/>
      <c r="U24" s="159"/>
      <c r="V24" s="122"/>
      <c r="W24" s="122"/>
    </row>
    <row r="25" spans="1:27" ht="12" customHeight="1">
      <c r="A25" s="122"/>
      <c r="B25" s="146"/>
      <c r="C25" s="134"/>
      <c r="D25" s="133"/>
      <c r="E25" s="134"/>
      <c r="F25" s="133"/>
      <c r="G25" s="134"/>
      <c r="H25" s="135"/>
      <c r="I25" s="134"/>
      <c r="J25" s="146"/>
      <c r="K25" s="166"/>
      <c r="L25" s="167"/>
      <c r="M25" s="166"/>
      <c r="N25" s="167"/>
      <c r="O25" s="166"/>
      <c r="P25" s="167"/>
      <c r="Q25" s="166"/>
      <c r="R25" s="167"/>
      <c r="S25" s="166"/>
      <c r="T25" s="167"/>
      <c r="U25" s="166"/>
      <c r="V25" s="122"/>
      <c r="W25" s="122"/>
    </row>
    <row r="26" spans="1:27" ht="12" customHeight="1">
      <c r="A26" s="122"/>
      <c r="B26" s="137"/>
      <c r="C26" s="138"/>
      <c r="D26" s="137"/>
      <c r="E26" s="138"/>
      <c r="F26" s="137"/>
      <c r="G26" s="138"/>
      <c r="H26" s="139"/>
      <c r="I26" s="138"/>
      <c r="J26" s="152"/>
      <c r="K26" s="168"/>
      <c r="L26" s="169"/>
      <c r="M26" s="168"/>
      <c r="N26" s="169"/>
      <c r="O26" s="168"/>
      <c r="P26" s="169"/>
      <c r="Q26" s="168"/>
      <c r="R26" s="169"/>
      <c r="S26" s="168"/>
      <c r="T26" s="169"/>
      <c r="U26" s="168"/>
      <c r="V26" s="122"/>
      <c r="W26" s="122"/>
    </row>
    <row r="27" spans="1:27" ht="12" customHeight="1">
      <c r="A27" s="122"/>
      <c r="B27" s="137"/>
      <c r="C27" s="138"/>
      <c r="D27" s="137"/>
      <c r="E27" s="138"/>
      <c r="F27" s="137"/>
      <c r="G27" s="138"/>
      <c r="H27" s="139"/>
      <c r="I27" s="138"/>
      <c r="J27" s="152"/>
      <c r="K27" s="168"/>
      <c r="L27" s="169"/>
      <c r="M27" s="168"/>
      <c r="N27" s="169"/>
      <c r="O27" s="168"/>
      <c r="P27" s="169"/>
      <c r="Q27" s="168"/>
      <c r="R27" s="169"/>
      <c r="S27" s="168"/>
      <c r="T27" s="169"/>
      <c r="U27" s="168"/>
      <c r="V27" s="122"/>
      <c r="W27" s="122"/>
    </row>
    <row r="28" spans="1:27" ht="12" customHeight="1">
      <c r="A28" s="122"/>
      <c r="B28" s="137"/>
      <c r="C28" s="138"/>
      <c r="D28" s="137"/>
      <c r="E28" s="138"/>
      <c r="F28" s="137"/>
      <c r="G28" s="138"/>
      <c r="H28" s="139"/>
      <c r="I28" s="138"/>
      <c r="J28" s="152"/>
      <c r="K28" s="168"/>
      <c r="L28" s="169"/>
      <c r="M28" s="168"/>
      <c r="N28" s="169"/>
      <c r="O28" s="168"/>
      <c r="P28" s="169"/>
      <c r="Q28" s="168"/>
      <c r="R28" s="169"/>
      <c r="S28" s="168"/>
      <c r="T28" s="169"/>
      <c r="U28" s="168"/>
      <c r="V28" s="122"/>
      <c r="W28" s="122"/>
    </row>
    <row r="29" spans="1:27" ht="12" customHeight="1" thickBot="1">
      <c r="A29" s="141">
        <v>3</v>
      </c>
      <c r="B29" s="142"/>
      <c r="C29" s="143"/>
      <c r="D29" s="142"/>
      <c r="E29" s="143"/>
      <c r="F29" s="142"/>
      <c r="G29" s="143"/>
      <c r="H29" s="144"/>
      <c r="I29" s="143"/>
      <c r="J29" s="158"/>
      <c r="K29" s="170"/>
      <c r="L29" s="171"/>
      <c r="M29" s="170"/>
      <c r="N29" s="171"/>
      <c r="O29" s="170"/>
      <c r="P29" s="171"/>
      <c r="Q29" s="170"/>
      <c r="R29" s="171"/>
      <c r="S29" s="170"/>
      <c r="T29" s="171"/>
      <c r="U29" s="170"/>
      <c r="V29" s="122"/>
      <c r="W29" s="122"/>
    </row>
    <row r="30" spans="1:27" ht="12" customHeight="1">
      <c r="A30" s="122"/>
      <c r="B30" s="167"/>
      <c r="C30" s="166"/>
      <c r="D30" s="135"/>
      <c r="E30" s="134"/>
      <c r="F30" s="133"/>
      <c r="G30" s="134"/>
      <c r="H30" s="181"/>
      <c r="I30" s="173"/>
      <c r="J30" s="181"/>
      <c r="K30" s="173"/>
      <c r="L30" s="181"/>
      <c r="M30" s="173"/>
      <c r="N30" s="133"/>
      <c r="O30" s="134"/>
      <c r="P30" s="133"/>
      <c r="Q30" s="150"/>
      <c r="R30" s="151"/>
      <c r="S30" s="150"/>
      <c r="T30" s="135"/>
      <c r="U30" s="147"/>
      <c r="V30" s="122"/>
      <c r="W30" s="122"/>
    </row>
    <row r="31" spans="1:27" ht="12" customHeight="1">
      <c r="A31" s="122"/>
      <c r="B31" s="169"/>
      <c r="C31" s="168"/>
      <c r="D31" s="139"/>
      <c r="E31" s="138"/>
      <c r="F31" s="137"/>
      <c r="G31" s="138"/>
      <c r="H31" s="164"/>
      <c r="I31" s="182"/>
      <c r="J31" s="164"/>
      <c r="K31" s="182"/>
      <c r="L31" s="164"/>
      <c r="M31" s="138"/>
      <c r="N31" s="137"/>
      <c r="O31" s="138"/>
      <c r="P31" s="157"/>
      <c r="Q31" s="156"/>
      <c r="R31" s="157"/>
      <c r="S31" s="156"/>
      <c r="T31" s="139"/>
      <c r="U31" s="153"/>
      <c r="V31" s="122"/>
      <c r="W31" s="122"/>
    </row>
    <row r="32" spans="1:27" ht="12" customHeight="1">
      <c r="A32" s="122"/>
      <c r="B32" s="169"/>
      <c r="C32" s="168"/>
      <c r="D32" s="139"/>
      <c r="E32" s="138"/>
      <c r="F32" s="137"/>
      <c r="G32" s="138"/>
      <c r="H32" s="164"/>
      <c r="I32" s="182"/>
      <c r="J32" s="164"/>
      <c r="K32" s="182"/>
      <c r="L32" s="164"/>
      <c r="M32" s="138"/>
      <c r="N32" s="137"/>
      <c r="O32" s="138"/>
      <c r="P32" s="157"/>
      <c r="Q32" s="156"/>
      <c r="R32" s="157"/>
      <c r="S32" s="156"/>
      <c r="T32" s="139"/>
      <c r="U32" s="153"/>
      <c r="V32" s="122"/>
      <c r="W32" s="122"/>
    </row>
    <row r="33" spans="1:23" ht="12" customHeight="1">
      <c r="A33" s="122"/>
      <c r="B33" s="169"/>
      <c r="C33" s="140"/>
      <c r="D33" s="137"/>
      <c r="E33" s="138"/>
      <c r="F33" s="137"/>
      <c r="G33" s="138"/>
      <c r="H33" s="164"/>
      <c r="I33" s="182"/>
      <c r="J33" s="164"/>
      <c r="K33" s="182"/>
      <c r="L33" s="164"/>
      <c r="M33" s="138"/>
      <c r="N33" s="137"/>
      <c r="O33" s="138"/>
      <c r="P33" s="157"/>
      <c r="Q33" s="156"/>
      <c r="R33" s="157"/>
      <c r="S33" s="156"/>
      <c r="T33" s="139"/>
      <c r="U33" s="156"/>
      <c r="V33" s="122"/>
      <c r="W33" s="122"/>
    </row>
    <row r="34" spans="1:23" ht="12" customHeight="1" thickBot="1">
      <c r="A34" s="141">
        <v>4</v>
      </c>
      <c r="B34" s="171"/>
      <c r="C34" s="145"/>
      <c r="D34" s="142"/>
      <c r="E34" s="143"/>
      <c r="F34" s="142"/>
      <c r="G34" s="143"/>
      <c r="H34" s="165"/>
      <c r="I34" s="172"/>
      <c r="J34" s="165"/>
      <c r="K34" s="172"/>
      <c r="L34" s="165"/>
      <c r="M34" s="143"/>
      <c r="N34" s="142"/>
      <c r="O34" s="143"/>
      <c r="P34" s="163"/>
      <c r="Q34" s="162"/>
      <c r="R34" s="163"/>
      <c r="S34" s="145"/>
      <c r="T34" s="158"/>
      <c r="U34" s="162"/>
      <c r="V34" s="122"/>
      <c r="W34" s="122"/>
    </row>
    <row r="35" spans="1:23" ht="12" customHeight="1">
      <c r="A35" s="122"/>
      <c r="B35" s="151"/>
      <c r="C35" s="150"/>
      <c r="D35" s="151"/>
      <c r="E35" s="150"/>
      <c r="F35" s="181"/>
      <c r="G35" s="136"/>
      <c r="H35" s="133"/>
      <c r="I35" s="134"/>
      <c r="J35" s="133"/>
      <c r="K35" s="134"/>
      <c r="L35" s="133"/>
      <c r="M35" s="134"/>
      <c r="N35" s="133"/>
      <c r="O35" s="134"/>
      <c r="P35" s="133"/>
      <c r="Q35" s="134"/>
      <c r="R35" s="133"/>
      <c r="S35" s="134"/>
      <c r="T35" s="133"/>
      <c r="U35" s="134"/>
      <c r="V35" s="122"/>
      <c r="W35" s="122"/>
    </row>
    <row r="36" spans="1:23" ht="12" customHeight="1">
      <c r="A36" s="122"/>
      <c r="B36" s="157"/>
      <c r="C36" s="156"/>
      <c r="D36" s="157"/>
      <c r="E36" s="156"/>
      <c r="F36" s="139"/>
      <c r="G36" s="138"/>
      <c r="H36" s="137"/>
      <c r="I36" s="138"/>
      <c r="J36" s="137"/>
      <c r="K36" s="138"/>
      <c r="L36" s="137"/>
      <c r="M36" s="138"/>
      <c r="N36" s="137"/>
      <c r="O36" s="138"/>
      <c r="P36" s="137"/>
      <c r="Q36" s="138"/>
      <c r="R36" s="137"/>
      <c r="S36" s="138"/>
      <c r="T36" s="137"/>
      <c r="U36" s="138"/>
      <c r="V36" s="122"/>
      <c r="W36" s="122"/>
    </row>
    <row r="37" spans="1:23" ht="12" customHeight="1">
      <c r="A37" s="122"/>
      <c r="B37" s="157"/>
      <c r="C37" s="156"/>
      <c r="D37" s="157"/>
      <c r="E37" s="182"/>
      <c r="F37" s="139"/>
      <c r="G37" s="138"/>
      <c r="H37" s="137"/>
      <c r="I37" s="138"/>
      <c r="J37" s="137"/>
      <c r="K37" s="138"/>
      <c r="L37" s="137"/>
      <c r="M37" s="138"/>
      <c r="N37" s="137"/>
      <c r="O37" s="138"/>
      <c r="P37" s="137"/>
      <c r="Q37" s="138"/>
      <c r="R37" s="137"/>
      <c r="S37" s="138"/>
      <c r="T37" s="137"/>
      <c r="U37" s="138"/>
      <c r="V37" s="122"/>
      <c r="W37" s="122"/>
    </row>
    <row r="38" spans="1:23" ht="12" customHeight="1">
      <c r="A38" s="122"/>
      <c r="B38" s="157"/>
      <c r="C38" s="156"/>
      <c r="D38" s="157"/>
      <c r="E38" s="182"/>
      <c r="F38" s="139"/>
      <c r="G38" s="138"/>
      <c r="H38" s="137"/>
      <c r="I38" s="138"/>
      <c r="J38" s="137"/>
      <c r="K38" s="138"/>
      <c r="L38" s="137"/>
      <c r="M38" s="138"/>
      <c r="N38" s="137"/>
      <c r="O38" s="138"/>
      <c r="P38" s="137"/>
      <c r="Q38" s="138"/>
      <c r="R38" s="137"/>
      <c r="S38" s="138"/>
      <c r="T38" s="137"/>
      <c r="U38" s="138"/>
      <c r="V38" s="122"/>
      <c r="W38" s="122"/>
    </row>
    <row r="39" spans="1:23" ht="12" customHeight="1" thickBot="1">
      <c r="A39" s="141">
        <v>5</v>
      </c>
      <c r="B39" s="163"/>
      <c r="C39" s="162"/>
      <c r="D39" s="163"/>
      <c r="E39" s="172"/>
      <c r="F39" s="144"/>
      <c r="G39" s="143"/>
      <c r="H39" s="142"/>
      <c r="I39" s="143"/>
      <c r="J39" s="142"/>
      <c r="K39" s="143"/>
      <c r="L39" s="142"/>
      <c r="M39" s="143"/>
      <c r="N39" s="142"/>
      <c r="O39" s="143"/>
      <c r="P39" s="142"/>
      <c r="Q39" s="143"/>
      <c r="R39" s="142"/>
      <c r="S39" s="143"/>
      <c r="T39" s="142"/>
      <c r="U39" s="143"/>
      <c r="V39" s="122"/>
      <c r="W39" s="122"/>
    </row>
    <row r="40" spans="1:23" ht="12" customHeight="1">
      <c r="A40" s="122"/>
      <c r="B40" s="133"/>
      <c r="C40" s="134"/>
      <c r="D40" s="133"/>
      <c r="E40" s="134"/>
      <c r="F40" s="133"/>
      <c r="G40" s="134"/>
      <c r="H40" s="133"/>
      <c r="I40" s="134"/>
      <c r="J40" s="135"/>
      <c r="K40" s="134"/>
      <c r="L40" s="133"/>
      <c r="M40" s="134"/>
      <c r="N40" s="133"/>
      <c r="O40" s="134"/>
      <c r="P40" s="135"/>
      <c r="Q40" s="173"/>
      <c r="R40" s="181"/>
      <c r="S40" s="173"/>
      <c r="T40" s="181"/>
      <c r="U40" s="173"/>
      <c r="V40" s="122"/>
      <c r="W40" s="122"/>
    </row>
    <row r="41" spans="1:23" ht="12" customHeight="1">
      <c r="A41" s="122"/>
      <c r="B41" s="137"/>
      <c r="C41" s="138"/>
      <c r="D41" s="137"/>
      <c r="E41" s="138"/>
      <c r="F41" s="137"/>
      <c r="G41" s="138"/>
      <c r="H41" s="137"/>
      <c r="I41" s="138"/>
      <c r="J41" s="139"/>
      <c r="K41" s="138"/>
      <c r="L41" s="137"/>
      <c r="M41" s="138"/>
      <c r="N41" s="137"/>
      <c r="O41" s="156"/>
      <c r="P41" s="139"/>
      <c r="Q41" s="182"/>
      <c r="R41" s="164"/>
      <c r="S41" s="182"/>
      <c r="T41" s="164"/>
      <c r="U41" s="182"/>
      <c r="V41" s="122"/>
      <c r="W41" s="122"/>
    </row>
    <row r="42" spans="1:23" ht="12" customHeight="1">
      <c r="A42" s="122"/>
      <c r="B42" s="137"/>
      <c r="C42" s="138"/>
      <c r="D42" s="137"/>
      <c r="E42" s="138"/>
      <c r="F42" s="137"/>
      <c r="G42" s="138"/>
      <c r="H42" s="137"/>
      <c r="I42" s="138"/>
      <c r="J42" s="139"/>
      <c r="K42" s="138"/>
      <c r="L42" s="137"/>
      <c r="M42" s="138"/>
      <c r="N42" s="137"/>
      <c r="O42" s="156"/>
      <c r="P42" s="139"/>
      <c r="Q42" s="182"/>
      <c r="R42" s="164"/>
      <c r="S42" s="182"/>
      <c r="T42" s="164"/>
      <c r="U42" s="182"/>
      <c r="V42" s="122"/>
      <c r="W42" s="122"/>
    </row>
    <row r="43" spans="1:23" ht="12" customHeight="1">
      <c r="A43" s="122"/>
      <c r="B43" s="137"/>
      <c r="C43" s="138"/>
      <c r="D43" s="137"/>
      <c r="E43" s="138"/>
      <c r="F43" s="137"/>
      <c r="G43" s="138"/>
      <c r="H43" s="137"/>
      <c r="I43" s="138"/>
      <c r="J43" s="139"/>
      <c r="K43" s="138"/>
      <c r="L43" s="137"/>
      <c r="M43" s="138"/>
      <c r="N43" s="137"/>
      <c r="O43" s="156"/>
      <c r="P43" s="139"/>
      <c r="Q43" s="182"/>
      <c r="R43" s="164"/>
      <c r="S43" s="182"/>
      <c r="T43" s="164"/>
      <c r="U43" s="182"/>
      <c r="V43" s="122"/>
      <c r="W43" s="122"/>
    </row>
    <row r="44" spans="1:23" ht="12" customHeight="1" thickBot="1">
      <c r="A44" s="141">
        <v>6</v>
      </c>
      <c r="B44" s="142"/>
      <c r="C44" s="143"/>
      <c r="D44" s="142"/>
      <c r="E44" s="143"/>
      <c r="F44" s="142"/>
      <c r="G44" s="143"/>
      <c r="H44" s="142"/>
      <c r="I44" s="145"/>
      <c r="J44" s="142"/>
      <c r="K44" s="143"/>
      <c r="L44" s="142"/>
      <c r="M44" s="143"/>
      <c r="N44" s="142"/>
      <c r="O44" s="162"/>
      <c r="P44" s="144"/>
      <c r="Q44" s="172"/>
      <c r="R44" s="165"/>
      <c r="S44" s="172"/>
      <c r="T44" s="165"/>
      <c r="U44" s="172"/>
      <c r="V44" s="122"/>
      <c r="W44" s="122"/>
    </row>
    <row r="45" spans="1:23" ht="12" customHeight="1">
      <c r="A45" s="122"/>
      <c r="B45" s="181"/>
      <c r="C45" s="173"/>
      <c r="D45" s="181"/>
      <c r="E45" s="134"/>
      <c r="F45" s="133"/>
      <c r="G45" s="134"/>
      <c r="H45" s="133"/>
      <c r="I45" s="147"/>
      <c r="J45" s="146"/>
      <c r="K45" s="136"/>
      <c r="L45" s="133"/>
      <c r="M45" s="136"/>
      <c r="N45" s="133"/>
      <c r="O45" s="136"/>
      <c r="P45" s="146"/>
      <c r="Q45" s="134"/>
      <c r="R45" s="133"/>
      <c r="S45" s="136"/>
      <c r="T45" s="133"/>
      <c r="U45" s="134"/>
      <c r="V45" s="122"/>
      <c r="W45" s="122"/>
    </row>
    <row r="46" spans="1:23" ht="12" customHeight="1">
      <c r="A46" s="122"/>
      <c r="B46" s="164"/>
      <c r="C46" s="182"/>
      <c r="D46" s="164"/>
      <c r="E46" s="138"/>
      <c r="F46" s="137"/>
      <c r="G46" s="138"/>
      <c r="H46" s="137"/>
      <c r="I46" s="153"/>
      <c r="J46" s="152"/>
      <c r="K46" s="140"/>
      <c r="L46" s="137"/>
      <c r="M46" s="140"/>
      <c r="N46" s="137"/>
      <c r="O46" s="140"/>
      <c r="P46" s="152"/>
      <c r="Q46" s="138"/>
      <c r="R46" s="137"/>
      <c r="S46" s="140"/>
      <c r="T46" s="137"/>
      <c r="U46" s="138"/>
      <c r="V46" s="122"/>
      <c r="W46" s="122"/>
    </row>
    <row r="47" spans="1:23" ht="12" customHeight="1">
      <c r="A47" s="122"/>
      <c r="B47" s="164"/>
      <c r="C47" s="182"/>
      <c r="D47" s="164"/>
      <c r="E47" s="138"/>
      <c r="F47" s="137"/>
      <c r="G47" s="138"/>
      <c r="H47" s="137"/>
      <c r="I47" s="153"/>
      <c r="J47" s="152"/>
      <c r="K47" s="140"/>
      <c r="L47" s="139"/>
      <c r="M47" s="138"/>
      <c r="N47" s="169"/>
      <c r="O47" s="140"/>
      <c r="P47" s="152"/>
      <c r="Q47" s="138"/>
      <c r="R47" s="137"/>
      <c r="S47" s="140"/>
      <c r="T47" s="137"/>
      <c r="U47" s="138"/>
      <c r="V47" s="122"/>
      <c r="W47" s="122"/>
    </row>
    <row r="48" spans="1:23" ht="12" customHeight="1">
      <c r="A48" s="122"/>
      <c r="B48" s="164"/>
      <c r="C48" s="182"/>
      <c r="D48" s="164"/>
      <c r="E48" s="138"/>
      <c r="F48" s="137"/>
      <c r="G48" s="138"/>
      <c r="H48" s="137"/>
      <c r="I48" s="153"/>
      <c r="J48" s="152"/>
      <c r="K48" s="140"/>
      <c r="L48" s="139"/>
      <c r="M48" s="138"/>
      <c r="N48" s="169"/>
      <c r="O48" s="140"/>
      <c r="P48" s="152"/>
      <c r="Q48" s="138"/>
      <c r="R48" s="137"/>
      <c r="S48" s="140"/>
      <c r="T48" s="137"/>
      <c r="U48" s="140"/>
      <c r="V48" s="122"/>
      <c r="W48" s="122"/>
    </row>
    <row r="49" spans="1:23" ht="12" customHeight="1" thickBot="1">
      <c r="A49" s="141">
        <v>7</v>
      </c>
      <c r="B49" s="165"/>
      <c r="C49" s="172"/>
      <c r="D49" s="165"/>
      <c r="E49" s="143"/>
      <c r="F49" s="142"/>
      <c r="G49" s="143"/>
      <c r="H49" s="142"/>
      <c r="I49" s="159"/>
      <c r="J49" s="158"/>
      <c r="K49" s="145"/>
      <c r="L49" s="144"/>
      <c r="M49" s="143"/>
      <c r="N49" s="144"/>
      <c r="O49" s="159"/>
      <c r="P49" s="158"/>
      <c r="Q49" s="143"/>
      <c r="R49" s="142"/>
      <c r="S49" s="145"/>
      <c r="T49" s="142"/>
      <c r="U49" s="145"/>
      <c r="V49" s="122"/>
      <c r="W49" s="122"/>
    </row>
    <row r="50" spans="1:23" ht="12" customHeight="1">
      <c r="A50" s="122"/>
      <c r="B50" s="135"/>
      <c r="C50" s="134"/>
      <c r="D50" s="133"/>
      <c r="E50" s="134"/>
      <c r="F50" s="133"/>
      <c r="G50" s="134"/>
      <c r="H50" s="133"/>
      <c r="I50" s="134"/>
      <c r="J50" s="133"/>
      <c r="K50" s="134"/>
      <c r="L50" s="133"/>
      <c r="M50" s="134"/>
      <c r="N50" s="133"/>
      <c r="O50" s="134"/>
      <c r="P50" s="135"/>
      <c r="Q50" s="150"/>
      <c r="R50" s="151"/>
      <c r="S50" s="150"/>
      <c r="T50" s="157"/>
      <c r="U50" s="150"/>
      <c r="V50" s="122"/>
      <c r="W50" s="122"/>
    </row>
    <row r="51" spans="1:23" ht="12" customHeight="1">
      <c r="A51" s="122"/>
      <c r="B51" s="139"/>
      <c r="C51" s="138"/>
      <c r="D51" s="137"/>
      <c r="E51" s="138"/>
      <c r="F51" s="137"/>
      <c r="G51" s="138"/>
      <c r="H51" s="137"/>
      <c r="I51" s="138"/>
      <c r="J51" s="137"/>
      <c r="K51" s="138"/>
      <c r="L51" s="137"/>
      <c r="M51" s="138"/>
      <c r="N51" s="137"/>
      <c r="O51" s="140"/>
      <c r="P51" s="157"/>
      <c r="Q51" s="156"/>
      <c r="R51" s="157"/>
      <c r="S51" s="156"/>
      <c r="T51" s="157"/>
      <c r="U51" s="156"/>
      <c r="V51" s="122"/>
      <c r="W51" s="122"/>
    </row>
    <row r="52" spans="1:23" ht="12" customHeight="1">
      <c r="A52" s="122"/>
      <c r="B52" s="139"/>
      <c r="C52" s="138"/>
      <c r="D52" s="137"/>
      <c r="E52" s="138"/>
      <c r="F52" s="137"/>
      <c r="G52" s="138"/>
      <c r="H52" s="137"/>
      <c r="I52" s="138"/>
      <c r="J52" s="137"/>
      <c r="K52" s="138"/>
      <c r="L52" s="137"/>
      <c r="M52" s="138"/>
      <c r="N52" s="137"/>
      <c r="O52" s="140"/>
      <c r="P52" s="157"/>
      <c r="Q52" s="156"/>
      <c r="R52" s="157"/>
      <c r="S52" s="156"/>
      <c r="T52" s="157"/>
      <c r="U52" s="156"/>
      <c r="V52" s="122"/>
      <c r="W52" s="122"/>
    </row>
    <row r="53" spans="1:23" ht="12" customHeight="1">
      <c r="A53" s="122"/>
      <c r="B53" s="137"/>
      <c r="C53" s="138"/>
      <c r="D53" s="137"/>
      <c r="E53" s="138"/>
      <c r="F53" s="137"/>
      <c r="G53" s="138"/>
      <c r="H53" s="137"/>
      <c r="I53" s="138"/>
      <c r="J53" s="137"/>
      <c r="K53" s="138"/>
      <c r="L53" s="137"/>
      <c r="M53" s="138"/>
      <c r="N53" s="137"/>
      <c r="O53" s="140"/>
      <c r="P53" s="157"/>
      <c r="Q53" s="156"/>
      <c r="R53" s="157"/>
      <c r="S53" s="156"/>
      <c r="T53" s="157"/>
      <c r="U53" s="156"/>
      <c r="V53" s="122"/>
      <c r="W53" s="122"/>
    </row>
    <row r="54" spans="1:23" ht="12" customHeight="1" thickBot="1">
      <c r="A54" s="141">
        <v>8</v>
      </c>
      <c r="B54" s="142"/>
      <c r="C54" s="143"/>
      <c r="D54" s="142"/>
      <c r="E54" s="143"/>
      <c r="F54" s="142"/>
      <c r="G54" s="143"/>
      <c r="H54" s="142"/>
      <c r="I54" s="143"/>
      <c r="J54" s="142"/>
      <c r="K54" s="143"/>
      <c r="L54" s="142"/>
      <c r="M54" s="143"/>
      <c r="N54" s="142"/>
      <c r="O54" s="145"/>
      <c r="P54" s="163"/>
      <c r="Q54" s="162"/>
      <c r="R54" s="163"/>
      <c r="S54" s="162"/>
      <c r="T54" s="163"/>
      <c r="U54" s="162"/>
      <c r="V54" s="122"/>
      <c r="W54" s="122"/>
    </row>
    <row r="55" spans="1:23" ht="12" customHeight="1">
      <c r="A55" s="122"/>
      <c r="B55" s="151"/>
      <c r="C55" s="150"/>
      <c r="D55" s="151"/>
      <c r="E55" s="150"/>
      <c r="F55" s="151"/>
      <c r="G55" s="136"/>
      <c r="H55" s="133"/>
      <c r="I55" s="134"/>
      <c r="J55" s="133"/>
      <c r="K55" s="134"/>
      <c r="L55" s="133"/>
      <c r="M55" s="134"/>
      <c r="N55" s="135"/>
      <c r="O55" s="148"/>
      <c r="P55" s="149"/>
      <c r="Q55" s="148"/>
      <c r="R55" s="149"/>
      <c r="S55" s="148"/>
      <c r="T55" s="149"/>
      <c r="U55" s="134"/>
      <c r="V55" s="122"/>
      <c r="W55" s="122"/>
    </row>
    <row r="56" spans="1:23" ht="12" customHeight="1">
      <c r="A56" s="122"/>
      <c r="B56" s="157"/>
      <c r="C56" s="156"/>
      <c r="D56" s="157"/>
      <c r="E56" s="156"/>
      <c r="F56" s="139"/>
      <c r="G56" s="154"/>
      <c r="H56" s="137"/>
      <c r="I56" s="138"/>
      <c r="J56" s="137"/>
      <c r="K56" s="138"/>
      <c r="L56" s="137"/>
      <c r="M56" s="138"/>
      <c r="N56" s="139"/>
      <c r="O56" s="154"/>
      <c r="P56" s="155"/>
      <c r="Q56" s="154"/>
      <c r="R56" s="155"/>
      <c r="S56" s="154"/>
      <c r="T56" s="155"/>
      <c r="U56" s="138"/>
      <c r="V56" s="122"/>
      <c r="W56" s="122"/>
    </row>
    <row r="57" spans="1:23" ht="12" customHeight="1">
      <c r="A57" s="122"/>
      <c r="B57" s="157"/>
      <c r="C57" s="156"/>
      <c r="D57" s="157"/>
      <c r="E57" s="156"/>
      <c r="F57" s="139"/>
      <c r="G57" s="154"/>
      <c r="H57" s="137"/>
      <c r="I57" s="138"/>
      <c r="J57" s="137"/>
      <c r="K57" s="138"/>
      <c r="L57" s="137"/>
      <c r="M57" s="138"/>
      <c r="N57" s="139"/>
      <c r="O57" s="154"/>
      <c r="P57" s="155"/>
      <c r="Q57" s="154"/>
      <c r="R57" s="155"/>
      <c r="S57" s="154"/>
      <c r="T57" s="155"/>
      <c r="U57" s="168"/>
      <c r="V57" s="122"/>
      <c r="W57" s="122"/>
    </row>
    <row r="58" spans="1:23" ht="12" customHeight="1">
      <c r="A58" s="122"/>
      <c r="B58" s="157"/>
      <c r="C58" s="156"/>
      <c r="D58" s="157"/>
      <c r="E58" s="156"/>
      <c r="F58" s="139"/>
      <c r="G58" s="138"/>
      <c r="H58" s="137"/>
      <c r="I58" s="138"/>
      <c r="J58" s="137"/>
      <c r="K58" s="138"/>
      <c r="L58" s="137"/>
      <c r="M58" s="140"/>
      <c r="N58" s="155"/>
      <c r="O58" s="154"/>
      <c r="P58" s="155"/>
      <c r="Q58" s="154"/>
      <c r="R58" s="155"/>
      <c r="S58" s="154"/>
      <c r="T58" s="137"/>
      <c r="U58" s="168"/>
      <c r="V58" s="122"/>
      <c r="W58" s="122"/>
    </row>
    <row r="59" spans="1:23" ht="12" customHeight="1" thickBot="1">
      <c r="A59" s="141">
        <v>9</v>
      </c>
      <c r="B59" s="163"/>
      <c r="C59" s="162"/>
      <c r="D59" s="163"/>
      <c r="E59" s="162"/>
      <c r="F59" s="144"/>
      <c r="G59" s="143"/>
      <c r="H59" s="142"/>
      <c r="I59" s="143"/>
      <c r="J59" s="142"/>
      <c r="K59" s="143"/>
      <c r="L59" s="142"/>
      <c r="M59" s="145"/>
      <c r="N59" s="161"/>
      <c r="O59" s="160"/>
      <c r="P59" s="161"/>
      <c r="Q59" s="160"/>
      <c r="R59" s="161"/>
      <c r="S59" s="160"/>
      <c r="T59" s="142"/>
      <c r="U59" s="170"/>
      <c r="V59" s="122"/>
      <c r="W59" s="122"/>
    </row>
    <row r="60" spans="1:23" ht="12" customHeight="1">
      <c r="A60" s="122"/>
      <c r="B60" s="167"/>
      <c r="C60" s="166"/>
      <c r="D60" s="167"/>
      <c r="E60" s="166"/>
      <c r="F60" s="167"/>
      <c r="G60" s="166"/>
      <c r="H60" s="146"/>
      <c r="I60" s="147"/>
      <c r="J60" s="146"/>
      <c r="K60" s="183"/>
      <c r="L60" s="184"/>
      <c r="M60" s="183"/>
      <c r="N60" s="149"/>
      <c r="O60" s="147"/>
      <c r="P60" s="146"/>
      <c r="Q60" s="134"/>
      <c r="R60" s="133"/>
      <c r="S60" s="134"/>
      <c r="T60" s="146"/>
      <c r="U60" s="147"/>
      <c r="V60" s="122"/>
      <c r="W60" s="122"/>
    </row>
    <row r="61" spans="1:23" ht="12" customHeight="1">
      <c r="A61" s="122"/>
      <c r="B61" s="169"/>
      <c r="C61" s="168"/>
      <c r="D61" s="169"/>
      <c r="E61" s="168"/>
      <c r="F61" s="169"/>
      <c r="G61" s="168"/>
      <c r="H61" s="152"/>
      <c r="I61" s="153"/>
      <c r="J61" s="152"/>
      <c r="K61" s="186"/>
      <c r="L61" s="185"/>
      <c r="M61" s="186"/>
      <c r="N61" s="155"/>
      <c r="O61" s="153"/>
      <c r="P61" s="152"/>
      <c r="Q61" s="138"/>
      <c r="R61" s="137"/>
      <c r="S61" s="138"/>
      <c r="T61" s="152"/>
      <c r="U61" s="153"/>
      <c r="V61" s="122"/>
      <c r="W61" s="122"/>
    </row>
    <row r="62" spans="1:23" ht="12" customHeight="1">
      <c r="A62" s="122"/>
      <c r="B62" s="169"/>
      <c r="C62" s="168"/>
      <c r="D62" s="169"/>
      <c r="E62" s="168"/>
      <c r="F62" s="169"/>
      <c r="G62" s="153"/>
      <c r="H62" s="152"/>
      <c r="I62" s="153"/>
      <c r="J62" s="152"/>
      <c r="K62" s="186"/>
      <c r="L62" s="185"/>
      <c r="M62" s="186"/>
      <c r="N62" s="155"/>
      <c r="O62" s="153"/>
      <c r="P62" s="152"/>
      <c r="Q62" s="138"/>
      <c r="R62" s="137"/>
      <c r="S62" s="138"/>
      <c r="T62" s="152"/>
      <c r="U62" s="153"/>
      <c r="V62" s="122"/>
      <c r="W62" s="122"/>
    </row>
    <row r="63" spans="1:23" ht="12" customHeight="1">
      <c r="A63" s="122"/>
      <c r="B63" s="169"/>
      <c r="C63" s="168"/>
      <c r="D63" s="169"/>
      <c r="E63" s="168"/>
      <c r="F63" s="169"/>
      <c r="G63" s="153"/>
      <c r="H63" s="152"/>
      <c r="I63" s="153"/>
      <c r="J63" s="152"/>
      <c r="K63" s="186"/>
      <c r="L63" s="185"/>
      <c r="M63" s="154"/>
      <c r="N63" s="152"/>
      <c r="O63" s="153"/>
      <c r="P63" s="152"/>
      <c r="Q63" s="138"/>
      <c r="R63" s="137"/>
      <c r="S63" s="138"/>
      <c r="T63" s="137"/>
      <c r="U63" s="153"/>
      <c r="V63" s="122"/>
      <c r="W63" s="122"/>
    </row>
    <row r="64" spans="1:23" ht="12" customHeight="1" thickBot="1">
      <c r="A64" s="141">
        <v>10</v>
      </c>
      <c r="B64" s="171"/>
      <c r="C64" s="170"/>
      <c r="D64" s="171"/>
      <c r="E64" s="170"/>
      <c r="F64" s="171"/>
      <c r="G64" s="159"/>
      <c r="H64" s="158"/>
      <c r="I64" s="159"/>
      <c r="J64" s="187"/>
      <c r="K64" s="188"/>
      <c r="L64" s="187"/>
      <c r="M64" s="160"/>
      <c r="N64" s="158"/>
      <c r="O64" s="159"/>
      <c r="P64" s="142"/>
      <c r="Q64" s="143"/>
      <c r="R64" s="142"/>
      <c r="S64" s="143"/>
      <c r="T64" s="142"/>
      <c r="U64" s="159"/>
      <c r="V64" s="122"/>
      <c r="W64" s="122"/>
    </row>
    <row r="65" spans="1:23" ht="12" customHeight="1">
      <c r="A65" s="122"/>
      <c r="B65" s="146"/>
      <c r="C65" s="148"/>
      <c r="D65" s="149"/>
      <c r="E65" s="148"/>
      <c r="F65" s="149"/>
      <c r="G65" s="148"/>
      <c r="H65" s="149"/>
      <c r="I65" s="134"/>
      <c r="J65" s="133"/>
      <c r="K65" s="134"/>
      <c r="L65" s="133"/>
      <c r="M65" s="136"/>
      <c r="N65" s="135"/>
      <c r="O65" s="134"/>
      <c r="P65" s="133"/>
      <c r="Q65" s="134"/>
      <c r="R65" s="133"/>
      <c r="S65" s="173"/>
      <c r="T65" s="181"/>
      <c r="U65" s="173"/>
      <c r="V65" s="122"/>
      <c r="W65" s="122"/>
    </row>
    <row r="66" spans="1:23" ht="12" customHeight="1">
      <c r="A66" s="122"/>
      <c r="B66" s="155"/>
      <c r="C66" s="154"/>
      <c r="D66" s="155"/>
      <c r="E66" s="154"/>
      <c r="F66" s="155"/>
      <c r="G66" s="154"/>
      <c r="H66" s="137"/>
      <c r="I66" s="138"/>
      <c r="J66" s="137"/>
      <c r="K66" s="138"/>
      <c r="L66" s="137"/>
      <c r="M66" s="140"/>
      <c r="N66" s="139"/>
      <c r="O66" s="138"/>
      <c r="P66" s="137"/>
      <c r="Q66" s="138"/>
      <c r="R66" s="137"/>
      <c r="S66" s="182"/>
      <c r="T66" s="164"/>
      <c r="U66" s="182"/>
      <c r="V66" s="122"/>
      <c r="W66" s="122"/>
    </row>
    <row r="67" spans="1:23" ht="12" customHeight="1">
      <c r="A67" s="122"/>
      <c r="B67" s="155"/>
      <c r="C67" s="154"/>
      <c r="D67" s="155"/>
      <c r="E67" s="154"/>
      <c r="F67" s="155"/>
      <c r="G67" s="154"/>
      <c r="H67" s="137"/>
      <c r="I67" s="138"/>
      <c r="J67" s="190"/>
      <c r="K67" s="138"/>
      <c r="L67" s="190"/>
      <c r="M67" s="138"/>
      <c r="N67" s="139"/>
      <c r="O67" s="138"/>
      <c r="P67" s="137"/>
      <c r="Q67" s="138"/>
      <c r="R67" s="137"/>
      <c r="S67" s="182"/>
      <c r="T67" s="164"/>
      <c r="U67" s="182"/>
      <c r="V67" s="122"/>
      <c r="W67" s="122"/>
    </row>
    <row r="68" spans="1:23" ht="12" customHeight="1">
      <c r="A68" s="122"/>
      <c r="B68" s="155"/>
      <c r="C68" s="154"/>
      <c r="D68" s="155"/>
      <c r="E68" s="154"/>
      <c r="F68" s="155"/>
      <c r="G68" s="154"/>
      <c r="H68" s="137"/>
      <c r="I68" s="138"/>
      <c r="J68" s="137"/>
      <c r="K68" s="138"/>
      <c r="L68" s="137"/>
      <c r="M68" s="138"/>
      <c r="N68" s="139"/>
      <c r="O68" s="138"/>
      <c r="P68" s="137"/>
      <c r="Q68" s="138"/>
      <c r="R68" s="164"/>
      <c r="S68" s="182"/>
      <c r="T68" s="164"/>
      <c r="U68" s="182"/>
      <c r="V68" s="122"/>
      <c r="W68" s="122"/>
    </row>
    <row r="69" spans="1:23" ht="12" customHeight="1" thickBot="1">
      <c r="A69" s="141">
        <v>11</v>
      </c>
      <c r="B69" s="161"/>
      <c r="C69" s="160"/>
      <c r="D69" s="161"/>
      <c r="E69" s="160"/>
      <c r="F69" s="161"/>
      <c r="G69" s="160"/>
      <c r="H69" s="142"/>
      <c r="I69" s="143"/>
      <c r="J69" s="137"/>
      <c r="K69" s="143"/>
      <c r="L69" s="137"/>
      <c r="M69" s="143"/>
      <c r="N69" s="144"/>
      <c r="O69" s="143"/>
      <c r="P69" s="142"/>
      <c r="Q69" s="143"/>
      <c r="R69" s="165"/>
      <c r="S69" s="172"/>
      <c r="T69" s="165"/>
      <c r="U69" s="172"/>
      <c r="V69" s="122"/>
      <c r="W69" s="122"/>
    </row>
    <row r="70" spans="1:23" ht="12" customHeight="1">
      <c r="A70" s="122"/>
      <c r="B70" s="135"/>
      <c r="C70" s="136"/>
      <c r="D70" s="133"/>
      <c r="E70" s="134"/>
      <c r="F70" s="133"/>
      <c r="G70" s="147"/>
      <c r="H70" s="146"/>
      <c r="I70" s="147"/>
      <c r="J70" s="146"/>
      <c r="K70" s="166"/>
      <c r="L70" s="133"/>
      <c r="M70" s="136"/>
      <c r="N70" s="133"/>
      <c r="O70" s="134"/>
      <c r="P70" s="146"/>
      <c r="Q70" s="147"/>
      <c r="R70" s="146"/>
      <c r="S70" s="136"/>
      <c r="T70" s="133"/>
      <c r="U70" s="134"/>
      <c r="V70" s="122"/>
      <c r="W70" s="122"/>
    </row>
    <row r="71" spans="1:23" ht="12" customHeight="1">
      <c r="A71" s="122"/>
      <c r="B71" s="139"/>
      <c r="C71" s="140"/>
      <c r="D71" s="137"/>
      <c r="E71" s="138"/>
      <c r="F71" s="152"/>
      <c r="G71" s="153"/>
      <c r="H71" s="152"/>
      <c r="I71" s="153"/>
      <c r="J71" s="152"/>
      <c r="K71" s="168"/>
      <c r="L71" s="137"/>
      <c r="M71" s="140"/>
      <c r="N71" s="137"/>
      <c r="O71" s="138"/>
      <c r="P71" s="152"/>
      <c r="Q71" s="153"/>
      <c r="R71" s="152"/>
      <c r="S71" s="140"/>
      <c r="T71" s="137"/>
      <c r="U71" s="138"/>
      <c r="V71" s="122"/>
      <c r="W71" s="122"/>
    </row>
    <row r="72" spans="1:23" ht="12" customHeight="1">
      <c r="A72" s="122"/>
      <c r="B72" s="139"/>
      <c r="C72" s="140"/>
      <c r="D72" s="137"/>
      <c r="E72" s="138"/>
      <c r="F72" s="152"/>
      <c r="G72" s="153"/>
      <c r="H72" s="152"/>
      <c r="I72" s="153"/>
      <c r="J72" s="169"/>
      <c r="K72" s="168"/>
      <c r="L72" s="137"/>
      <c r="M72" s="140"/>
      <c r="N72" s="137"/>
      <c r="O72" s="138"/>
      <c r="P72" s="152"/>
      <c r="Q72" s="153"/>
      <c r="R72" s="152"/>
      <c r="S72" s="140"/>
      <c r="T72" s="137"/>
      <c r="U72" s="177"/>
      <c r="V72" s="122"/>
      <c r="W72" s="122"/>
    </row>
    <row r="73" spans="1:23" ht="12" customHeight="1">
      <c r="A73" s="122"/>
      <c r="B73" s="139"/>
      <c r="C73" s="140"/>
      <c r="D73" s="137"/>
      <c r="E73" s="138"/>
      <c r="F73" s="152"/>
      <c r="G73" s="153"/>
      <c r="H73" s="152"/>
      <c r="I73" s="153"/>
      <c r="J73" s="169"/>
      <c r="K73" s="168"/>
      <c r="L73" s="139"/>
      <c r="M73" s="138"/>
      <c r="N73" s="137"/>
      <c r="O73" s="138"/>
      <c r="P73" s="152"/>
      <c r="Q73" s="153"/>
      <c r="R73" s="152"/>
      <c r="S73" s="140"/>
      <c r="T73" s="137"/>
      <c r="U73" s="177"/>
      <c r="V73" s="122"/>
      <c r="W73" s="122"/>
    </row>
    <row r="74" spans="1:23" ht="12" customHeight="1" thickBot="1">
      <c r="A74" s="141">
        <v>12</v>
      </c>
      <c r="B74" s="144"/>
      <c r="C74" s="145"/>
      <c r="D74" s="142"/>
      <c r="E74" s="143"/>
      <c r="F74" s="158"/>
      <c r="G74" s="159"/>
      <c r="H74" s="158"/>
      <c r="I74" s="159"/>
      <c r="J74" s="171"/>
      <c r="K74" s="170"/>
      <c r="L74" s="144"/>
      <c r="M74" s="143"/>
      <c r="N74" s="142"/>
      <c r="O74" s="143"/>
      <c r="P74" s="158"/>
      <c r="Q74" s="159"/>
      <c r="R74" s="158"/>
      <c r="S74" s="145"/>
      <c r="T74" s="142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HYPERLINK("#'5월'!A1","← 5월 월간 가계부로 돌아가기")</f>
        <v>← 5월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1197000</v>
      </c>
      <c r="J149" s="433"/>
      <c r="K149" s="433"/>
      <c r="L149" s="433"/>
      <c r="M149" s="433"/>
      <c r="N149" s="365"/>
      <c r="O149" s="362" t="b">
        <f>IF('5월'!AA1,I149=('5월'!M28),"미입력")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1048000</v>
      </c>
      <c r="J150" s="433"/>
      <c r="K150" s="433"/>
      <c r="L150" s="433"/>
      <c r="M150" s="433"/>
      <c r="N150" s="365"/>
      <c r="O150" s="362" t="b">
        <f>IF('5월'!AA1,I150=('5월'!I38),"미입력")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149000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502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328</v>
      </c>
      <c r="L5" s="38" t="s">
        <v>503</v>
      </c>
      <c r="M5" s="34" t="s">
        <v>330</v>
      </c>
      <c r="N5" s="34" t="s">
        <v>331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332</v>
      </c>
      <c r="U5" s="34"/>
    </row>
    <row r="6" spans="1:27" ht="22" customHeight="1">
      <c r="A6" s="31" t="s">
        <v>223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333</v>
      </c>
      <c r="L6" s="31" t="s">
        <v>503</v>
      </c>
      <c r="M6" s="27" t="s">
        <v>330</v>
      </c>
      <c r="N6" s="27" t="s">
        <v>334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350</v>
      </c>
      <c r="L11" s="38" t="s">
        <v>504</v>
      </c>
      <c r="M11" s="34" t="s">
        <v>352</v>
      </c>
      <c r="N11" s="34" t="s">
        <v>353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505</v>
      </c>
      <c r="M12" s="27" t="s">
        <v>355</v>
      </c>
      <c r="N12" s="27" t="s">
        <v>356</v>
      </c>
      <c r="O12" s="35"/>
      <c r="P12" s="35"/>
      <c r="Q12" s="27" t="str">
        <f t="shared" si="0"/>
        <v/>
      </c>
      <c r="R12" s="27" t="str">
        <f t="shared" si="1"/>
        <v/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506</v>
      </c>
      <c r="T22" s="27" t="s">
        <v>383</v>
      </c>
      <c r="U22" s="27"/>
    </row>
    <row r="23" spans="1:22" ht="22" customHeight="1">
      <c r="A23" s="39" t="s">
        <v>384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507</v>
      </c>
      <c r="T23" s="34" t="s">
        <v>76</v>
      </c>
      <c r="U23" s="34"/>
    </row>
    <row r="24" spans="1:22" ht="22" customHeight="1">
      <c r="A24" s="31" t="s">
        <v>323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322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223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HYPERLINK("#'6월계산기'!A1","계산기 대조 · 6월계산기 열기")</f>
        <v>계산기 대조 · 6월계산기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1481000</v>
      </c>
      <c r="N28" s="365"/>
      <c r="O28" s="366" t="s">
        <v>212</v>
      </c>
      <c r="P28" s="365"/>
      <c r="Q28" s="364">
        <f>'6월계산기'!W12</f>
        <v>1481000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1481000</v>
      </c>
      <c r="N29" s="365"/>
      <c r="O29" s="366" t="s">
        <v>213</v>
      </c>
      <c r="P29" s="365"/>
      <c r="Q29" s="364">
        <f>'6월계산기'!W13</f>
        <v>1481000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39745</v>
      </c>
      <c r="N30" s="365"/>
      <c r="O30" s="366" t="s">
        <v>391</v>
      </c>
      <c r="P30" s="365"/>
      <c r="Q30" s="364">
        <f>SUM(I4,I9,I14,I19,I24,I29)-I33</f>
        <v>39745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'6월계산기'!W14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2785740</v>
      </c>
      <c r="D37" s="27"/>
      <c r="E37" s="27" t="s">
        <v>306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I33-_예비비계산!AG7</f>
        <v>1441255</v>
      </c>
      <c r="I38" s="27">
        <f>SUM(I4,I9,I14,I19,I24,I29)-_예비비계산!AH7</f>
        <v>1481000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2785740</v>
      </c>
      <c r="D41" s="27"/>
      <c r="E41" s="49" t="s">
        <v>411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402</v>
      </c>
      <c r="L42" s="38" t="s">
        <v>415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0</v>
      </c>
      <c r="I43" s="27">
        <f>H43</f>
        <v>0</v>
      </c>
      <c r="J43" s="12"/>
      <c r="K43" s="31" t="s">
        <v>402</v>
      </c>
      <c r="L43" s="31" t="s">
        <v>416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418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5">
        <v>46203</v>
      </c>
      <c r="B52" s="35" t="s">
        <v>431</v>
      </c>
      <c r="C52" s="35" t="s">
        <v>508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5">
        <f>RAW!A1402</f>
        <v>46202.663888888892</v>
      </c>
      <c r="B53" s="35" t="s">
        <v>480</v>
      </c>
      <c r="C53" s="35" t="s">
        <v>509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510</v>
      </c>
      <c r="J53" s="12"/>
      <c r="K53" s="50" t="s">
        <v>432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5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90000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5" bestFit="1" customWidth="1"/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511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509</v>
      </c>
      <c r="D3" s="120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509000</v>
      </c>
      <c r="AA3">
        <v>509</v>
      </c>
    </row>
    <row r="4" spans="1:27" ht="18" customHeight="1">
      <c r="A4" s="117" t="s">
        <v>453</v>
      </c>
      <c r="B4" s="125"/>
      <c r="C4" s="119">
        <f>IFERROR(colorfunction(B4,$B$15:$U$144,FALSE),$AA$4)</f>
        <v>160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160000</v>
      </c>
      <c r="AA4">
        <v>160</v>
      </c>
    </row>
    <row r="5" spans="1:27" ht="18" customHeight="1">
      <c r="A5" s="117" t="s">
        <v>454</v>
      </c>
      <c r="B5" s="127"/>
      <c r="C5" s="119">
        <f>IFERROR(colorfunction(B5,$B$15:$U$144,FALSE),$AA$5)</f>
        <v>293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293000</v>
      </c>
      <c r="AA5">
        <v>293</v>
      </c>
    </row>
    <row r="6" spans="1:27" ht="18" customHeight="1">
      <c r="A6" s="117" t="s">
        <v>455</v>
      </c>
      <c r="B6" s="128"/>
      <c r="C6" s="119">
        <f>IFERROR(colorfunction(B6,$B$15:$U$144,FALSE),$AA$6)</f>
        <v>160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160000</v>
      </c>
      <c r="AA6">
        <v>160</v>
      </c>
    </row>
    <row r="7" spans="1:27" ht="18" customHeight="1">
      <c r="A7" s="117" t="s">
        <v>456</v>
      </c>
      <c r="B7" s="129"/>
      <c r="C7" s="119">
        <f>IFERROR(colorfunction(B7,$B$15:$U$144,FALSE),$AA$7)</f>
        <v>81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81000</v>
      </c>
      <c r="AA7">
        <v>81</v>
      </c>
    </row>
    <row r="8" spans="1:27" ht="18" customHeight="1">
      <c r="A8" s="117" t="s">
        <v>457</v>
      </c>
      <c r="B8" s="130"/>
      <c r="C8" s="119">
        <f>IFERROR(colorfunction(B8,$B$15:$U$144,FALSE),$AA$8)</f>
        <v>0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0</v>
      </c>
      <c r="AA8">
        <v>0</v>
      </c>
    </row>
    <row r="9" spans="1:27" ht="18" customHeight="1">
      <c r="A9" s="117" t="s">
        <v>458</v>
      </c>
      <c r="B9" s="131"/>
      <c r="C9" s="119">
        <f>IFERROR(colorfunction(B9,$B$15:$U$144,FALSE),$AA$9)</f>
        <v>232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232000</v>
      </c>
      <c r="AA9">
        <v>232</v>
      </c>
    </row>
    <row r="10" spans="1:27" ht="18" customHeight="1">
      <c r="A10" s="117" t="s">
        <v>459</v>
      </c>
      <c r="B10" s="132"/>
      <c r="C10" s="119">
        <f>IFERROR(colorfunction(B10,$B$15:$U$144,FALSE),$AA$10)</f>
        <v>46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46000</v>
      </c>
      <c r="AA10">
        <v>46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1481000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1481000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0+_예비비계산!AH7</f>
        <v>0</v>
      </c>
    </row>
    <row r="15" spans="1:27" ht="12" customHeight="1">
      <c r="A15" s="122"/>
      <c r="B15" s="135"/>
      <c r="C15" s="134"/>
      <c r="D15" s="133"/>
      <c r="E15" s="136"/>
      <c r="F15" s="133"/>
      <c r="G15" s="134"/>
      <c r="H15" s="133"/>
      <c r="I15" s="134"/>
      <c r="J15" s="133"/>
      <c r="K15" s="134"/>
      <c r="L15" s="133"/>
      <c r="M15" s="134"/>
      <c r="N15" s="133"/>
      <c r="O15" s="134"/>
      <c r="P15" s="133"/>
      <c r="Q15" s="134"/>
      <c r="R15" s="146"/>
      <c r="S15" s="147"/>
      <c r="T15" s="146"/>
      <c r="U15" s="147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9"/>
      <c r="C16" s="138"/>
      <c r="D16" s="139"/>
      <c r="E16" s="138"/>
      <c r="F16" s="137"/>
      <c r="G16" s="138"/>
      <c r="H16" s="137"/>
      <c r="I16" s="138"/>
      <c r="J16" s="137"/>
      <c r="K16" s="138"/>
      <c r="L16" s="137"/>
      <c r="M16" s="138"/>
      <c r="N16" s="137"/>
      <c r="O16" s="138"/>
      <c r="P16" s="137"/>
      <c r="Q16" s="138"/>
      <c r="R16" s="152"/>
      <c r="S16" s="153"/>
      <c r="T16" s="152"/>
      <c r="U16" s="153"/>
      <c r="V16" s="299" t="s">
        <v>211</v>
      </c>
      <c r="W16" s="300">
        <f>SUM(W3:W10)</f>
        <v>1481000</v>
      </c>
    </row>
    <row r="17" spans="1:27" ht="12" customHeight="1">
      <c r="A17" s="122"/>
      <c r="B17" s="139"/>
      <c r="C17" s="138"/>
      <c r="D17" s="139"/>
      <c r="E17" s="138"/>
      <c r="F17" s="137"/>
      <c r="G17" s="138"/>
      <c r="H17" s="137"/>
      <c r="I17" s="138"/>
      <c r="J17" s="137"/>
      <c r="K17" s="138"/>
      <c r="L17" s="137"/>
      <c r="M17" s="138"/>
      <c r="N17" s="137"/>
      <c r="O17" s="138"/>
      <c r="P17" s="139"/>
      <c r="Q17" s="153"/>
      <c r="R17" s="152"/>
      <c r="S17" s="153"/>
      <c r="T17" s="152"/>
      <c r="U17" s="153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9"/>
      <c r="C18" s="138"/>
      <c r="D18" s="139"/>
      <c r="E18" s="138"/>
      <c r="F18" s="137"/>
      <c r="G18" s="138"/>
      <c r="H18" s="137"/>
      <c r="I18" s="138"/>
      <c r="J18" s="137"/>
      <c r="K18" s="138"/>
      <c r="L18" s="137"/>
      <c r="M18" s="138"/>
      <c r="N18" s="137"/>
      <c r="O18" s="140"/>
      <c r="P18" s="139"/>
      <c r="Q18" s="153"/>
      <c r="R18" s="152"/>
      <c r="S18" s="153"/>
      <c r="T18" s="152"/>
      <c r="U18" s="153"/>
      <c r="V18" s="122"/>
      <c r="W18" s="122"/>
    </row>
    <row r="19" spans="1:27" ht="12" customHeight="1" thickBot="1">
      <c r="A19" s="141">
        <v>1</v>
      </c>
      <c r="B19" s="144"/>
      <c r="C19" s="143"/>
      <c r="D19" s="144"/>
      <c r="E19" s="143"/>
      <c r="F19" s="142"/>
      <c r="G19" s="143"/>
      <c r="H19" s="142"/>
      <c r="I19" s="143"/>
      <c r="J19" s="142"/>
      <c r="K19" s="143"/>
      <c r="L19" s="142"/>
      <c r="M19" s="143"/>
      <c r="N19" s="142"/>
      <c r="O19" s="145"/>
      <c r="P19" s="144"/>
      <c r="Q19" s="159"/>
      <c r="R19" s="158"/>
      <c r="S19" s="159"/>
      <c r="T19" s="158"/>
      <c r="U19" s="159"/>
      <c r="V19" s="122"/>
      <c r="W19" s="122"/>
    </row>
    <row r="20" spans="1:27" ht="12" customHeight="1">
      <c r="A20" s="122"/>
      <c r="B20" s="146"/>
      <c r="C20" s="147"/>
      <c r="D20" s="146"/>
      <c r="E20" s="147"/>
      <c r="F20" s="133"/>
      <c r="G20" s="136"/>
      <c r="H20" s="133"/>
      <c r="I20" s="134"/>
      <c r="J20" s="135"/>
      <c r="K20" s="134"/>
      <c r="L20" s="133"/>
      <c r="M20" s="134"/>
      <c r="N20" s="133"/>
      <c r="O20" s="134"/>
      <c r="P20" s="181"/>
      <c r="Q20" s="173"/>
      <c r="R20" s="181"/>
      <c r="S20" s="173"/>
      <c r="T20" s="151"/>
      <c r="U20" s="183"/>
      <c r="V20" s="122"/>
      <c r="W20" s="122"/>
    </row>
    <row r="21" spans="1:27" ht="12" customHeight="1">
      <c r="A21" s="122"/>
      <c r="B21" s="152"/>
      <c r="C21" s="153"/>
      <c r="D21" s="152"/>
      <c r="E21" s="153"/>
      <c r="F21" s="137"/>
      <c r="G21" s="140"/>
      <c r="H21" s="137"/>
      <c r="I21" s="138"/>
      <c r="J21" s="139"/>
      <c r="K21" s="138"/>
      <c r="L21" s="137"/>
      <c r="M21" s="138"/>
      <c r="N21" s="137"/>
      <c r="O21" s="138"/>
      <c r="P21" s="164"/>
      <c r="Q21" s="182"/>
      <c r="R21" s="164"/>
      <c r="S21" s="182"/>
      <c r="T21" s="157"/>
      <c r="U21" s="186"/>
      <c r="V21" s="122"/>
      <c r="W21" s="122"/>
    </row>
    <row r="22" spans="1:27" ht="12" customHeight="1">
      <c r="A22" s="122"/>
      <c r="B22" s="152"/>
      <c r="C22" s="153"/>
      <c r="D22" s="152"/>
      <c r="E22" s="153"/>
      <c r="F22" s="139"/>
      <c r="G22" s="138"/>
      <c r="H22" s="137"/>
      <c r="I22" s="138"/>
      <c r="J22" s="139"/>
      <c r="K22" s="138"/>
      <c r="L22" s="137"/>
      <c r="M22" s="138"/>
      <c r="N22" s="137"/>
      <c r="O22" s="138"/>
      <c r="P22" s="139"/>
      <c r="Q22" s="182"/>
      <c r="R22" s="164"/>
      <c r="S22" s="182"/>
      <c r="T22" s="185"/>
      <c r="U22" s="186"/>
      <c r="V22" s="122"/>
      <c r="W22" s="122"/>
    </row>
    <row r="23" spans="1:27" ht="12" customHeight="1">
      <c r="A23" s="122"/>
      <c r="B23" s="152"/>
      <c r="C23" s="153"/>
      <c r="D23" s="152"/>
      <c r="E23" s="153"/>
      <c r="F23" s="139"/>
      <c r="G23" s="138"/>
      <c r="H23" s="137"/>
      <c r="I23" s="138"/>
      <c r="J23" s="139"/>
      <c r="K23" s="138"/>
      <c r="L23" s="137"/>
      <c r="M23" s="138"/>
      <c r="N23" s="137"/>
      <c r="O23" s="140"/>
      <c r="P23" s="139"/>
      <c r="Q23" s="182"/>
      <c r="R23" s="164"/>
      <c r="S23" s="182"/>
      <c r="T23" s="185"/>
      <c r="U23" s="186"/>
      <c r="V23" s="122"/>
      <c r="W23" s="122"/>
    </row>
    <row r="24" spans="1:27" ht="12" customHeight="1" thickBot="1">
      <c r="A24" s="141">
        <v>2</v>
      </c>
      <c r="B24" s="158"/>
      <c r="C24" s="159"/>
      <c r="D24" s="158"/>
      <c r="E24" s="143"/>
      <c r="F24" s="144"/>
      <c r="G24" s="143"/>
      <c r="H24" s="142"/>
      <c r="I24" s="145"/>
      <c r="J24" s="142"/>
      <c r="K24" s="143"/>
      <c r="L24" s="142"/>
      <c r="M24" s="143"/>
      <c r="N24" s="142"/>
      <c r="O24" s="145"/>
      <c r="P24" s="144"/>
      <c r="Q24" s="172"/>
      <c r="R24" s="165"/>
      <c r="S24" s="162"/>
      <c r="T24" s="187"/>
      <c r="U24" s="188"/>
      <c r="V24" s="122"/>
      <c r="W24" s="122"/>
    </row>
    <row r="25" spans="1:27" ht="12" customHeight="1">
      <c r="A25" s="122"/>
      <c r="B25" s="184"/>
      <c r="C25" s="183"/>
      <c r="D25" s="184"/>
      <c r="E25" s="183"/>
      <c r="F25" s="184"/>
      <c r="G25" s="183"/>
      <c r="H25" s="184"/>
      <c r="I25" s="183"/>
      <c r="J25" s="184"/>
      <c r="K25" s="136"/>
      <c r="L25" s="133"/>
      <c r="M25" s="134"/>
      <c r="N25" s="133"/>
      <c r="O25" s="134"/>
      <c r="P25" s="135"/>
      <c r="Q25" s="134"/>
      <c r="R25" s="133"/>
      <c r="S25" s="136"/>
      <c r="T25" s="135"/>
      <c r="U25" s="134"/>
      <c r="V25" s="122"/>
      <c r="W25" s="122"/>
    </row>
    <row r="26" spans="1:27" ht="12" customHeight="1">
      <c r="A26" s="122"/>
      <c r="B26" s="185"/>
      <c r="C26" s="186"/>
      <c r="D26" s="185"/>
      <c r="E26" s="186"/>
      <c r="F26" s="185"/>
      <c r="G26" s="186"/>
      <c r="H26" s="185"/>
      <c r="I26" s="186"/>
      <c r="J26" s="185"/>
      <c r="K26" s="140"/>
      <c r="L26" s="137"/>
      <c r="M26" s="138"/>
      <c r="N26" s="137"/>
      <c r="O26" s="138"/>
      <c r="P26" s="139"/>
      <c r="Q26" s="138"/>
      <c r="R26" s="137"/>
      <c r="S26" s="140"/>
      <c r="T26" s="139"/>
      <c r="U26" s="138"/>
      <c r="V26" s="122"/>
      <c r="W26" s="122"/>
    </row>
    <row r="27" spans="1:27" ht="12" customHeight="1">
      <c r="A27" s="122"/>
      <c r="B27" s="185"/>
      <c r="C27" s="186"/>
      <c r="D27" s="185"/>
      <c r="E27" s="186"/>
      <c r="F27" s="185"/>
      <c r="G27" s="186"/>
      <c r="H27" s="185"/>
      <c r="I27" s="186"/>
      <c r="J27" s="185"/>
      <c r="K27" s="140"/>
      <c r="L27" s="137"/>
      <c r="M27" s="138"/>
      <c r="N27" s="137"/>
      <c r="O27" s="138"/>
      <c r="P27" s="139"/>
      <c r="Q27" s="138"/>
      <c r="R27" s="137"/>
      <c r="S27" s="140"/>
      <c r="T27" s="139"/>
      <c r="U27" s="138"/>
      <c r="V27" s="122"/>
      <c r="W27" s="122"/>
    </row>
    <row r="28" spans="1:27" ht="12" customHeight="1">
      <c r="A28" s="122"/>
      <c r="B28" s="185"/>
      <c r="C28" s="186"/>
      <c r="D28" s="185"/>
      <c r="E28" s="186"/>
      <c r="F28" s="185"/>
      <c r="G28" s="186"/>
      <c r="H28" s="185"/>
      <c r="I28" s="186"/>
      <c r="J28" s="185"/>
      <c r="K28" s="140"/>
      <c r="L28" s="137"/>
      <c r="M28" s="138"/>
      <c r="N28" s="137"/>
      <c r="O28" s="140"/>
      <c r="P28" s="137"/>
      <c r="Q28" s="138"/>
      <c r="R28" s="137"/>
      <c r="S28" s="140"/>
      <c r="T28" s="139"/>
      <c r="U28" s="138"/>
      <c r="V28" s="122"/>
      <c r="W28" s="122"/>
    </row>
    <row r="29" spans="1:27" ht="12" customHeight="1" thickBot="1">
      <c r="A29" s="141">
        <v>3</v>
      </c>
      <c r="B29" s="187"/>
      <c r="C29" s="188"/>
      <c r="D29" s="187"/>
      <c r="E29" s="188"/>
      <c r="F29" s="187"/>
      <c r="G29" s="188"/>
      <c r="H29" s="187"/>
      <c r="I29" s="188"/>
      <c r="J29" s="144"/>
      <c r="K29" s="143"/>
      <c r="L29" s="142"/>
      <c r="M29" s="143"/>
      <c r="N29" s="142"/>
      <c r="O29" s="145"/>
      <c r="P29" s="142"/>
      <c r="Q29" s="143"/>
      <c r="R29" s="142"/>
      <c r="S29" s="145"/>
      <c r="T29" s="144"/>
      <c r="U29" s="143"/>
      <c r="V29" s="122"/>
      <c r="W29" s="122"/>
    </row>
    <row r="30" spans="1:27" ht="12" customHeight="1">
      <c r="A30" s="122"/>
      <c r="B30" s="135"/>
      <c r="C30" s="134"/>
      <c r="D30" s="133"/>
      <c r="E30" s="134"/>
      <c r="F30" s="149"/>
      <c r="G30" s="148"/>
      <c r="H30" s="149"/>
      <c r="I30" s="148"/>
      <c r="J30" s="149"/>
      <c r="K30" s="148"/>
      <c r="L30" s="149"/>
      <c r="M30" s="134"/>
      <c r="N30" s="133"/>
      <c r="O30" s="134"/>
      <c r="P30" s="133"/>
      <c r="Q30" s="134"/>
      <c r="R30" s="184"/>
      <c r="S30" s="183"/>
      <c r="T30" s="135"/>
      <c r="U30" s="136"/>
      <c r="V30" s="122"/>
      <c r="W30" s="122"/>
    </row>
    <row r="31" spans="1:27" ht="12" customHeight="1">
      <c r="A31" s="122"/>
      <c r="B31" s="139"/>
      <c r="C31" s="138"/>
      <c r="D31" s="137"/>
      <c r="E31" s="138"/>
      <c r="F31" s="155"/>
      <c r="G31" s="154"/>
      <c r="H31" s="155"/>
      <c r="I31" s="154"/>
      <c r="J31" s="155"/>
      <c r="K31" s="154"/>
      <c r="L31" s="155"/>
      <c r="M31" s="138"/>
      <c r="N31" s="152"/>
      <c r="O31" s="153"/>
      <c r="P31" s="137"/>
      <c r="Q31" s="153"/>
      <c r="R31" s="185"/>
      <c r="S31" s="186"/>
      <c r="T31" s="139"/>
      <c r="U31" s="140"/>
      <c r="V31" s="122"/>
      <c r="W31" s="122"/>
    </row>
    <row r="32" spans="1:27" ht="12" customHeight="1">
      <c r="A32" s="122"/>
      <c r="B32" s="139"/>
      <c r="C32" s="138"/>
      <c r="D32" s="137"/>
      <c r="E32" s="138"/>
      <c r="F32" s="155"/>
      <c r="G32" s="154"/>
      <c r="H32" s="155"/>
      <c r="I32" s="154"/>
      <c r="J32" s="155"/>
      <c r="K32" s="154"/>
      <c r="L32" s="155"/>
      <c r="M32" s="138"/>
      <c r="N32" s="152"/>
      <c r="O32" s="153"/>
      <c r="P32" s="137"/>
      <c r="Q32" s="186"/>
      <c r="R32" s="185"/>
      <c r="S32" s="186"/>
      <c r="T32" s="139"/>
      <c r="U32" s="140"/>
      <c r="V32" s="122"/>
      <c r="W32" s="122"/>
    </row>
    <row r="33" spans="1:23" ht="12" customHeight="1">
      <c r="A33" s="122"/>
      <c r="B33" s="139"/>
      <c r="C33" s="138"/>
      <c r="D33" s="137"/>
      <c r="E33" s="138"/>
      <c r="F33" s="155"/>
      <c r="G33" s="154"/>
      <c r="H33" s="155"/>
      <c r="I33" s="154"/>
      <c r="J33" s="155"/>
      <c r="K33" s="154"/>
      <c r="L33" s="155"/>
      <c r="M33" s="138"/>
      <c r="N33" s="152"/>
      <c r="O33" s="153"/>
      <c r="P33" s="137"/>
      <c r="Q33" s="186"/>
      <c r="R33" s="185"/>
      <c r="S33" s="186"/>
      <c r="T33" s="139"/>
      <c r="U33" s="140"/>
      <c r="V33" s="122"/>
      <c r="W33" s="122"/>
    </row>
    <row r="34" spans="1:23" ht="12" customHeight="1" thickBot="1">
      <c r="A34" s="141">
        <v>4</v>
      </c>
      <c r="B34" s="144"/>
      <c r="C34" s="143"/>
      <c r="D34" s="142"/>
      <c r="E34" s="143"/>
      <c r="F34" s="161"/>
      <c r="G34" s="160"/>
      <c r="H34" s="161"/>
      <c r="I34" s="160"/>
      <c r="J34" s="161"/>
      <c r="K34" s="160"/>
      <c r="L34" s="161"/>
      <c r="M34" s="143"/>
      <c r="N34" s="158"/>
      <c r="O34" s="159"/>
      <c r="P34" s="142"/>
      <c r="Q34" s="188"/>
      <c r="R34" s="187"/>
      <c r="S34" s="188"/>
      <c r="T34" s="144"/>
      <c r="U34" s="145"/>
      <c r="V34" s="122"/>
      <c r="W34" s="122"/>
    </row>
    <row r="35" spans="1:23" ht="12" customHeight="1">
      <c r="A35" s="122"/>
      <c r="B35" s="133"/>
      <c r="C35" s="134"/>
      <c r="D35" s="133"/>
      <c r="E35" s="134"/>
      <c r="F35" s="133"/>
      <c r="G35" s="136"/>
      <c r="H35" s="133"/>
      <c r="I35" s="134"/>
      <c r="J35" s="133"/>
      <c r="K35" s="147"/>
      <c r="L35" s="146"/>
      <c r="M35" s="147"/>
      <c r="N35" s="146"/>
      <c r="O35" s="147"/>
      <c r="P35" s="146"/>
      <c r="Q35" s="183"/>
      <c r="R35" s="184"/>
      <c r="S35" s="183"/>
      <c r="T35" s="184"/>
      <c r="U35" s="136"/>
      <c r="V35" s="122"/>
      <c r="W35" s="122"/>
    </row>
    <row r="36" spans="1:23" ht="12" customHeight="1">
      <c r="A36" s="122"/>
      <c r="B36" s="137"/>
      <c r="C36" s="138"/>
      <c r="D36" s="137"/>
      <c r="E36" s="138"/>
      <c r="F36" s="137"/>
      <c r="G36" s="140"/>
      <c r="H36" s="137"/>
      <c r="I36" s="138"/>
      <c r="J36" s="137"/>
      <c r="K36" s="153"/>
      <c r="L36" s="152"/>
      <c r="M36" s="153"/>
      <c r="N36" s="152"/>
      <c r="O36" s="153"/>
      <c r="P36" s="185"/>
      <c r="Q36" s="186"/>
      <c r="R36" s="185"/>
      <c r="S36" s="186"/>
      <c r="T36" s="185"/>
      <c r="U36" s="140"/>
      <c r="V36" s="122"/>
      <c r="W36" s="122"/>
    </row>
    <row r="37" spans="1:23" ht="12" customHeight="1">
      <c r="A37" s="122"/>
      <c r="B37" s="137"/>
      <c r="C37" s="186"/>
      <c r="D37" s="137"/>
      <c r="E37" s="138"/>
      <c r="F37" s="137"/>
      <c r="G37" s="140"/>
      <c r="H37" s="137"/>
      <c r="I37" s="138"/>
      <c r="J37" s="152"/>
      <c r="K37" s="153"/>
      <c r="L37" s="152"/>
      <c r="M37" s="153"/>
      <c r="N37" s="152"/>
      <c r="O37" s="153"/>
      <c r="P37" s="185"/>
      <c r="Q37" s="186"/>
      <c r="R37" s="185"/>
      <c r="S37" s="186"/>
      <c r="T37" s="185"/>
      <c r="U37" s="140"/>
      <c r="V37" s="122"/>
      <c r="W37" s="122"/>
    </row>
    <row r="38" spans="1:23" ht="12" customHeight="1">
      <c r="A38" s="122"/>
      <c r="B38" s="137"/>
      <c r="C38" s="138"/>
      <c r="D38" s="137"/>
      <c r="E38" s="138"/>
      <c r="F38" s="137"/>
      <c r="G38" s="140"/>
      <c r="H38" s="137"/>
      <c r="I38" s="138"/>
      <c r="J38" s="152"/>
      <c r="K38" s="153"/>
      <c r="L38" s="152"/>
      <c r="M38" s="153"/>
      <c r="N38" s="152"/>
      <c r="O38" s="153"/>
      <c r="P38" s="185"/>
      <c r="Q38" s="186"/>
      <c r="R38" s="185"/>
      <c r="S38" s="186"/>
      <c r="T38" s="185"/>
      <c r="U38" s="140"/>
      <c r="V38" s="122"/>
      <c r="W38" s="122"/>
    </row>
    <row r="39" spans="1:23" ht="12" customHeight="1" thickBot="1">
      <c r="A39" s="141">
        <v>5</v>
      </c>
      <c r="B39" s="142"/>
      <c r="C39" s="143"/>
      <c r="D39" s="142"/>
      <c r="E39" s="143"/>
      <c r="F39" s="144"/>
      <c r="G39" s="143"/>
      <c r="H39" s="142"/>
      <c r="I39" s="143"/>
      <c r="J39" s="158"/>
      <c r="K39" s="159"/>
      <c r="L39" s="158"/>
      <c r="M39" s="159"/>
      <c r="N39" s="158"/>
      <c r="O39" s="159"/>
      <c r="P39" s="187"/>
      <c r="Q39" s="188"/>
      <c r="R39" s="187"/>
      <c r="S39" s="188"/>
      <c r="T39" s="144"/>
      <c r="U39" s="143"/>
      <c r="V39" s="122"/>
      <c r="W39" s="122"/>
    </row>
    <row r="40" spans="1:23" ht="12" customHeight="1">
      <c r="A40" s="122"/>
      <c r="B40" s="133"/>
      <c r="C40" s="134"/>
      <c r="D40" s="137"/>
      <c r="E40" s="147"/>
      <c r="F40" s="146"/>
      <c r="G40" s="147"/>
      <c r="H40" s="184"/>
      <c r="I40" s="183"/>
      <c r="J40" s="184"/>
      <c r="K40" s="183"/>
      <c r="L40" s="135"/>
      <c r="M40" s="134"/>
      <c r="N40" s="184"/>
      <c r="O40" s="183"/>
      <c r="P40" s="184"/>
      <c r="Q40" s="183"/>
      <c r="R40" s="146"/>
      <c r="S40" s="147"/>
      <c r="T40" s="135"/>
      <c r="U40" s="134"/>
      <c r="V40" s="122"/>
      <c r="W40" s="122"/>
    </row>
    <row r="41" spans="1:23" ht="12" customHeight="1">
      <c r="A41" s="122"/>
      <c r="B41" s="137"/>
      <c r="C41" s="138"/>
      <c r="D41" s="190"/>
      <c r="E41" s="153"/>
      <c r="F41" s="152"/>
      <c r="G41" s="153"/>
      <c r="H41" s="185"/>
      <c r="I41" s="186"/>
      <c r="J41" s="185"/>
      <c r="K41" s="140"/>
      <c r="L41" s="137"/>
      <c r="M41" s="186"/>
      <c r="N41" s="185"/>
      <c r="O41" s="186"/>
      <c r="P41" s="185"/>
      <c r="Q41" s="186"/>
      <c r="R41" s="152"/>
      <c r="S41" s="153"/>
      <c r="T41" s="139"/>
      <c r="U41" s="138"/>
      <c r="V41" s="122"/>
      <c r="W41" s="122"/>
    </row>
    <row r="42" spans="1:23" ht="12" customHeight="1">
      <c r="A42" s="122"/>
      <c r="B42" s="137"/>
      <c r="C42" s="138"/>
      <c r="D42" s="152"/>
      <c r="E42" s="153"/>
      <c r="F42" s="152"/>
      <c r="G42" s="153"/>
      <c r="H42" s="185"/>
      <c r="I42" s="186"/>
      <c r="J42" s="185"/>
      <c r="K42" s="140"/>
      <c r="L42" s="137"/>
      <c r="M42" s="186"/>
      <c r="N42" s="185"/>
      <c r="O42" s="186"/>
      <c r="P42" s="185"/>
      <c r="Q42" s="186"/>
      <c r="R42" s="152"/>
      <c r="S42" s="153"/>
      <c r="T42" s="139"/>
      <c r="U42" s="138"/>
      <c r="V42" s="122"/>
      <c r="W42" s="122"/>
    </row>
    <row r="43" spans="1:23" ht="12" customHeight="1">
      <c r="A43" s="122"/>
      <c r="B43" s="137"/>
      <c r="C43" s="138"/>
      <c r="D43" s="152"/>
      <c r="E43" s="153"/>
      <c r="F43" s="152"/>
      <c r="G43" s="153"/>
      <c r="H43" s="185"/>
      <c r="I43" s="186"/>
      <c r="J43" s="185"/>
      <c r="K43" s="140"/>
      <c r="L43" s="137"/>
      <c r="M43" s="186"/>
      <c r="N43" s="185"/>
      <c r="O43" s="186"/>
      <c r="P43" s="185"/>
      <c r="Q43" s="186"/>
      <c r="R43" s="152"/>
      <c r="S43" s="153"/>
      <c r="T43" s="139"/>
      <c r="U43" s="138"/>
      <c r="V43" s="122"/>
      <c r="W43" s="122"/>
    </row>
    <row r="44" spans="1:23" ht="12" customHeight="1" thickBot="1">
      <c r="A44" s="141">
        <v>6</v>
      </c>
      <c r="B44" s="142"/>
      <c r="C44" s="143"/>
      <c r="D44" s="158"/>
      <c r="E44" s="159"/>
      <c r="F44" s="158"/>
      <c r="G44" s="188"/>
      <c r="H44" s="187"/>
      <c r="I44" s="188"/>
      <c r="J44" s="187"/>
      <c r="K44" s="145"/>
      <c r="L44" s="142"/>
      <c r="M44" s="188"/>
      <c r="N44" s="187"/>
      <c r="O44" s="188"/>
      <c r="P44" s="187"/>
      <c r="Q44" s="188"/>
      <c r="R44" s="158"/>
      <c r="S44" s="145"/>
      <c r="T44" s="142"/>
      <c r="U44" s="143"/>
      <c r="V44" s="122"/>
      <c r="W44" s="122"/>
    </row>
    <row r="45" spans="1:23" ht="12" customHeight="1">
      <c r="A45" s="122"/>
      <c r="B45" s="133"/>
      <c r="C45" s="136"/>
      <c r="D45" s="151"/>
      <c r="E45" s="183"/>
      <c r="F45" s="184"/>
      <c r="G45" s="136"/>
      <c r="H45" s="133"/>
      <c r="I45" s="147"/>
      <c r="J45" s="146"/>
      <c r="K45" s="147"/>
      <c r="L45" s="133"/>
      <c r="M45" s="134"/>
      <c r="N45" s="135"/>
      <c r="O45" s="134"/>
      <c r="P45" s="135"/>
      <c r="Q45" s="134"/>
      <c r="R45" s="133"/>
      <c r="S45" s="134"/>
      <c r="T45" s="133"/>
      <c r="U45" s="136"/>
      <c r="V45" s="122"/>
      <c r="W45" s="122"/>
    </row>
    <row r="46" spans="1:23" ht="12" customHeight="1">
      <c r="A46" s="122"/>
      <c r="B46" s="139"/>
      <c r="C46" s="138"/>
      <c r="D46" s="157"/>
      <c r="E46" s="186"/>
      <c r="F46" s="185"/>
      <c r="G46" s="140"/>
      <c r="H46" s="137"/>
      <c r="I46" s="153"/>
      <c r="J46" s="152"/>
      <c r="K46" s="153"/>
      <c r="L46" s="137"/>
      <c r="M46" s="140"/>
      <c r="N46" s="137"/>
      <c r="O46" s="138"/>
      <c r="P46" s="139"/>
      <c r="Q46" s="138"/>
      <c r="R46" s="137"/>
      <c r="S46" s="138"/>
      <c r="T46" s="139"/>
      <c r="U46" s="138"/>
      <c r="V46" s="122"/>
      <c r="W46" s="122"/>
    </row>
    <row r="47" spans="1:23" ht="12" customHeight="1">
      <c r="A47" s="122"/>
      <c r="B47" s="139"/>
      <c r="C47" s="138"/>
      <c r="D47" s="157"/>
      <c r="E47" s="186"/>
      <c r="F47" s="185"/>
      <c r="G47" s="140"/>
      <c r="H47" s="152"/>
      <c r="I47" s="153"/>
      <c r="J47" s="152"/>
      <c r="K47" s="138"/>
      <c r="L47" s="137"/>
      <c r="M47" s="140"/>
      <c r="N47" s="137"/>
      <c r="O47" s="138"/>
      <c r="P47" s="139"/>
      <c r="Q47" s="138"/>
      <c r="R47" s="137"/>
      <c r="S47" s="138"/>
      <c r="T47" s="139"/>
      <c r="U47" s="138"/>
      <c r="V47" s="122"/>
      <c r="W47" s="122"/>
    </row>
    <row r="48" spans="1:23" ht="12" customHeight="1">
      <c r="A48" s="122"/>
      <c r="B48" s="139"/>
      <c r="C48" s="138"/>
      <c r="D48" s="157"/>
      <c r="E48" s="186"/>
      <c r="F48" s="137"/>
      <c r="G48" s="140"/>
      <c r="H48" s="152"/>
      <c r="I48" s="153"/>
      <c r="J48" s="152"/>
      <c r="K48" s="138"/>
      <c r="L48" s="137"/>
      <c r="M48" s="140"/>
      <c r="N48" s="137"/>
      <c r="O48" s="138"/>
      <c r="P48" s="139"/>
      <c r="Q48" s="138"/>
      <c r="R48" s="137"/>
      <c r="S48" s="138"/>
      <c r="T48" s="139"/>
      <c r="U48" s="138"/>
      <c r="V48" s="122"/>
      <c r="W48" s="122"/>
    </row>
    <row r="49" spans="1:23" ht="12" customHeight="1" thickBot="1">
      <c r="A49" s="141">
        <v>7</v>
      </c>
      <c r="B49" s="144"/>
      <c r="C49" s="143"/>
      <c r="D49" s="163"/>
      <c r="E49" s="188"/>
      <c r="F49" s="142"/>
      <c r="G49" s="145"/>
      <c r="H49" s="158"/>
      <c r="I49" s="159"/>
      <c r="J49" s="158"/>
      <c r="K49" s="143"/>
      <c r="L49" s="142"/>
      <c r="M49" s="145"/>
      <c r="N49" s="142"/>
      <c r="O49" s="145"/>
      <c r="P49" s="142"/>
      <c r="Q49" s="143"/>
      <c r="R49" s="142"/>
      <c r="S49" s="143"/>
      <c r="T49" s="144"/>
      <c r="U49" s="143"/>
      <c r="V49" s="122"/>
      <c r="W49" s="122"/>
    </row>
    <row r="50" spans="1:23" ht="12" customHeight="1">
      <c r="A50" s="122"/>
      <c r="B50" s="133"/>
      <c r="C50" s="134"/>
      <c r="D50" s="133"/>
      <c r="E50" s="134"/>
      <c r="F50" s="133"/>
      <c r="G50" s="134"/>
      <c r="H50" s="133"/>
      <c r="I50" s="134"/>
      <c r="J50" s="133"/>
      <c r="K50" s="134"/>
      <c r="L50" s="133"/>
      <c r="M50" s="134"/>
      <c r="N50" s="133"/>
      <c r="O50" s="134"/>
      <c r="P50" s="135"/>
      <c r="Q50" s="183"/>
      <c r="R50" s="184"/>
      <c r="S50" s="183"/>
      <c r="T50" s="185"/>
      <c r="U50" s="183"/>
      <c r="V50" s="122"/>
      <c r="W50" s="122"/>
    </row>
    <row r="51" spans="1:23" ht="12" customHeight="1">
      <c r="A51" s="122"/>
      <c r="B51" s="137"/>
      <c r="C51" s="138"/>
      <c r="D51" s="137"/>
      <c r="E51" s="138"/>
      <c r="F51" s="137"/>
      <c r="G51" s="138"/>
      <c r="H51" s="137"/>
      <c r="I51" s="138"/>
      <c r="J51" s="137"/>
      <c r="K51" s="138"/>
      <c r="L51" s="137"/>
      <c r="M51" s="138"/>
      <c r="N51" s="137"/>
      <c r="O51" s="138"/>
      <c r="P51" s="139"/>
      <c r="Q51" s="186"/>
      <c r="R51" s="185"/>
      <c r="S51" s="186"/>
      <c r="T51" s="185"/>
      <c r="U51" s="186"/>
      <c r="V51" s="122"/>
      <c r="W51" s="122"/>
    </row>
    <row r="52" spans="1:23" ht="12" customHeight="1">
      <c r="A52" s="122"/>
      <c r="B52" s="137"/>
      <c r="C52" s="138"/>
      <c r="D52" s="137"/>
      <c r="E52" s="138"/>
      <c r="F52" s="137"/>
      <c r="G52" s="138"/>
      <c r="H52" s="137"/>
      <c r="I52" s="138"/>
      <c r="J52" s="137"/>
      <c r="K52" s="186"/>
      <c r="L52" s="137"/>
      <c r="M52" s="138"/>
      <c r="N52" s="137"/>
      <c r="O52" s="140"/>
      <c r="P52" s="152"/>
      <c r="Q52" s="186"/>
      <c r="R52" s="185"/>
      <c r="S52" s="186"/>
      <c r="T52" s="185"/>
      <c r="U52" s="186"/>
      <c r="V52" s="122"/>
      <c r="W52" s="122"/>
    </row>
    <row r="53" spans="1:23" ht="12" customHeight="1">
      <c r="A53" s="122"/>
      <c r="B53" s="137"/>
      <c r="C53" s="138"/>
      <c r="D53" s="137"/>
      <c r="E53" s="138"/>
      <c r="F53" s="137"/>
      <c r="G53" s="138"/>
      <c r="H53" s="137"/>
      <c r="I53" s="138"/>
      <c r="J53" s="137"/>
      <c r="K53" s="186"/>
      <c r="L53" s="137"/>
      <c r="M53" s="138"/>
      <c r="N53" s="137"/>
      <c r="O53" s="140"/>
      <c r="P53" s="185"/>
      <c r="Q53" s="186"/>
      <c r="R53" s="185"/>
      <c r="S53" s="186"/>
      <c r="T53" s="185"/>
      <c r="U53" s="186"/>
      <c r="V53" s="122"/>
      <c r="W53" s="122"/>
    </row>
    <row r="54" spans="1:23" ht="12" customHeight="1" thickBot="1">
      <c r="A54" s="141">
        <v>8</v>
      </c>
      <c r="B54" s="142"/>
      <c r="C54" s="143"/>
      <c r="D54" s="142"/>
      <c r="E54" s="143"/>
      <c r="F54" s="142"/>
      <c r="G54" s="143"/>
      <c r="H54" s="142"/>
      <c r="I54" s="143"/>
      <c r="J54" s="142"/>
      <c r="K54" s="188"/>
      <c r="L54" s="142"/>
      <c r="M54" s="143"/>
      <c r="N54" s="142"/>
      <c r="O54" s="145"/>
      <c r="P54" s="187"/>
      <c r="Q54" s="188"/>
      <c r="R54" s="187"/>
      <c r="S54" s="188"/>
      <c r="T54" s="187"/>
      <c r="U54" s="188"/>
      <c r="V54" s="122"/>
      <c r="W54" s="122"/>
    </row>
    <row r="55" spans="1:23" ht="12" customHeight="1">
      <c r="A55" s="122"/>
      <c r="B55" s="184"/>
      <c r="C55" s="183"/>
      <c r="D55" s="184"/>
      <c r="E55" s="183"/>
      <c r="F55" s="184"/>
      <c r="G55" s="183"/>
      <c r="H55" s="184"/>
      <c r="I55" s="136"/>
      <c r="J55" s="184"/>
      <c r="K55" s="183"/>
      <c r="L55" s="149"/>
      <c r="M55" s="148"/>
      <c r="N55" s="184"/>
      <c r="O55" s="183"/>
      <c r="P55" s="184"/>
      <c r="Q55" s="183"/>
      <c r="R55" s="184"/>
      <c r="S55" s="136"/>
      <c r="T55" s="133"/>
      <c r="U55" s="134"/>
      <c r="V55" s="122"/>
      <c r="W55" s="122"/>
    </row>
    <row r="56" spans="1:23" ht="12" customHeight="1">
      <c r="A56" s="122"/>
      <c r="B56" s="191"/>
      <c r="C56" s="186"/>
      <c r="D56" s="185"/>
      <c r="E56" s="186"/>
      <c r="F56" s="185"/>
      <c r="G56" s="186"/>
      <c r="H56" s="185"/>
      <c r="I56" s="140"/>
      <c r="J56" s="185"/>
      <c r="K56" s="186"/>
      <c r="L56" s="155"/>
      <c r="M56" s="154"/>
      <c r="N56" s="155"/>
      <c r="O56" s="186"/>
      <c r="P56" s="185"/>
      <c r="Q56" s="186"/>
      <c r="R56" s="139"/>
      <c r="S56" s="138"/>
      <c r="T56" s="137"/>
      <c r="U56" s="138"/>
      <c r="V56" s="122"/>
      <c r="W56" s="122"/>
    </row>
    <row r="57" spans="1:23" ht="12" customHeight="1">
      <c r="A57" s="122"/>
      <c r="B57" s="191"/>
      <c r="C57" s="186"/>
      <c r="D57" s="185"/>
      <c r="E57" s="186"/>
      <c r="F57" s="185"/>
      <c r="G57" s="186"/>
      <c r="H57" s="139"/>
      <c r="I57" s="186"/>
      <c r="J57" s="185"/>
      <c r="K57" s="186"/>
      <c r="L57" s="185"/>
      <c r="M57" s="154"/>
      <c r="N57" s="155"/>
      <c r="O57" s="186"/>
      <c r="P57" s="185"/>
      <c r="Q57" s="186"/>
      <c r="R57" s="139"/>
      <c r="S57" s="138"/>
      <c r="T57" s="137"/>
      <c r="U57" s="138"/>
      <c r="V57" s="122"/>
      <c r="W57" s="122"/>
    </row>
    <row r="58" spans="1:23" ht="12" customHeight="1">
      <c r="A58" s="122"/>
      <c r="B58" s="191"/>
      <c r="C58" s="186"/>
      <c r="D58" s="185"/>
      <c r="E58" s="186"/>
      <c r="F58" s="185"/>
      <c r="G58" s="186"/>
      <c r="H58" s="139"/>
      <c r="I58" s="186"/>
      <c r="J58" s="185"/>
      <c r="K58" s="186"/>
      <c r="L58" s="185"/>
      <c r="M58" s="154"/>
      <c r="N58" s="155"/>
      <c r="O58" s="186"/>
      <c r="P58" s="185"/>
      <c r="Q58" s="186"/>
      <c r="R58" s="139"/>
      <c r="S58" s="138"/>
      <c r="T58" s="137"/>
      <c r="U58" s="138"/>
      <c r="V58" s="122"/>
      <c r="W58" s="122"/>
    </row>
    <row r="59" spans="1:23" ht="12" customHeight="1" thickBot="1">
      <c r="A59" s="141">
        <v>9</v>
      </c>
      <c r="B59" s="192"/>
      <c r="C59" s="188"/>
      <c r="D59" s="187"/>
      <c r="E59" s="188"/>
      <c r="F59" s="187"/>
      <c r="G59" s="188"/>
      <c r="H59" s="144"/>
      <c r="I59" s="188"/>
      <c r="J59" s="187"/>
      <c r="K59" s="188"/>
      <c r="L59" s="187"/>
      <c r="M59" s="160"/>
      <c r="N59" s="161"/>
      <c r="O59" s="188"/>
      <c r="P59" s="187"/>
      <c r="Q59" s="188"/>
      <c r="R59" s="144"/>
      <c r="S59" s="143"/>
      <c r="T59" s="142"/>
      <c r="U59" s="143"/>
      <c r="V59" s="122"/>
      <c r="W59" s="122"/>
    </row>
    <row r="60" spans="1:23" ht="12" customHeight="1">
      <c r="A60" s="122"/>
      <c r="B60" s="151"/>
      <c r="C60" s="150"/>
      <c r="D60" s="151"/>
      <c r="E60" s="150"/>
      <c r="F60" s="151"/>
      <c r="G60" s="150"/>
      <c r="H60" s="151"/>
      <c r="I60" s="150"/>
      <c r="J60" s="151"/>
      <c r="K60" s="134"/>
      <c r="L60" s="135"/>
      <c r="M60" s="134"/>
      <c r="N60" s="133"/>
      <c r="O60" s="134"/>
      <c r="P60" s="133"/>
      <c r="Q60" s="147"/>
      <c r="R60" s="146"/>
      <c r="S60" s="183"/>
      <c r="T60" s="184"/>
      <c r="U60" s="183"/>
      <c r="V60" s="122"/>
      <c r="W60" s="122"/>
    </row>
    <row r="61" spans="1:23" ht="12" customHeight="1">
      <c r="A61" s="122"/>
      <c r="B61" s="157"/>
      <c r="C61" s="156"/>
      <c r="D61" s="157"/>
      <c r="E61" s="156"/>
      <c r="F61" s="157"/>
      <c r="G61" s="156"/>
      <c r="H61" s="157"/>
      <c r="I61" s="156"/>
      <c r="J61" s="157"/>
      <c r="K61" s="138"/>
      <c r="L61" s="139"/>
      <c r="M61" s="138"/>
      <c r="N61" s="137"/>
      <c r="O61" s="138"/>
      <c r="P61" s="137"/>
      <c r="Q61" s="153"/>
      <c r="R61" s="185"/>
      <c r="S61" s="186"/>
      <c r="T61" s="185"/>
      <c r="U61" s="186"/>
      <c r="V61" s="122"/>
      <c r="W61" s="122"/>
    </row>
    <row r="62" spans="1:23" ht="12" customHeight="1">
      <c r="A62" s="122"/>
      <c r="B62" s="157"/>
      <c r="C62" s="156"/>
      <c r="D62" s="157"/>
      <c r="E62" s="156"/>
      <c r="F62" s="157"/>
      <c r="G62" s="156"/>
      <c r="H62" s="157"/>
      <c r="I62" s="156"/>
      <c r="J62" s="157"/>
      <c r="K62" s="138"/>
      <c r="L62" s="139"/>
      <c r="M62" s="138"/>
      <c r="N62" s="137"/>
      <c r="O62" s="138"/>
      <c r="P62" s="152"/>
      <c r="Q62" s="153"/>
      <c r="R62" s="185"/>
      <c r="S62" s="186"/>
      <c r="T62" s="185"/>
      <c r="U62" s="186"/>
      <c r="V62" s="122"/>
      <c r="W62" s="122"/>
    </row>
    <row r="63" spans="1:23" ht="12" customHeight="1">
      <c r="A63" s="122"/>
      <c r="B63" s="157"/>
      <c r="C63" s="156"/>
      <c r="D63" s="157"/>
      <c r="E63" s="156"/>
      <c r="F63" s="157"/>
      <c r="G63" s="156"/>
      <c r="H63" s="157"/>
      <c r="I63" s="156"/>
      <c r="J63" s="157"/>
      <c r="K63" s="138"/>
      <c r="L63" s="139"/>
      <c r="M63" s="138"/>
      <c r="N63" s="137"/>
      <c r="O63" s="138"/>
      <c r="P63" s="152"/>
      <c r="Q63" s="153"/>
      <c r="R63" s="185"/>
      <c r="S63" s="186"/>
      <c r="T63" s="185"/>
      <c r="U63" s="186"/>
      <c r="V63" s="122"/>
      <c r="W63" s="122"/>
    </row>
    <row r="64" spans="1:23" ht="12" customHeight="1" thickBot="1">
      <c r="A64" s="141">
        <v>10</v>
      </c>
      <c r="B64" s="163"/>
      <c r="C64" s="162"/>
      <c r="D64" s="163"/>
      <c r="E64" s="162"/>
      <c r="F64" s="163"/>
      <c r="G64" s="162"/>
      <c r="H64" s="163"/>
      <c r="I64" s="162"/>
      <c r="J64" s="163"/>
      <c r="K64" s="143"/>
      <c r="L64" s="144"/>
      <c r="M64" s="143"/>
      <c r="N64" s="142"/>
      <c r="O64" s="143"/>
      <c r="P64" s="158"/>
      <c r="Q64" s="159"/>
      <c r="R64" s="187"/>
      <c r="S64" s="188"/>
      <c r="T64" s="187"/>
      <c r="U64" s="188"/>
      <c r="V64" s="122"/>
      <c r="W64" s="122"/>
    </row>
    <row r="65" spans="1:23" ht="12" customHeight="1">
      <c r="A65" s="122"/>
      <c r="B65" s="184"/>
      <c r="C65" s="136"/>
      <c r="D65" s="133"/>
      <c r="E65" s="134"/>
      <c r="F65" s="133"/>
      <c r="G65" s="173"/>
      <c r="H65" s="181"/>
      <c r="I65" s="173"/>
      <c r="J65" s="181"/>
      <c r="K65" s="173"/>
      <c r="L65" s="181"/>
      <c r="M65" s="173"/>
      <c r="N65" s="181"/>
      <c r="O65" s="173"/>
      <c r="P65" s="181"/>
      <c r="Q65" s="173"/>
      <c r="R65" s="181"/>
      <c r="S65" s="173"/>
      <c r="T65" s="181"/>
      <c r="U65" s="173"/>
      <c r="V65" s="122"/>
      <c r="W65" s="122"/>
    </row>
    <row r="66" spans="1:23" ht="12" customHeight="1">
      <c r="A66" s="122"/>
      <c r="B66" s="137"/>
      <c r="C66" s="140"/>
      <c r="D66" s="137"/>
      <c r="E66" s="138"/>
      <c r="F66" s="137"/>
      <c r="G66" s="182"/>
      <c r="H66" s="164"/>
      <c r="I66" s="182"/>
      <c r="J66" s="164"/>
      <c r="K66" s="182"/>
      <c r="L66" s="164"/>
      <c r="M66" s="182"/>
      <c r="N66" s="164"/>
      <c r="O66" s="182"/>
      <c r="P66" s="164"/>
      <c r="Q66" s="182"/>
      <c r="R66" s="164"/>
      <c r="S66" s="182"/>
      <c r="T66" s="164"/>
      <c r="U66" s="182"/>
      <c r="V66" s="122"/>
      <c r="W66" s="122"/>
    </row>
    <row r="67" spans="1:23" ht="12" customHeight="1">
      <c r="A67" s="122"/>
      <c r="B67" s="137"/>
      <c r="C67" s="140"/>
      <c r="D67" s="137"/>
      <c r="E67" s="138"/>
      <c r="F67" s="164"/>
      <c r="G67" s="182"/>
      <c r="H67" s="164"/>
      <c r="I67" s="182"/>
      <c r="J67" s="193"/>
      <c r="K67" s="182"/>
      <c r="L67" s="193"/>
      <c r="M67" s="182"/>
      <c r="N67" s="164"/>
      <c r="O67" s="182"/>
      <c r="P67" s="164"/>
      <c r="Q67" s="182"/>
      <c r="R67" s="164"/>
      <c r="S67" s="182"/>
      <c r="T67" s="164"/>
      <c r="U67" s="182"/>
      <c r="V67" s="122"/>
      <c r="W67" s="122"/>
    </row>
    <row r="68" spans="1:23" ht="12" customHeight="1">
      <c r="A68" s="122"/>
      <c r="B68" s="139"/>
      <c r="C68" s="138"/>
      <c r="D68" s="137"/>
      <c r="E68" s="138"/>
      <c r="F68" s="164"/>
      <c r="G68" s="182"/>
      <c r="H68" s="164"/>
      <c r="I68" s="182"/>
      <c r="J68" s="164"/>
      <c r="K68" s="182"/>
      <c r="L68" s="164"/>
      <c r="M68" s="182"/>
      <c r="N68" s="164"/>
      <c r="O68" s="182"/>
      <c r="P68" s="164"/>
      <c r="Q68" s="182"/>
      <c r="R68" s="164"/>
      <c r="S68" s="182"/>
      <c r="T68" s="164"/>
      <c r="U68" s="182"/>
      <c r="V68" s="122"/>
      <c r="W68" s="122"/>
    </row>
    <row r="69" spans="1:23" ht="12" customHeight="1" thickBot="1">
      <c r="A69" s="141">
        <v>11</v>
      </c>
      <c r="B69" s="144"/>
      <c r="C69" s="143"/>
      <c r="D69" s="142"/>
      <c r="E69" s="143"/>
      <c r="F69" s="165"/>
      <c r="G69" s="172"/>
      <c r="H69" s="165"/>
      <c r="I69" s="172"/>
      <c r="J69" s="164"/>
      <c r="K69" s="172"/>
      <c r="L69" s="164"/>
      <c r="M69" s="172"/>
      <c r="N69" s="165"/>
      <c r="O69" s="172"/>
      <c r="P69" s="165"/>
      <c r="Q69" s="172"/>
      <c r="R69" s="165"/>
      <c r="S69" s="172"/>
      <c r="T69" s="165"/>
      <c r="U69" s="172"/>
      <c r="V69" s="122"/>
      <c r="W69" s="122"/>
    </row>
    <row r="70" spans="1:23" ht="12" customHeight="1">
      <c r="A70" s="122"/>
      <c r="B70" s="181"/>
      <c r="C70" s="173"/>
      <c r="D70" s="181"/>
      <c r="E70" s="173"/>
      <c r="F70" s="181"/>
      <c r="G70" s="173"/>
      <c r="H70" s="181"/>
      <c r="I70" s="173"/>
      <c r="J70" s="181"/>
      <c r="K70" s="173"/>
      <c r="L70" s="133"/>
      <c r="M70" s="136"/>
      <c r="N70" s="181"/>
      <c r="O70" s="173"/>
      <c r="P70" s="181"/>
      <c r="Q70" s="173"/>
      <c r="R70" s="135"/>
      <c r="S70" s="134"/>
      <c r="T70" s="133"/>
      <c r="U70" s="150"/>
      <c r="V70" s="122"/>
      <c r="W70" s="122"/>
    </row>
    <row r="71" spans="1:23" ht="12" customHeight="1">
      <c r="A71" s="122"/>
      <c r="B71" s="164"/>
      <c r="C71" s="182"/>
      <c r="D71" s="164"/>
      <c r="E71" s="182"/>
      <c r="F71" s="164"/>
      <c r="G71" s="182"/>
      <c r="H71" s="164"/>
      <c r="I71" s="182"/>
      <c r="J71" s="164"/>
      <c r="K71" s="138"/>
      <c r="L71" s="137"/>
      <c r="M71" s="140"/>
      <c r="N71" s="164"/>
      <c r="O71" s="182"/>
      <c r="P71" s="164"/>
      <c r="Q71" s="182"/>
      <c r="R71" s="139"/>
      <c r="S71" s="138"/>
      <c r="T71" s="137"/>
      <c r="U71" s="156"/>
      <c r="V71" s="122"/>
      <c r="W71" s="122"/>
    </row>
    <row r="72" spans="1:23" ht="12" customHeight="1">
      <c r="A72" s="122"/>
      <c r="B72" s="164"/>
      <c r="C72" s="182"/>
      <c r="D72" s="164"/>
      <c r="E72" s="182"/>
      <c r="F72" s="164"/>
      <c r="G72" s="182"/>
      <c r="H72" s="164"/>
      <c r="I72" s="182"/>
      <c r="J72" s="164"/>
      <c r="K72" s="138"/>
      <c r="L72" s="137"/>
      <c r="M72" s="140"/>
      <c r="N72" s="164"/>
      <c r="O72" s="182"/>
      <c r="P72" s="164"/>
      <c r="Q72" s="182"/>
      <c r="R72" s="139"/>
      <c r="S72" s="138"/>
      <c r="T72" s="137"/>
      <c r="U72" s="156"/>
      <c r="V72" s="122"/>
      <c r="W72" s="122"/>
    </row>
    <row r="73" spans="1:23" ht="12" customHeight="1">
      <c r="A73" s="122"/>
      <c r="B73" s="164"/>
      <c r="C73" s="182"/>
      <c r="D73" s="164"/>
      <c r="E73" s="182"/>
      <c r="F73" s="164"/>
      <c r="G73" s="182"/>
      <c r="H73" s="164"/>
      <c r="I73" s="182"/>
      <c r="J73" s="164"/>
      <c r="K73" s="138"/>
      <c r="L73" s="137"/>
      <c r="M73" s="140"/>
      <c r="N73" s="164"/>
      <c r="O73" s="182"/>
      <c r="P73" s="164"/>
      <c r="Q73" s="182"/>
      <c r="R73" s="139"/>
      <c r="S73" s="138"/>
      <c r="T73" s="137"/>
      <c r="U73" s="138"/>
      <c r="V73" s="122"/>
      <c r="W73" s="122"/>
    </row>
    <row r="74" spans="1:23" ht="12" customHeight="1" thickBot="1">
      <c r="A74" s="141">
        <v>12</v>
      </c>
      <c r="B74" s="165"/>
      <c r="C74" s="172"/>
      <c r="D74" s="165"/>
      <c r="E74" s="172"/>
      <c r="F74" s="165"/>
      <c r="G74" s="172"/>
      <c r="H74" s="165"/>
      <c r="I74" s="172"/>
      <c r="J74" s="165"/>
      <c r="K74" s="143"/>
      <c r="L74" s="144"/>
      <c r="M74" s="172"/>
      <c r="N74" s="165"/>
      <c r="O74" s="172"/>
      <c r="P74" s="165"/>
      <c r="Q74" s="145"/>
      <c r="R74" s="142"/>
      <c r="S74" s="143"/>
      <c r="T74" s="163"/>
      <c r="U74" s="143"/>
      <c r="V74" s="122"/>
      <c r="W74" s="122"/>
    </row>
    <row r="75" spans="1:23" ht="12" customHeight="1">
      <c r="A75" s="122"/>
      <c r="B75" s="133"/>
      <c r="C75" s="134"/>
      <c r="D75" s="146"/>
      <c r="E75" s="147"/>
      <c r="F75" s="146"/>
      <c r="G75" s="147"/>
      <c r="H75" s="133"/>
      <c r="I75" s="134"/>
      <c r="J75" s="133"/>
      <c r="K75" s="134"/>
      <c r="L75" s="133"/>
      <c r="M75" s="183"/>
      <c r="N75" s="184"/>
      <c r="O75" s="134"/>
      <c r="P75" s="133"/>
      <c r="Q75" s="134"/>
      <c r="R75" s="133"/>
      <c r="S75" s="136"/>
      <c r="T75" s="146"/>
      <c r="U75" s="147"/>
      <c r="V75" s="122"/>
      <c r="W75" s="122"/>
    </row>
    <row r="76" spans="1:23" ht="12" customHeight="1">
      <c r="A76" s="122"/>
      <c r="B76" s="137"/>
      <c r="C76" s="138"/>
      <c r="D76" s="152"/>
      <c r="E76" s="153"/>
      <c r="F76" s="152"/>
      <c r="G76" s="153"/>
      <c r="H76" s="137"/>
      <c r="I76" s="138"/>
      <c r="J76" s="137"/>
      <c r="K76" s="138"/>
      <c r="L76" s="137"/>
      <c r="M76" s="186"/>
      <c r="N76" s="185"/>
      <c r="O76" s="138"/>
      <c r="P76" s="137"/>
      <c r="Q76" s="138"/>
      <c r="R76" s="137"/>
      <c r="S76" s="140"/>
      <c r="T76" s="152"/>
      <c r="U76" s="153"/>
      <c r="V76" s="122"/>
      <c r="W76" s="122"/>
    </row>
    <row r="77" spans="1:23" ht="12" customHeight="1">
      <c r="A77" s="122"/>
      <c r="B77" s="137"/>
      <c r="C77" s="153"/>
      <c r="D77" s="152"/>
      <c r="E77" s="153"/>
      <c r="F77" s="152"/>
      <c r="G77" s="153"/>
      <c r="H77" s="137"/>
      <c r="I77" s="138"/>
      <c r="J77" s="137"/>
      <c r="K77" s="138"/>
      <c r="L77" s="137"/>
      <c r="M77" s="186"/>
      <c r="N77" s="185"/>
      <c r="O77" s="138"/>
      <c r="P77" s="137"/>
      <c r="Q77" s="138"/>
      <c r="R77" s="137"/>
      <c r="S77" s="140"/>
      <c r="T77" s="152"/>
      <c r="U77" s="153"/>
      <c r="V77" s="122"/>
      <c r="W77" s="122"/>
    </row>
    <row r="78" spans="1:23" ht="12" customHeight="1">
      <c r="A78" s="122"/>
      <c r="B78" s="137"/>
      <c r="C78" s="153"/>
      <c r="D78" s="152"/>
      <c r="E78" s="153"/>
      <c r="F78" s="152"/>
      <c r="G78" s="153"/>
      <c r="H78" s="137"/>
      <c r="I78" s="138"/>
      <c r="J78" s="137"/>
      <c r="K78" s="138"/>
      <c r="L78" s="137"/>
      <c r="M78" s="186"/>
      <c r="N78" s="137"/>
      <c r="O78" s="138"/>
      <c r="P78" s="137"/>
      <c r="Q78" s="138"/>
      <c r="R78" s="137"/>
      <c r="S78" s="140"/>
      <c r="T78" s="152"/>
      <c r="U78" s="138"/>
      <c r="V78" s="122"/>
      <c r="W78" s="122"/>
    </row>
    <row r="79" spans="1:23" ht="12" customHeight="1" thickBot="1">
      <c r="A79" s="141">
        <v>13</v>
      </c>
      <c r="B79" s="142"/>
      <c r="C79" s="159"/>
      <c r="D79" s="158"/>
      <c r="E79" s="159"/>
      <c r="F79" s="158"/>
      <c r="G79" s="143"/>
      <c r="H79" s="142"/>
      <c r="I79" s="143"/>
      <c r="J79" s="142"/>
      <c r="K79" s="143"/>
      <c r="L79" s="142"/>
      <c r="M79" s="188"/>
      <c r="N79" s="142"/>
      <c r="O79" s="143"/>
      <c r="P79" s="142"/>
      <c r="Q79" s="143"/>
      <c r="R79" s="142"/>
      <c r="S79" s="145"/>
      <c r="T79" s="158"/>
      <c r="U79" s="143"/>
      <c r="V79" s="122"/>
      <c r="W79" s="122"/>
    </row>
    <row r="80" spans="1:23" ht="12" customHeight="1">
      <c r="A80" s="122"/>
      <c r="B80" s="133"/>
      <c r="C80" s="134"/>
      <c r="D80" s="184"/>
      <c r="E80" s="183"/>
      <c r="F80" s="184"/>
      <c r="G80" s="146"/>
      <c r="H80" s="146"/>
      <c r="I80" s="147"/>
      <c r="J80" s="146"/>
      <c r="K80" s="147"/>
      <c r="L80" s="146"/>
      <c r="M80" s="147"/>
      <c r="N80" s="146"/>
      <c r="O80" s="147"/>
      <c r="P80" s="146"/>
      <c r="Q80" s="147"/>
      <c r="R80" s="184"/>
      <c r="S80" s="183"/>
      <c r="T80" s="184"/>
      <c r="U80" s="134"/>
      <c r="V80" s="122"/>
      <c r="W80" s="122"/>
    </row>
    <row r="81" spans="1:23" ht="12" customHeight="1">
      <c r="A81" s="122"/>
      <c r="B81" s="137"/>
      <c r="C81" s="186"/>
      <c r="D81" s="185"/>
      <c r="E81" s="186"/>
      <c r="F81" s="185"/>
      <c r="G81" s="152"/>
      <c r="H81" s="152"/>
      <c r="I81" s="153"/>
      <c r="J81" s="152"/>
      <c r="K81" s="153"/>
      <c r="L81" s="152"/>
      <c r="M81" s="153"/>
      <c r="N81" s="152"/>
      <c r="O81" s="153"/>
      <c r="P81" s="152"/>
      <c r="Q81" s="153"/>
      <c r="R81" s="185"/>
      <c r="S81" s="186"/>
      <c r="T81" s="185"/>
      <c r="U81" s="138"/>
      <c r="V81" s="122"/>
      <c r="W81" s="122"/>
    </row>
    <row r="82" spans="1:23" ht="12" customHeight="1">
      <c r="A82" s="122"/>
      <c r="B82" s="137"/>
      <c r="C82" s="186"/>
      <c r="D82" s="185"/>
      <c r="E82" s="186"/>
      <c r="F82" s="185"/>
      <c r="G82" s="152"/>
      <c r="H82" s="152"/>
      <c r="I82" s="153"/>
      <c r="J82" s="152"/>
      <c r="K82" s="153"/>
      <c r="L82" s="152"/>
      <c r="M82" s="153"/>
      <c r="N82" s="152"/>
      <c r="O82" s="153"/>
      <c r="P82" s="152"/>
      <c r="Q82" s="153"/>
      <c r="R82" s="185"/>
      <c r="S82" s="186"/>
      <c r="T82" s="137"/>
      <c r="U82" s="140"/>
      <c r="V82" s="122"/>
      <c r="W82" s="122"/>
    </row>
    <row r="83" spans="1:23" ht="12" customHeight="1">
      <c r="A83" s="122"/>
      <c r="B83" s="137"/>
      <c r="C83" s="186"/>
      <c r="D83" s="185"/>
      <c r="E83" s="186"/>
      <c r="F83" s="185"/>
      <c r="G83" s="152"/>
      <c r="H83" s="152"/>
      <c r="I83" s="153"/>
      <c r="J83" s="152"/>
      <c r="K83" s="153"/>
      <c r="L83" s="152"/>
      <c r="M83" s="153"/>
      <c r="N83" s="152"/>
      <c r="O83" s="153"/>
      <c r="P83" s="152"/>
      <c r="Q83" s="153"/>
      <c r="R83" s="185"/>
      <c r="S83" s="186"/>
      <c r="T83" s="137"/>
      <c r="U83" s="140"/>
      <c r="V83" s="122"/>
      <c r="W83" s="122"/>
    </row>
    <row r="84" spans="1:23" ht="12" customHeight="1" thickBot="1">
      <c r="A84" s="141">
        <v>14</v>
      </c>
      <c r="B84" s="142"/>
      <c r="C84" s="188"/>
      <c r="D84" s="187"/>
      <c r="E84" s="188"/>
      <c r="F84" s="187"/>
      <c r="G84" s="158"/>
      <c r="H84" s="158"/>
      <c r="I84" s="159"/>
      <c r="J84" s="158"/>
      <c r="K84" s="159"/>
      <c r="L84" s="158"/>
      <c r="M84" s="159"/>
      <c r="N84" s="158"/>
      <c r="O84" s="159"/>
      <c r="P84" s="158"/>
      <c r="Q84" s="188"/>
      <c r="R84" s="185"/>
      <c r="S84" s="188"/>
      <c r="T84" s="142"/>
      <c r="U84" s="145"/>
      <c r="V84" s="122"/>
      <c r="W84" s="122"/>
    </row>
    <row r="85" spans="1:23" ht="12" customHeight="1">
      <c r="A85" s="122"/>
      <c r="B85" s="135"/>
      <c r="C85" s="150"/>
      <c r="D85" s="151"/>
      <c r="E85" s="134"/>
      <c r="F85" s="133"/>
      <c r="G85" s="147"/>
      <c r="H85" s="146"/>
      <c r="I85" s="150"/>
      <c r="J85" s="151"/>
      <c r="K85" s="136"/>
      <c r="L85" s="133"/>
      <c r="M85" s="134"/>
      <c r="N85" s="133"/>
      <c r="O85" s="147"/>
      <c r="P85" s="146"/>
      <c r="Q85" s="134"/>
      <c r="R85" s="133"/>
      <c r="S85" s="175"/>
      <c r="T85" s="174"/>
      <c r="U85" s="175"/>
      <c r="V85" s="122"/>
      <c r="W85" s="122"/>
    </row>
    <row r="86" spans="1:23" ht="12" customHeight="1">
      <c r="A86" s="122"/>
      <c r="B86" s="139"/>
      <c r="C86" s="156"/>
      <c r="D86" s="157"/>
      <c r="E86" s="138"/>
      <c r="F86" s="137"/>
      <c r="G86" s="153"/>
      <c r="H86" s="152"/>
      <c r="I86" s="156"/>
      <c r="J86" s="157"/>
      <c r="K86" s="140"/>
      <c r="L86" s="137"/>
      <c r="M86" s="138"/>
      <c r="N86" s="137"/>
      <c r="O86" s="153"/>
      <c r="P86" s="152"/>
      <c r="Q86" s="138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57"/>
      <c r="C87" s="156"/>
      <c r="D87" s="157"/>
      <c r="E87" s="156"/>
      <c r="F87" s="137"/>
      <c r="G87" s="138"/>
      <c r="H87" s="152"/>
      <c r="I87" s="156"/>
      <c r="J87" s="157"/>
      <c r="K87" s="140"/>
      <c r="L87" s="137"/>
      <c r="M87" s="138"/>
      <c r="N87" s="137"/>
      <c r="O87" s="153"/>
      <c r="P87" s="152"/>
      <c r="Q87" s="138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57"/>
      <c r="C88" s="156"/>
      <c r="D88" s="157"/>
      <c r="E88" s="156"/>
      <c r="F88" s="137"/>
      <c r="G88" s="138"/>
      <c r="H88" s="152"/>
      <c r="I88" s="156"/>
      <c r="J88" s="139"/>
      <c r="K88" s="138"/>
      <c r="L88" s="137"/>
      <c r="M88" s="138"/>
      <c r="N88" s="137"/>
      <c r="O88" s="153"/>
      <c r="P88" s="152"/>
      <c r="Q88" s="138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63"/>
      <c r="C89" s="162"/>
      <c r="D89" s="163"/>
      <c r="E89" s="162"/>
      <c r="F89" s="142"/>
      <c r="G89" s="143"/>
      <c r="H89" s="158"/>
      <c r="I89" s="162"/>
      <c r="J89" s="144"/>
      <c r="K89" s="143"/>
      <c r="L89" s="142"/>
      <c r="M89" s="143"/>
      <c r="N89" s="142"/>
      <c r="O89" s="159"/>
      <c r="P89" s="158"/>
      <c r="Q89" s="143"/>
      <c r="R89" s="179"/>
      <c r="S89" s="178"/>
      <c r="T89" s="179"/>
      <c r="U89" s="178"/>
      <c r="V89" s="122"/>
      <c r="W89" s="122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0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0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0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0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0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0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0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HYPERLINK("#'6월'!A1","← 6월 월간 가계부로 돌아가기")</f>
        <v>← 6월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1481000</v>
      </c>
      <c r="J149" s="433"/>
      <c r="K149" s="433"/>
      <c r="L149" s="433"/>
      <c r="M149" s="433"/>
      <c r="N149" s="365"/>
      <c r="O149" s="362" t="b">
        <f>IF('6월'!AA1,I149=('6월'!M28),"미입력")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1481000</v>
      </c>
      <c r="J150" s="433"/>
      <c r="K150" s="433"/>
      <c r="L150" s="433"/>
      <c r="M150" s="433"/>
      <c r="N150" s="365"/>
      <c r="O150" s="362" t="b">
        <f>IF('6월'!AA1,I150=('6월'!I38),"미입력")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73</v>
      </c>
      <c r="L4" s="31"/>
      <c r="M4" s="27" t="s">
        <v>326</v>
      </c>
      <c r="N4" s="27" t="s">
        <v>327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328</v>
      </c>
      <c r="L5" s="38" t="s">
        <v>512</v>
      </c>
      <c r="M5" s="34" t="s">
        <v>330</v>
      </c>
      <c r="N5" s="34" t="s">
        <v>331</v>
      </c>
      <c r="O5" s="35"/>
      <c r="P5" s="35"/>
      <c r="Q5" s="34" t="str">
        <f t="shared" si="0"/>
        <v/>
      </c>
      <c r="R5" s="34" t="str">
        <f t="shared" si="1"/>
        <v/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333</v>
      </c>
      <c r="L6" s="31" t="s">
        <v>512</v>
      </c>
      <c r="M6" s="27" t="s">
        <v>330</v>
      </c>
      <c r="N6" s="27" t="s">
        <v>334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346</v>
      </c>
      <c r="L10" s="31" t="s">
        <v>347</v>
      </c>
      <c r="M10" s="27" t="s">
        <v>344</v>
      </c>
      <c r="N10" s="27" t="s">
        <v>348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349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350</v>
      </c>
      <c r="L11" s="38" t="s">
        <v>513</v>
      </c>
      <c r="M11" s="34" t="s">
        <v>352</v>
      </c>
      <c r="N11" s="34" t="s">
        <v>353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514</v>
      </c>
      <c r="M12" s="27" t="s">
        <v>162</v>
      </c>
      <c r="N12" s="27" t="s">
        <v>515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332</v>
      </c>
      <c r="U12" s="27"/>
    </row>
    <row r="13" spans="1:27" ht="22" customHeight="1">
      <c r="A13" s="39" t="s">
        <v>357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358</v>
      </c>
      <c r="L13" s="38" t="s">
        <v>166</v>
      </c>
      <c r="M13" s="34" t="s">
        <v>326</v>
      </c>
      <c r="N13" s="34" t="s">
        <v>359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184</v>
      </c>
      <c r="M14" s="27" t="s">
        <v>326</v>
      </c>
      <c r="N14" s="27" t="s">
        <v>360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332</v>
      </c>
      <c r="U14" s="27"/>
    </row>
    <row r="15" spans="1:27" ht="22" customHeight="1">
      <c r="A15" s="31" t="s">
        <v>322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169</v>
      </c>
      <c r="M15" s="34" t="s">
        <v>326</v>
      </c>
      <c r="N15" s="34" t="s">
        <v>361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332</v>
      </c>
      <c r="U15" s="34"/>
    </row>
    <row r="16" spans="1:27" ht="22" customHeight="1">
      <c r="A16" s="31" t="s">
        <v>223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516</v>
      </c>
      <c r="T22" s="27" t="s">
        <v>383</v>
      </c>
      <c r="U22" s="27"/>
    </row>
    <row r="23" spans="1:22" ht="22" customHeight="1">
      <c r="A23" s="39" t="s">
        <v>384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386</v>
      </c>
      <c r="T23" s="34" t="s">
        <v>76</v>
      </c>
      <c r="U23" s="34"/>
    </row>
    <row r="24" spans="1:22" ht="22" customHeight="1">
      <c r="A24" s="31" t="s">
        <v>323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517</v>
      </c>
      <c r="M24" s="27" t="s">
        <v>330</v>
      </c>
      <c r="N24" s="27" t="s">
        <v>378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498</v>
      </c>
      <c r="T24" s="27" t="s">
        <v>76</v>
      </c>
      <c r="U24" s="27"/>
    </row>
    <row r="25" spans="1:22" ht="25" customHeight="1">
      <c r="A25" s="31" t="s">
        <v>322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223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HYPERLINK("#'7월계산기'!A1","계산기 대조 · 7월계산기 열기")</f>
        <v>계산기 대조 · 7월계산기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1519000</v>
      </c>
      <c r="N28" s="365"/>
      <c r="O28" s="366" t="s">
        <v>212</v>
      </c>
      <c r="P28" s="365"/>
      <c r="Q28" s="364">
        <f>'7월계산기'!W12</f>
        <v>1519000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1519000</v>
      </c>
      <c r="N29" s="365"/>
      <c r="O29" s="366" t="s">
        <v>213</v>
      </c>
      <c r="P29" s="365"/>
      <c r="Q29" s="364">
        <f>'7월계산기'!W13</f>
        <v>1519000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41466</v>
      </c>
      <c r="N30" s="365"/>
      <c r="O30" s="366" t="s">
        <v>391</v>
      </c>
      <c r="P30" s="365"/>
      <c r="Q30" s="364">
        <f>SUM(I4,I9,I14,I19,I24,I29)-I33</f>
        <v>41466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'7월계산기'!W14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2776050</v>
      </c>
      <c r="D37" s="27"/>
      <c r="E37" s="27" t="s">
        <v>306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I33-_예비비계산!AG8</f>
        <v>1477534</v>
      </c>
      <c r="I38" s="27">
        <f>SUM(I4,I9,I14,I19,I24,I29)-_예비비계산!AH8</f>
        <v>1519000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2776050</v>
      </c>
      <c r="D41" s="27"/>
      <c r="E41" s="49" t="s">
        <v>411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0</v>
      </c>
      <c r="I43" s="27">
        <f>H43</f>
        <v>0</v>
      </c>
      <c r="J43" s="12"/>
      <c r="K43" s="31" t="s">
        <v>402</v>
      </c>
      <c r="L43" s="31" t="s">
        <v>416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418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5">
        <v>46210</v>
      </c>
      <c r="B52" s="35" t="s">
        <v>431</v>
      </c>
      <c r="C52" s="35" t="s">
        <v>99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5">
        <f>RAW!A1761</f>
        <v>46234.697222222218</v>
      </c>
      <c r="B53" s="35" t="s">
        <v>480</v>
      </c>
      <c r="C53" s="35" t="s">
        <v>518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519</v>
      </c>
      <c r="J53" s="12"/>
      <c r="K53" s="50" t="s">
        <v>432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5">
        <f>RAW!A1574</f>
        <v>46218.934432870366</v>
      </c>
      <c r="B54" s="35" t="s">
        <v>520</v>
      </c>
      <c r="C54" s="35" t="s">
        <v>521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522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5"/>
      <c r="B55" s="35"/>
      <c r="C55" s="35"/>
      <c r="D55" s="35"/>
      <c r="E55" s="35"/>
      <c r="F55" s="27" t="str">
        <f t="shared" si="5"/>
        <v/>
      </c>
      <c r="G55" s="35"/>
      <c r="H55" s="34" t="str">
        <f t="shared" si="6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5"/>
      <c r="B56" s="35"/>
      <c r="C56" s="35"/>
      <c r="D56" s="35"/>
      <c r="E56" s="35"/>
      <c r="F56" s="27" t="str">
        <f t="shared" si="5"/>
        <v/>
      </c>
      <c r="G56" s="35"/>
      <c r="H56" s="27" t="str">
        <f t="shared" si="6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5"/>
        <v/>
      </c>
      <c r="G57" s="35"/>
      <c r="H57" s="34" t="str">
        <f t="shared" si="6"/>
        <v/>
      </c>
      <c r="I57" s="35"/>
      <c r="J57" s="12"/>
      <c r="K57" s="31" t="s">
        <v>435</v>
      </c>
      <c r="L57" s="31" t="s">
        <v>190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5"/>
        <v/>
      </c>
      <c r="G58" s="35"/>
      <c r="H58" s="27" t="str">
        <f t="shared" si="6"/>
        <v/>
      </c>
      <c r="I58" s="35"/>
      <c r="J58" s="12"/>
      <c r="K58" s="31" t="s">
        <v>435</v>
      </c>
      <c r="L58" s="31" t="s">
        <v>138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5"/>
        <v/>
      </c>
      <c r="G59" s="35"/>
      <c r="H59" s="34" t="str">
        <f t="shared" si="6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5"/>
        <v/>
      </c>
      <c r="G60" s="35"/>
      <c r="H60" s="27" t="str">
        <f t="shared" si="6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5"/>
        <v/>
      </c>
      <c r="G61" s="35"/>
      <c r="H61" s="34" t="str">
        <f t="shared" si="6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1333900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5" bestFit="1" customWidth="1"/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523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643</v>
      </c>
      <c r="D3" s="120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643000</v>
      </c>
      <c r="AA3">
        <v>643</v>
      </c>
    </row>
    <row r="4" spans="1:27" ht="18" customHeight="1">
      <c r="A4" s="117" t="s">
        <v>453</v>
      </c>
      <c r="B4" s="125"/>
      <c r="C4" s="119">
        <f>IFERROR(colorfunction(B4,$B$15:$U$144,FALSE),$AA$4)</f>
        <v>170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170000</v>
      </c>
      <c r="AA4">
        <v>170</v>
      </c>
    </row>
    <row r="5" spans="1:27" ht="18" customHeight="1">
      <c r="A5" s="117" t="s">
        <v>454</v>
      </c>
      <c r="B5" s="127"/>
      <c r="C5" s="119">
        <f>IFERROR(colorfunction(B5,$B$15:$U$144,FALSE),$AA$5)</f>
        <v>376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376000</v>
      </c>
      <c r="AA5">
        <v>376</v>
      </c>
    </row>
    <row r="6" spans="1:27" ht="18" customHeight="1">
      <c r="A6" s="117" t="s">
        <v>455</v>
      </c>
      <c r="B6" s="128"/>
      <c r="C6" s="119">
        <f>IFERROR(colorfunction(B6,$B$15:$U$144,FALSE),$AA$6)</f>
        <v>122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122000</v>
      </c>
      <c r="AA6">
        <v>122</v>
      </c>
    </row>
    <row r="7" spans="1:27" ht="18" customHeight="1">
      <c r="A7" s="117" t="s">
        <v>456</v>
      </c>
      <c r="B7" s="129"/>
      <c r="C7" s="119">
        <f>IFERROR(colorfunction(B7,$B$15:$U$144,FALSE),$AA$7)</f>
        <v>52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52000</v>
      </c>
      <c r="AA7">
        <v>52</v>
      </c>
    </row>
    <row r="8" spans="1:27" ht="18" customHeight="1">
      <c r="A8" s="117" t="s">
        <v>457</v>
      </c>
      <c r="B8" s="130"/>
      <c r="C8" s="119">
        <f>IFERROR(colorfunction(B8,$B$15:$U$144,FALSE),$AA$8)</f>
        <v>0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0</v>
      </c>
      <c r="AA8">
        <v>0</v>
      </c>
    </row>
    <row r="9" spans="1:27" ht="18" customHeight="1">
      <c r="A9" s="117" t="s">
        <v>458</v>
      </c>
      <c r="B9" s="131"/>
      <c r="C9" s="119">
        <f>IFERROR(colorfunction(B9,$B$15:$U$144,FALSE),$AA$9)</f>
        <v>156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156000</v>
      </c>
      <c r="AA9">
        <v>156</v>
      </c>
    </row>
    <row r="10" spans="1:27" ht="18" customHeight="1">
      <c r="A10" s="117" t="s">
        <v>459</v>
      </c>
      <c r="B10" s="132"/>
      <c r="C10" s="119">
        <f>IFERROR(colorfunction(B10,$B$15:$U$144,FALSE),$AA$10)</f>
        <v>0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0</v>
      </c>
      <c r="AA10">
        <v>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1519000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1519000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0+_예비비계산!AH8</f>
        <v>0</v>
      </c>
    </row>
    <row r="15" spans="1:27" ht="12" customHeight="1">
      <c r="A15" s="122"/>
      <c r="B15" s="133"/>
      <c r="C15" s="134"/>
      <c r="D15" s="133"/>
      <c r="E15" s="136"/>
      <c r="F15" s="133"/>
      <c r="G15" s="134"/>
      <c r="H15" s="135"/>
      <c r="I15" s="134"/>
      <c r="J15" s="135"/>
      <c r="K15" s="134"/>
      <c r="L15" s="133"/>
      <c r="M15" s="134"/>
      <c r="N15" s="133"/>
      <c r="O15" s="134"/>
      <c r="P15" s="133"/>
      <c r="Q15" s="183"/>
      <c r="R15" s="133"/>
      <c r="S15" s="134"/>
      <c r="T15" s="133"/>
      <c r="U15" s="134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37"/>
      <c r="C16" s="138"/>
      <c r="D16" s="137"/>
      <c r="E16" s="140"/>
      <c r="F16" s="137"/>
      <c r="G16" s="138"/>
      <c r="H16" s="139"/>
      <c r="I16" s="140"/>
      <c r="J16" s="137"/>
      <c r="K16" s="138"/>
      <c r="L16" s="137"/>
      <c r="M16" s="138"/>
      <c r="N16" s="137"/>
      <c r="O16" s="138"/>
      <c r="P16" s="137"/>
      <c r="Q16" s="186"/>
      <c r="R16" s="137"/>
      <c r="S16" s="138"/>
      <c r="T16" s="137"/>
      <c r="U16" s="138"/>
      <c r="V16" s="299" t="s">
        <v>211</v>
      </c>
      <c r="W16" s="300">
        <f>SUM(W3:W10)</f>
        <v>1519000</v>
      </c>
    </row>
    <row r="17" spans="1:27" ht="12" customHeight="1">
      <c r="A17" s="122"/>
      <c r="B17" s="137"/>
      <c r="C17" s="138"/>
      <c r="D17" s="139"/>
      <c r="E17" s="138"/>
      <c r="F17" s="137"/>
      <c r="G17" s="138"/>
      <c r="H17" s="139"/>
      <c r="I17" s="140"/>
      <c r="J17" s="137"/>
      <c r="K17" s="138"/>
      <c r="L17" s="137"/>
      <c r="M17" s="138"/>
      <c r="N17" s="137"/>
      <c r="O17" s="138"/>
      <c r="P17" s="137"/>
      <c r="Q17" s="138"/>
      <c r="R17" s="137"/>
      <c r="S17" s="138"/>
      <c r="T17" s="137"/>
      <c r="U17" s="138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37"/>
      <c r="C18" s="138"/>
      <c r="D18" s="139"/>
      <c r="E18" s="138"/>
      <c r="F18" s="137"/>
      <c r="G18" s="138"/>
      <c r="H18" s="139"/>
      <c r="I18" s="140"/>
      <c r="J18" s="137"/>
      <c r="K18" s="138"/>
      <c r="L18" s="137"/>
      <c r="M18" s="138"/>
      <c r="N18" s="137"/>
      <c r="O18" s="138"/>
      <c r="P18" s="137"/>
      <c r="Q18" s="138"/>
      <c r="R18" s="137"/>
      <c r="S18" s="138"/>
      <c r="T18" s="137"/>
      <c r="U18" s="138"/>
      <c r="V18" s="122"/>
      <c r="W18" s="122"/>
    </row>
    <row r="19" spans="1:27" ht="12" customHeight="1" thickBot="1">
      <c r="A19" s="141">
        <v>1</v>
      </c>
      <c r="B19" s="142"/>
      <c r="C19" s="143"/>
      <c r="D19" s="144"/>
      <c r="E19" s="143"/>
      <c r="F19" s="142"/>
      <c r="G19" s="145"/>
      <c r="H19" s="142"/>
      <c r="I19" s="145"/>
      <c r="J19" s="142"/>
      <c r="K19" s="143"/>
      <c r="L19" s="142"/>
      <c r="M19" s="143"/>
      <c r="N19" s="142"/>
      <c r="O19" s="143"/>
      <c r="P19" s="187"/>
      <c r="Q19" s="143"/>
      <c r="R19" s="142"/>
      <c r="S19" s="143"/>
      <c r="T19" s="142"/>
      <c r="U19" s="143"/>
      <c r="V19" s="122"/>
      <c r="W19" s="122"/>
    </row>
    <row r="20" spans="1:27" ht="12" customHeight="1">
      <c r="A20" s="122"/>
      <c r="B20" s="133"/>
      <c r="C20" s="134"/>
      <c r="D20" s="133"/>
      <c r="E20" s="134"/>
      <c r="F20" s="146"/>
      <c r="G20" s="147"/>
      <c r="H20" s="133"/>
      <c r="I20" s="136"/>
      <c r="J20" s="135"/>
      <c r="K20" s="134"/>
      <c r="L20" s="184"/>
      <c r="M20" s="183"/>
      <c r="N20" s="184"/>
      <c r="O20" s="183"/>
      <c r="P20" s="184"/>
      <c r="Q20" s="183"/>
      <c r="R20" s="184"/>
      <c r="S20" s="183"/>
      <c r="T20" s="184"/>
      <c r="U20" s="183"/>
      <c r="V20" s="122"/>
      <c r="W20" s="122"/>
    </row>
    <row r="21" spans="1:27" ht="12" customHeight="1">
      <c r="A21" s="122"/>
      <c r="B21" s="137"/>
      <c r="C21" s="138"/>
      <c r="D21" s="137"/>
      <c r="E21" s="153"/>
      <c r="F21" s="152"/>
      <c r="G21" s="138"/>
      <c r="H21" s="139"/>
      <c r="I21" s="140"/>
      <c r="J21" s="137"/>
      <c r="K21" s="186"/>
      <c r="L21" s="185"/>
      <c r="M21" s="186"/>
      <c r="N21" s="185"/>
      <c r="O21" s="186"/>
      <c r="P21" s="185"/>
      <c r="Q21" s="186"/>
      <c r="R21" s="185"/>
      <c r="S21" s="186"/>
      <c r="T21" s="185"/>
      <c r="U21" s="186"/>
      <c r="V21" s="122"/>
      <c r="W21" s="122"/>
    </row>
    <row r="22" spans="1:27" ht="12" customHeight="1">
      <c r="A22" s="122"/>
      <c r="B22" s="137"/>
      <c r="C22" s="138"/>
      <c r="D22" s="137"/>
      <c r="E22" s="153"/>
      <c r="F22" s="152"/>
      <c r="G22" s="138"/>
      <c r="H22" s="139"/>
      <c r="I22" s="140"/>
      <c r="J22" s="137"/>
      <c r="K22" s="186"/>
      <c r="L22" s="185"/>
      <c r="M22" s="186"/>
      <c r="N22" s="185"/>
      <c r="O22" s="186"/>
      <c r="P22" s="185"/>
      <c r="Q22" s="186"/>
      <c r="R22" s="185"/>
      <c r="S22" s="186"/>
      <c r="T22" s="185"/>
      <c r="U22" s="186"/>
      <c r="V22" s="122"/>
      <c r="W22" s="122"/>
    </row>
    <row r="23" spans="1:27" ht="12" customHeight="1">
      <c r="A23" s="122"/>
      <c r="B23" s="137"/>
      <c r="C23" s="138"/>
      <c r="D23" s="137"/>
      <c r="E23" s="153"/>
      <c r="F23" s="152"/>
      <c r="G23" s="138"/>
      <c r="H23" s="139"/>
      <c r="I23" s="140"/>
      <c r="J23" s="137"/>
      <c r="K23" s="186"/>
      <c r="L23" s="185"/>
      <c r="M23" s="186"/>
      <c r="N23" s="185"/>
      <c r="O23" s="186"/>
      <c r="P23" s="185"/>
      <c r="Q23" s="186"/>
      <c r="R23" s="185"/>
      <c r="S23" s="186"/>
      <c r="T23" s="185"/>
      <c r="U23" s="186"/>
      <c r="V23" s="122"/>
      <c r="W23" s="122"/>
    </row>
    <row r="24" spans="1:27" ht="12" customHeight="1" thickBot="1">
      <c r="A24" s="141">
        <v>2</v>
      </c>
      <c r="B24" s="142"/>
      <c r="C24" s="143"/>
      <c r="D24" s="142"/>
      <c r="E24" s="159"/>
      <c r="F24" s="158"/>
      <c r="G24" s="143"/>
      <c r="H24" s="144"/>
      <c r="I24" s="145"/>
      <c r="J24" s="142"/>
      <c r="K24" s="188"/>
      <c r="L24" s="187"/>
      <c r="M24" s="188"/>
      <c r="N24" s="187"/>
      <c r="O24" s="188"/>
      <c r="P24" s="187"/>
      <c r="Q24" s="188"/>
      <c r="R24" s="187"/>
      <c r="S24" s="188"/>
      <c r="T24" s="187"/>
      <c r="U24" s="188"/>
      <c r="V24" s="122"/>
      <c r="W24" s="122"/>
    </row>
    <row r="25" spans="1:27" ht="12" customHeight="1">
      <c r="A25" s="122"/>
      <c r="B25" s="184"/>
      <c r="C25" s="183"/>
      <c r="D25" s="184"/>
      <c r="E25" s="183"/>
      <c r="F25" s="184"/>
      <c r="G25" s="183"/>
      <c r="H25" s="184"/>
      <c r="I25" s="183"/>
      <c r="J25" s="135"/>
      <c r="K25" s="134"/>
      <c r="L25" s="133"/>
      <c r="M25" s="134"/>
      <c r="N25" s="133"/>
      <c r="O25" s="136"/>
      <c r="P25" s="133"/>
      <c r="Q25" s="134"/>
      <c r="R25" s="133"/>
      <c r="S25" s="136"/>
      <c r="T25" s="133"/>
      <c r="U25" s="134"/>
      <c r="V25" s="122"/>
      <c r="W25" s="122"/>
    </row>
    <row r="26" spans="1:27" ht="12" customHeight="1">
      <c r="A26" s="122"/>
      <c r="B26" s="185"/>
      <c r="C26" s="186"/>
      <c r="D26" s="185"/>
      <c r="E26" s="186"/>
      <c r="F26" s="185"/>
      <c r="G26" s="186"/>
      <c r="H26" s="185"/>
      <c r="I26" s="186"/>
      <c r="J26" s="139"/>
      <c r="K26" s="138"/>
      <c r="L26" s="137"/>
      <c r="M26" s="138"/>
      <c r="N26" s="137"/>
      <c r="O26" s="140"/>
      <c r="P26" s="137"/>
      <c r="Q26" s="138"/>
      <c r="R26" s="137"/>
      <c r="S26" s="140"/>
      <c r="T26" s="137"/>
      <c r="U26" s="138"/>
      <c r="V26" s="122"/>
      <c r="W26" s="122"/>
    </row>
    <row r="27" spans="1:27" ht="12" customHeight="1">
      <c r="A27" s="122"/>
      <c r="B27" s="185"/>
      <c r="C27" s="186"/>
      <c r="D27" s="185"/>
      <c r="E27" s="186"/>
      <c r="F27" s="185"/>
      <c r="G27" s="186"/>
      <c r="H27" s="185"/>
      <c r="I27" s="140"/>
      <c r="J27" s="137"/>
      <c r="K27" s="138"/>
      <c r="L27" s="137"/>
      <c r="M27" s="138"/>
      <c r="N27" s="139"/>
      <c r="O27" s="138"/>
      <c r="P27" s="137"/>
      <c r="Q27" s="138"/>
      <c r="R27" s="137"/>
      <c r="S27" s="140"/>
      <c r="T27" s="137"/>
      <c r="U27" s="138"/>
      <c r="V27" s="122"/>
      <c r="W27" s="122"/>
    </row>
    <row r="28" spans="1:27" ht="12" customHeight="1">
      <c r="A28" s="122"/>
      <c r="B28" s="185"/>
      <c r="C28" s="186"/>
      <c r="D28" s="185"/>
      <c r="E28" s="186"/>
      <c r="F28" s="185"/>
      <c r="G28" s="186"/>
      <c r="H28" s="185"/>
      <c r="I28" s="140"/>
      <c r="J28" s="137"/>
      <c r="K28" s="138"/>
      <c r="L28" s="137"/>
      <c r="M28" s="138"/>
      <c r="N28" s="139"/>
      <c r="O28" s="138"/>
      <c r="P28" s="137"/>
      <c r="Q28" s="138"/>
      <c r="R28" s="137"/>
      <c r="S28" s="140"/>
      <c r="T28" s="137"/>
      <c r="U28" s="138"/>
      <c r="V28" s="122"/>
      <c r="W28" s="122"/>
    </row>
    <row r="29" spans="1:27" ht="12" customHeight="1" thickBot="1">
      <c r="A29" s="141">
        <v>3</v>
      </c>
      <c r="B29" s="187"/>
      <c r="C29" s="188"/>
      <c r="D29" s="187"/>
      <c r="E29" s="188"/>
      <c r="F29" s="187"/>
      <c r="G29" s="188"/>
      <c r="H29" s="187"/>
      <c r="I29" s="145"/>
      <c r="J29" s="142"/>
      <c r="K29" s="143"/>
      <c r="L29" s="142"/>
      <c r="M29" s="143"/>
      <c r="N29" s="144"/>
      <c r="O29" s="143"/>
      <c r="P29" s="142"/>
      <c r="Q29" s="143"/>
      <c r="R29" s="144"/>
      <c r="S29" s="143"/>
      <c r="T29" s="142"/>
      <c r="U29" s="143"/>
      <c r="V29" s="122"/>
      <c r="W29" s="122"/>
    </row>
    <row r="30" spans="1:27" ht="12" customHeight="1">
      <c r="A30" s="122"/>
      <c r="B30" s="133"/>
      <c r="C30" s="136"/>
      <c r="D30" s="133"/>
      <c r="E30" s="134"/>
      <c r="F30" s="133"/>
      <c r="G30" s="134"/>
      <c r="H30" s="133"/>
      <c r="I30" s="134"/>
      <c r="J30" s="133"/>
      <c r="K30" s="134"/>
      <c r="L30" s="133"/>
      <c r="M30" s="134"/>
      <c r="N30" s="135"/>
      <c r="O30" s="136"/>
      <c r="P30" s="133"/>
      <c r="Q30" s="173"/>
      <c r="R30" s="181"/>
      <c r="S30" s="173"/>
      <c r="T30" s="181"/>
      <c r="U30" s="173"/>
      <c r="V30" s="122"/>
      <c r="W30" s="122"/>
    </row>
    <row r="31" spans="1:27" ht="12" customHeight="1">
      <c r="A31" s="122"/>
      <c r="B31" s="137"/>
      <c r="C31" s="140"/>
      <c r="D31" s="137"/>
      <c r="E31" s="138"/>
      <c r="F31" s="137"/>
      <c r="G31" s="138"/>
      <c r="H31" s="137"/>
      <c r="I31" s="138"/>
      <c r="J31" s="137"/>
      <c r="K31" s="138"/>
      <c r="L31" s="137"/>
      <c r="M31" s="140"/>
      <c r="N31" s="139"/>
      <c r="O31" s="138"/>
      <c r="P31" s="164"/>
      <c r="Q31" s="182"/>
      <c r="R31" s="164"/>
      <c r="S31" s="182"/>
      <c r="T31" s="164"/>
      <c r="U31" s="182"/>
      <c r="V31" s="122"/>
      <c r="W31" s="122"/>
    </row>
    <row r="32" spans="1:27" ht="12" customHeight="1">
      <c r="A32" s="122"/>
      <c r="B32" s="137"/>
      <c r="C32" s="140"/>
      <c r="D32" s="137"/>
      <c r="E32" s="138"/>
      <c r="F32" s="137"/>
      <c r="G32" s="138"/>
      <c r="H32" s="137"/>
      <c r="I32" s="138"/>
      <c r="J32" s="137"/>
      <c r="K32" s="138"/>
      <c r="L32" s="137"/>
      <c r="M32" s="140"/>
      <c r="N32" s="139"/>
      <c r="O32" s="138"/>
      <c r="P32" s="164"/>
      <c r="Q32" s="182"/>
      <c r="R32" s="164"/>
      <c r="S32" s="182"/>
      <c r="T32" s="164"/>
      <c r="U32" s="182"/>
      <c r="V32" s="122"/>
      <c r="W32" s="122"/>
    </row>
    <row r="33" spans="1:23" ht="12" customHeight="1">
      <c r="A33" s="122"/>
      <c r="B33" s="137"/>
      <c r="C33" s="140"/>
      <c r="D33" s="137"/>
      <c r="E33" s="138"/>
      <c r="F33" s="137"/>
      <c r="G33" s="138"/>
      <c r="H33" s="137"/>
      <c r="I33" s="138"/>
      <c r="J33" s="137"/>
      <c r="K33" s="138"/>
      <c r="L33" s="137"/>
      <c r="M33" s="140"/>
      <c r="N33" s="139"/>
      <c r="O33" s="138"/>
      <c r="P33" s="164"/>
      <c r="Q33" s="182"/>
      <c r="R33" s="164"/>
      <c r="S33" s="182"/>
      <c r="T33" s="164"/>
      <c r="U33" s="182"/>
      <c r="V33" s="122"/>
      <c r="W33" s="122"/>
    </row>
    <row r="34" spans="1:23" ht="12" customHeight="1" thickBot="1">
      <c r="A34" s="141">
        <v>4</v>
      </c>
      <c r="B34" s="144"/>
      <c r="C34" s="143"/>
      <c r="D34" s="142"/>
      <c r="E34" s="143"/>
      <c r="F34" s="142"/>
      <c r="G34" s="143"/>
      <c r="H34" s="142"/>
      <c r="I34" s="143"/>
      <c r="J34" s="142"/>
      <c r="K34" s="143"/>
      <c r="L34" s="142"/>
      <c r="M34" s="145"/>
      <c r="N34" s="144"/>
      <c r="O34" s="143"/>
      <c r="P34" s="165"/>
      <c r="Q34" s="172"/>
      <c r="R34" s="165"/>
      <c r="S34" s="172"/>
      <c r="T34" s="165"/>
      <c r="U34" s="172"/>
      <c r="V34" s="122"/>
      <c r="W34" s="122"/>
    </row>
    <row r="35" spans="1:23" ht="12" customHeight="1">
      <c r="A35" s="122"/>
      <c r="B35" s="181"/>
      <c r="C35" s="173"/>
      <c r="D35" s="181"/>
      <c r="E35" s="173"/>
      <c r="F35" s="181"/>
      <c r="G35" s="173"/>
      <c r="H35" s="181"/>
      <c r="I35" s="173"/>
      <c r="J35" s="181"/>
      <c r="K35" s="173"/>
      <c r="L35" s="146"/>
      <c r="M35" s="147"/>
      <c r="N35" s="135"/>
      <c r="O35" s="134"/>
      <c r="P35" s="135"/>
      <c r="Q35" s="134"/>
      <c r="R35" s="133"/>
      <c r="S35" s="134"/>
      <c r="T35" s="151"/>
      <c r="U35" s="136"/>
      <c r="V35" s="122"/>
      <c r="W35" s="122"/>
    </row>
    <row r="36" spans="1:23" ht="12" customHeight="1">
      <c r="A36" s="122"/>
      <c r="B36" s="164"/>
      <c r="C36" s="182"/>
      <c r="D36" s="164"/>
      <c r="E36" s="182"/>
      <c r="F36" s="164"/>
      <c r="G36" s="182"/>
      <c r="H36" s="164"/>
      <c r="I36" s="182"/>
      <c r="J36" s="164"/>
      <c r="K36" s="182"/>
      <c r="L36" s="152"/>
      <c r="M36" s="153"/>
      <c r="N36" s="139"/>
      <c r="O36" s="138"/>
      <c r="P36" s="139"/>
      <c r="Q36" s="138"/>
      <c r="R36" s="137"/>
      <c r="S36" s="138"/>
      <c r="T36" s="157"/>
      <c r="U36" s="140"/>
      <c r="V36" s="122"/>
      <c r="W36" s="122"/>
    </row>
    <row r="37" spans="1:23" ht="12" customHeight="1">
      <c r="A37" s="122"/>
      <c r="B37" s="164"/>
      <c r="C37" s="182"/>
      <c r="D37" s="164"/>
      <c r="E37" s="182"/>
      <c r="F37" s="164"/>
      <c r="G37" s="182"/>
      <c r="H37" s="164"/>
      <c r="I37" s="182"/>
      <c r="J37" s="164"/>
      <c r="K37" s="182"/>
      <c r="L37" s="152"/>
      <c r="M37" s="153"/>
      <c r="N37" s="139"/>
      <c r="O37" s="138"/>
      <c r="P37" s="139"/>
      <c r="Q37" s="138"/>
      <c r="R37" s="137"/>
      <c r="S37" s="138"/>
      <c r="T37" s="157"/>
      <c r="U37" s="140"/>
      <c r="V37" s="122"/>
      <c r="W37" s="122"/>
    </row>
    <row r="38" spans="1:23" ht="12" customHeight="1">
      <c r="A38" s="122"/>
      <c r="B38" s="164"/>
      <c r="C38" s="182"/>
      <c r="D38" s="164"/>
      <c r="E38" s="182"/>
      <c r="F38" s="164"/>
      <c r="G38" s="182"/>
      <c r="H38" s="164"/>
      <c r="I38" s="182"/>
      <c r="J38" s="164"/>
      <c r="K38" s="182"/>
      <c r="L38" s="152"/>
      <c r="M38" s="140"/>
      <c r="N38" s="137"/>
      <c r="O38" s="138"/>
      <c r="P38" s="139"/>
      <c r="Q38" s="138"/>
      <c r="R38" s="137"/>
      <c r="S38" s="156"/>
      <c r="T38" s="157"/>
      <c r="U38" s="140"/>
      <c r="V38" s="122"/>
      <c r="W38" s="122"/>
    </row>
    <row r="39" spans="1:23" ht="12" customHeight="1" thickBot="1">
      <c r="A39" s="141">
        <v>5</v>
      </c>
      <c r="B39" s="165"/>
      <c r="C39" s="172"/>
      <c r="D39" s="165"/>
      <c r="E39" s="172"/>
      <c r="F39" s="165"/>
      <c r="G39" s="172"/>
      <c r="H39" s="165"/>
      <c r="I39" s="172"/>
      <c r="J39" s="165"/>
      <c r="K39" s="172"/>
      <c r="L39" s="158"/>
      <c r="M39" s="145"/>
      <c r="N39" s="142"/>
      <c r="O39" s="145"/>
      <c r="P39" s="142"/>
      <c r="Q39" s="143"/>
      <c r="R39" s="142"/>
      <c r="S39" s="162"/>
      <c r="T39" s="144"/>
      <c r="U39" s="143"/>
      <c r="V39" s="122"/>
      <c r="W39" s="122"/>
    </row>
    <row r="40" spans="1:23" ht="12" customHeight="1">
      <c r="A40" s="122"/>
      <c r="B40" s="133"/>
      <c r="C40" s="136"/>
      <c r="D40" s="164"/>
      <c r="E40" s="173"/>
      <c r="F40" s="135"/>
      <c r="G40" s="134"/>
      <c r="H40" s="181"/>
      <c r="I40" s="173"/>
      <c r="J40" s="181"/>
      <c r="K40" s="136"/>
      <c r="L40" s="181"/>
      <c r="M40" s="134"/>
      <c r="N40" s="133"/>
      <c r="O40" s="134"/>
      <c r="P40" s="135"/>
      <c r="Q40" s="134"/>
      <c r="R40" s="133"/>
      <c r="S40" s="150"/>
      <c r="T40" s="151"/>
      <c r="U40" s="150"/>
      <c r="V40" s="122"/>
      <c r="W40" s="122"/>
    </row>
    <row r="41" spans="1:23" ht="12" customHeight="1">
      <c r="A41" s="122"/>
      <c r="B41" s="139"/>
      <c r="C41" s="138"/>
      <c r="D41" s="193"/>
      <c r="E41" s="182"/>
      <c r="F41" s="139"/>
      <c r="G41" s="138"/>
      <c r="H41" s="164"/>
      <c r="I41" s="182"/>
      <c r="J41" s="164"/>
      <c r="K41" s="140"/>
      <c r="L41" s="164"/>
      <c r="M41" s="138"/>
      <c r="N41" s="137"/>
      <c r="O41" s="138"/>
      <c r="P41" s="139"/>
      <c r="Q41" s="138"/>
      <c r="R41" s="157"/>
      <c r="S41" s="156"/>
      <c r="T41" s="157"/>
      <c r="U41" s="156"/>
      <c r="V41" s="122"/>
      <c r="W41" s="122"/>
    </row>
    <row r="42" spans="1:23" ht="12" customHeight="1">
      <c r="A42" s="122"/>
      <c r="B42" s="139"/>
      <c r="C42" s="138"/>
      <c r="D42" s="164"/>
      <c r="E42" s="140"/>
      <c r="F42" s="137"/>
      <c r="G42" s="138"/>
      <c r="H42" s="164"/>
      <c r="I42" s="182"/>
      <c r="J42" s="164"/>
      <c r="K42" s="140"/>
      <c r="L42" s="137"/>
      <c r="M42" s="138"/>
      <c r="N42" s="137"/>
      <c r="O42" s="140"/>
      <c r="P42" s="137"/>
      <c r="Q42" s="138"/>
      <c r="R42" s="157"/>
      <c r="S42" s="156"/>
      <c r="T42" s="157"/>
      <c r="U42" s="156"/>
      <c r="V42" s="122"/>
      <c r="W42" s="122"/>
    </row>
    <row r="43" spans="1:23" ht="12" customHeight="1">
      <c r="A43" s="122"/>
      <c r="B43" s="139"/>
      <c r="C43" s="138"/>
      <c r="D43" s="164"/>
      <c r="E43" s="140"/>
      <c r="F43" s="137"/>
      <c r="G43" s="182"/>
      <c r="H43" s="164"/>
      <c r="I43" s="182"/>
      <c r="J43" s="164"/>
      <c r="K43" s="140"/>
      <c r="L43" s="137"/>
      <c r="M43" s="138"/>
      <c r="N43" s="137"/>
      <c r="O43" s="140"/>
      <c r="P43" s="137"/>
      <c r="Q43" s="138"/>
      <c r="R43" s="157"/>
      <c r="S43" s="156"/>
      <c r="T43" s="157"/>
      <c r="U43" s="156"/>
      <c r="V43" s="122"/>
      <c r="W43" s="122"/>
    </row>
    <row r="44" spans="1:23" ht="12" customHeight="1" thickBot="1">
      <c r="A44" s="141">
        <v>6</v>
      </c>
      <c r="B44" s="144"/>
      <c r="C44" s="143"/>
      <c r="D44" s="165"/>
      <c r="E44" s="145"/>
      <c r="F44" s="142"/>
      <c r="G44" s="172"/>
      <c r="H44" s="165"/>
      <c r="I44" s="172"/>
      <c r="J44" s="165"/>
      <c r="K44" s="145"/>
      <c r="L44" s="142"/>
      <c r="M44" s="143"/>
      <c r="N44" s="142"/>
      <c r="O44" s="145"/>
      <c r="P44" s="142"/>
      <c r="Q44" s="143"/>
      <c r="R44" s="163"/>
      <c r="S44" s="162"/>
      <c r="T44" s="163"/>
      <c r="U44" s="162"/>
      <c r="V44" s="122"/>
      <c r="W44" s="122"/>
    </row>
    <row r="45" spans="1:23" ht="12" customHeight="1">
      <c r="A45" s="122"/>
      <c r="B45" s="151"/>
      <c r="C45" s="150"/>
      <c r="D45" s="133"/>
      <c r="E45" s="134"/>
      <c r="F45" s="133"/>
      <c r="G45" s="136"/>
      <c r="H45" s="133"/>
      <c r="I45" s="134"/>
      <c r="J45" s="133"/>
      <c r="K45" s="134"/>
      <c r="L45" s="133"/>
      <c r="M45" s="134"/>
      <c r="N45" s="135"/>
      <c r="O45" s="136"/>
      <c r="P45" s="133"/>
      <c r="Q45" s="134"/>
      <c r="R45" s="133"/>
      <c r="S45" s="134"/>
      <c r="T45" s="133"/>
      <c r="U45" s="134"/>
      <c r="V45" s="122"/>
      <c r="W45" s="122"/>
    </row>
    <row r="46" spans="1:23" ht="12" customHeight="1">
      <c r="A46" s="122"/>
      <c r="B46" s="157"/>
      <c r="C46" s="138"/>
      <c r="D46" s="137"/>
      <c r="E46" s="138"/>
      <c r="F46" s="137"/>
      <c r="G46" s="140"/>
      <c r="H46" s="137"/>
      <c r="I46" s="138"/>
      <c r="J46" s="137"/>
      <c r="K46" s="138"/>
      <c r="L46" s="137"/>
      <c r="M46" s="138"/>
      <c r="N46" s="139"/>
      <c r="O46" s="140"/>
      <c r="P46" s="137"/>
      <c r="Q46" s="138"/>
      <c r="R46" s="137"/>
      <c r="S46" s="138"/>
      <c r="T46" s="137"/>
      <c r="U46" s="138"/>
      <c r="V46" s="122"/>
      <c r="W46" s="122"/>
    </row>
    <row r="47" spans="1:23" ht="12" customHeight="1">
      <c r="A47" s="122"/>
      <c r="B47" s="157"/>
      <c r="C47" s="138"/>
      <c r="D47" s="137"/>
      <c r="E47" s="138"/>
      <c r="F47" s="137"/>
      <c r="G47" s="140"/>
      <c r="H47" s="137"/>
      <c r="I47" s="138"/>
      <c r="J47" s="137"/>
      <c r="K47" s="138"/>
      <c r="L47" s="137"/>
      <c r="M47" s="138"/>
      <c r="N47" s="139"/>
      <c r="O47" s="138"/>
      <c r="P47" s="137"/>
      <c r="Q47" s="138"/>
      <c r="R47" s="137"/>
      <c r="S47" s="138"/>
      <c r="T47" s="137"/>
      <c r="U47" s="138"/>
      <c r="V47" s="122"/>
      <c r="W47" s="122"/>
    </row>
    <row r="48" spans="1:23" ht="12" customHeight="1">
      <c r="A48" s="122"/>
      <c r="B48" s="157"/>
      <c r="C48" s="138"/>
      <c r="D48" s="137"/>
      <c r="E48" s="138"/>
      <c r="F48" s="137"/>
      <c r="G48" s="140"/>
      <c r="H48" s="137"/>
      <c r="I48" s="138"/>
      <c r="J48" s="137"/>
      <c r="K48" s="138"/>
      <c r="L48" s="137"/>
      <c r="M48" s="138"/>
      <c r="N48" s="137"/>
      <c r="O48" s="138"/>
      <c r="P48" s="137"/>
      <c r="Q48" s="138"/>
      <c r="R48" s="137"/>
      <c r="S48" s="138"/>
      <c r="T48" s="137"/>
      <c r="U48" s="138"/>
      <c r="V48" s="122"/>
      <c r="W48" s="122"/>
    </row>
    <row r="49" spans="1:23" ht="12" customHeight="1" thickBot="1">
      <c r="A49" s="141">
        <v>7</v>
      </c>
      <c r="B49" s="163"/>
      <c r="C49" s="143"/>
      <c r="D49" s="142"/>
      <c r="E49" s="143"/>
      <c r="F49" s="142"/>
      <c r="G49" s="145"/>
      <c r="H49" s="142"/>
      <c r="I49" s="143"/>
      <c r="J49" s="142"/>
      <c r="K49" s="143"/>
      <c r="L49" s="142"/>
      <c r="M49" s="143"/>
      <c r="N49" s="142"/>
      <c r="O49" s="143"/>
      <c r="P49" s="142"/>
      <c r="Q49" s="143"/>
      <c r="R49" s="142"/>
      <c r="S49" s="143"/>
      <c r="T49" s="142"/>
      <c r="U49" s="143"/>
      <c r="V49" s="122"/>
      <c r="W49" s="122"/>
    </row>
    <row r="50" spans="1:23" ht="12" customHeight="1">
      <c r="A50" s="122"/>
      <c r="B50" s="133"/>
      <c r="C50" s="134"/>
      <c r="D50" s="184"/>
      <c r="E50" s="183"/>
      <c r="F50" s="184"/>
      <c r="G50" s="183"/>
      <c r="H50" s="184"/>
      <c r="I50" s="183"/>
      <c r="J50" s="184"/>
      <c r="K50" s="183"/>
      <c r="L50" s="184"/>
      <c r="M50" s="183"/>
      <c r="N50" s="184"/>
      <c r="O50" s="183"/>
      <c r="P50" s="184"/>
      <c r="Q50" s="183"/>
      <c r="R50" s="184"/>
      <c r="S50" s="183"/>
      <c r="T50" s="185"/>
      <c r="U50" s="173"/>
      <c r="V50" s="122"/>
      <c r="W50" s="122"/>
    </row>
    <row r="51" spans="1:23" ht="12" customHeight="1">
      <c r="A51" s="122"/>
      <c r="B51" s="137"/>
      <c r="C51" s="138"/>
      <c r="D51" s="185"/>
      <c r="E51" s="186"/>
      <c r="F51" s="185"/>
      <c r="G51" s="186"/>
      <c r="H51" s="185"/>
      <c r="I51" s="186"/>
      <c r="J51" s="185"/>
      <c r="K51" s="186"/>
      <c r="L51" s="185"/>
      <c r="M51" s="186"/>
      <c r="N51" s="185"/>
      <c r="O51" s="186"/>
      <c r="P51" s="185"/>
      <c r="Q51" s="186"/>
      <c r="R51" s="185"/>
      <c r="S51" s="186"/>
      <c r="T51" s="185"/>
      <c r="U51" s="156"/>
      <c r="V51" s="122"/>
      <c r="W51" s="122"/>
    </row>
    <row r="52" spans="1:23" ht="12" customHeight="1">
      <c r="A52" s="122"/>
      <c r="B52" s="137"/>
      <c r="C52" s="186"/>
      <c r="D52" s="185"/>
      <c r="E52" s="186"/>
      <c r="F52" s="185"/>
      <c r="G52" s="186"/>
      <c r="H52" s="185"/>
      <c r="I52" s="186"/>
      <c r="J52" s="185"/>
      <c r="K52" s="186"/>
      <c r="L52" s="185"/>
      <c r="M52" s="186"/>
      <c r="N52" s="185"/>
      <c r="O52" s="186"/>
      <c r="P52" s="185"/>
      <c r="Q52" s="186"/>
      <c r="R52" s="185"/>
      <c r="S52" s="186"/>
      <c r="T52" s="185"/>
      <c r="U52" s="156"/>
      <c r="V52" s="122"/>
      <c r="W52" s="122"/>
    </row>
    <row r="53" spans="1:23" ht="12" customHeight="1">
      <c r="A53" s="122"/>
      <c r="B53" s="137"/>
      <c r="C53" s="186"/>
      <c r="D53" s="185"/>
      <c r="E53" s="186"/>
      <c r="F53" s="185"/>
      <c r="G53" s="186"/>
      <c r="H53" s="185"/>
      <c r="I53" s="186"/>
      <c r="J53" s="185"/>
      <c r="K53" s="186"/>
      <c r="L53" s="185"/>
      <c r="M53" s="186"/>
      <c r="N53" s="185"/>
      <c r="O53" s="186"/>
      <c r="P53" s="185"/>
      <c r="Q53" s="186"/>
      <c r="R53" s="185"/>
      <c r="S53" s="186"/>
      <c r="T53" s="185"/>
      <c r="U53" s="156"/>
      <c r="V53" s="122"/>
      <c r="W53" s="122"/>
    </row>
    <row r="54" spans="1:23" ht="12" customHeight="1" thickBot="1">
      <c r="A54" s="141">
        <v>8</v>
      </c>
      <c r="B54" s="142"/>
      <c r="C54" s="188"/>
      <c r="D54" s="187"/>
      <c r="E54" s="188"/>
      <c r="F54" s="187"/>
      <c r="G54" s="188"/>
      <c r="H54" s="187"/>
      <c r="I54" s="188"/>
      <c r="J54" s="187"/>
      <c r="K54" s="188"/>
      <c r="L54" s="187"/>
      <c r="M54" s="188"/>
      <c r="N54" s="187"/>
      <c r="O54" s="188"/>
      <c r="P54" s="187"/>
      <c r="Q54" s="188"/>
      <c r="R54" s="187"/>
      <c r="S54" s="188"/>
      <c r="T54" s="187"/>
      <c r="U54" s="162"/>
      <c r="V54" s="122"/>
      <c r="W54" s="122"/>
    </row>
    <row r="55" spans="1:23" ht="12" customHeight="1">
      <c r="A55" s="122"/>
      <c r="B55" s="151"/>
      <c r="C55" s="183"/>
      <c r="D55" s="184"/>
      <c r="E55" s="183"/>
      <c r="F55" s="184"/>
      <c r="G55" s="147"/>
      <c r="H55" s="146"/>
      <c r="I55" s="147"/>
      <c r="J55" s="146"/>
      <c r="K55" s="147"/>
      <c r="L55" s="146"/>
      <c r="M55" s="136"/>
      <c r="N55" s="133"/>
      <c r="O55" s="134"/>
      <c r="P55" s="146"/>
      <c r="Q55" s="147"/>
      <c r="R55" s="184"/>
      <c r="S55" s="183"/>
      <c r="T55" s="184"/>
      <c r="U55" s="136"/>
      <c r="V55" s="122"/>
      <c r="W55" s="122"/>
    </row>
    <row r="56" spans="1:23" ht="12" customHeight="1">
      <c r="A56" s="122"/>
      <c r="B56" s="194"/>
      <c r="C56" s="186"/>
      <c r="D56" s="185"/>
      <c r="E56" s="186"/>
      <c r="F56" s="185"/>
      <c r="G56" s="153"/>
      <c r="H56" s="152"/>
      <c r="I56" s="153"/>
      <c r="J56" s="152"/>
      <c r="K56" s="153"/>
      <c r="L56" s="152"/>
      <c r="M56" s="140"/>
      <c r="N56" s="137"/>
      <c r="O56" s="153"/>
      <c r="P56" s="152"/>
      <c r="Q56" s="153"/>
      <c r="R56" s="185"/>
      <c r="S56" s="186"/>
      <c r="T56" s="185"/>
      <c r="U56" s="140"/>
      <c r="V56" s="122"/>
      <c r="W56" s="122"/>
    </row>
    <row r="57" spans="1:23" ht="12" customHeight="1">
      <c r="A57" s="122"/>
      <c r="B57" s="194"/>
      <c r="C57" s="186"/>
      <c r="D57" s="185"/>
      <c r="E57" s="186"/>
      <c r="F57" s="152"/>
      <c r="G57" s="153"/>
      <c r="H57" s="152"/>
      <c r="I57" s="153"/>
      <c r="J57" s="152"/>
      <c r="K57" s="153"/>
      <c r="L57" s="152"/>
      <c r="M57" s="140"/>
      <c r="N57" s="137"/>
      <c r="O57" s="153"/>
      <c r="P57" s="152"/>
      <c r="Q57" s="153"/>
      <c r="R57" s="185"/>
      <c r="S57" s="186"/>
      <c r="T57" s="137"/>
      <c r="U57" s="140"/>
      <c r="V57" s="122"/>
      <c r="W57" s="122"/>
    </row>
    <row r="58" spans="1:23" ht="12" customHeight="1">
      <c r="A58" s="122"/>
      <c r="B58" s="194"/>
      <c r="C58" s="186"/>
      <c r="D58" s="185"/>
      <c r="E58" s="186"/>
      <c r="F58" s="152"/>
      <c r="G58" s="153"/>
      <c r="H58" s="152"/>
      <c r="I58" s="153"/>
      <c r="J58" s="152"/>
      <c r="K58" s="153"/>
      <c r="L58" s="152"/>
      <c r="M58" s="140"/>
      <c r="N58" s="137"/>
      <c r="O58" s="153"/>
      <c r="P58" s="152"/>
      <c r="Q58" s="153"/>
      <c r="R58" s="185"/>
      <c r="S58" s="186"/>
      <c r="T58" s="137"/>
      <c r="U58" s="140"/>
      <c r="V58" s="122"/>
      <c r="W58" s="122"/>
    </row>
    <row r="59" spans="1:23" ht="12" customHeight="1" thickBot="1">
      <c r="A59" s="141">
        <v>9</v>
      </c>
      <c r="B59" s="195"/>
      <c r="C59" s="188"/>
      <c r="D59" s="187"/>
      <c r="E59" s="188"/>
      <c r="F59" s="158"/>
      <c r="G59" s="159"/>
      <c r="H59" s="158"/>
      <c r="I59" s="159"/>
      <c r="J59" s="158"/>
      <c r="K59" s="159"/>
      <c r="L59" s="158"/>
      <c r="M59" s="145"/>
      <c r="N59" s="142"/>
      <c r="O59" s="159"/>
      <c r="P59" s="158"/>
      <c r="Q59" s="188"/>
      <c r="R59" s="187"/>
      <c r="S59" s="188"/>
      <c r="T59" s="142"/>
      <c r="U59" s="145"/>
      <c r="V59" s="122"/>
      <c r="W59" s="122"/>
    </row>
    <row r="60" spans="1:23" ht="12" customHeight="1">
      <c r="A60" s="122"/>
      <c r="B60" s="133"/>
      <c r="C60" s="134"/>
      <c r="D60" s="133"/>
      <c r="E60" s="134"/>
      <c r="F60" s="133"/>
      <c r="G60" s="134"/>
      <c r="H60" s="135"/>
      <c r="I60" s="134"/>
      <c r="J60" s="133"/>
      <c r="K60" s="134"/>
      <c r="L60" s="181"/>
      <c r="M60" s="134"/>
      <c r="N60" s="133"/>
      <c r="O60" s="134"/>
      <c r="P60" s="135"/>
      <c r="Q60" s="136"/>
      <c r="R60" s="133"/>
      <c r="S60" s="134"/>
      <c r="T60" s="133"/>
      <c r="U60" s="136"/>
      <c r="V60" s="122"/>
      <c r="W60" s="122"/>
    </row>
    <row r="61" spans="1:23" ht="12" customHeight="1">
      <c r="A61" s="122"/>
      <c r="B61" s="137"/>
      <c r="C61" s="138"/>
      <c r="D61" s="137"/>
      <c r="E61" s="138"/>
      <c r="F61" s="137"/>
      <c r="G61" s="138"/>
      <c r="H61" s="139"/>
      <c r="I61" s="138"/>
      <c r="J61" s="137"/>
      <c r="K61" s="138"/>
      <c r="L61" s="164"/>
      <c r="M61" s="138"/>
      <c r="N61" s="137"/>
      <c r="O61" s="138"/>
      <c r="P61" s="139"/>
      <c r="Q61" s="140"/>
      <c r="R61" s="137"/>
      <c r="S61" s="138"/>
      <c r="T61" s="137"/>
      <c r="U61" s="140"/>
      <c r="V61" s="122"/>
      <c r="W61" s="122"/>
    </row>
    <row r="62" spans="1:23" ht="12" customHeight="1">
      <c r="A62" s="122"/>
      <c r="B62" s="137"/>
      <c r="C62" s="138"/>
      <c r="D62" s="137"/>
      <c r="E62" s="138"/>
      <c r="F62" s="137"/>
      <c r="G62" s="140"/>
      <c r="H62" s="137"/>
      <c r="I62" s="138"/>
      <c r="J62" s="137"/>
      <c r="K62" s="138"/>
      <c r="L62" s="164"/>
      <c r="M62" s="138"/>
      <c r="N62" s="137"/>
      <c r="O62" s="138"/>
      <c r="P62" s="139"/>
      <c r="Q62" s="140"/>
      <c r="R62" s="137"/>
      <c r="S62" s="138"/>
      <c r="T62" s="137"/>
      <c r="U62" s="140"/>
      <c r="V62" s="122"/>
      <c r="W62" s="122"/>
    </row>
    <row r="63" spans="1:23" ht="12" customHeight="1">
      <c r="A63" s="122"/>
      <c r="B63" s="137"/>
      <c r="C63" s="138"/>
      <c r="D63" s="137"/>
      <c r="E63" s="138"/>
      <c r="F63" s="137"/>
      <c r="G63" s="140"/>
      <c r="H63" s="137"/>
      <c r="I63" s="138"/>
      <c r="J63" s="137"/>
      <c r="K63" s="138"/>
      <c r="L63" s="164"/>
      <c r="M63" s="138"/>
      <c r="N63" s="137"/>
      <c r="O63" s="138"/>
      <c r="P63" s="139"/>
      <c r="Q63" s="140"/>
      <c r="R63" s="137"/>
      <c r="S63" s="138"/>
      <c r="T63" s="139"/>
      <c r="U63" s="153"/>
      <c r="V63" s="122"/>
      <c r="W63" s="122"/>
    </row>
    <row r="64" spans="1:23" ht="12" customHeight="1" thickBot="1">
      <c r="A64" s="141">
        <v>10</v>
      </c>
      <c r="B64" s="142"/>
      <c r="C64" s="143"/>
      <c r="D64" s="142"/>
      <c r="E64" s="143"/>
      <c r="F64" s="142"/>
      <c r="G64" s="145"/>
      <c r="H64" s="142"/>
      <c r="I64" s="143"/>
      <c r="J64" s="142"/>
      <c r="K64" s="172"/>
      <c r="L64" s="165"/>
      <c r="M64" s="143"/>
      <c r="N64" s="142"/>
      <c r="O64" s="143"/>
      <c r="P64" s="144"/>
      <c r="Q64" s="145"/>
      <c r="R64" s="142"/>
      <c r="S64" s="143"/>
      <c r="T64" s="144"/>
      <c r="U64" s="159"/>
      <c r="V64" s="122"/>
      <c r="W64" s="122"/>
    </row>
    <row r="65" spans="1:23" ht="12" customHeight="1">
      <c r="A65" s="122"/>
      <c r="B65" s="146"/>
      <c r="C65" s="147"/>
      <c r="D65" s="135"/>
      <c r="E65" s="134"/>
      <c r="F65" s="133"/>
      <c r="G65" s="134"/>
      <c r="H65" s="184"/>
      <c r="I65" s="183"/>
      <c r="J65" s="184"/>
      <c r="K65" s="134"/>
      <c r="L65" s="133"/>
      <c r="M65" s="134"/>
      <c r="N65" s="184"/>
      <c r="O65" s="183"/>
      <c r="P65" s="184"/>
      <c r="Q65" s="183"/>
      <c r="R65" s="184"/>
      <c r="S65" s="183"/>
      <c r="T65" s="184"/>
      <c r="U65" s="134"/>
      <c r="V65" s="122"/>
      <c r="W65" s="122"/>
    </row>
    <row r="66" spans="1:23" ht="12" customHeight="1">
      <c r="A66" s="122"/>
      <c r="B66" s="152"/>
      <c r="C66" s="153"/>
      <c r="D66" s="139"/>
      <c r="E66" s="138"/>
      <c r="F66" s="137"/>
      <c r="G66" s="138"/>
      <c r="H66" s="185"/>
      <c r="I66" s="186"/>
      <c r="J66" s="185"/>
      <c r="K66" s="138"/>
      <c r="L66" s="137"/>
      <c r="M66" s="138"/>
      <c r="N66" s="185"/>
      <c r="O66" s="186"/>
      <c r="P66" s="185"/>
      <c r="Q66" s="186"/>
      <c r="R66" s="185"/>
      <c r="S66" s="186"/>
      <c r="T66" s="185"/>
      <c r="U66" s="138"/>
      <c r="V66" s="122"/>
      <c r="W66" s="122"/>
    </row>
    <row r="67" spans="1:23" ht="12" customHeight="1">
      <c r="A67" s="122"/>
      <c r="B67" s="152"/>
      <c r="C67" s="140"/>
      <c r="D67" s="137"/>
      <c r="E67" s="138"/>
      <c r="F67" s="137"/>
      <c r="G67" s="186"/>
      <c r="H67" s="185"/>
      <c r="I67" s="186"/>
      <c r="J67" s="196"/>
      <c r="K67" s="138"/>
      <c r="L67" s="190"/>
      <c r="M67" s="186"/>
      <c r="N67" s="185"/>
      <c r="O67" s="186"/>
      <c r="P67" s="185"/>
      <c r="Q67" s="186"/>
      <c r="R67" s="185"/>
      <c r="S67" s="186"/>
      <c r="T67" s="185"/>
      <c r="U67" s="138"/>
      <c r="V67" s="122"/>
      <c r="W67" s="122"/>
    </row>
    <row r="68" spans="1:23" ht="12" customHeight="1">
      <c r="A68" s="122"/>
      <c r="B68" s="152"/>
      <c r="C68" s="140"/>
      <c r="D68" s="137"/>
      <c r="E68" s="138"/>
      <c r="F68" s="137"/>
      <c r="G68" s="186"/>
      <c r="H68" s="185"/>
      <c r="I68" s="186"/>
      <c r="J68" s="137"/>
      <c r="K68" s="138"/>
      <c r="L68" s="137"/>
      <c r="M68" s="186"/>
      <c r="N68" s="185"/>
      <c r="O68" s="186"/>
      <c r="P68" s="185"/>
      <c r="Q68" s="186"/>
      <c r="R68" s="185"/>
      <c r="S68" s="186"/>
      <c r="T68" s="137"/>
      <c r="U68" s="138"/>
      <c r="V68" s="122"/>
      <c r="W68" s="122"/>
    </row>
    <row r="69" spans="1:23" ht="12" customHeight="1" thickBot="1">
      <c r="A69" s="141">
        <v>11</v>
      </c>
      <c r="B69" s="158"/>
      <c r="C69" s="145"/>
      <c r="D69" s="142"/>
      <c r="E69" s="143"/>
      <c r="F69" s="142"/>
      <c r="G69" s="188"/>
      <c r="H69" s="187"/>
      <c r="I69" s="188"/>
      <c r="J69" s="137"/>
      <c r="K69" s="143"/>
      <c r="L69" s="137"/>
      <c r="M69" s="188"/>
      <c r="N69" s="187"/>
      <c r="O69" s="188"/>
      <c r="P69" s="187"/>
      <c r="Q69" s="188"/>
      <c r="R69" s="187"/>
      <c r="S69" s="188"/>
      <c r="T69" s="142"/>
      <c r="U69" s="143"/>
      <c r="V69" s="122"/>
      <c r="W69" s="122"/>
    </row>
    <row r="70" spans="1:23" ht="12" customHeight="1">
      <c r="A70" s="122"/>
      <c r="B70" s="133"/>
      <c r="C70" s="134"/>
      <c r="D70" s="133"/>
      <c r="E70" s="134"/>
      <c r="F70" s="133"/>
      <c r="G70" s="134"/>
      <c r="H70" s="133"/>
      <c r="I70" s="134"/>
      <c r="J70" s="133"/>
      <c r="K70" s="136"/>
      <c r="L70" s="133"/>
      <c r="M70" s="134"/>
      <c r="N70" s="133"/>
      <c r="O70" s="134"/>
      <c r="P70" s="184"/>
      <c r="Q70" s="183"/>
      <c r="R70" s="184"/>
      <c r="S70" s="183"/>
      <c r="T70" s="184"/>
      <c r="U70" s="183"/>
      <c r="V70" s="122"/>
      <c r="W70" s="122"/>
    </row>
    <row r="71" spans="1:23" ht="12" customHeight="1">
      <c r="A71" s="122"/>
      <c r="B71" s="137"/>
      <c r="C71" s="138"/>
      <c r="D71" s="137"/>
      <c r="E71" s="138"/>
      <c r="F71" s="137"/>
      <c r="G71" s="138"/>
      <c r="H71" s="137"/>
      <c r="I71" s="138"/>
      <c r="J71" s="137"/>
      <c r="K71" s="140"/>
      <c r="L71" s="137"/>
      <c r="M71" s="138"/>
      <c r="N71" s="137"/>
      <c r="O71" s="138"/>
      <c r="P71" s="185"/>
      <c r="Q71" s="186"/>
      <c r="R71" s="185"/>
      <c r="S71" s="186"/>
      <c r="T71" s="185"/>
      <c r="U71" s="186"/>
      <c r="V71" s="122"/>
      <c r="W71" s="122"/>
    </row>
    <row r="72" spans="1:23" ht="12" customHeight="1">
      <c r="A72" s="122"/>
      <c r="B72" s="137"/>
      <c r="C72" s="138"/>
      <c r="D72" s="137"/>
      <c r="E72" s="138"/>
      <c r="F72" s="137"/>
      <c r="G72" s="138"/>
      <c r="H72" s="137"/>
      <c r="I72" s="138"/>
      <c r="J72" s="137"/>
      <c r="K72" s="140"/>
      <c r="L72" s="137"/>
      <c r="M72" s="138"/>
      <c r="N72" s="137"/>
      <c r="O72" s="186"/>
      <c r="P72" s="185"/>
      <c r="Q72" s="186"/>
      <c r="R72" s="185"/>
      <c r="S72" s="186"/>
      <c r="T72" s="185"/>
      <c r="U72" s="186"/>
      <c r="V72" s="122"/>
      <c r="W72" s="122"/>
    </row>
    <row r="73" spans="1:23" ht="12" customHeight="1">
      <c r="A73" s="122"/>
      <c r="B73" s="137"/>
      <c r="C73" s="138"/>
      <c r="D73" s="137"/>
      <c r="E73" s="138"/>
      <c r="F73" s="137"/>
      <c r="G73" s="138"/>
      <c r="H73" s="137"/>
      <c r="I73" s="138"/>
      <c r="J73" s="137"/>
      <c r="K73" s="140"/>
      <c r="L73" s="137"/>
      <c r="M73" s="138"/>
      <c r="N73" s="137"/>
      <c r="O73" s="186"/>
      <c r="P73" s="185"/>
      <c r="Q73" s="186"/>
      <c r="R73" s="185"/>
      <c r="S73" s="186"/>
      <c r="T73" s="185"/>
      <c r="U73" s="186"/>
      <c r="V73" s="122"/>
      <c r="W73" s="122"/>
    </row>
    <row r="74" spans="1:23" ht="12" customHeight="1" thickBot="1">
      <c r="A74" s="141">
        <v>12</v>
      </c>
      <c r="B74" s="142"/>
      <c r="C74" s="143"/>
      <c r="D74" s="142"/>
      <c r="E74" s="143"/>
      <c r="F74" s="142"/>
      <c r="G74" s="143"/>
      <c r="H74" s="142"/>
      <c r="I74" s="143"/>
      <c r="J74" s="144"/>
      <c r="K74" s="143"/>
      <c r="L74" s="142"/>
      <c r="M74" s="143"/>
      <c r="N74" s="142"/>
      <c r="O74" s="188"/>
      <c r="P74" s="187"/>
      <c r="Q74" s="188"/>
      <c r="R74" s="187"/>
      <c r="S74" s="188"/>
      <c r="T74" s="187"/>
      <c r="U74" s="188"/>
      <c r="V74" s="122"/>
      <c r="W74" s="122"/>
    </row>
    <row r="75" spans="1:23" ht="12" customHeight="1">
      <c r="A75" s="122"/>
      <c r="B75" s="184"/>
      <c r="C75" s="183"/>
      <c r="D75" s="184"/>
      <c r="E75" s="134"/>
      <c r="F75" s="133"/>
      <c r="G75" s="134"/>
      <c r="H75" s="133"/>
      <c r="I75" s="150"/>
      <c r="J75" s="151"/>
      <c r="K75" s="136"/>
      <c r="L75" s="133"/>
      <c r="M75" s="134"/>
      <c r="N75" s="184"/>
      <c r="O75" s="183"/>
      <c r="P75" s="184"/>
      <c r="Q75" s="183"/>
      <c r="R75" s="184"/>
      <c r="S75" s="173"/>
      <c r="T75" s="181"/>
      <c r="U75" s="136"/>
      <c r="V75" s="122"/>
      <c r="W75" s="122"/>
    </row>
    <row r="76" spans="1:23" ht="12" customHeight="1">
      <c r="A76" s="122"/>
      <c r="B76" s="185"/>
      <c r="C76" s="186"/>
      <c r="D76" s="185"/>
      <c r="E76" s="138"/>
      <c r="F76" s="137"/>
      <c r="G76" s="138"/>
      <c r="H76" s="157"/>
      <c r="I76" s="156"/>
      <c r="J76" s="157"/>
      <c r="K76" s="140"/>
      <c r="L76" s="137"/>
      <c r="M76" s="138"/>
      <c r="N76" s="185"/>
      <c r="O76" s="186"/>
      <c r="P76" s="185"/>
      <c r="Q76" s="186"/>
      <c r="R76" s="185"/>
      <c r="S76" s="182"/>
      <c r="T76" s="164"/>
      <c r="U76" s="140"/>
      <c r="V76" s="122"/>
      <c r="W76" s="122"/>
    </row>
    <row r="77" spans="1:23" ht="12" customHeight="1">
      <c r="A77" s="122"/>
      <c r="B77" s="185"/>
      <c r="C77" s="186"/>
      <c r="D77" s="185"/>
      <c r="E77" s="138"/>
      <c r="F77" s="137"/>
      <c r="G77" s="138"/>
      <c r="H77" s="157"/>
      <c r="I77" s="156"/>
      <c r="J77" s="157"/>
      <c r="K77" s="140"/>
      <c r="L77" s="137"/>
      <c r="M77" s="138"/>
      <c r="N77" s="185"/>
      <c r="O77" s="186"/>
      <c r="P77" s="185"/>
      <c r="Q77" s="186"/>
      <c r="R77" s="185"/>
      <c r="S77" s="182"/>
      <c r="T77" s="164"/>
      <c r="U77" s="140"/>
      <c r="V77" s="122"/>
      <c r="W77" s="122"/>
    </row>
    <row r="78" spans="1:23" ht="12" customHeight="1">
      <c r="A78" s="122"/>
      <c r="B78" s="185"/>
      <c r="C78" s="186"/>
      <c r="D78" s="185"/>
      <c r="E78" s="138"/>
      <c r="F78" s="137"/>
      <c r="G78" s="138"/>
      <c r="H78" s="157"/>
      <c r="I78" s="156"/>
      <c r="J78" s="139"/>
      <c r="K78" s="138"/>
      <c r="L78" s="137"/>
      <c r="M78" s="186"/>
      <c r="N78" s="185"/>
      <c r="O78" s="186"/>
      <c r="P78" s="185"/>
      <c r="Q78" s="186"/>
      <c r="R78" s="185"/>
      <c r="S78" s="182"/>
      <c r="T78" s="164"/>
      <c r="U78" s="140"/>
      <c r="V78" s="122"/>
      <c r="W78" s="122"/>
    </row>
    <row r="79" spans="1:23" ht="12" customHeight="1" thickBot="1">
      <c r="A79" s="141">
        <v>13</v>
      </c>
      <c r="B79" s="187"/>
      <c r="C79" s="188"/>
      <c r="D79" s="187"/>
      <c r="E79" s="143"/>
      <c r="F79" s="142"/>
      <c r="G79" s="143"/>
      <c r="H79" s="163"/>
      <c r="I79" s="162"/>
      <c r="J79" s="144"/>
      <c r="K79" s="143"/>
      <c r="L79" s="142"/>
      <c r="M79" s="188"/>
      <c r="N79" s="187"/>
      <c r="O79" s="188"/>
      <c r="P79" s="187"/>
      <c r="Q79" s="188"/>
      <c r="R79" s="165"/>
      <c r="S79" s="172"/>
      <c r="T79" s="144"/>
      <c r="U79" s="143"/>
      <c r="V79" s="122"/>
      <c r="W79" s="122"/>
    </row>
    <row r="80" spans="1:23" ht="12" customHeight="1">
      <c r="A80" s="122"/>
      <c r="B80" s="133"/>
      <c r="C80" s="134"/>
      <c r="D80" s="133"/>
      <c r="E80" s="134"/>
      <c r="F80" s="133"/>
      <c r="G80" s="183"/>
      <c r="H80" s="184"/>
      <c r="I80" s="183"/>
      <c r="J80" s="184"/>
      <c r="K80" s="183"/>
      <c r="L80" s="184"/>
      <c r="M80" s="183"/>
      <c r="N80" s="146"/>
      <c r="O80" s="147"/>
      <c r="P80" s="135"/>
      <c r="Q80" s="134"/>
      <c r="R80" s="133"/>
      <c r="S80" s="147"/>
      <c r="T80" s="146"/>
      <c r="U80" s="147"/>
      <c r="V80" s="122"/>
      <c r="W80" s="122"/>
    </row>
    <row r="81" spans="1:23" ht="12" customHeight="1">
      <c r="A81" s="122"/>
      <c r="B81" s="137"/>
      <c r="C81" s="138"/>
      <c r="D81" s="137"/>
      <c r="E81" s="138"/>
      <c r="F81" s="185"/>
      <c r="G81" s="186"/>
      <c r="H81" s="185"/>
      <c r="I81" s="186"/>
      <c r="J81" s="185"/>
      <c r="K81" s="186"/>
      <c r="L81" s="185"/>
      <c r="M81" s="186"/>
      <c r="N81" s="152"/>
      <c r="O81" s="153"/>
      <c r="P81" s="139"/>
      <c r="Q81" s="138"/>
      <c r="R81" s="137"/>
      <c r="S81" s="153"/>
      <c r="T81" s="152"/>
      <c r="U81" s="153"/>
      <c r="V81" s="122"/>
      <c r="W81" s="122"/>
    </row>
    <row r="82" spans="1:23" ht="12" customHeight="1">
      <c r="A82" s="122"/>
      <c r="B82" s="137"/>
      <c r="C82" s="138"/>
      <c r="D82" s="137"/>
      <c r="E82" s="138"/>
      <c r="F82" s="185"/>
      <c r="G82" s="186"/>
      <c r="H82" s="185"/>
      <c r="I82" s="186"/>
      <c r="J82" s="185"/>
      <c r="K82" s="186"/>
      <c r="L82" s="185"/>
      <c r="M82" s="186"/>
      <c r="N82" s="152"/>
      <c r="O82" s="140"/>
      <c r="P82" s="137"/>
      <c r="Q82" s="138"/>
      <c r="R82" s="152"/>
      <c r="S82" s="153"/>
      <c r="T82" s="152"/>
      <c r="U82" s="153"/>
      <c r="V82" s="122"/>
      <c r="W82" s="122"/>
    </row>
    <row r="83" spans="1:23" ht="12" customHeight="1">
      <c r="A83" s="122"/>
      <c r="B83" s="137"/>
      <c r="C83" s="138"/>
      <c r="D83" s="137"/>
      <c r="E83" s="138"/>
      <c r="F83" s="185"/>
      <c r="G83" s="186"/>
      <c r="H83" s="185"/>
      <c r="I83" s="186"/>
      <c r="J83" s="185"/>
      <c r="K83" s="186"/>
      <c r="L83" s="185"/>
      <c r="M83" s="186"/>
      <c r="N83" s="152"/>
      <c r="O83" s="140"/>
      <c r="P83" s="137"/>
      <c r="Q83" s="138"/>
      <c r="R83" s="152"/>
      <c r="S83" s="153"/>
      <c r="T83" s="152"/>
      <c r="U83" s="153"/>
      <c r="V83" s="122"/>
      <c r="W83" s="122"/>
    </row>
    <row r="84" spans="1:23" ht="12" customHeight="1" thickBot="1">
      <c r="A84" s="141">
        <v>14</v>
      </c>
      <c r="B84" s="142"/>
      <c r="C84" s="143"/>
      <c r="D84" s="142"/>
      <c r="E84" s="143"/>
      <c r="F84" s="187"/>
      <c r="G84" s="188"/>
      <c r="H84" s="187"/>
      <c r="I84" s="188"/>
      <c r="J84" s="187"/>
      <c r="K84" s="188"/>
      <c r="L84" s="187"/>
      <c r="M84" s="159"/>
      <c r="N84" s="158"/>
      <c r="O84" s="145"/>
      <c r="P84" s="142"/>
      <c r="Q84" s="143"/>
      <c r="R84" s="152"/>
      <c r="S84" s="159"/>
      <c r="T84" s="158"/>
      <c r="U84" s="159"/>
      <c r="V84" s="122"/>
      <c r="W84" s="122"/>
    </row>
    <row r="85" spans="1:23" ht="12" customHeight="1">
      <c r="A85" s="122"/>
      <c r="B85" s="146"/>
      <c r="C85" s="147"/>
      <c r="D85" s="146"/>
      <c r="E85" s="147"/>
      <c r="F85" s="135"/>
      <c r="G85" s="134"/>
      <c r="H85" s="133"/>
      <c r="I85" s="134"/>
      <c r="J85" s="133"/>
      <c r="K85" s="134"/>
      <c r="L85" s="133"/>
      <c r="M85" s="147"/>
      <c r="N85" s="146"/>
      <c r="O85" s="147"/>
      <c r="P85" s="146"/>
      <c r="Q85" s="147"/>
      <c r="R85" s="146"/>
      <c r="S85" s="147"/>
      <c r="T85" s="146"/>
      <c r="U85" s="134"/>
      <c r="V85" s="122"/>
      <c r="W85" s="122"/>
    </row>
    <row r="86" spans="1:23" ht="12" customHeight="1">
      <c r="A86" s="122"/>
      <c r="B86" s="152"/>
      <c r="C86" s="153"/>
      <c r="D86" s="152"/>
      <c r="E86" s="153"/>
      <c r="F86" s="139"/>
      <c r="G86" s="138"/>
      <c r="H86" s="137"/>
      <c r="I86" s="138"/>
      <c r="J86" s="137"/>
      <c r="K86" s="138"/>
      <c r="L86" s="137"/>
      <c r="M86" s="153"/>
      <c r="N86" s="152"/>
      <c r="O86" s="153"/>
      <c r="P86" s="152"/>
      <c r="Q86" s="153"/>
      <c r="R86" s="152"/>
      <c r="S86" s="153"/>
      <c r="T86" s="137"/>
      <c r="U86" s="138"/>
      <c r="V86" s="122"/>
      <c r="W86" s="122"/>
    </row>
    <row r="87" spans="1:23" ht="12" customHeight="1">
      <c r="A87" s="122"/>
      <c r="B87" s="152"/>
      <c r="C87" s="153"/>
      <c r="D87" s="152"/>
      <c r="E87" s="153"/>
      <c r="F87" s="139"/>
      <c r="G87" s="138"/>
      <c r="H87" s="137"/>
      <c r="I87" s="138"/>
      <c r="J87" s="137"/>
      <c r="K87" s="138"/>
      <c r="L87" s="137"/>
      <c r="M87" s="153"/>
      <c r="N87" s="152"/>
      <c r="O87" s="153"/>
      <c r="P87" s="152"/>
      <c r="Q87" s="153"/>
      <c r="R87" s="152"/>
      <c r="S87" s="153"/>
      <c r="T87" s="137"/>
      <c r="U87" s="140"/>
      <c r="V87" s="122"/>
      <c r="W87" s="122"/>
    </row>
    <row r="88" spans="1:23" ht="12" customHeight="1">
      <c r="A88" s="122"/>
      <c r="B88" s="152"/>
      <c r="C88" s="153"/>
      <c r="D88" s="152"/>
      <c r="E88" s="153"/>
      <c r="F88" s="139"/>
      <c r="G88" s="138"/>
      <c r="H88" s="137"/>
      <c r="I88" s="138"/>
      <c r="J88" s="137"/>
      <c r="K88" s="138"/>
      <c r="L88" s="152"/>
      <c r="M88" s="153"/>
      <c r="N88" s="152"/>
      <c r="O88" s="153"/>
      <c r="P88" s="152"/>
      <c r="Q88" s="153"/>
      <c r="R88" s="152"/>
      <c r="S88" s="153"/>
      <c r="T88" s="137"/>
      <c r="U88" s="140"/>
      <c r="V88" s="122"/>
      <c r="W88" s="122"/>
    </row>
    <row r="89" spans="1:23" ht="12" customHeight="1" thickBot="1">
      <c r="A89" s="141">
        <v>15</v>
      </c>
      <c r="B89" s="158"/>
      <c r="C89" s="159"/>
      <c r="D89" s="158"/>
      <c r="E89" s="145"/>
      <c r="F89" s="142"/>
      <c r="G89" s="143"/>
      <c r="H89" s="142"/>
      <c r="I89" s="143"/>
      <c r="J89" s="142"/>
      <c r="K89" s="143"/>
      <c r="L89" s="158"/>
      <c r="M89" s="159"/>
      <c r="N89" s="158"/>
      <c r="O89" s="159"/>
      <c r="P89" s="158"/>
      <c r="Q89" s="159"/>
      <c r="R89" s="158"/>
      <c r="S89" s="159"/>
      <c r="T89" s="142"/>
      <c r="U89" s="145"/>
      <c r="V89" s="122"/>
      <c r="W89" s="122"/>
    </row>
    <row r="90" spans="1:23" ht="12" customHeight="1">
      <c r="A90" s="122"/>
      <c r="B90" s="135"/>
      <c r="C90" s="134"/>
      <c r="D90" s="135"/>
      <c r="E90" s="134"/>
      <c r="F90" s="174"/>
      <c r="G90" s="175"/>
      <c r="H90" s="174"/>
      <c r="I90" s="175"/>
      <c r="J90" s="174"/>
      <c r="K90" s="175"/>
      <c r="L90" s="174"/>
      <c r="M90" s="175"/>
      <c r="N90" s="174"/>
      <c r="O90" s="175"/>
      <c r="P90" s="174"/>
      <c r="Q90" s="175"/>
      <c r="R90" s="174"/>
      <c r="S90" s="175"/>
      <c r="T90" s="174"/>
      <c r="U90" s="175"/>
      <c r="V90" s="122"/>
      <c r="W90" s="122"/>
    </row>
    <row r="91" spans="1:23" ht="12" customHeight="1">
      <c r="A91" s="122"/>
      <c r="B91" s="139"/>
      <c r="C91" s="138"/>
      <c r="D91" s="139"/>
      <c r="E91" s="138"/>
      <c r="F91" s="176"/>
      <c r="G91" s="177"/>
      <c r="H91" s="176"/>
      <c r="I91" s="177"/>
      <c r="J91" s="176"/>
      <c r="K91" s="177"/>
      <c r="L91" s="176"/>
      <c r="M91" s="177"/>
      <c r="N91" s="176"/>
      <c r="O91" s="177"/>
      <c r="P91" s="176"/>
      <c r="Q91" s="177"/>
      <c r="R91" s="176"/>
      <c r="S91" s="177"/>
      <c r="T91" s="176"/>
      <c r="U91" s="177"/>
      <c r="V91" s="122"/>
      <c r="W91" s="122"/>
    </row>
    <row r="92" spans="1:23" ht="12" customHeight="1">
      <c r="A92" s="122"/>
      <c r="B92" s="137"/>
      <c r="C92" s="138"/>
      <c r="D92" s="139"/>
      <c r="E92" s="138"/>
      <c r="F92" s="176"/>
      <c r="G92" s="177"/>
      <c r="H92" s="176"/>
      <c r="I92" s="177"/>
      <c r="J92" s="122"/>
      <c r="K92" s="177"/>
      <c r="L92" s="122"/>
      <c r="M92" s="177"/>
      <c r="N92" s="176"/>
      <c r="O92" s="177"/>
      <c r="P92" s="176"/>
      <c r="Q92" s="177"/>
      <c r="R92" s="176"/>
      <c r="S92" s="177"/>
      <c r="T92" s="176"/>
      <c r="U92" s="177"/>
      <c r="V92" s="122"/>
      <c r="W92" s="122"/>
    </row>
    <row r="93" spans="1:23" ht="12" customHeight="1">
      <c r="A93" s="122"/>
      <c r="B93" s="137"/>
      <c r="C93" s="138"/>
      <c r="D93" s="139"/>
      <c r="E93" s="138"/>
      <c r="F93" s="176"/>
      <c r="G93" s="177"/>
      <c r="H93" s="176"/>
      <c r="I93" s="177"/>
      <c r="J93" s="176"/>
      <c r="K93" s="177"/>
      <c r="L93" s="176"/>
      <c r="M93" s="177"/>
      <c r="N93" s="176"/>
      <c r="O93" s="177"/>
      <c r="P93" s="176"/>
      <c r="Q93" s="177"/>
      <c r="R93" s="176"/>
      <c r="S93" s="177"/>
      <c r="T93" s="176"/>
      <c r="U93" s="177"/>
      <c r="V93" s="122"/>
      <c r="W93" s="122"/>
    </row>
    <row r="94" spans="1:23" ht="12" customHeight="1" thickBot="1">
      <c r="A94" s="141">
        <v>16</v>
      </c>
      <c r="B94" s="142"/>
      <c r="C94" s="143"/>
      <c r="D94" s="144"/>
      <c r="E94" s="178"/>
      <c r="F94" s="179"/>
      <c r="G94" s="178"/>
      <c r="H94" s="179"/>
      <c r="I94" s="178"/>
      <c r="J94" s="176"/>
      <c r="K94" s="178"/>
      <c r="L94" s="176"/>
      <c r="M94" s="178"/>
      <c r="N94" s="179"/>
      <c r="O94" s="178"/>
      <c r="P94" s="179"/>
      <c r="Q94" s="178"/>
      <c r="R94" s="179"/>
      <c r="S94" s="178"/>
      <c r="T94" s="179"/>
      <c r="U94" s="178"/>
      <c r="V94" s="122"/>
      <c r="W94" s="122"/>
    </row>
    <row r="95" spans="1:23" ht="12" customHeight="1">
      <c r="A95" s="122"/>
      <c r="B95" s="174"/>
      <c r="C95" s="175"/>
      <c r="D95" s="174"/>
      <c r="E95" s="175"/>
      <c r="F95" s="174"/>
      <c r="G95" s="175"/>
      <c r="H95" s="174"/>
      <c r="I95" s="175"/>
      <c r="J95" s="174"/>
      <c r="K95" s="175"/>
      <c r="L95" s="174"/>
      <c r="M95" s="175"/>
      <c r="N95" s="174"/>
      <c r="O95" s="175"/>
      <c r="P95" s="174"/>
      <c r="Q95" s="175"/>
      <c r="R95" s="174"/>
      <c r="S95" s="175"/>
      <c r="T95" s="174"/>
      <c r="U95" s="175"/>
      <c r="V95" s="122"/>
      <c r="W95" s="122"/>
    </row>
    <row r="96" spans="1:23" ht="12" customHeight="1">
      <c r="A96" s="122"/>
      <c r="B96" s="176"/>
      <c r="C96" s="177"/>
      <c r="D96" s="176"/>
      <c r="E96" s="177"/>
      <c r="F96" s="176"/>
      <c r="G96" s="177"/>
      <c r="H96" s="176"/>
      <c r="I96" s="177"/>
      <c r="J96" s="176"/>
      <c r="K96" s="177"/>
      <c r="L96" s="176"/>
      <c r="M96" s="177"/>
      <c r="N96" s="176"/>
      <c r="O96" s="177"/>
      <c r="P96" s="176"/>
      <c r="Q96" s="177"/>
      <c r="R96" s="176"/>
      <c r="S96" s="177"/>
      <c r="T96" s="176"/>
      <c r="U96" s="177"/>
      <c r="V96" s="122"/>
      <c r="W96" s="122"/>
    </row>
    <row r="97" spans="1:23" ht="12" customHeight="1">
      <c r="A97" s="122"/>
      <c r="B97" s="176"/>
      <c r="C97" s="177"/>
      <c r="D97" s="176"/>
      <c r="E97" s="177"/>
      <c r="F97" s="176"/>
      <c r="G97" s="177"/>
      <c r="H97" s="176"/>
      <c r="I97" s="177"/>
      <c r="J97" s="176"/>
      <c r="K97" s="177"/>
      <c r="L97" s="176"/>
      <c r="M97" s="177"/>
      <c r="N97" s="176"/>
      <c r="O97" s="177"/>
      <c r="P97" s="176"/>
      <c r="Q97" s="177"/>
      <c r="R97" s="176"/>
      <c r="S97" s="177"/>
      <c r="T97" s="176"/>
      <c r="U97" s="177"/>
      <c r="V97" s="122"/>
      <c r="W97" s="122"/>
    </row>
    <row r="98" spans="1:23" ht="12" customHeight="1">
      <c r="A98" s="122"/>
      <c r="B98" s="176"/>
      <c r="C98" s="177"/>
      <c r="D98" s="176"/>
      <c r="E98" s="177"/>
      <c r="F98" s="176"/>
      <c r="G98" s="177"/>
      <c r="H98" s="176"/>
      <c r="I98" s="177"/>
      <c r="J98" s="176"/>
      <c r="K98" s="177"/>
      <c r="L98" s="176"/>
      <c r="M98" s="177"/>
      <c r="N98" s="176"/>
      <c r="O98" s="177"/>
      <c r="P98" s="176"/>
      <c r="Q98" s="177"/>
      <c r="R98" s="176"/>
      <c r="S98" s="177"/>
      <c r="T98" s="176"/>
      <c r="U98" s="177"/>
      <c r="V98" s="122"/>
      <c r="W98" s="122"/>
    </row>
    <row r="99" spans="1:23" ht="12" customHeight="1" thickBot="1">
      <c r="A99" s="141">
        <v>17</v>
      </c>
      <c r="B99" s="179"/>
      <c r="C99" s="178"/>
      <c r="D99" s="179"/>
      <c r="E99" s="178"/>
      <c r="F99" s="179"/>
      <c r="G99" s="178"/>
      <c r="H99" s="179"/>
      <c r="I99" s="178"/>
      <c r="J99" s="179"/>
      <c r="K99" s="178"/>
      <c r="L99" s="179"/>
      <c r="M99" s="178"/>
      <c r="N99" s="179"/>
      <c r="O99" s="178"/>
      <c r="P99" s="179"/>
      <c r="Q99" s="178"/>
      <c r="R99" s="179"/>
      <c r="S99" s="178"/>
      <c r="T99" s="179"/>
      <c r="U99" s="178"/>
      <c r="V99" s="122"/>
      <c r="W99" s="122"/>
    </row>
    <row r="100" spans="1:23" ht="12" customHeight="1">
      <c r="A100" s="122"/>
      <c r="B100" s="174"/>
      <c r="C100" s="175"/>
      <c r="D100" s="174"/>
      <c r="E100" s="175"/>
      <c r="F100" s="174"/>
      <c r="G100" s="175"/>
      <c r="H100" s="174"/>
      <c r="I100" s="175"/>
      <c r="J100" s="174"/>
      <c r="K100" s="175"/>
      <c r="L100" s="174"/>
      <c r="M100" s="175"/>
      <c r="N100" s="174"/>
      <c r="O100" s="175"/>
      <c r="P100" s="174"/>
      <c r="Q100" s="175"/>
      <c r="R100" s="174"/>
      <c r="S100" s="175"/>
      <c r="T100" s="174"/>
      <c r="U100" s="175"/>
      <c r="V100" s="122"/>
      <c r="W100" s="122"/>
    </row>
    <row r="101" spans="1:23" ht="12" customHeight="1">
      <c r="A101" s="122"/>
      <c r="B101" s="176"/>
      <c r="C101" s="177"/>
      <c r="D101" s="176"/>
      <c r="E101" s="177"/>
      <c r="F101" s="176"/>
      <c r="G101" s="177"/>
      <c r="H101" s="176"/>
      <c r="I101" s="177"/>
      <c r="J101" s="176"/>
      <c r="K101" s="177"/>
      <c r="L101" s="176"/>
      <c r="M101" s="177"/>
      <c r="N101" s="176"/>
      <c r="O101" s="177"/>
      <c r="P101" s="176"/>
      <c r="Q101" s="177"/>
      <c r="R101" s="176"/>
      <c r="S101" s="177"/>
      <c r="T101" s="176"/>
      <c r="U101" s="177"/>
      <c r="V101" s="122"/>
      <c r="W101" s="122"/>
    </row>
    <row r="102" spans="1:23" ht="12" customHeight="1">
      <c r="A102" s="122"/>
      <c r="B102" s="176"/>
      <c r="C102" s="177"/>
      <c r="D102" s="176"/>
      <c r="E102" s="177"/>
      <c r="F102" s="176"/>
      <c r="G102" s="177"/>
      <c r="H102" s="176"/>
      <c r="I102" s="177"/>
      <c r="J102" s="176"/>
      <c r="K102" s="177"/>
      <c r="L102" s="176"/>
      <c r="M102" s="177"/>
      <c r="N102" s="176"/>
      <c r="O102" s="177"/>
      <c r="P102" s="176"/>
      <c r="Q102" s="177"/>
      <c r="R102" s="176"/>
      <c r="S102" s="177"/>
      <c r="T102" s="176"/>
      <c r="U102" s="177"/>
      <c r="V102" s="122"/>
      <c r="W102" s="122"/>
    </row>
    <row r="103" spans="1:23" ht="12" customHeight="1">
      <c r="A103" s="122"/>
      <c r="B103" s="176"/>
      <c r="C103" s="177"/>
      <c r="D103" s="176"/>
      <c r="E103" s="177"/>
      <c r="F103" s="176"/>
      <c r="G103" s="177"/>
      <c r="H103" s="176"/>
      <c r="I103" s="177"/>
      <c r="J103" s="176"/>
      <c r="K103" s="177"/>
      <c r="L103" s="176"/>
      <c r="M103" s="177"/>
      <c r="N103" s="176"/>
      <c r="O103" s="177"/>
      <c r="P103" s="176"/>
      <c r="Q103" s="177"/>
      <c r="R103" s="176"/>
      <c r="S103" s="177"/>
      <c r="T103" s="176"/>
      <c r="U103" s="177"/>
      <c r="V103" s="122"/>
      <c r="W103" s="122"/>
    </row>
    <row r="104" spans="1:23" ht="12" customHeight="1" thickBot="1">
      <c r="A104" s="141">
        <v>18</v>
      </c>
      <c r="B104" s="179"/>
      <c r="C104" s="178"/>
      <c r="D104" s="179"/>
      <c r="E104" s="178"/>
      <c r="F104" s="179"/>
      <c r="G104" s="178"/>
      <c r="H104" s="179"/>
      <c r="I104" s="178"/>
      <c r="J104" s="179"/>
      <c r="K104" s="178"/>
      <c r="L104" s="179"/>
      <c r="M104" s="178"/>
      <c r="N104" s="179"/>
      <c r="O104" s="178"/>
      <c r="P104" s="179"/>
      <c r="Q104" s="178"/>
      <c r="R104" s="179"/>
      <c r="S104" s="178"/>
      <c r="T104" s="179"/>
      <c r="U104" s="178"/>
      <c r="V104" s="122"/>
      <c r="W104" s="122"/>
    </row>
    <row r="105" spans="1:23" ht="12" customHeight="1">
      <c r="A105" s="122"/>
      <c r="B105" s="174"/>
      <c r="C105" s="175"/>
      <c r="D105" s="174"/>
      <c r="E105" s="175"/>
      <c r="F105" s="174"/>
      <c r="G105" s="175"/>
      <c r="H105" s="174"/>
      <c r="I105" s="175"/>
      <c r="J105" s="174"/>
      <c r="K105" s="175"/>
      <c r="L105" s="174"/>
      <c r="M105" s="175"/>
      <c r="N105" s="174"/>
      <c r="O105" s="175"/>
      <c r="P105" s="174"/>
      <c r="Q105" s="175"/>
      <c r="R105" s="174"/>
      <c r="S105" s="175"/>
      <c r="T105" s="174"/>
      <c r="U105" s="175"/>
      <c r="V105" s="122"/>
      <c r="W105" s="122"/>
    </row>
    <row r="106" spans="1:23" ht="12" customHeight="1">
      <c r="A106" s="122"/>
      <c r="B106" s="176"/>
      <c r="C106" s="177"/>
      <c r="D106" s="176"/>
      <c r="E106" s="177"/>
      <c r="F106" s="176"/>
      <c r="G106" s="177"/>
      <c r="H106" s="176"/>
      <c r="I106" s="177"/>
      <c r="J106" s="176"/>
      <c r="K106" s="177"/>
      <c r="L106" s="176"/>
      <c r="M106" s="177"/>
      <c r="N106" s="176"/>
      <c r="O106" s="177"/>
      <c r="P106" s="176"/>
      <c r="Q106" s="177"/>
      <c r="R106" s="176"/>
      <c r="S106" s="177"/>
      <c r="T106" s="176"/>
      <c r="U106" s="177"/>
      <c r="V106" s="122"/>
      <c r="W106" s="122"/>
    </row>
    <row r="107" spans="1:23" ht="12" customHeight="1">
      <c r="A107" s="122"/>
      <c r="B107" s="176"/>
      <c r="C107" s="177"/>
      <c r="D107" s="176"/>
      <c r="E107" s="177"/>
      <c r="F107" s="176"/>
      <c r="G107" s="177"/>
      <c r="H107" s="176"/>
      <c r="I107" s="177"/>
      <c r="J107" s="176"/>
      <c r="K107" s="177"/>
      <c r="L107" s="176"/>
      <c r="M107" s="177"/>
      <c r="N107" s="176"/>
      <c r="O107" s="177"/>
      <c r="P107" s="176"/>
      <c r="Q107" s="177"/>
      <c r="R107" s="176"/>
      <c r="S107" s="177"/>
      <c r="T107" s="176"/>
      <c r="U107" s="177"/>
      <c r="V107" s="122"/>
      <c r="W107" s="122"/>
    </row>
    <row r="108" spans="1:23" ht="12" customHeight="1">
      <c r="A108" s="122"/>
      <c r="B108" s="176"/>
      <c r="C108" s="177"/>
      <c r="D108" s="176"/>
      <c r="E108" s="177"/>
      <c r="F108" s="176"/>
      <c r="G108" s="177"/>
      <c r="H108" s="176"/>
      <c r="I108" s="177"/>
      <c r="J108" s="176"/>
      <c r="K108" s="177"/>
      <c r="L108" s="176"/>
      <c r="M108" s="177"/>
      <c r="N108" s="176"/>
      <c r="O108" s="177"/>
      <c r="P108" s="176"/>
      <c r="Q108" s="177"/>
      <c r="R108" s="176"/>
      <c r="S108" s="177"/>
      <c r="T108" s="176"/>
      <c r="U108" s="177"/>
      <c r="V108" s="122"/>
      <c r="W108" s="122"/>
    </row>
    <row r="109" spans="1:23" ht="12" customHeight="1" thickBot="1">
      <c r="A109" s="141">
        <v>19</v>
      </c>
      <c r="B109" s="179"/>
      <c r="C109" s="178"/>
      <c r="D109" s="179"/>
      <c r="E109" s="178"/>
      <c r="F109" s="179"/>
      <c r="G109" s="178"/>
      <c r="H109" s="179"/>
      <c r="I109" s="178"/>
      <c r="J109" s="179"/>
      <c r="K109" s="178"/>
      <c r="L109" s="179"/>
      <c r="M109" s="178"/>
      <c r="N109" s="179"/>
      <c r="O109" s="178"/>
      <c r="P109" s="179"/>
      <c r="Q109" s="178"/>
      <c r="R109" s="176"/>
      <c r="S109" s="178"/>
      <c r="T109" s="179"/>
      <c r="U109" s="178"/>
      <c r="V109" s="122"/>
      <c r="W109" s="122"/>
    </row>
    <row r="110" spans="1:23" ht="12" customHeight="1">
      <c r="A110" s="122"/>
      <c r="B110" s="174"/>
      <c r="C110" s="175"/>
      <c r="D110" s="174"/>
      <c r="E110" s="175"/>
      <c r="F110" s="174"/>
      <c r="G110" s="175"/>
      <c r="H110" s="174"/>
      <c r="I110" s="175"/>
      <c r="J110" s="174"/>
      <c r="K110" s="175"/>
      <c r="L110" s="174"/>
      <c r="M110" s="175"/>
      <c r="N110" s="174"/>
      <c r="O110" s="175"/>
      <c r="P110" s="174"/>
      <c r="Q110" s="175"/>
      <c r="R110" s="174"/>
      <c r="S110" s="175"/>
      <c r="T110" s="174"/>
      <c r="U110" s="175"/>
      <c r="V110" s="122"/>
      <c r="W110" s="122"/>
    </row>
    <row r="111" spans="1:23" ht="12" customHeight="1">
      <c r="A111" s="122"/>
      <c r="B111" s="176"/>
      <c r="C111" s="177"/>
      <c r="D111" s="176"/>
      <c r="E111" s="177"/>
      <c r="F111" s="176"/>
      <c r="G111" s="177"/>
      <c r="H111" s="176"/>
      <c r="I111" s="177"/>
      <c r="J111" s="176"/>
      <c r="K111" s="177"/>
      <c r="L111" s="176"/>
      <c r="M111" s="177"/>
      <c r="N111" s="176"/>
      <c r="O111" s="177"/>
      <c r="P111" s="176"/>
      <c r="Q111" s="177"/>
      <c r="R111" s="176"/>
      <c r="S111" s="177"/>
      <c r="T111" s="176"/>
      <c r="U111" s="177"/>
      <c r="V111" s="122"/>
      <c r="W111" s="122"/>
    </row>
    <row r="112" spans="1:23" ht="12" customHeight="1">
      <c r="A112" s="122"/>
      <c r="B112" s="176"/>
      <c r="C112" s="177"/>
      <c r="D112" s="176"/>
      <c r="E112" s="177"/>
      <c r="F112" s="176"/>
      <c r="G112" s="177"/>
      <c r="H112" s="176"/>
      <c r="I112" s="177"/>
      <c r="J112" s="176"/>
      <c r="K112" s="177"/>
      <c r="L112" s="176"/>
      <c r="M112" s="177"/>
      <c r="N112" s="176"/>
      <c r="O112" s="177"/>
      <c r="P112" s="176"/>
      <c r="Q112" s="177"/>
      <c r="R112" s="176"/>
      <c r="S112" s="177"/>
      <c r="T112" s="176"/>
      <c r="U112" s="177"/>
      <c r="V112" s="122"/>
      <c r="W112" s="122"/>
    </row>
    <row r="113" spans="1:23" ht="12" customHeight="1">
      <c r="A113" s="122"/>
      <c r="B113" s="176"/>
      <c r="C113" s="177"/>
      <c r="D113" s="176"/>
      <c r="E113" s="177"/>
      <c r="F113" s="176"/>
      <c r="G113" s="177"/>
      <c r="H113" s="176"/>
      <c r="I113" s="177"/>
      <c r="J113" s="176"/>
      <c r="K113" s="177"/>
      <c r="L113" s="176"/>
      <c r="M113" s="177"/>
      <c r="N113" s="176"/>
      <c r="O113" s="177"/>
      <c r="P113" s="176"/>
      <c r="Q113" s="177"/>
      <c r="R113" s="176"/>
      <c r="S113" s="177"/>
      <c r="T113" s="176"/>
      <c r="U113" s="177"/>
      <c r="V113" s="122"/>
      <c r="W113" s="122"/>
    </row>
    <row r="114" spans="1:23" ht="12" customHeight="1" thickBot="1">
      <c r="A114" s="141">
        <v>20</v>
      </c>
      <c r="B114" s="179"/>
      <c r="C114" s="178"/>
      <c r="D114" s="179"/>
      <c r="E114" s="178"/>
      <c r="F114" s="179"/>
      <c r="G114" s="178"/>
      <c r="H114" s="179"/>
      <c r="I114" s="178"/>
      <c r="J114" s="179"/>
      <c r="K114" s="178"/>
      <c r="L114" s="179"/>
      <c r="M114" s="178"/>
      <c r="N114" s="179"/>
      <c r="O114" s="178"/>
      <c r="P114" s="179"/>
      <c r="Q114" s="178"/>
      <c r="R114" s="179"/>
      <c r="S114" s="178"/>
      <c r="T114" s="179"/>
      <c r="U114" s="178"/>
      <c r="V114" s="122"/>
      <c r="W114" s="122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0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0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0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0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0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0">
        <v>26</v>
      </c>
    </row>
    <row r="146" spans="1:23">
      <c r="A146" s="434" t="str">
        <f>HYPERLINK("#'7월'!A1","← 7월 월간 가계부로 돌아가기")</f>
        <v>← 7월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1519000</v>
      </c>
      <c r="J149" s="433"/>
      <c r="K149" s="433"/>
      <c r="L149" s="433"/>
      <c r="M149" s="433"/>
      <c r="N149" s="365"/>
      <c r="O149" s="362" t="b">
        <f>IF('7월'!AA1,I149=('7월'!M28),"미입력")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1519000</v>
      </c>
      <c r="J150" s="433"/>
      <c r="K150" s="433"/>
      <c r="L150" s="433"/>
      <c r="M150" s="433"/>
      <c r="N150" s="365"/>
      <c r="O150" s="362" t="b">
        <f>IF('7월'!AA1,I150=('7월'!I38),"미입력")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73</v>
      </c>
      <c r="L4" s="31"/>
      <c r="M4" s="27" t="s">
        <v>326</v>
      </c>
      <c r="N4" s="27" t="s">
        <v>524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322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328</v>
      </c>
      <c r="L5" s="38" t="s">
        <v>525</v>
      </c>
      <c r="M5" s="34" t="s">
        <v>330</v>
      </c>
      <c r="N5" s="34" t="s">
        <v>331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332</v>
      </c>
      <c r="U5" s="34"/>
    </row>
    <row r="6" spans="1:27" ht="22" customHeight="1">
      <c r="A6" s="31" t="s">
        <v>223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333</v>
      </c>
      <c r="L6" s="31" t="s">
        <v>525</v>
      </c>
      <c r="M6" s="27" t="s">
        <v>330</v>
      </c>
      <c r="N6" s="27" t="s">
        <v>334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332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338</v>
      </c>
      <c r="U7" s="34"/>
    </row>
    <row r="8" spans="1:27" ht="22" customHeight="1">
      <c r="A8" s="39" t="s">
        <v>339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332</v>
      </c>
      <c r="U8" s="27"/>
    </row>
    <row r="9" spans="1:27" ht="22" customHeight="1">
      <c r="A9" s="31" t="s">
        <v>323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/>
    </row>
    <row r="10" spans="1:27" ht="22" customHeight="1">
      <c r="A10" s="31" t="s">
        <v>322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346</v>
      </c>
      <c r="L10" s="31" t="s">
        <v>526</v>
      </c>
      <c r="M10" s="27" t="s">
        <v>330</v>
      </c>
      <c r="N10" s="27" t="s">
        <v>527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332</v>
      </c>
      <c r="U10" s="27"/>
    </row>
    <row r="11" spans="1:27" ht="22" customHeight="1">
      <c r="A11" s="31" t="s">
        <v>223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350</v>
      </c>
      <c r="L11" s="38" t="s">
        <v>514</v>
      </c>
      <c r="M11" s="34" t="s">
        <v>162</v>
      </c>
      <c r="N11" s="34" t="s">
        <v>515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332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528</v>
      </c>
      <c r="M12" s="27"/>
      <c r="N12" s="27" t="s">
        <v>529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530</v>
      </c>
      <c r="U12" s="27"/>
    </row>
    <row r="13" spans="1:27" ht="22" customHeight="1">
      <c r="A13" s="39" t="s">
        <v>357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531</v>
      </c>
      <c r="L13" s="38" t="s">
        <v>187</v>
      </c>
      <c r="M13" s="34" t="s">
        <v>326</v>
      </c>
      <c r="N13" s="34" t="s">
        <v>532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332</v>
      </c>
      <c r="U13" s="34"/>
    </row>
    <row r="14" spans="1:27" ht="22" customHeight="1">
      <c r="A14" s="31" t="s">
        <v>323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322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 t="str">
        <f t="shared" si="0"/>
        <v/>
      </c>
      <c r="R15" s="34" t="str">
        <f t="shared" si="1"/>
        <v/>
      </c>
      <c r="S15" s="34"/>
      <c r="T15" s="34"/>
      <c r="U15" s="34"/>
    </row>
    <row r="16" spans="1:27" ht="22" customHeight="1">
      <c r="A16" s="31" t="s">
        <v>223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362</v>
      </c>
      <c r="L16" s="31" t="s">
        <v>363</v>
      </c>
      <c r="M16" s="27" t="s">
        <v>344</v>
      </c>
      <c r="N16" s="27" t="s">
        <v>364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/>
    </row>
    <row r="18" spans="1:22" ht="22" customHeight="1">
      <c r="A18" s="39" t="s">
        <v>368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371</v>
      </c>
      <c r="U18" s="27"/>
    </row>
    <row r="19" spans="1:22" ht="22" customHeight="1">
      <c r="A19" s="31" t="s">
        <v>323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374</v>
      </c>
      <c r="U19" s="34"/>
    </row>
    <row r="20" spans="1:22" ht="22" customHeight="1">
      <c r="A20" s="31" t="s">
        <v>322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371</v>
      </c>
      <c r="U20" s="27"/>
    </row>
    <row r="21" spans="1:22" ht="22" customHeight="1">
      <c r="A21" s="31" t="s">
        <v>223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533</v>
      </c>
      <c r="T22" s="27" t="s">
        <v>383</v>
      </c>
      <c r="U22" s="27"/>
    </row>
    <row r="23" spans="1:22" ht="22" customHeight="1">
      <c r="A23" s="39" t="s">
        <v>384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472</v>
      </c>
      <c r="T23" s="34" t="s">
        <v>76</v>
      </c>
      <c r="U23" s="34"/>
    </row>
    <row r="24" spans="1:22" ht="22" customHeight="1">
      <c r="A24" s="31" t="s">
        <v>323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517</v>
      </c>
      <c r="M24" s="27" t="s">
        <v>330</v>
      </c>
      <c r="N24" s="27" t="s">
        <v>378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507</v>
      </c>
      <c r="T24" s="27" t="s">
        <v>76</v>
      </c>
      <c r="U24" s="27"/>
    </row>
    <row r="25" spans="1:22" ht="25" customHeight="1">
      <c r="A25" s="31" t="s">
        <v>322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223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HYPERLINK("#'8월계산기'!A1","계산기 대조 · 8월계산기 열기")</f>
        <v>계산기 대조 · 8월계산기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9" t="s">
        <v>479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367" t="s">
        <v>210</v>
      </c>
      <c r="L28" s="365"/>
      <c r="M28" s="364">
        <f>SUM(I4,I9,I14,I19,I24,I29)</f>
        <v>2354000</v>
      </c>
      <c r="N28" s="365"/>
      <c r="O28" s="366" t="s">
        <v>212</v>
      </c>
      <c r="P28" s="365"/>
      <c r="Q28" s="364">
        <f>'8월계산기'!W12</f>
        <v>2354000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 t="s">
        <v>323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367" t="s">
        <v>389</v>
      </c>
      <c r="L29" s="365"/>
      <c r="M29" s="364">
        <f>I38</f>
        <v>2354000</v>
      </c>
      <c r="N29" s="365"/>
      <c r="O29" s="366" t="s">
        <v>213</v>
      </c>
      <c r="P29" s="365"/>
      <c r="Q29" s="364">
        <f>'8월계산기'!W13</f>
        <v>2354000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 t="s">
        <v>322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367" t="s">
        <v>390</v>
      </c>
      <c r="L30" s="365"/>
      <c r="M30" s="364">
        <f>SUM(I6,I11,I16,I21,I26,I31)</f>
        <v>54557</v>
      </c>
      <c r="N30" s="365"/>
      <c r="O30" s="366" t="s">
        <v>391</v>
      </c>
      <c r="P30" s="365"/>
      <c r="Q30" s="364">
        <f>SUM(I4,I9,I14,I19,I24,I29)-I33</f>
        <v>54557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 t="s">
        <v>223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367" t="s">
        <v>214</v>
      </c>
      <c r="L31" s="365"/>
      <c r="M31" s="364">
        <f>'8월계산기'!W14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394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2776050</v>
      </c>
      <c r="D37" s="27"/>
      <c r="E37" s="27" t="s">
        <v>306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v>0</v>
      </c>
      <c r="D38" s="27"/>
      <c r="E38" s="27" t="s">
        <v>305</v>
      </c>
      <c r="F38" s="27"/>
      <c r="G38" s="27"/>
      <c r="H38" s="27">
        <f>I33-_예비비계산!AG9</f>
        <v>2299443</v>
      </c>
      <c r="I38" s="27">
        <f>SUM(I4,I9,I14,I19,I24,I29)-_예비비계산!AH9</f>
        <v>2354000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v>0</v>
      </c>
      <c r="D39" s="27"/>
      <c r="E39" s="49" t="s">
        <v>405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2776050</v>
      </c>
      <c r="D41" s="27"/>
      <c r="E41" s="49" t="s">
        <v>411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413</v>
      </c>
      <c r="B42" s="380"/>
      <c r="C42" s="380"/>
      <c r="D42" s="381"/>
      <c r="E42" s="49" t="s">
        <v>414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30000</v>
      </c>
      <c r="I43" s="27">
        <f>H43</f>
        <v>30000</v>
      </c>
      <c r="J43" s="12"/>
      <c r="K43" s="31" t="s">
        <v>402</v>
      </c>
      <c r="L43" s="31" t="s">
        <v>416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418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388" t="s">
        <v>405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429</v>
      </c>
      <c r="H51" s="55" t="s">
        <v>405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5">
        <v>46243</v>
      </c>
      <c r="B52" s="35" t="s">
        <v>59</v>
      </c>
      <c r="C52" s="35" t="s">
        <v>534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5">
        <v>46244</v>
      </c>
      <c r="B53" s="35" t="s">
        <v>431</v>
      </c>
      <c r="C53" s="35" t="s">
        <v>535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432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5">
        <v>46250</v>
      </c>
      <c r="B54" s="35" t="s">
        <v>431</v>
      </c>
      <c r="C54" s="35" t="s">
        <v>508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5">
        <v>46264</v>
      </c>
      <c r="B55" s="35" t="s">
        <v>59</v>
      </c>
      <c r="C55" s="35" t="s">
        <v>536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537</v>
      </c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5">
        <f>RAW!A1811</f>
        <v>46239.952164351853</v>
      </c>
      <c r="B56" s="35" t="s">
        <v>480</v>
      </c>
      <c r="C56" s="35" t="s">
        <v>538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539</v>
      </c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</row>
    <row r="57" spans="1:21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375" t="s">
        <v>438</v>
      </c>
      <c r="B62" s="376"/>
      <c r="C62" s="376"/>
      <c r="D62" s="376"/>
      <c r="E62" s="376"/>
      <c r="F62" s="376"/>
      <c r="G62" s="376"/>
      <c r="H62" s="377"/>
      <c r="I62" s="37">
        <f>SUM(H52:H61)</f>
        <v>227491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378"/>
      <c r="T64" s="359"/>
      <c r="U64" s="360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300000</v>
      </c>
      <c r="N65" s="46">
        <f>_예비비계산!AC9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50" t="s">
        <v>540</v>
      </c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</conditionalFormatting>
  <conditionalFormatting sqref="C14">
    <cfRule type="expression" dxfId="31" priority="4">
      <formula>C14="FALSE"</formula>
    </cfRule>
  </conditionalFormatting>
  <conditionalFormatting sqref="H45:I45">
    <cfRule type="cellIs" dxfId="30" priority="6" operator="lessThan">
      <formula>0</formula>
    </cfRule>
  </conditionalFormatting>
  <conditionalFormatting sqref="H46:I46">
    <cfRule type="expression" dxfId="29" priority="7">
      <formula>H46="FALSE"</formula>
    </cfRule>
  </conditionalFormatting>
  <conditionalFormatting sqref="I5">
    <cfRule type="cellIs" dxfId="28" priority="5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5" bestFit="1" customWidth="1"/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541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581</v>
      </c>
      <c r="D3" s="120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581000</v>
      </c>
      <c r="AA3">
        <v>581</v>
      </c>
    </row>
    <row r="4" spans="1:27" ht="18" customHeight="1">
      <c r="A4" s="117" t="s">
        <v>453</v>
      </c>
      <c r="B4" s="125"/>
      <c r="C4" s="119">
        <f>IFERROR(colorfunction(B4,$B$15:$U$144,FALSE),$AA$4)</f>
        <v>155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155000</v>
      </c>
      <c r="AA4">
        <v>155</v>
      </c>
    </row>
    <row r="5" spans="1:27" ht="18" customHeight="1">
      <c r="A5" s="117" t="s">
        <v>454</v>
      </c>
      <c r="B5" s="127"/>
      <c r="C5" s="119">
        <f>IFERROR(colorfunction(B5,$B$15:$U$144,FALSE),$AA$5)</f>
        <v>259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259000</v>
      </c>
      <c r="AA5">
        <v>259</v>
      </c>
    </row>
    <row r="6" spans="1:27" ht="18" customHeight="1">
      <c r="A6" s="117" t="s">
        <v>455</v>
      </c>
      <c r="B6" s="128"/>
      <c r="C6" s="119">
        <f>IFERROR(colorfunction(B6,$B$15:$U$144,FALSE),$AA$6)</f>
        <v>268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268000</v>
      </c>
      <c r="AA6">
        <v>268</v>
      </c>
    </row>
    <row r="7" spans="1:27" ht="18" customHeight="1">
      <c r="A7" s="117" t="s">
        <v>456</v>
      </c>
      <c r="B7" s="129"/>
      <c r="C7" s="119">
        <f>IFERROR(colorfunction(B7,$B$15:$U$144,FALSE),$AA$7)</f>
        <v>105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105000</v>
      </c>
      <c r="AA7">
        <v>105</v>
      </c>
    </row>
    <row r="8" spans="1:27" ht="18" customHeight="1">
      <c r="A8" s="117" t="s">
        <v>457</v>
      </c>
      <c r="B8" s="130"/>
      <c r="C8" s="119">
        <f>IFERROR(colorfunction(B8,$B$15:$U$144,FALSE),$AA$8)</f>
        <v>28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28000</v>
      </c>
      <c r="AA8">
        <v>28</v>
      </c>
    </row>
    <row r="9" spans="1:27" ht="18" customHeight="1">
      <c r="A9" s="117" t="s">
        <v>458</v>
      </c>
      <c r="B9" s="131"/>
      <c r="C9" s="119">
        <f>IFERROR(colorfunction(B9,$B$15:$U$144,FALSE),$AA$9)</f>
        <v>925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925000</v>
      </c>
      <c r="AA9">
        <v>925</v>
      </c>
    </row>
    <row r="10" spans="1:27" ht="18" customHeight="1">
      <c r="A10" s="117" t="s">
        <v>459</v>
      </c>
      <c r="B10" s="132"/>
      <c r="C10" s="119">
        <f>IFERROR(colorfunction(B10,$B$15:$U$144,FALSE),$AA$10)</f>
        <v>33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33000</v>
      </c>
      <c r="AA10">
        <v>33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2354000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2354000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0+_예비비계산!AH9</f>
        <v>0</v>
      </c>
    </row>
    <row r="15" spans="1:27" ht="12" customHeight="1">
      <c r="A15" s="122"/>
      <c r="B15" s="146"/>
      <c r="C15" s="147"/>
      <c r="D15" s="146"/>
      <c r="E15" s="147"/>
      <c r="F15" s="146"/>
      <c r="G15" s="147"/>
      <c r="H15" s="133"/>
      <c r="I15" s="134"/>
      <c r="J15" s="133"/>
      <c r="K15" s="134"/>
      <c r="L15" s="146"/>
      <c r="M15" s="147"/>
      <c r="N15" s="146"/>
      <c r="O15" s="147"/>
      <c r="P15" s="184"/>
      <c r="Q15" s="183"/>
      <c r="R15" s="151"/>
      <c r="S15" s="150"/>
      <c r="T15" s="181"/>
      <c r="U15" s="173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52"/>
      <c r="C16" s="153"/>
      <c r="D16" s="152"/>
      <c r="E16" s="153"/>
      <c r="F16" s="152"/>
      <c r="G16" s="153"/>
      <c r="H16" s="137"/>
      <c r="I16" s="138"/>
      <c r="J16" s="137"/>
      <c r="K16" s="153"/>
      <c r="L16" s="152"/>
      <c r="M16" s="153"/>
      <c r="N16" s="152"/>
      <c r="O16" s="138"/>
      <c r="P16" s="185"/>
      <c r="Q16" s="186"/>
      <c r="R16" s="157"/>
      <c r="S16" s="156"/>
      <c r="T16" s="164"/>
      <c r="U16" s="182"/>
      <c r="V16" s="299" t="s">
        <v>211</v>
      </c>
      <c r="W16" s="300">
        <f>SUM(W3:W10)</f>
        <v>2354000</v>
      </c>
    </row>
    <row r="17" spans="1:27" ht="12" customHeight="1">
      <c r="A17" s="122"/>
      <c r="B17" s="152"/>
      <c r="C17" s="153"/>
      <c r="D17" s="152"/>
      <c r="E17" s="153"/>
      <c r="F17" s="152"/>
      <c r="G17" s="153"/>
      <c r="H17" s="137"/>
      <c r="I17" s="138"/>
      <c r="J17" s="137"/>
      <c r="K17" s="153"/>
      <c r="L17" s="152"/>
      <c r="M17" s="153"/>
      <c r="N17" s="152"/>
      <c r="O17" s="138"/>
      <c r="P17" s="185"/>
      <c r="Q17" s="186"/>
      <c r="R17" s="157"/>
      <c r="S17" s="156"/>
      <c r="T17" s="164"/>
      <c r="U17" s="182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52"/>
      <c r="C18" s="153"/>
      <c r="D18" s="152"/>
      <c r="E18" s="153"/>
      <c r="F18" s="152"/>
      <c r="G18" s="138"/>
      <c r="H18" s="137"/>
      <c r="I18" s="138"/>
      <c r="J18" s="137"/>
      <c r="K18" s="153"/>
      <c r="L18" s="152"/>
      <c r="M18" s="153"/>
      <c r="N18" s="152"/>
      <c r="O18" s="138"/>
      <c r="P18" s="185"/>
      <c r="Q18" s="156"/>
      <c r="R18" s="157"/>
      <c r="S18" s="156"/>
      <c r="T18" s="164"/>
      <c r="U18" s="182"/>
      <c r="V18" s="122"/>
      <c r="W18" s="122"/>
    </row>
    <row r="19" spans="1:27" ht="12" customHeight="1" thickBot="1">
      <c r="A19" s="141">
        <v>1</v>
      </c>
      <c r="B19" s="158"/>
      <c r="C19" s="159"/>
      <c r="D19" s="158"/>
      <c r="E19" s="159"/>
      <c r="F19" s="158"/>
      <c r="G19" s="143"/>
      <c r="H19" s="142"/>
      <c r="I19" s="143"/>
      <c r="J19" s="142"/>
      <c r="K19" s="159"/>
      <c r="L19" s="158"/>
      <c r="M19" s="159"/>
      <c r="N19" s="158"/>
      <c r="O19" s="188"/>
      <c r="P19" s="187"/>
      <c r="Q19" s="162"/>
      <c r="R19" s="163"/>
      <c r="S19" s="162"/>
      <c r="T19" s="165"/>
      <c r="U19" s="172"/>
      <c r="V19" s="122"/>
      <c r="W19" s="122"/>
    </row>
    <row r="20" spans="1:27" ht="12" customHeight="1">
      <c r="A20" s="122"/>
      <c r="B20" s="181"/>
      <c r="C20" s="173"/>
      <c r="D20" s="135"/>
      <c r="E20" s="134"/>
      <c r="F20" s="133"/>
      <c r="G20" s="147"/>
      <c r="H20" s="146"/>
      <c r="I20" s="147"/>
      <c r="J20" s="146"/>
      <c r="K20" s="147"/>
      <c r="L20" s="146"/>
      <c r="M20" s="147"/>
      <c r="N20" s="146"/>
      <c r="O20" s="147"/>
      <c r="P20" s="146"/>
      <c r="Q20" s="147"/>
      <c r="R20" s="146"/>
      <c r="S20" s="147"/>
      <c r="T20" s="146"/>
      <c r="U20" s="147"/>
      <c r="V20" s="122"/>
      <c r="W20" s="122"/>
    </row>
    <row r="21" spans="1:27" ht="12" customHeight="1">
      <c r="A21" s="122"/>
      <c r="B21" s="164"/>
      <c r="C21" s="182"/>
      <c r="D21" s="139"/>
      <c r="E21" s="138"/>
      <c r="F21" s="137"/>
      <c r="G21" s="153"/>
      <c r="H21" s="152"/>
      <c r="I21" s="153"/>
      <c r="J21" s="152"/>
      <c r="K21" s="153"/>
      <c r="L21" s="152"/>
      <c r="M21" s="153"/>
      <c r="N21" s="152"/>
      <c r="O21" s="153"/>
      <c r="P21" s="152"/>
      <c r="Q21" s="153"/>
      <c r="R21" s="152"/>
      <c r="S21" s="153"/>
      <c r="T21" s="152"/>
      <c r="U21" s="153"/>
      <c r="V21" s="122"/>
      <c r="W21" s="122"/>
    </row>
    <row r="22" spans="1:27" ht="12" customHeight="1">
      <c r="A22" s="122"/>
      <c r="B22" s="164"/>
      <c r="C22" s="182"/>
      <c r="D22" s="139"/>
      <c r="E22" s="138"/>
      <c r="F22" s="137"/>
      <c r="G22" s="153"/>
      <c r="H22" s="152"/>
      <c r="I22" s="153"/>
      <c r="J22" s="152"/>
      <c r="K22" s="153"/>
      <c r="L22" s="152"/>
      <c r="M22" s="153"/>
      <c r="N22" s="152"/>
      <c r="O22" s="153"/>
      <c r="P22" s="152"/>
      <c r="Q22" s="153"/>
      <c r="R22" s="152"/>
      <c r="S22" s="153"/>
      <c r="T22" s="152"/>
      <c r="U22" s="153"/>
      <c r="V22" s="122"/>
      <c r="W22" s="122"/>
    </row>
    <row r="23" spans="1:27" ht="12" customHeight="1">
      <c r="A23" s="122"/>
      <c r="B23" s="164"/>
      <c r="C23" s="182"/>
      <c r="D23" s="139"/>
      <c r="E23" s="138"/>
      <c r="F23" s="137"/>
      <c r="G23" s="153"/>
      <c r="H23" s="152"/>
      <c r="I23" s="153"/>
      <c r="J23" s="152"/>
      <c r="K23" s="153"/>
      <c r="L23" s="152"/>
      <c r="M23" s="153"/>
      <c r="N23" s="152"/>
      <c r="O23" s="153"/>
      <c r="P23" s="152"/>
      <c r="Q23" s="153"/>
      <c r="R23" s="152"/>
      <c r="S23" s="153"/>
      <c r="T23" s="152"/>
      <c r="U23" s="153"/>
      <c r="V23" s="122"/>
      <c r="W23" s="122"/>
    </row>
    <row r="24" spans="1:27" ht="12" customHeight="1" thickBot="1">
      <c r="A24" s="141">
        <v>2</v>
      </c>
      <c r="B24" s="165"/>
      <c r="C24" s="172"/>
      <c r="D24" s="144"/>
      <c r="E24" s="143"/>
      <c r="F24" s="158"/>
      <c r="G24" s="159"/>
      <c r="H24" s="158"/>
      <c r="I24" s="159"/>
      <c r="J24" s="158"/>
      <c r="K24" s="159"/>
      <c r="L24" s="158"/>
      <c r="M24" s="159"/>
      <c r="N24" s="158"/>
      <c r="O24" s="159"/>
      <c r="P24" s="158"/>
      <c r="Q24" s="159"/>
      <c r="R24" s="158"/>
      <c r="S24" s="159"/>
      <c r="T24" s="158"/>
      <c r="U24" s="159"/>
      <c r="V24" s="122"/>
      <c r="W24" s="122"/>
    </row>
    <row r="25" spans="1:27" ht="12" customHeight="1">
      <c r="A25" s="122"/>
      <c r="B25" s="146"/>
      <c r="C25" s="147"/>
      <c r="D25" s="133"/>
      <c r="E25" s="134"/>
      <c r="F25" s="133"/>
      <c r="G25" s="134"/>
      <c r="H25" s="133"/>
      <c r="I25" s="147"/>
      <c r="J25" s="146"/>
      <c r="K25" s="147"/>
      <c r="L25" s="146"/>
      <c r="M25" s="147"/>
      <c r="N25" s="181"/>
      <c r="O25" s="173"/>
      <c r="P25" s="181"/>
      <c r="Q25" s="173"/>
      <c r="R25" s="181"/>
      <c r="S25" s="136"/>
      <c r="T25" s="133"/>
      <c r="U25" s="134"/>
      <c r="V25" s="122"/>
      <c r="W25" s="122"/>
    </row>
    <row r="26" spans="1:27" ht="12" customHeight="1">
      <c r="A26" s="122"/>
      <c r="B26" s="152"/>
      <c r="C26" s="153"/>
      <c r="D26" s="137"/>
      <c r="E26" s="138"/>
      <c r="F26" s="137"/>
      <c r="G26" s="138"/>
      <c r="H26" s="137"/>
      <c r="I26" s="153"/>
      <c r="J26" s="152"/>
      <c r="K26" s="153"/>
      <c r="L26" s="152"/>
      <c r="M26" s="182"/>
      <c r="N26" s="164"/>
      <c r="O26" s="182"/>
      <c r="P26" s="164"/>
      <c r="Q26" s="182"/>
      <c r="R26" s="164"/>
      <c r="S26" s="140"/>
      <c r="T26" s="137"/>
      <c r="U26" s="138"/>
      <c r="V26" s="122"/>
      <c r="W26" s="122"/>
    </row>
    <row r="27" spans="1:27" ht="12" customHeight="1">
      <c r="A27" s="122"/>
      <c r="B27" s="152"/>
      <c r="C27" s="153"/>
      <c r="D27" s="137"/>
      <c r="E27" s="138"/>
      <c r="F27" s="137"/>
      <c r="G27" s="138"/>
      <c r="H27" s="137"/>
      <c r="I27" s="153"/>
      <c r="J27" s="152"/>
      <c r="K27" s="153"/>
      <c r="L27" s="152"/>
      <c r="M27" s="182"/>
      <c r="N27" s="164"/>
      <c r="O27" s="182"/>
      <c r="P27" s="164"/>
      <c r="Q27" s="182"/>
      <c r="R27" s="164"/>
      <c r="S27" s="140"/>
      <c r="T27" s="137"/>
      <c r="U27" s="138"/>
      <c r="V27" s="122"/>
      <c r="W27" s="122"/>
    </row>
    <row r="28" spans="1:27" ht="12" customHeight="1">
      <c r="A28" s="122"/>
      <c r="B28" s="152"/>
      <c r="C28" s="153"/>
      <c r="D28" s="137"/>
      <c r="E28" s="138"/>
      <c r="F28" s="137"/>
      <c r="G28" s="138"/>
      <c r="H28" s="137"/>
      <c r="I28" s="153"/>
      <c r="J28" s="152"/>
      <c r="K28" s="153"/>
      <c r="L28" s="152"/>
      <c r="M28" s="182"/>
      <c r="N28" s="164"/>
      <c r="O28" s="182"/>
      <c r="P28" s="164"/>
      <c r="Q28" s="182"/>
      <c r="R28" s="164"/>
      <c r="S28" s="140"/>
      <c r="T28" s="137"/>
      <c r="U28" s="138"/>
      <c r="V28" s="122"/>
      <c r="W28" s="122"/>
    </row>
    <row r="29" spans="1:27" ht="12" customHeight="1" thickBot="1">
      <c r="A29" s="141">
        <v>3</v>
      </c>
      <c r="B29" s="158"/>
      <c r="C29" s="159"/>
      <c r="D29" s="142"/>
      <c r="E29" s="143"/>
      <c r="F29" s="142"/>
      <c r="G29" s="143"/>
      <c r="H29" s="142"/>
      <c r="I29" s="159"/>
      <c r="J29" s="158"/>
      <c r="K29" s="159"/>
      <c r="L29" s="158"/>
      <c r="M29" s="172"/>
      <c r="N29" s="165"/>
      <c r="O29" s="172"/>
      <c r="P29" s="165"/>
      <c r="Q29" s="172"/>
      <c r="R29" s="144"/>
      <c r="S29" s="143"/>
      <c r="T29" s="142"/>
      <c r="U29" s="143"/>
      <c r="V29" s="122"/>
      <c r="W29" s="122"/>
    </row>
    <row r="30" spans="1:27" ht="12" customHeight="1">
      <c r="A30" s="122"/>
      <c r="B30" s="133"/>
      <c r="C30" s="134"/>
      <c r="D30" s="135"/>
      <c r="E30" s="134"/>
      <c r="F30" s="133"/>
      <c r="G30" s="134"/>
      <c r="H30" s="133"/>
      <c r="I30" s="134"/>
      <c r="J30" s="133"/>
      <c r="K30" s="134"/>
      <c r="L30" s="133"/>
      <c r="M30" s="136"/>
      <c r="N30" s="133"/>
      <c r="O30" s="134"/>
      <c r="P30" s="135"/>
      <c r="Q30" s="134"/>
      <c r="R30" s="146"/>
      <c r="S30" s="147"/>
      <c r="T30" s="146"/>
      <c r="U30" s="147"/>
      <c r="V30" s="122"/>
      <c r="W30" s="122"/>
    </row>
    <row r="31" spans="1:27" ht="12" customHeight="1">
      <c r="A31" s="122"/>
      <c r="B31" s="137"/>
      <c r="C31" s="140"/>
      <c r="D31" s="137"/>
      <c r="E31" s="138"/>
      <c r="F31" s="137"/>
      <c r="G31" s="138"/>
      <c r="H31" s="137"/>
      <c r="I31" s="138"/>
      <c r="J31" s="137"/>
      <c r="K31" s="138"/>
      <c r="L31" s="137"/>
      <c r="M31" s="140"/>
      <c r="N31" s="137"/>
      <c r="O31" s="140"/>
      <c r="P31" s="137"/>
      <c r="Q31" s="138"/>
      <c r="R31" s="152"/>
      <c r="S31" s="153"/>
      <c r="T31" s="152"/>
      <c r="U31" s="153"/>
      <c r="V31" s="122"/>
      <c r="W31" s="122"/>
    </row>
    <row r="32" spans="1:27" ht="12" customHeight="1">
      <c r="A32" s="122"/>
      <c r="B32" s="137"/>
      <c r="C32" s="140"/>
      <c r="D32" s="137"/>
      <c r="E32" s="138"/>
      <c r="F32" s="137"/>
      <c r="G32" s="138"/>
      <c r="H32" s="137"/>
      <c r="I32" s="138"/>
      <c r="J32" s="137"/>
      <c r="K32" s="138"/>
      <c r="L32" s="139"/>
      <c r="M32" s="138"/>
      <c r="N32" s="137"/>
      <c r="O32" s="140"/>
      <c r="P32" s="137"/>
      <c r="Q32" s="153"/>
      <c r="R32" s="152"/>
      <c r="S32" s="153"/>
      <c r="T32" s="152"/>
      <c r="U32" s="153"/>
      <c r="V32" s="122"/>
      <c r="W32" s="122"/>
    </row>
    <row r="33" spans="1:23" ht="12" customHeight="1">
      <c r="A33" s="122"/>
      <c r="B33" s="137"/>
      <c r="C33" s="140"/>
      <c r="D33" s="137"/>
      <c r="E33" s="138"/>
      <c r="F33" s="137"/>
      <c r="G33" s="138"/>
      <c r="H33" s="137"/>
      <c r="I33" s="138"/>
      <c r="J33" s="137"/>
      <c r="K33" s="138"/>
      <c r="L33" s="139"/>
      <c r="M33" s="138"/>
      <c r="N33" s="137"/>
      <c r="O33" s="140"/>
      <c r="P33" s="137"/>
      <c r="Q33" s="153"/>
      <c r="R33" s="152"/>
      <c r="S33" s="153"/>
      <c r="T33" s="152"/>
      <c r="U33" s="153"/>
      <c r="V33" s="122"/>
      <c r="W33" s="122"/>
    </row>
    <row r="34" spans="1:23" ht="12" customHeight="1" thickBot="1">
      <c r="A34" s="141">
        <v>4</v>
      </c>
      <c r="B34" s="142"/>
      <c r="C34" s="145"/>
      <c r="D34" s="142"/>
      <c r="E34" s="143"/>
      <c r="F34" s="142"/>
      <c r="G34" s="143"/>
      <c r="H34" s="142"/>
      <c r="I34" s="143"/>
      <c r="J34" s="142"/>
      <c r="K34" s="143"/>
      <c r="L34" s="144"/>
      <c r="M34" s="143"/>
      <c r="N34" s="142"/>
      <c r="O34" s="145"/>
      <c r="P34" s="142"/>
      <c r="Q34" s="159"/>
      <c r="R34" s="158"/>
      <c r="S34" s="159"/>
      <c r="T34" s="158"/>
      <c r="U34" s="159"/>
      <c r="V34" s="122"/>
      <c r="W34" s="122"/>
    </row>
    <row r="35" spans="1:23" ht="12" customHeight="1">
      <c r="A35" s="122"/>
      <c r="B35" s="146"/>
      <c r="C35" s="147"/>
      <c r="D35" s="146"/>
      <c r="E35" s="136"/>
      <c r="F35" s="133"/>
      <c r="G35" s="150"/>
      <c r="H35" s="151"/>
      <c r="I35" s="150"/>
      <c r="J35" s="133"/>
      <c r="K35" s="134"/>
      <c r="L35" s="135"/>
      <c r="M35" s="134"/>
      <c r="N35" s="133"/>
      <c r="O35" s="147"/>
      <c r="P35" s="146"/>
      <c r="Q35" s="147"/>
      <c r="R35" s="146"/>
      <c r="S35" s="147"/>
      <c r="T35" s="146"/>
      <c r="U35" s="134"/>
      <c r="V35" s="122"/>
      <c r="W35" s="122"/>
    </row>
    <row r="36" spans="1:23" ht="12" customHeight="1">
      <c r="A36" s="122"/>
      <c r="B36" s="152"/>
      <c r="C36" s="153"/>
      <c r="D36" s="152"/>
      <c r="E36" s="140"/>
      <c r="F36" s="137"/>
      <c r="G36" s="156"/>
      <c r="H36" s="157"/>
      <c r="I36" s="156"/>
      <c r="J36" s="137"/>
      <c r="K36" s="138"/>
      <c r="L36" s="139"/>
      <c r="M36" s="138"/>
      <c r="N36" s="137"/>
      <c r="O36" s="153"/>
      <c r="P36" s="152"/>
      <c r="Q36" s="153"/>
      <c r="R36" s="152"/>
      <c r="S36" s="153"/>
      <c r="T36" s="152"/>
      <c r="U36" s="138"/>
      <c r="V36" s="122"/>
      <c r="W36" s="122"/>
    </row>
    <row r="37" spans="1:23" ht="12" customHeight="1">
      <c r="A37" s="122"/>
      <c r="B37" s="152"/>
      <c r="C37" s="153"/>
      <c r="D37" s="152"/>
      <c r="E37" s="140"/>
      <c r="F37" s="137"/>
      <c r="G37" s="156"/>
      <c r="H37" s="157"/>
      <c r="I37" s="156"/>
      <c r="J37" s="137"/>
      <c r="K37" s="138"/>
      <c r="L37" s="139"/>
      <c r="M37" s="138"/>
      <c r="N37" s="152"/>
      <c r="O37" s="153"/>
      <c r="P37" s="152"/>
      <c r="Q37" s="153"/>
      <c r="R37" s="152"/>
      <c r="S37" s="153"/>
      <c r="T37" s="152"/>
      <c r="U37" s="138"/>
      <c r="V37" s="122"/>
      <c r="W37" s="122"/>
    </row>
    <row r="38" spans="1:23" ht="12" customHeight="1">
      <c r="A38" s="122"/>
      <c r="B38" s="152"/>
      <c r="C38" s="153"/>
      <c r="D38" s="152"/>
      <c r="E38" s="140"/>
      <c r="F38" s="137"/>
      <c r="G38" s="156"/>
      <c r="H38" s="157"/>
      <c r="I38" s="138"/>
      <c r="J38" s="137"/>
      <c r="K38" s="138"/>
      <c r="L38" s="139"/>
      <c r="M38" s="138"/>
      <c r="N38" s="152"/>
      <c r="O38" s="153"/>
      <c r="P38" s="152"/>
      <c r="Q38" s="153"/>
      <c r="R38" s="152"/>
      <c r="S38" s="153"/>
      <c r="T38" s="152"/>
      <c r="U38" s="138"/>
      <c r="V38" s="122"/>
      <c r="W38" s="122"/>
    </row>
    <row r="39" spans="1:23" ht="12" customHeight="1" thickBot="1">
      <c r="A39" s="141">
        <v>5</v>
      </c>
      <c r="B39" s="158"/>
      <c r="C39" s="159"/>
      <c r="D39" s="144"/>
      <c r="E39" s="143"/>
      <c r="F39" s="163"/>
      <c r="G39" s="162"/>
      <c r="H39" s="163"/>
      <c r="I39" s="143"/>
      <c r="J39" s="142"/>
      <c r="K39" s="145"/>
      <c r="L39" s="142"/>
      <c r="M39" s="143"/>
      <c r="N39" s="158"/>
      <c r="O39" s="159"/>
      <c r="P39" s="158"/>
      <c r="Q39" s="159"/>
      <c r="R39" s="158"/>
      <c r="S39" s="159"/>
      <c r="T39" s="158"/>
      <c r="U39" s="143"/>
      <c r="V39" s="122"/>
      <c r="W39" s="122"/>
    </row>
    <row r="40" spans="1:23" ht="12" customHeight="1">
      <c r="A40" s="122"/>
      <c r="B40" s="133"/>
      <c r="C40" s="134"/>
      <c r="D40" s="152"/>
      <c r="E40" s="147"/>
      <c r="F40" s="146"/>
      <c r="G40" s="147"/>
      <c r="H40" s="146"/>
      <c r="I40" s="147"/>
      <c r="J40" s="146"/>
      <c r="K40" s="147"/>
      <c r="L40" s="146"/>
      <c r="M40" s="147"/>
      <c r="N40" s="184"/>
      <c r="O40" s="183"/>
      <c r="P40" s="184"/>
      <c r="Q40" s="183"/>
      <c r="R40" s="184"/>
      <c r="S40" s="183"/>
      <c r="T40" s="184"/>
      <c r="U40" s="136"/>
      <c r="V40" s="122"/>
      <c r="W40" s="122"/>
    </row>
    <row r="41" spans="1:23" ht="12" customHeight="1">
      <c r="A41" s="122"/>
      <c r="B41" s="137"/>
      <c r="C41" s="138"/>
      <c r="D41" s="197"/>
      <c r="E41" s="153"/>
      <c r="F41" s="152"/>
      <c r="G41" s="153"/>
      <c r="H41" s="152"/>
      <c r="I41" s="153"/>
      <c r="J41" s="152"/>
      <c r="K41" s="153"/>
      <c r="L41" s="152"/>
      <c r="M41" s="153"/>
      <c r="N41" s="185"/>
      <c r="O41" s="186"/>
      <c r="P41" s="185"/>
      <c r="Q41" s="186"/>
      <c r="R41" s="185"/>
      <c r="S41" s="186"/>
      <c r="T41" s="185"/>
      <c r="U41" s="140"/>
      <c r="V41" s="122"/>
      <c r="W41" s="122"/>
    </row>
    <row r="42" spans="1:23" ht="12" customHeight="1">
      <c r="A42" s="122"/>
      <c r="B42" s="137"/>
      <c r="C42" s="138"/>
      <c r="D42" s="152"/>
      <c r="E42" s="153"/>
      <c r="F42" s="152"/>
      <c r="G42" s="153"/>
      <c r="H42" s="152"/>
      <c r="I42" s="153"/>
      <c r="J42" s="152"/>
      <c r="K42" s="153"/>
      <c r="L42" s="152"/>
      <c r="M42" s="153"/>
      <c r="N42" s="185"/>
      <c r="O42" s="186"/>
      <c r="P42" s="185"/>
      <c r="Q42" s="186"/>
      <c r="R42" s="185"/>
      <c r="S42" s="186"/>
      <c r="T42" s="185"/>
      <c r="U42" s="140"/>
      <c r="V42" s="122"/>
      <c r="W42" s="122"/>
    </row>
    <row r="43" spans="1:23" ht="12" customHeight="1">
      <c r="A43" s="122"/>
      <c r="B43" s="137"/>
      <c r="C43" s="138"/>
      <c r="D43" s="152"/>
      <c r="E43" s="153"/>
      <c r="F43" s="152"/>
      <c r="G43" s="153"/>
      <c r="H43" s="152"/>
      <c r="I43" s="153"/>
      <c r="J43" s="152"/>
      <c r="K43" s="153"/>
      <c r="L43" s="152"/>
      <c r="M43" s="153"/>
      <c r="N43" s="185"/>
      <c r="O43" s="186"/>
      <c r="P43" s="185"/>
      <c r="Q43" s="186"/>
      <c r="R43" s="185"/>
      <c r="S43" s="186"/>
      <c r="T43" s="139"/>
      <c r="U43" s="138"/>
      <c r="V43" s="122"/>
      <c r="W43" s="122"/>
    </row>
    <row r="44" spans="1:23" ht="12" customHeight="1" thickBot="1">
      <c r="A44" s="141">
        <v>6</v>
      </c>
      <c r="B44" s="142"/>
      <c r="C44" s="159"/>
      <c r="D44" s="158"/>
      <c r="E44" s="159"/>
      <c r="F44" s="158"/>
      <c r="G44" s="159"/>
      <c r="H44" s="158"/>
      <c r="I44" s="159"/>
      <c r="J44" s="158"/>
      <c r="K44" s="159"/>
      <c r="L44" s="158"/>
      <c r="M44" s="188"/>
      <c r="N44" s="187"/>
      <c r="O44" s="188"/>
      <c r="P44" s="187"/>
      <c r="Q44" s="188"/>
      <c r="R44" s="187"/>
      <c r="S44" s="188"/>
      <c r="T44" s="144"/>
      <c r="U44" s="143"/>
      <c r="V44" s="122"/>
      <c r="W44" s="122"/>
    </row>
    <row r="45" spans="1:23" ht="12" customHeight="1">
      <c r="A45" s="122"/>
      <c r="B45" s="133"/>
      <c r="C45" s="134"/>
      <c r="D45" s="133"/>
      <c r="E45" s="147"/>
      <c r="F45" s="146"/>
      <c r="G45" s="147"/>
      <c r="H45" s="146"/>
      <c r="I45" s="147"/>
      <c r="J45" s="146"/>
      <c r="K45" s="147"/>
      <c r="L45" s="146"/>
      <c r="M45" s="147"/>
      <c r="N45" s="135"/>
      <c r="O45" s="134"/>
      <c r="P45" s="133"/>
      <c r="Q45" s="173"/>
      <c r="R45" s="181"/>
      <c r="S45" s="173"/>
      <c r="T45" s="181"/>
      <c r="U45" s="173"/>
      <c r="V45" s="122"/>
      <c r="W45" s="122"/>
    </row>
    <row r="46" spans="1:23" ht="12" customHeight="1">
      <c r="A46" s="122"/>
      <c r="B46" s="137"/>
      <c r="C46" s="138"/>
      <c r="D46" s="152"/>
      <c r="E46" s="153"/>
      <c r="F46" s="152"/>
      <c r="G46" s="153"/>
      <c r="H46" s="152"/>
      <c r="I46" s="153"/>
      <c r="J46" s="152"/>
      <c r="K46" s="153"/>
      <c r="L46" s="152"/>
      <c r="M46" s="153"/>
      <c r="N46" s="139"/>
      <c r="O46" s="138"/>
      <c r="P46" s="137"/>
      <c r="Q46" s="182"/>
      <c r="R46" s="164"/>
      <c r="S46" s="182"/>
      <c r="T46" s="164"/>
      <c r="U46" s="182"/>
      <c r="V46" s="122"/>
      <c r="W46" s="122"/>
    </row>
    <row r="47" spans="1:23" ht="12" customHeight="1">
      <c r="A47" s="122"/>
      <c r="B47" s="137"/>
      <c r="C47" s="138"/>
      <c r="D47" s="152"/>
      <c r="E47" s="153"/>
      <c r="F47" s="152"/>
      <c r="G47" s="153"/>
      <c r="H47" s="152"/>
      <c r="I47" s="153"/>
      <c r="J47" s="152"/>
      <c r="K47" s="153"/>
      <c r="L47" s="152"/>
      <c r="M47" s="153"/>
      <c r="N47" s="139"/>
      <c r="O47" s="138"/>
      <c r="P47" s="137"/>
      <c r="Q47" s="182"/>
      <c r="R47" s="164"/>
      <c r="S47" s="182"/>
      <c r="T47" s="164"/>
      <c r="U47" s="182"/>
      <c r="V47" s="122"/>
      <c r="W47" s="122"/>
    </row>
    <row r="48" spans="1:23" ht="12" customHeight="1">
      <c r="A48" s="122"/>
      <c r="B48" s="137"/>
      <c r="C48" s="138"/>
      <c r="D48" s="152"/>
      <c r="E48" s="153"/>
      <c r="F48" s="152"/>
      <c r="G48" s="153"/>
      <c r="H48" s="152"/>
      <c r="I48" s="153"/>
      <c r="J48" s="152"/>
      <c r="K48" s="153"/>
      <c r="L48" s="152"/>
      <c r="M48" s="153"/>
      <c r="N48" s="139"/>
      <c r="O48" s="138"/>
      <c r="P48" s="137"/>
      <c r="Q48" s="182"/>
      <c r="R48" s="164"/>
      <c r="S48" s="182"/>
      <c r="T48" s="164"/>
      <c r="U48" s="182"/>
      <c r="V48" s="122"/>
      <c r="W48" s="122"/>
    </row>
    <row r="49" spans="1:23" ht="12" customHeight="1" thickBot="1">
      <c r="A49" s="141">
        <v>7</v>
      </c>
      <c r="B49" s="142"/>
      <c r="C49" s="143"/>
      <c r="D49" s="158"/>
      <c r="E49" s="159"/>
      <c r="F49" s="158"/>
      <c r="G49" s="159"/>
      <c r="H49" s="158"/>
      <c r="I49" s="159"/>
      <c r="J49" s="158"/>
      <c r="K49" s="159"/>
      <c r="L49" s="158"/>
      <c r="M49" s="159"/>
      <c r="N49" s="144"/>
      <c r="O49" s="143"/>
      <c r="P49" s="142"/>
      <c r="Q49" s="172"/>
      <c r="R49" s="165"/>
      <c r="S49" s="172"/>
      <c r="T49" s="165"/>
      <c r="U49" s="172"/>
      <c r="V49" s="122"/>
      <c r="W49" s="122"/>
    </row>
    <row r="50" spans="1:23" ht="12" customHeight="1">
      <c r="A50" s="122"/>
      <c r="B50" s="181"/>
      <c r="C50" s="173"/>
      <c r="D50" s="181"/>
      <c r="E50" s="173"/>
      <c r="F50" s="146"/>
      <c r="G50" s="147"/>
      <c r="H50" s="146"/>
      <c r="I50" s="147"/>
      <c r="J50" s="146"/>
      <c r="K50" s="147"/>
      <c r="L50" s="146"/>
      <c r="M50" s="136"/>
      <c r="N50" s="133"/>
      <c r="O50" s="134"/>
      <c r="P50" s="133"/>
      <c r="Q50" s="136"/>
      <c r="R50" s="133"/>
      <c r="S50" s="134"/>
      <c r="T50" s="137"/>
      <c r="U50" s="134"/>
      <c r="V50" s="122"/>
      <c r="W50" s="122"/>
    </row>
    <row r="51" spans="1:23" ht="12" customHeight="1">
      <c r="A51" s="122"/>
      <c r="B51" s="164"/>
      <c r="C51" s="182"/>
      <c r="D51" s="164"/>
      <c r="E51" s="182"/>
      <c r="F51" s="152"/>
      <c r="G51" s="153"/>
      <c r="H51" s="152"/>
      <c r="I51" s="153"/>
      <c r="J51" s="152"/>
      <c r="K51" s="153"/>
      <c r="L51" s="139"/>
      <c r="M51" s="138"/>
      <c r="N51" s="137"/>
      <c r="O51" s="138"/>
      <c r="P51" s="137"/>
      <c r="Q51" s="140"/>
      <c r="R51" s="137"/>
      <c r="S51" s="138"/>
      <c r="T51" s="137"/>
      <c r="U51" s="138"/>
      <c r="V51" s="122"/>
      <c r="W51" s="122"/>
    </row>
    <row r="52" spans="1:23" ht="12" customHeight="1">
      <c r="A52" s="122"/>
      <c r="B52" s="164"/>
      <c r="C52" s="182"/>
      <c r="D52" s="164"/>
      <c r="E52" s="153"/>
      <c r="F52" s="152"/>
      <c r="G52" s="153"/>
      <c r="H52" s="152"/>
      <c r="I52" s="153"/>
      <c r="J52" s="152"/>
      <c r="K52" s="153"/>
      <c r="L52" s="139"/>
      <c r="M52" s="138"/>
      <c r="N52" s="137"/>
      <c r="O52" s="138"/>
      <c r="P52" s="137"/>
      <c r="Q52" s="140"/>
      <c r="R52" s="137"/>
      <c r="S52" s="138"/>
      <c r="T52" s="137"/>
      <c r="U52" s="138"/>
      <c r="V52" s="122"/>
      <c r="W52" s="122"/>
    </row>
    <row r="53" spans="1:23" ht="12" customHeight="1">
      <c r="A53" s="122"/>
      <c r="B53" s="164"/>
      <c r="C53" s="182"/>
      <c r="D53" s="164"/>
      <c r="E53" s="153"/>
      <c r="F53" s="152"/>
      <c r="G53" s="153"/>
      <c r="H53" s="152"/>
      <c r="I53" s="153"/>
      <c r="J53" s="152"/>
      <c r="K53" s="153"/>
      <c r="L53" s="139"/>
      <c r="M53" s="138"/>
      <c r="N53" s="137"/>
      <c r="O53" s="138"/>
      <c r="P53" s="137"/>
      <c r="Q53" s="140"/>
      <c r="R53" s="137"/>
      <c r="S53" s="138"/>
      <c r="T53" s="137"/>
      <c r="U53" s="138"/>
      <c r="V53" s="122"/>
      <c r="W53" s="122"/>
    </row>
    <row r="54" spans="1:23" ht="12" customHeight="1" thickBot="1">
      <c r="A54" s="141">
        <v>8</v>
      </c>
      <c r="B54" s="165"/>
      <c r="C54" s="172"/>
      <c r="D54" s="165"/>
      <c r="E54" s="159"/>
      <c r="F54" s="158"/>
      <c r="G54" s="159"/>
      <c r="H54" s="158"/>
      <c r="I54" s="159"/>
      <c r="J54" s="158"/>
      <c r="K54" s="159"/>
      <c r="L54" s="144"/>
      <c r="M54" s="143"/>
      <c r="N54" s="142"/>
      <c r="O54" s="143"/>
      <c r="P54" s="142"/>
      <c r="Q54" s="145"/>
      <c r="R54" s="142"/>
      <c r="S54" s="143"/>
      <c r="T54" s="142"/>
      <c r="U54" s="145"/>
      <c r="V54" s="122"/>
      <c r="W54" s="122"/>
    </row>
    <row r="55" spans="1:23" ht="12" customHeight="1">
      <c r="A55" s="122"/>
      <c r="B55" s="135"/>
      <c r="C55" s="134"/>
      <c r="D55" s="146"/>
      <c r="E55" s="147"/>
      <c r="F55" s="146"/>
      <c r="G55" s="147"/>
      <c r="H55" s="146"/>
      <c r="I55" s="147"/>
      <c r="J55" s="146"/>
      <c r="K55" s="147"/>
      <c r="L55" s="146"/>
      <c r="M55" s="147"/>
      <c r="N55" s="146"/>
      <c r="O55" s="147"/>
      <c r="P55" s="146"/>
      <c r="Q55" s="147"/>
      <c r="R55" s="146"/>
      <c r="S55" s="173"/>
      <c r="T55" s="181"/>
      <c r="U55" s="173"/>
      <c r="V55" s="122"/>
      <c r="W55" s="122"/>
    </row>
    <row r="56" spans="1:23" ht="12" customHeight="1">
      <c r="A56" s="122"/>
      <c r="B56" s="198"/>
      <c r="C56" s="138"/>
      <c r="D56" s="152"/>
      <c r="E56" s="153"/>
      <c r="F56" s="152"/>
      <c r="G56" s="153"/>
      <c r="H56" s="152"/>
      <c r="I56" s="153"/>
      <c r="J56" s="152"/>
      <c r="K56" s="153"/>
      <c r="L56" s="152"/>
      <c r="M56" s="153"/>
      <c r="N56" s="152"/>
      <c r="O56" s="153"/>
      <c r="P56" s="152"/>
      <c r="Q56" s="153"/>
      <c r="R56" s="152"/>
      <c r="S56" s="182"/>
      <c r="T56" s="164"/>
      <c r="U56" s="182"/>
      <c r="V56" s="122"/>
      <c r="W56" s="122"/>
    </row>
    <row r="57" spans="1:23" ht="12" customHeight="1">
      <c r="A57" s="122"/>
      <c r="B57" s="198"/>
      <c r="C57" s="138"/>
      <c r="D57" s="152"/>
      <c r="E57" s="153"/>
      <c r="F57" s="152"/>
      <c r="G57" s="153"/>
      <c r="H57" s="152"/>
      <c r="I57" s="153"/>
      <c r="J57" s="152"/>
      <c r="K57" s="153"/>
      <c r="L57" s="152"/>
      <c r="M57" s="153"/>
      <c r="N57" s="152"/>
      <c r="O57" s="153"/>
      <c r="P57" s="152"/>
      <c r="Q57" s="153"/>
      <c r="R57" s="152"/>
      <c r="S57" s="182"/>
      <c r="T57" s="164"/>
      <c r="U57" s="182"/>
      <c r="V57" s="122"/>
      <c r="W57" s="122"/>
    </row>
    <row r="58" spans="1:23" ht="12" customHeight="1">
      <c r="A58" s="122"/>
      <c r="B58" s="198"/>
      <c r="C58" s="153"/>
      <c r="D58" s="152"/>
      <c r="E58" s="153"/>
      <c r="F58" s="152"/>
      <c r="G58" s="153"/>
      <c r="H58" s="152"/>
      <c r="I58" s="153"/>
      <c r="J58" s="152"/>
      <c r="K58" s="153"/>
      <c r="L58" s="152"/>
      <c r="M58" s="153"/>
      <c r="N58" s="152"/>
      <c r="O58" s="153"/>
      <c r="P58" s="152"/>
      <c r="Q58" s="153"/>
      <c r="R58" s="164"/>
      <c r="S58" s="182"/>
      <c r="T58" s="164"/>
      <c r="U58" s="182"/>
      <c r="V58" s="122"/>
      <c r="W58" s="122"/>
    </row>
    <row r="59" spans="1:23" ht="12" customHeight="1" thickBot="1">
      <c r="A59" s="141">
        <v>9</v>
      </c>
      <c r="B59" s="199"/>
      <c r="C59" s="159"/>
      <c r="D59" s="158"/>
      <c r="E59" s="159"/>
      <c r="F59" s="158"/>
      <c r="G59" s="159"/>
      <c r="H59" s="158"/>
      <c r="I59" s="159"/>
      <c r="J59" s="158"/>
      <c r="K59" s="159"/>
      <c r="L59" s="158"/>
      <c r="M59" s="159"/>
      <c r="N59" s="158"/>
      <c r="O59" s="159"/>
      <c r="P59" s="158"/>
      <c r="Q59" s="159"/>
      <c r="R59" s="165"/>
      <c r="S59" s="172"/>
      <c r="T59" s="165"/>
      <c r="U59" s="172"/>
      <c r="V59" s="122"/>
      <c r="W59" s="122"/>
    </row>
    <row r="60" spans="1:23" ht="12" customHeight="1">
      <c r="A60" s="122"/>
      <c r="B60" s="181"/>
      <c r="C60" s="173"/>
      <c r="D60" s="181"/>
      <c r="E60" s="147"/>
      <c r="F60" s="146"/>
      <c r="G60" s="147"/>
      <c r="H60" s="133"/>
      <c r="I60" s="134"/>
      <c r="J60" s="133"/>
      <c r="K60" s="148"/>
      <c r="L60" s="149"/>
      <c r="M60" s="148"/>
      <c r="N60" s="149"/>
      <c r="O60" s="148"/>
      <c r="P60" s="133"/>
      <c r="Q60" s="147"/>
      <c r="R60" s="146"/>
      <c r="S60" s="147"/>
      <c r="T60" s="146"/>
      <c r="U60" s="147"/>
      <c r="V60" s="122"/>
      <c r="W60" s="122"/>
    </row>
    <row r="61" spans="1:23" ht="12" customHeight="1">
      <c r="A61" s="122"/>
      <c r="B61" s="164"/>
      <c r="C61" s="182"/>
      <c r="D61" s="164"/>
      <c r="E61" s="153"/>
      <c r="F61" s="152"/>
      <c r="G61" s="153"/>
      <c r="H61" s="137"/>
      <c r="I61" s="138"/>
      <c r="J61" s="137"/>
      <c r="K61" s="154"/>
      <c r="L61" s="155"/>
      <c r="M61" s="154"/>
      <c r="N61" s="155"/>
      <c r="O61" s="154"/>
      <c r="P61" s="137"/>
      <c r="Q61" s="153"/>
      <c r="R61" s="152"/>
      <c r="S61" s="153"/>
      <c r="T61" s="152"/>
      <c r="U61" s="153"/>
      <c r="V61" s="122"/>
      <c r="W61" s="122"/>
    </row>
    <row r="62" spans="1:23" ht="12" customHeight="1">
      <c r="A62" s="122"/>
      <c r="B62" s="164"/>
      <c r="C62" s="182"/>
      <c r="D62" s="164"/>
      <c r="E62" s="153"/>
      <c r="F62" s="152"/>
      <c r="G62" s="153"/>
      <c r="H62" s="137"/>
      <c r="I62" s="138"/>
      <c r="J62" s="137"/>
      <c r="K62" s="154"/>
      <c r="L62" s="155"/>
      <c r="M62" s="154"/>
      <c r="N62" s="155"/>
      <c r="O62" s="154"/>
      <c r="P62" s="137"/>
      <c r="Q62" s="153"/>
      <c r="R62" s="152"/>
      <c r="S62" s="153"/>
      <c r="T62" s="152"/>
      <c r="U62" s="153"/>
      <c r="V62" s="122"/>
      <c r="W62" s="122"/>
    </row>
    <row r="63" spans="1:23" ht="12" customHeight="1">
      <c r="A63" s="122"/>
      <c r="B63" s="164"/>
      <c r="C63" s="182"/>
      <c r="D63" s="152"/>
      <c r="E63" s="153"/>
      <c r="F63" s="152"/>
      <c r="G63" s="153"/>
      <c r="H63" s="137"/>
      <c r="I63" s="138"/>
      <c r="J63" s="137"/>
      <c r="K63" s="154"/>
      <c r="L63" s="155"/>
      <c r="M63" s="154"/>
      <c r="N63" s="155"/>
      <c r="O63" s="138"/>
      <c r="P63" s="164"/>
      <c r="Q63" s="153"/>
      <c r="R63" s="152"/>
      <c r="S63" s="153"/>
      <c r="T63" s="152"/>
      <c r="U63" s="153"/>
      <c r="V63" s="122"/>
      <c r="W63" s="122"/>
    </row>
    <row r="64" spans="1:23" ht="12" customHeight="1" thickBot="1">
      <c r="A64" s="141">
        <v>10</v>
      </c>
      <c r="B64" s="165"/>
      <c r="C64" s="172"/>
      <c r="D64" s="158"/>
      <c r="E64" s="159"/>
      <c r="F64" s="158"/>
      <c r="G64" s="159"/>
      <c r="H64" s="142"/>
      <c r="I64" s="143"/>
      <c r="J64" s="161"/>
      <c r="K64" s="160"/>
      <c r="L64" s="161"/>
      <c r="M64" s="160"/>
      <c r="N64" s="161"/>
      <c r="O64" s="143"/>
      <c r="P64" s="158"/>
      <c r="Q64" s="159"/>
      <c r="R64" s="158"/>
      <c r="S64" s="159"/>
      <c r="T64" s="158"/>
      <c r="U64" s="159"/>
      <c r="V64" s="122"/>
      <c r="W64" s="122"/>
    </row>
    <row r="65" spans="1:23" ht="12" customHeight="1">
      <c r="A65" s="122"/>
      <c r="B65" s="146"/>
      <c r="C65" s="147"/>
      <c r="D65" s="146"/>
      <c r="E65" s="147"/>
      <c r="F65" s="135"/>
      <c r="G65" s="134"/>
      <c r="H65" s="133"/>
      <c r="I65" s="136"/>
      <c r="J65" s="146"/>
      <c r="K65" s="147"/>
      <c r="L65" s="133"/>
      <c r="M65" s="134"/>
      <c r="N65" s="133"/>
      <c r="O65" s="134"/>
      <c r="P65" s="146"/>
      <c r="Q65" s="134"/>
      <c r="R65" s="135"/>
      <c r="S65" s="173"/>
      <c r="T65" s="181"/>
      <c r="U65" s="173"/>
      <c r="V65" s="122"/>
      <c r="W65" s="122"/>
    </row>
    <row r="66" spans="1:23" ht="12" customHeight="1">
      <c r="A66" s="122"/>
      <c r="B66" s="152"/>
      <c r="C66" s="153"/>
      <c r="D66" s="152"/>
      <c r="E66" s="153"/>
      <c r="F66" s="139"/>
      <c r="G66" s="138"/>
      <c r="H66" s="137"/>
      <c r="I66" s="140"/>
      <c r="J66" s="152"/>
      <c r="K66" s="153"/>
      <c r="L66" s="137"/>
      <c r="M66" s="138"/>
      <c r="N66" s="137"/>
      <c r="O66" s="138"/>
      <c r="P66" s="137"/>
      <c r="Q66" s="138"/>
      <c r="R66" s="139"/>
      <c r="S66" s="182"/>
      <c r="T66" s="164"/>
      <c r="U66" s="182"/>
      <c r="V66" s="122"/>
      <c r="W66" s="122"/>
    </row>
    <row r="67" spans="1:23" ht="12" customHeight="1">
      <c r="A67" s="122"/>
      <c r="B67" s="152"/>
      <c r="C67" s="153"/>
      <c r="D67" s="152"/>
      <c r="E67" s="153"/>
      <c r="F67" s="139"/>
      <c r="G67" s="138"/>
      <c r="H67" s="137"/>
      <c r="I67" s="140"/>
      <c r="J67" s="197"/>
      <c r="K67" s="153"/>
      <c r="L67" s="190"/>
      <c r="M67" s="138"/>
      <c r="N67" s="137"/>
      <c r="O67" s="138"/>
      <c r="P67" s="137"/>
      <c r="Q67" s="140"/>
      <c r="R67" s="164"/>
      <c r="S67" s="182"/>
      <c r="T67" s="164"/>
      <c r="U67" s="182"/>
      <c r="V67" s="122"/>
      <c r="W67" s="122"/>
    </row>
    <row r="68" spans="1:23" ht="12" customHeight="1">
      <c r="A68" s="122"/>
      <c r="B68" s="152"/>
      <c r="C68" s="153"/>
      <c r="D68" s="152"/>
      <c r="E68" s="153"/>
      <c r="F68" s="139"/>
      <c r="G68" s="138"/>
      <c r="H68" s="139"/>
      <c r="I68" s="153"/>
      <c r="J68" s="152"/>
      <c r="K68" s="153"/>
      <c r="L68" s="137"/>
      <c r="M68" s="138"/>
      <c r="N68" s="137"/>
      <c r="O68" s="138"/>
      <c r="P68" s="137"/>
      <c r="Q68" s="140"/>
      <c r="R68" s="164"/>
      <c r="S68" s="182"/>
      <c r="T68" s="164"/>
      <c r="U68" s="182"/>
      <c r="V68" s="122"/>
      <c r="W68" s="122"/>
    </row>
    <row r="69" spans="1:23" ht="12" customHeight="1" thickBot="1">
      <c r="A69" s="141">
        <v>11</v>
      </c>
      <c r="B69" s="158"/>
      <c r="C69" s="159"/>
      <c r="D69" s="158"/>
      <c r="E69" s="145"/>
      <c r="F69" s="142"/>
      <c r="G69" s="143"/>
      <c r="H69" s="144"/>
      <c r="I69" s="159"/>
      <c r="J69" s="152"/>
      <c r="K69" s="143"/>
      <c r="L69" s="137"/>
      <c r="M69" s="143"/>
      <c r="N69" s="142"/>
      <c r="O69" s="159"/>
      <c r="P69" s="142"/>
      <c r="Q69" s="145"/>
      <c r="R69" s="165"/>
      <c r="S69" s="172"/>
      <c r="T69" s="165"/>
      <c r="U69" s="159"/>
      <c r="V69" s="122"/>
      <c r="W69" s="122"/>
    </row>
    <row r="70" spans="1:23" ht="12" customHeight="1">
      <c r="A70" s="122"/>
      <c r="B70" s="146"/>
      <c r="C70" s="147"/>
      <c r="D70" s="146"/>
      <c r="E70" s="147"/>
      <c r="F70" s="146"/>
      <c r="G70" s="134"/>
      <c r="H70" s="135"/>
      <c r="I70" s="173"/>
      <c r="J70" s="181"/>
      <c r="K70" s="173"/>
      <c r="L70" s="181"/>
      <c r="M70" s="147"/>
      <c r="N70" s="146"/>
      <c r="O70" s="147"/>
      <c r="P70" s="146"/>
      <c r="Q70" s="134"/>
      <c r="R70" s="133"/>
      <c r="S70" s="134"/>
      <c r="T70" s="135"/>
      <c r="U70" s="134"/>
      <c r="V70" s="122"/>
      <c r="W70" s="122"/>
    </row>
    <row r="71" spans="1:23" ht="12" customHeight="1">
      <c r="A71" s="122"/>
      <c r="B71" s="152"/>
      <c r="C71" s="153"/>
      <c r="D71" s="152"/>
      <c r="E71" s="153"/>
      <c r="F71" s="152"/>
      <c r="G71" s="138"/>
      <c r="H71" s="139"/>
      <c r="I71" s="182"/>
      <c r="J71" s="164"/>
      <c r="K71" s="182"/>
      <c r="L71" s="164"/>
      <c r="M71" s="153"/>
      <c r="N71" s="152"/>
      <c r="O71" s="153"/>
      <c r="P71" s="152"/>
      <c r="Q71" s="138"/>
      <c r="R71" s="137"/>
      <c r="S71" s="138"/>
      <c r="T71" s="139"/>
      <c r="U71" s="138"/>
      <c r="V71" s="122"/>
      <c r="W71" s="122"/>
    </row>
    <row r="72" spans="1:23" ht="12" customHeight="1">
      <c r="A72" s="122"/>
      <c r="B72" s="152"/>
      <c r="C72" s="153"/>
      <c r="D72" s="152"/>
      <c r="E72" s="153"/>
      <c r="F72" s="152"/>
      <c r="G72" s="138"/>
      <c r="H72" s="139"/>
      <c r="I72" s="182"/>
      <c r="J72" s="164"/>
      <c r="K72" s="182"/>
      <c r="L72" s="164"/>
      <c r="M72" s="153"/>
      <c r="N72" s="152"/>
      <c r="O72" s="153"/>
      <c r="P72" s="152"/>
      <c r="Q72" s="138"/>
      <c r="R72" s="137"/>
      <c r="S72" s="138"/>
      <c r="T72" s="139"/>
      <c r="U72" s="138"/>
      <c r="V72" s="122"/>
      <c r="W72" s="122"/>
    </row>
    <row r="73" spans="1:23" ht="12" customHeight="1">
      <c r="A73" s="122"/>
      <c r="B73" s="152"/>
      <c r="C73" s="153"/>
      <c r="D73" s="152"/>
      <c r="E73" s="153"/>
      <c r="F73" s="152"/>
      <c r="G73" s="140"/>
      <c r="H73" s="164"/>
      <c r="I73" s="182"/>
      <c r="J73" s="164"/>
      <c r="K73" s="182"/>
      <c r="L73" s="185"/>
      <c r="M73" s="153"/>
      <c r="N73" s="152"/>
      <c r="O73" s="153"/>
      <c r="P73" s="152"/>
      <c r="Q73" s="138"/>
      <c r="R73" s="137"/>
      <c r="S73" s="140"/>
      <c r="T73" s="137"/>
      <c r="U73" s="138"/>
      <c r="V73" s="122"/>
      <c r="W73" s="122"/>
    </row>
    <row r="74" spans="1:23" ht="12" customHeight="1" thickBot="1">
      <c r="A74" s="141">
        <v>12</v>
      </c>
      <c r="B74" s="158"/>
      <c r="C74" s="159"/>
      <c r="D74" s="158"/>
      <c r="E74" s="159"/>
      <c r="F74" s="142"/>
      <c r="G74" s="145"/>
      <c r="H74" s="165"/>
      <c r="I74" s="172"/>
      <c r="J74" s="165"/>
      <c r="K74" s="172"/>
      <c r="L74" s="187"/>
      <c r="M74" s="159"/>
      <c r="N74" s="158"/>
      <c r="O74" s="159"/>
      <c r="P74" s="158"/>
      <c r="Q74" s="143"/>
      <c r="R74" s="142"/>
      <c r="S74" s="145"/>
      <c r="T74" s="142"/>
      <c r="U74" s="143"/>
      <c r="V74" s="122"/>
      <c r="W74" s="122"/>
    </row>
    <row r="75" spans="1:23" ht="12" customHeight="1">
      <c r="A75" s="122"/>
      <c r="B75" s="133"/>
      <c r="C75" s="134"/>
      <c r="D75" s="133"/>
      <c r="E75" s="134"/>
      <c r="F75" s="184"/>
      <c r="G75" s="134"/>
      <c r="H75" s="133"/>
      <c r="I75" s="134"/>
      <c r="J75" s="133"/>
      <c r="K75" s="136"/>
      <c r="L75" s="133"/>
      <c r="M75" s="134"/>
      <c r="N75" s="146"/>
      <c r="O75" s="147"/>
      <c r="P75" s="146"/>
      <c r="Q75" s="147"/>
      <c r="R75" s="146"/>
      <c r="S75" s="147"/>
      <c r="T75" s="146"/>
      <c r="U75" s="147"/>
      <c r="V75" s="122"/>
      <c r="W75" s="122"/>
    </row>
    <row r="76" spans="1:23" ht="12" customHeight="1">
      <c r="A76" s="122"/>
      <c r="B76" s="137"/>
      <c r="C76" s="138"/>
      <c r="D76" s="137"/>
      <c r="E76" s="138"/>
      <c r="F76" s="185"/>
      <c r="G76" s="138"/>
      <c r="H76" s="137"/>
      <c r="I76" s="138"/>
      <c r="J76" s="137"/>
      <c r="K76" s="140"/>
      <c r="L76" s="137"/>
      <c r="M76" s="138"/>
      <c r="N76" s="152"/>
      <c r="O76" s="153"/>
      <c r="P76" s="152"/>
      <c r="Q76" s="153"/>
      <c r="R76" s="152"/>
      <c r="S76" s="153"/>
      <c r="T76" s="152"/>
      <c r="U76" s="153"/>
      <c r="V76" s="122"/>
      <c r="W76" s="122"/>
    </row>
    <row r="77" spans="1:23" ht="12" customHeight="1">
      <c r="A77" s="122"/>
      <c r="B77" s="137"/>
      <c r="C77" s="138"/>
      <c r="D77" s="137"/>
      <c r="E77" s="138"/>
      <c r="F77" s="185"/>
      <c r="G77" s="138"/>
      <c r="H77" s="137"/>
      <c r="I77" s="138"/>
      <c r="J77" s="137"/>
      <c r="K77" s="140"/>
      <c r="L77" s="137"/>
      <c r="M77" s="138"/>
      <c r="N77" s="152"/>
      <c r="O77" s="153"/>
      <c r="P77" s="152"/>
      <c r="Q77" s="153"/>
      <c r="R77" s="152"/>
      <c r="S77" s="153"/>
      <c r="T77" s="152"/>
      <c r="U77" s="153"/>
      <c r="V77" s="122"/>
      <c r="W77" s="122"/>
    </row>
    <row r="78" spans="1:23" ht="12" customHeight="1">
      <c r="A78" s="122"/>
      <c r="B78" s="137"/>
      <c r="C78" s="138"/>
      <c r="D78" s="137"/>
      <c r="E78" s="138"/>
      <c r="F78" s="185"/>
      <c r="G78" s="138"/>
      <c r="H78" s="137"/>
      <c r="I78" s="138"/>
      <c r="J78" s="137"/>
      <c r="K78" s="140"/>
      <c r="L78" s="137"/>
      <c r="M78" s="138"/>
      <c r="N78" s="152"/>
      <c r="O78" s="153"/>
      <c r="P78" s="152"/>
      <c r="Q78" s="153"/>
      <c r="R78" s="152"/>
      <c r="S78" s="153"/>
      <c r="T78" s="152"/>
      <c r="U78" s="153"/>
      <c r="V78" s="122"/>
      <c r="W78" s="122"/>
    </row>
    <row r="79" spans="1:23" ht="12" customHeight="1" thickBot="1">
      <c r="A79" s="141">
        <v>13</v>
      </c>
      <c r="B79" s="142"/>
      <c r="C79" s="143"/>
      <c r="D79" s="142"/>
      <c r="E79" s="188"/>
      <c r="F79" s="142"/>
      <c r="G79" s="143"/>
      <c r="H79" s="142"/>
      <c r="I79" s="143"/>
      <c r="J79" s="142"/>
      <c r="K79" s="145"/>
      <c r="L79" s="142"/>
      <c r="M79" s="143"/>
      <c r="N79" s="158"/>
      <c r="O79" s="159"/>
      <c r="P79" s="158"/>
      <c r="Q79" s="159"/>
      <c r="R79" s="158"/>
      <c r="S79" s="159"/>
      <c r="T79" s="158"/>
      <c r="U79" s="159"/>
      <c r="V79" s="122"/>
      <c r="W79" s="122"/>
    </row>
    <row r="80" spans="1:23" ht="12" customHeight="1">
      <c r="A80" s="122"/>
      <c r="B80" s="146"/>
      <c r="C80" s="147"/>
      <c r="D80" s="146"/>
      <c r="E80" s="147"/>
      <c r="F80" s="184"/>
      <c r="G80" s="183"/>
      <c r="H80" s="184"/>
      <c r="I80" s="183"/>
      <c r="J80" s="184"/>
      <c r="K80" s="183"/>
      <c r="L80" s="184"/>
      <c r="M80" s="183"/>
      <c r="N80" s="184"/>
      <c r="O80" s="147"/>
      <c r="P80" s="146"/>
      <c r="Q80" s="136"/>
      <c r="R80" s="133"/>
      <c r="S80" s="134"/>
      <c r="T80" s="135"/>
      <c r="U80" s="147"/>
      <c r="V80" s="122"/>
      <c r="W80" s="122"/>
    </row>
    <row r="81" spans="1:23" ht="12" customHeight="1">
      <c r="A81" s="122"/>
      <c r="B81" s="152"/>
      <c r="C81" s="153"/>
      <c r="D81" s="152"/>
      <c r="E81" s="156"/>
      <c r="F81" s="185"/>
      <c r="G81" s="186"/>
      <c r="H81" s="185"/>
      <c r="I81" s="186"/>
      <c r="J81" s="185"/>
      <c r="K81" s="186"/>
      <c r="L81" s="185"/>
      <c r="M81" s="186"/>
      <c r="N81" s="185"/>
      <c r="O81" s="153"/>
      <c r="P81" s="137"/>
      <c r="Q81" s="140"/>
      <c r="R81" s="137"/>
      <c r="S81" s="138"/>
      <c r="T81" s="139"/>
      <c r="U81" s="153"/>
      <c r="V81" s="122"/>
      <c r="W81" s="122"/>
    </row>
    <row r="82" spans="1:23" ht="12" customHeight="1">
      <c r="A82" s="122"/>
      <c r="B82" s="152"/>
      <c r="C82" s="153"/>
      <c r="D82" s="152"/>
      <c r="E82" s="156"/>
      <c r="F82" s="185"/>
      <c r="G82" s="186"/>
      <c r="H82" s="185"/>
      <c r="I82" s="186"/>
      <c r="J82" s="185"/>
      <c r="K82" s="186"/>
      <c r="L82" s="185"/>
      <c r="M82" s="186"/>
      <c r="N82" s="152"/>
      <c r="O82" s="153"/>
      <c r="P82" s="137"/>
      <c r="Q82" s="140"/>
      <c r="R82" s="137"/>
      <c r="S82" s="140"/>
      <c r="T82" s="137"/>
      <c r="U82" s="153"/>
      <c r="V82" s="122"/>
      <c r="W82" s="122"/>
    </row>
    <row r="83" spans="1:23" ht="12" customHeight="1">
      <c r="A83" s="122"/>
      <c r="B83" s="152"/>
      <c r="C83" s="153"/>
      <c r="D83" s="152"/>
      <c r="E83" s="186"/>
      <c r="F83" s="185"/>
      <c r="G83" s="186"/>
      <c r="H83" s="185"/>
      <c r="I83" s="186"/>
      <c r="J83" s="185"/>
      <c r="K83" s="186"/>
      <c r="L83" s="185"/>
      <c r="M83" s="186"/>
      <c r="N83" s="152"/>
      <c r="O83" s="153"/>
      <c r="P83" s="137"/>
      <c r="Q83" s="140"/>
      <c r="R83" s="137"/>
      <c r="S83" s="140"/>
      <c r="T83" s="137"/>
      <c r="U83" s="153"/>
      <c r="V83" s="122"/>
      <c r="W83" s="122"/>
    </row>
    <row r="84" spans="1:23" ht="12" customHeight="1" thickBot="1">
      <c r="A84" s="141">
        <v>14</v>
      </c>
      <c r="B84" s="158"/>
      <c r="C84" s="159"/>
      <c r="D84" s="158"/>
      <c r="E84" s="188"/>
      <c r="F84" s="187"/>
      <c r="G84" s="188"/>
      <c r="H84" s="187"/>
      <c r="I84" s="188"/>
      <c r="J84" s="187"/>
      <c r="K84" s="188"/>
      <c r="L84" s="187"/>
      <c r="M84" s="188"/>
      <c r="N84" s="158"/>
      <c r="O84" s="159"/>
      <c r="P84" s="142"/>
      <c r="Q84" s="145"/>
      <c r="R84" s="137"/>
      <c r="S84" s="145"/>
      <c r="T84" s="158"/>
      <c r="U84" s="159"/>
      <c r="V84" s="122"/>
      <c r="W84" s="122"/>
    </row>
    <row r="85" spans="1:23" ht="12" customHeight="1">
      <c r="A85" s="122"/>
      <c r="B85" s="146"/>
      <c r="C85" s="147"/>
      <c r="D85" s="146"/>
      <c r="E85" s="173"/>
      <c r="F85" s="181"/>
      <c r="G85" s="134"/>
      <c r="H85" s="133"/>
      <c r="I85" s="150"/>
      <c r="J85" s="151"/>
      <c r="K85" s="134"/>
      <c r="L85" s="133"/>
      <c r="M85" s="183"/>
      <c r="N85" s="184"/>
      <c r="O85" s="183"/>
      <c r="P85" s="184"/>
      <c r="Q85" s="183"/>
      <c r="R85" s="184"/>
      <c r="S85" s="183"/>
      <c r="T85" s="184"/>
      <c r="U85" s="147"/>
      <c r="V85" s="122"/>
      <c r="W85" s="122"/>
    </row>
    <row r="86" spans="1:23" ht="12" customHeight="1">
      <c r="A86" s="122"/>
      <c r="B86" s="152"/>
      <c r="C86" s="153"/>
      <c r="D86" s="164"/>
      <c r="E86" s="182"/>
      <c r="F86" s="164"/>
      <c r="G86" s="138"/>
      <c r="H86" s="157"/>
      <c r="I86" s="156"/>
      <c r="J86" s="157"/>
      <c r="K86" s="138"/>
      <c r="L86" s="137"/>
      <c r="M86" s="186"/>
      <c r="N86" s="185"/>
      <c r="O86" s="186"/>
      <c r="P86" s="185"/>
      <c r="Q86" s="186"/>
      <c r="R86" s="185"/>
      <c r="S86" s="186"/>
      <c r="T86" s="185"/>
      <c r="U86" s="153"/>
      <c r="V86" s="122"/>
      <c r="W86" s="122"/>
    </row>
    <row r="87" spans="1:23" ht="12" customHeight="1">
      <c r="A87" s="122"/>
      <c r="B87" s="152"/>
      <c r="C87" s="153"/>
      <c r="D87" s="164"/>
      <c r="E87" s="182"/>
      <c r="F87" s="164"/>
      <c r="G87" s="138"/>
      <c r="H87" s="157"/>
      <c r="I87" s="156"/>
      <c r="J87" s="157"/>
      <c r="K87" s="138"/>
      <c r="L87" s="137"/>
      <c r="M87" s="186"/>
      <c r="N87" s="185"/>
      <c r="O87" s="186"/>
      <c r="P87" s="185"/>
      <c r="Q87" s="186"/>
      <c r="R87" s="185"/>
      <c r="S87" s="186"/>
      <c r="T87" s="152"/>
      <c r="U87" s="153"/>
      <c r="V87" s="122"/>
      <c r="W87" s="122"/>
    </row>
    <row r="88" spans="1:23" ht="12" customHeight="1">
      <c r="A88" s="122"/>
      <c r="B88" s="152"/>
      <c r="C88" s="153"/>
      <c r="D88" s="164"/>
      <c r="E88" s="182"/>
      <c r="F88" s="164"/>
      <c r="G88" s="138"/>
      <c r="H88" s="157"/>
      <c r="I88" s="156"/>
      <c r="J88" s="157"/>
      <c r="K88" s="138"/>
      <c r="L88" s="185"/>
      <c r="M88" s="186"/>
      <c r="N88" s="185"/>
      <c r="O88" s="186"/>
      <c r="P88" s="185"/>
      <c r="Q88" s="186"/>
      <c r="R88" s="185"/>
      <c r="S88" s="186"/>
      <c r="T88" s="152"/>
      <c r="U88" s="153"/>
      <c r="V88" s="122"/>
      <c r="W88" s="122"/>
    </row>
    <row r="89" spans="1:23" ht="12" customHeight="1" thickBot="1">
      <c r="A89" s="141">
        <v>15</v>
      </c>
      <c r="B89" s="158"/>
      <c r="C89" s="159"/>
      <c r="D89" s="165"/>
      <c r="E89" s="172"/>
      <c r="F89" s="165"/>
      <c r="G89" s="143"/>
      <c r="H89" s="163"/>
      <c r="I89" s="162"/>
      <c r="J89" s="142"/>
      <c r="K89" s="143"/>
      <c r="L89" s="187"/>
      <c r="M89" s="188"/>
      <c r="N89" s="187"/>
      <c r="O89" s="188"/>
      <c r="P89" s="187"/>
      <c r="Q89" s="188"/>
      <c r="R89" s="187"/>
      <c r="S89" s="188"/>
      <c r="T89" s="158"/>
      <c r="U89" s="143"/>
      <c r="V89" s="122"/>
      <c r="W89" s="122"/>
    </row>
    <row r="90" spans="1:23" ht="12" customHeight="1">
      <c r="A90" s="122"/>
      <c r="B90" s="133"/>
      <c r="C90" s="136"/>
      <c r="D90" s="133"/>
      <c r="E90" s="134"/>
      <c r="F90" s="135"/>
      <c r="G90" s="134"/>
      <c r="H90" s="133"/>
      <c r="I90" s="134"/>
      <c r="J90" s="184"/>
      <c r="K90" s="183"/>
      <c r="L90" s="184"/>
      <c r="M90" s="183"/>
      <c r="N90" s="184"/>
      <c r="O90" s="183"/>
      <c r="P90" s="184"/>
      <c r="Q90" s="183"/>
      <c r="R90" s="135"/>
      <c r="S90" s="134"/>
      <c r="T90" s="133"/>
      <c r="U90" s="134"/>
      <c r="V90" s="122"/>
      <c r="W90" s="122"/>
    </row>
    <row r="91" spans="1:23" ht="12" customHeight="1">
      <c r="A91" s="122"/>
      <c r="B91" s="137"/>
      <c r="C91" s="140"/>
      <c r="D91" s="137"/>
      <c r="E91" s="138"/>
      <c r="F91" s="139"/>
      <c r="G91" s="138"/>
      <c r="H91" s="137"/>
      <c r="I91" s="138"/>
      <c r="J91" s="185"/>
      <c r="K91" s="186"/>
      <c r="L91" s="185"/>
      <c r="M91" s="186"/>
      <c r="N91" s="185"/>
      <c r="O91" s="186"/>
      <c r="P91" s="185"/>
      <c r="Q91" s="186"/>
      <c r="R91" s="139"/>
      <c r="S91" s="138"/>
      <c r="T91" s="137"/>
      <c r="U91" s="138"/>
      <c r="V91" s="122"/>
      <c r="W91" s="122"/>
    </row>
    <row r="92" spans="1:23" ht="12" customHeight="1">
      <c r="A92" s="122"/>
      <c r="B92" s="137"/>
      <c r="C92" s="140"/>
      <c r="D92" s="137"/>
      <c r="E92" s="140"/>
      <c r="F92" s="137"/>
      <c r="G92" s="138"/>
      <c r="H92" s="137"/>
      <c r="I92" s="186"/>
      <c r="J92" s="196"/>
      <c r="K92" s="186"/>
      <c r="L92" s="196"/>
      <c r="M92" s="186"/>
      <c r="N92" s="185"/>
      <c r="O92" s="186"/>
      <c r="P92" s="185"/>
      <c r="Q92" s="186"/>
      <c r="R92" s="139"/>
      <c r="S92" s="138"/>
      <c r="T92" s="137"/>
      <c r="U92" s="138"/>
      <c r="V92" s="122"/>
      <c r="W92" s="122"/>
    </row>
    <row r="93" spans="1:23" ht="12" customHeight="1">
      <c r="A93" s="122"/>
      <c r="B93" s="139"/>
      <c r="C93" s="138"/>
      <c r="D93" s="137"/>
      <c r="E93" s="140"/>
      <c r="F93" s="137"/>
      <c r="G93" s="138"/>
      <c r="H93" s="137"/>
      <c r="I93" s="186"/>
      <c r="J93" s="185"/>
      <c r="K93" s="186"/>
      <c r="L93" s="185"/>
      <c r="M93" s="186"/>
      <c r="N93" s="185"/>
      <c r="O93" s="186"/>
      <c r="P93" s="185"/>
      <c r="Q93" s="186"/>
      <c r="R93" s="139"/>
      <c r="S93" s="138"/>
      <c r="T93" s="137"/>
      <c r="U93" s="138"/>
      <c r="V93" s="122"/>
      <c r="W93" s="122"/>
    </row>
    <row r="94" spans="1:23" ht="12" customHeight="1" thickBot="1">
      <c r="A94" s="141">
        <v>16</v>
      </c>
      <c r="B94" s="144"/>
      <c r="C94" s="143"/>
      <c r="D94" s="142"/>
      <c r="E94" s="145"/>
      <c r="F94" s="142"/>
      <c r="G94" s="143"/>
      <c r="H94" s="142"/>
      <c r="I94" s="188"/>
      <c r="J94" s="185"/>
      <c r="K94" s="188"/>
      <c r="L94" s="185"/>
      <c r="M94" s="188"/>
      <c r="N94" s="187"/>
      <c r="O94" s="188"/>
      <c r="P94" s="187"/>
      <c r="Q94" s="188"/>
      <c r="R94" s="144"/>
      <c r="S94" s="143"/>
      <c r="T94" s="142"/>
      <c r="U94" s="143"/>
      <c r="V94" s="122"/>
      <c r="W94" s="122"/>
    </row>
    <row r="95" spans="1:23" ht="12" customHeight="1">
      <c r="A95" s="122"/>
      <c r="B95" s="133"/>
      <c r="C95" s="134"/>
      <c r="D95" s="151"/>
      <c r="E95" s="150"/>
      <c r="F95" s="151"/>
      <c r="G95" s="150"/>
      <c r="H95" s="135"/>
      <c r="I95" s="134"/>
      <c r="J95" s="133"/>
      <c r="K95" s="134"/>
      <c r="L95" s="135"/>
      <c r="M95" s="147"/>
      <c r="N95" s="146"/>
      <c r="O95" s="147"/>
      <c r="P95" s="146"/>
      <c r="Q95" s="147"/>
      <c r="R95" s="146"/>
      <c r="S95" s="173"/>
      <c r="T95" s="133"/>
      <c r="U95" s="134"/>
      <c r="V95" s="122"/>
      <c r="W95" s="122"/>
    </row>
    <row r="96" spans="1:23" ht="12" customHeight="1">
      <c r="A96" s="122"/>
      <c r="B96" s="137"/>
      <c r="C96" s="138"/>
      <c r="D96" s="157"/>
      <c r="E96" s="156"/>
      <c r="F96" s="157"/>
      <c r="G96" s="156"/>
      <c r="H96" s="139"/>
      <c r="I96" s="138"/>
      <c r="J96" s="137"/>
      <c r="K96" s="138"/>
      <c r="L96" s="139"/>
      <c r="M96" s="153"/>
      <c r="N96" s="152"/>
      <c r="O96" s="153"/>
      <c r="P96" s="152"/>
      <c r="Q96" s="153"/>
      <c r="R96" s="152"/>
      <c r="S96" s="182"/>
      <c r="T96" s="137"/>
      <c r="U96" s="138"/>
      <c r="V96" s="122"/>
      <c r="W96" s="122"/>
    </row>
    <row r="97" spans="1:23" ht="12" customHeight="1">
      <c r="A97" s="122"/>
      <c r="B97" s="137"/>
      <c r="C97" s="138"/>
      <c r="D97" s="157"/>
      <c r="E97" s="156"/>
      <c r="F97" s="157"/>
      <c r="G97" s="140"/>
      <c r="H97" s="137"/>
      <c r="I97" s="138"/>
      <c r="J97" s="137"/>
      <c r="K97" s="138"/>
      <c r="L97" s="139"/>
      <c r="M97" s="153"/>
      <c r="N97" s="152"/>
      <c r="O97" s="153"/>
      <c r="P97" s="152"/>
      <c r="Q97" s="153"/>
      <c r="R97" s="152"/>
      <c r="S97" s="182"/>
      <c r="T97" s="137"/>
      <c r="U97" s="138"/>
      <c r="V97" s="122"/>
      <c r="W97" s="122"/>
    </row>
    <row r="98" spans="1:23" ht="12" customHeight="1">
      <c r="A98" s="122"/>
      <c r="B98" s="137"/>
      <c r="C98" s="156"/>
      <c r="D98" s="157"/>
      <c r="E98" s="156"/>
      <c r="F98" s="157"/>
      <c r="G98" s="140"/>
      <c r="H98" s="137"/>
      <c r="I98" s="138"/>
      <c r="J98" s="137"/>
      <c r="K98" s="138"/>
      <c r="L98" s="139"/>
      <c r="M98" s="153"/>
      <c r="N98" s="152"/>
      <c r="O98" s="153"/>
      <c r="P98" s="152"/>
      <c r="Q98" s="153"/>
      <c r="R98" s="152"/>
      <c r="S98" s="182"/>
      <c r="T98" s="137"/>
      <c r="U98" s="138"/>
      <c r="V98" s="122"/>
      <c r="W98" s="122"/>
    </row>
    <row r="99" spans="1:23" ht="12" customHeight="1" thickBot="1">
      <c r="A99" s="141">
        <v>17</v>
      </c>
      <c r="B99" s="142"/>
      <c r="C99" s="162"/>
      <c r="D99" s="163"/>
      <c r="E99" s="162"/>
      <c r="F99" s="163"/>
      <c r="G99" s="145"/>
      <c r="H99" s="142"/>
      <c r="I99" s="143"/>
      <c r="J99" s="142"/>
      <c r="K99" s="143"/>
      <c r="L99" s="144"/>
      <c r="M99" s="159"/>
      <c r="N99" s="158"/>
      <c r="O99" s="159"/>
      <c r="P99" s="158"/>
      <c r="Q99" s="159"/>
      <c r="R99" s="165"/>
      <c r="S99" s="143"/>
      <c r="T99" s="142"/>
      <c r="U99" s="170"/>
      <c r="V99" s="122"/>
      <c r="W99" s="122"/>
    </row>
    <row r="100" spans="1:23" ht="12" customHeight="1">
      <c r="A100" s="122"/>
      <c r="B100" s="167"/>
      <c r="C100" s="166"/>
      <c r="D100" s="167"/>
      <c r="E100" s="134"/>
      <c r="F100" s="133"/>
      <c r="G100" s="136"/>
      <c r="H100" s="133"/>
      <c r="I100" s="134"/>
      <c r="J100" s="146"/>
      <c r="K100" s="147"/>
      <c r="L100" s="146"/>
      <c r="M100" s="147"/>
      <c r="N100" s="146"/>
      <c r="O100" s="136"/>
      <c r="P100" s="133"/>
      <c r="Q100" s="147"/>
      <c r="R100" s="146"/>
      <c r="S100" s="147"/>
      <c r="T100" s="146"/>
      <c r="U100" s="147"/>
      <c r="V100" s="122"/>
      <c r="W100" s="122"/>
    </row>
    <row r="101" spans="1:23" ht="12" customHeight="1">
      <c r="A101" s="122"/>
      <c r="B101" s="169"/>
      <c r="C101" s="168"/>
      <c r="D101" s="169"/>
      <c r="E101" s="138"/>
      <c r="F101" s="137"/>
      <c r="G101" s="140"/>
      <c r="H101" s="137"/>
      <c r="I101" s="138"/>
      <c r="J101" s="152"/>
      <c r="K101" s="153"/>
      <c r="L101" s="152"/>
      <c r="M101" s="153"/>
      <c r="N101" s="152"/>
      <c r="O101" s="140"/>
      <c r="P101" s="152"/>
      <c r="Q101" s="153"/>
      <c r="R101" s="152"/>
      <c r="S101" s="153"/>
      <c r="T101" s="152"/>
      <c r="U101" s="153"/>
      <c r="V101" s="122"/>
      <c r="W101" s="122"/>
    </row>
    <row r="102" spans="1:23" ht="12" customHeight="1">
      <c r="A102" s="122"/>
      <c r="B102" s="169"/>
      <c r="C102" s="168"/>
      <c r="D102" s="169"/>
      <c r="E102" s="138"/>
      <c r="F102" s="139"/>
      <c r="G102" s="138"/>
      <c r="H102" s="137"/>
      <c r="I102" s="138"/>
      <c r="J102" s="152"/>
      <c r="K102" s="153"/>
      <c r="L102" s="152"/>
      <c r="M102" s="153"/>
      <c r="N102" s="152"/>
      <c r="O102" s="140"/>
      <c r="P102" s="152"/>
      <c r="Q102" s="153"/>
      <c r="R102" s="152"/>
      <c r="S102" s="153"/>
      <c r="T102" s="152"/>
      <c r="U102" s="153"/>
      <c r="V102" s="122"/>
      <c r="W102" s="122"/>
    </row>
    <row r="103" spans="1:23" ht="12" customHeight="1">
      <c r="A103" s="122"/>
      <c r="B103" s="169"/>
      <c r="C103" s="168"/>
      <c r="D103" s="169"/>
      <c r="E103" s="138"/>
      <c r="F103" s="139"/>
      <c r="G103" s="138"/>
      <c r="H103" s="137"/>
      <c r="I103" s="153"/>
      <c r="J103" s="152"/>
      <c r="K103" s="153"/>
      <c r="L103" s="152"/>
      <c r="M103" s="153"/>
      <c r="N103" s="152"/>
      <c r="O103" s="140"/>
      <c r="P103" s="152"/>
      <c r="Q103" s="153"/>
      <c r="R103" s="152"/>
      <c r="S103" s="153"/>
      <c r="T103" s="152"/>
      <c r="U103" s="153"/>
      <c r="V103" s="122"/>
      <c r="W103" s="122"/>
    </row>
    <row r="104" spans="1:23" ht="12" customHeight="1" thickBot="1">
      <c r="A104" s="141">
        <v>18</v>
      </c>
      <c r="B104" s="171"/>
      <c r="C104" s="170"/>
      <c r="D104" s="171"/>
      <c r="E104" s="143"/>
      <c r="F104" s="144"/>
      <c r="G104" s="143"/>
      <c r="H104" s="142"/>
      <c r="I104" s="159"/>
      <c r="J104" s="158"/>
      <c r="K104" s="159"/>
      <c r="L104" s="158"/>
      <c r="M104" s="159"/>
      <c r="N104" s="144"/>
      <c r="O104" s="143"/>
      <c r="P104" s="158"/>
      <c r="Q104" s="159"/>
      <c r="R104" s="158"/>
      <c r="S104" s="159"/>
      <c r="T104" s="158"/>
      <c r="U104" s="159"/>
      <c r="V104" s="122"/>
      <c r="W104" s="122"/>
    </row>
    <row r="105" spans="1:23" ht="12" customHeight="1">
      <c r="A105" s="122"/>
      <c r="B105" s="146"/>
      <c r="C105" s="147"/>
      <c r="D105" s="151"/>
      <c r="E105" s="150"/>
      <c r="F105" s="151"/>
      <c r="G105" s="173"/>
      <c r="H105" s="181"/>
      <c r="I105" s="173"/>
      <c r="J105" s="181"/>
      <c r="K105" s="173"/>
      <c r="L105" s="181"/>
      <c r="M105" s="134"/>
      <c r="N105" s="133"/>
      <c r="O105" s="134"/>
      <c r="P105" s="133"/>
      <c r="Q105" s="136"/>
      <c r="R105" s="135"/>
      <c r="S105" s="134"/>
      <c r="T105" s="146"/>
      <c r="U105" s="134"/>
      <c r="V105" s="122"/>
      <c r="W105" s="122"/>
    </row>
    <row r="106" spans="1:23" ht="12" customHeight="1">
      <c r="A106" s="122"/>
      <c r="B106" s="152"/>
      <c r="C106" s="153"/>
      <c r="D106" s="157"/>
      <c r="E106" s="156"/>
      <c r="F106" s="157"/>
      <c r="G106" s="182"/>
      <c r="H106" s="164"/>
      <c r="I106" s="182"/>
      <c r="J106" s="164"/>
      <c r="K106" s="182"/>
      <c r="L106" s="164"/>
      <c r="M106" s="138"/>
      <c r="N106" s="137"/>
      <c r="O106" s="138"/>
      <c r="P106" s="137"/>
      <c r="Q106" s="140"/>
      <c r="R106" s="139"/>
      <c r="S106" s="138"/>
      <c r="T106" s="152"/>
      <c r="U106" s="138"/>
      <c r="V106" s="122"/>
      <c r="W106" s="122"/>
    </row>
    <row r="107" spans="1:23" ht="12" customHeight="1">
      <c r="A107" s="122"/>
      <c r="B107" s="152"/>
      <c r="C107" s="156"/>
      <c r="D107" s="157"/>
      <c r="E107" s="156"/>
      <c r="F107" s="157"/>
      <c r="G107" s="182"/>
      <c r="H107" s="164"/>
      <c r="I107" s="182"/>
      <c r="J107" s="164"/>
      <c r="K107" s="182"/>
      <c r="L107" s="137"/>
      <c r="M107" s="138"/>
      <c r="N107" s="137"/>
      <c r="O107" s="138"/>
      <c r="P107" s="139"/>
      <c r="Q107" s="140"/>
      <c r="R107" s="137"/>
      <c r="S107" s="153"/>
      <c r="T107" s="152"/>
      <c r="U107" s="138"/>
      <c r="V107" s="122"/>
      <c r="W107" s="122"/>
    </row>
    <row r="108" spans="1:23" ht="12" customHeight="1">
      <c r="A108" s="122"/>
      <c r="B108" s="152"/>
      <c r="C108" s="156"/>
      <c r="D108" s="157"/>
      <c r="E108" s="156"/>
      <c r="F108" s="164"/>
      <c r="G108" s="182"/>
      <c r="H108" s="164"/>
      <c r="I108" s="182"/>
      <c r="J108" s="164"/>
      <c r="K108" s="182"/>
      <c r="L108" s="137"/>
      <c r="M108" s="138"/>
      <c r="N108" s="137"/>
      <c r="O108" s="138"/>
      <c r="P108" s="139"/>
      <c r="Q108" s="140"/>
      <c r="R108" s="137"/>
      <c r="S108" s="153"/>
      <c r="T108" s="152"/>
      <c r="U108" s="138"/>
      <c r="V108" s="122"/>
      <c r="W108" s="122"/>
    </row>
    <row r="109" spans="1:23" ht="12" customHeight="1" thickBot="1">
      <c r="A109" s="141">
        <v>19</v>
      </c>
      <c r="B109" s="158"/>
      <c r="C109" s="162"/>
      <c r="D109" s="163"/>
      <c r="E109" s="162"/>
      <c r="F109" s="165"/>
      <c r="G109" s="172"/>
      <c r="H109" s="165"/>
      <c r="I109" s="172"/>
      <c r="J109" s="165"/>
      <c r="K109" s="172"/>
      <c r="L109" s="142"/>
      <c r="M109" s="143"/>
      <c r="N109" s="142"/>
      <c r="O109" s="143"/>
      <c r="P109" s="144"/>
      <c r="Q109" s="145"/>
      <c r="R109" s="137"/>
      <c r="S109" s="159"/>
      <c r="T109" s="158"/>
      <c r="U109" s="143"/>
      <c r="V109" s="122"/>
      <c r="W109" s="122"/>
    </row>
    <row r="110" spans="1:23" ht="12" customHeight="1">
      <c r="A110" s="122"/>
      <c r="B110" s="133"/>
      <c r="C110" s="134"/>
      <c r="D110" s="133"/>
      <c r="E110" s="134"/>
      <c r="F110" s="135"/>
      <c r="G110" s="148"/>
      <c r="H110" s="149"/>
      <c r="I110" s="183"/>
      <c r="J110" s="184"/>
      <c r="K110" s="183"/>
      <c r="L110" s="184"/>
      <c r="M110" s="183"/>
      <c r="N110" s="184"/>
      <c r="O110" s="183"/>
      <c r="P110" s="184"/>
      <c r="Q110" s="183"/>
      <c r="R110" s="184"/>
      <c r="S110" s="147"/>
      <c r="T110" s="146"/>
      <c r="U110" s="166"/>
      <c r="V110" s="122"/>
      <c r="W110" s="122"/>
    </row>
    <row r="111" spans="1:23" ht="12" customHeight="1">
      <c r="A111" s="122"/>
      <c r="B111" s="137"/>
      <c r="C111" s="138"/>
      <c r="D111" s="137"/>
      <c r="E111" s="138"/>
      <c r="F111" s="139"/>
      <c r="G111" s="154"/>
      <c r="H111" s="185"/>
      <c r="I111" s="186"/>
      <c r="J111" s="185"/>
      <c r="K111" s="186"/>
      <c r="L111" s="185"/>
      <c r="M111" s="186"/>
      <c r="N111" s="185"/>
      <c r="O111" s="186"/>
      <c r="P111" s="185"/>
      <c r="Q111" s="186"/>
      <c r="R111" s="185"/>
      <c r="S111" s="153"/>
      <c r="T111" s="152"/>
      <c r="U111" s="168"/>
      <c r="V111" s="122"/>
      <c r="W111" s="122"/>
    </row>
    <row r="112" spans="1:23" ht="12" customHeight="1">
      <c r="A112" s="122"/>
      <c r="B112" s="137"/>
      <c r="C112" s="138"/>
      <c r="D112" s="137"/>
      <c r="E112" s="140"/>
      <c r="F112" s="155"/>
      <c r="G112" s="154"/>
      <c r="H112" s="185"/>
      <c r="I112" s="186"/>
      <c r="J112" s="185"/>
      <c r="K112" s="186"/>
      <c r="L112" s="185"/>
      <c r="M112" s="186"/>
      <c r="N112" s="185"/>
      <c r="O112" s="186"/>
      <c r="P112" s="185"/>
      <c r="Q112" s="186"/>
      <c r="R112" s="185"/>
      <c r="S112" s="153"/>
      <c r="T112" s="169"/>
      <c r="U112" s="168"/>
      <c r="V112" s="122"/>
      <c r="W112" s="122"/>
    </row>
    <row r="113" spans="1:23" ht="12" customHeight="1">
      <c r="A113" s="122"/>
      <c r="B113" s="137"/>
      <c r="C113" s="138"/>
      <c r="D113" s="137"/>
      <c r="E113" s="140"/>
      <c r="F113" s="155"/>
      <c r="G113" s="154"/>
      <c r="H113" s="185"/>
      <c r="I113" s="186"/>
      <c r="J113" s="185"/>
      <c r="K113" s="186"/>
      <c r="L113" s="185"/>
      <c r="M113" s="186"/>
      <c r="N113" s="185"/>
      <c r="O113" s="186"/>
      <c r="P113" s="185"/>
      <c r="Q113" s="186"/>
      <c r="R113" s="152"/>
      <c r="S113" s="153"/>
      <c r="T113" s="169"/>
      <c r="U113" s="168"/>
      <c r="V113" s="122"/>
      <c r="W113" s="122"/>
    </row>
    <row r="114" spans="1:23" ht="12" customHeight="1" thickBot="1">
      <c r="A114" s="141">
        <v>20</v>
      </c>
      <c r="B114" s="142"/>
      <c r="C114" s="143"/>
      <c r="D114" s="142"/>
      <c r="E114" s="145"/>
      <c r="F114" s="161"/>
      <c r="G114" s="160"/>
      <c r="H114" s="187"/>
      <c r="I114" s="188"/>
      <c r="J114" s="187"/>
      <c r="K114" s="188"/>
      <c r="L114" s="187"/>
      <c r="M114" s="188"/>
      <c r="N114" s="187"/>
      <c r="O114" s="188"/>
      <c r="P114" s="187"/>
      <c r="Q114" s="188"/>
      <c r="R114" s="158"/>
      <c r="S114" s="159"/>
      <c r="T114" s="171"/>
      <c r="U114" s="170"/>
      <c r="V114" s="122"/>
      <c r="W114" s="122"/>
    </row>
    <row r="115" spans="1:23" ht="12" customHeight="1">
      <c r="A115" s="122"/>
      <c r="B115" s="167"/>
      <c r="C115" s="134"/>
      <c r="D115" s="133"/>
      <c r="E115" s="183"/>
      <c r="F115" s="184"/>
      <c r="G115" s="134"/>
      <c r="H115" s="133"/>
      <c r="I115" s="134"/>
      <c r="J115" s="133"/>
      <c r="K115" s="134"/>
      <c r="L115" s="133"/>
      <c r="M115" s="150"/>
      <c r="N115" s="151"/>
      <c r="O115" s="173"/>
      <c r="P115" s="181"/>
      <c r="Q115" s="173"/>
      <c r="R115" s="181"/>
      <c r="S115" s="173"/>
      <c r="T115" s="181"/>
      <c r="U115" s="173"/>
      <c r="V115" s="122"/>
      <c r="W115" s="122"/>
    </row>
    <row r="116" spans="1:23" ht="12" customHeight="1">
      <c r="A116" s="122"/>
      <c r="B116" s="169"/>
      <c r="C116" s="138"/>
      <c r="D116" s="185"/>
      <c r="E116" s="186"/>
      <c r="F116" s="137"/>
      <c r="G116" s="138"/>
      <c r="H116" s="137"/>
      <c r="I116" s="138"/>
      <c r="J116" s="137"/>
      <c r="K116" s="138"/>
      <c r="L116" s="137"/>
      <c r="M116" s="156"/>
      <c r="N116" s="164"/>
      <c r="O116" s="182"/>
      <c r="P116" s="164"/>
      <c r="Q116" s="182"/>
      <c r="R116" s="164"/>
      <c r="S116" s="182"/>
      <c r="T116" s="164"/>
      <c r="U116" s="182"/>
      <c r="V116" s="122"/>
      <c r="W116" s="122"/>
    </row>
    <row r="117" spans="1:23" ht="12" customHeight="1">
      <c r="A117" s="122"/>
      <c r="B117" s="169"/>
      <c r="C117" s="138"/>
      <c r="D117" s="185"/>
      <c r="E117" s="186"/>
      <c r="F117" s="137"/>
      <c r="G117" s="138"/>
      <c r="H117" s="137"/>
      <c r="I117" s="138"/>
      <c r="J117" s="137"/>
      <c r="K117" s="138"/>
      <c r="L117" s="157"/>
      <c r="M117" s="156"/>
      <c r="N117" s="164"/>
      <c r="O117" s="182"/>
      <c r="P117" s="164"/>
      <c r="Q117" s="182"/>
      <c r="R117" s="164"/>
      <c r="S117" s="182"/>
      <c r="T117" s="164"/>
      <c r="U117" s="182"/>
      <c r="V117" s="122"/>
      <c r="W117" s="122"/>
    </row>
    <row r="118" spans="1:23" ht="12" customHeight="1">
      <c r="A118" s="122"/>
      <c r="B118" s="169"/>
      <c r="C118" s="138"/>
      <c r="D118" s="185"/>
      <c r="E118" s="186"/>
      <c r="F118" s="137"/>
      <c r="G118" s="138"/>
      <c r="H118" s="137"/>
      <c r="I118" s="138"/>
      <c r="J118" s="137"/>
      <c r="K118" s="138"/>
      <c r="L118" s="157"/>
      <c r="M118" s="156"/>
      <c r="N118" s="164"/>
      <c r="O118" s="182"/>
      <c r="P118" s="164"/>
      <c r="Q118" s="182"/>
      <c r="R118" s="164"/>
      <c r="S118" s="182"/>
      <c r="T118" s="164"/>
      <c r="U118" s="182"/>
      <c r="V118" s="122"/>
      <c r="W118" s="122"/>
    </row>
    <row r="119" spans="1:23" ht="12" customHeight="1" thickBot="1">
      <c r="A119" s="141">
        <v>21</v>
      </c>
      <c r="B119" s="142"/>
      <c r="C119" s="143"/>
      <c r="D119" s="187"/>
      <c r="E119" s="188"/>
      <c r="F119" s="142"/>
      <c r="G119" s="143"/>
      <c r="H119" s="142"/>
      <c r="I119" s="143"/>
      <c r="J119" s="142"/>
      <c r="K119" s="143"/>
      <c r="L119" s="163"/>
      <c r="M119" s="162"/>
      <c r="N119" s="165"/>
      <c r="O119" s="172"/>
      <c r="P119" s="165"/>
      <c r="Q119" s="172"/>
      <c r="R119" s="165"/>
      <c r="S119" s="172"/>
      <c r="T119" s="165"/>
      <c r="U119" s="172"/>
      <c r="V119" s="122"/>
      <c r="W119" s="122"/>
    </row>
    <row r="120" spans="1:23" ht="12" customHeight="1">
      <c r="A120" s="122"/>
      <c r="B120" s="181"/>
      <c r="C120" s="173"/>
      <c r="D120" s="181"/>
      <c r="E120" s="173"/>
      <c r="F120" s="181"/>
      <c r="G120" s="147"/>
      <c r="H120" s="146"/>
      <c r="I120" s="147"/>
      <c r="J120" s="146"/>
      <c r="K120" s="147"/>
      <c r="L120" s="151"/>
      <c r="M120" s="150"/>
      <c r="N120" s="151"/>
      <c r="O120" s="150"/>
      <c r="P120" s="133"/>
      <c r="Q120" s="134"/>
      <c r="R120" s="135"/>
      <c r="S120" s="183"/>
      <c r="T120" s="184"/>
      <c r="U120" s="183"/>
      <c r="V120" s="122"/>
      <c r="W120" s="122"/>
    </row>
    <row r="121" spans="1:23" ht="12" customHeight="1">
      <c r="A121" s="122"/>
      <c r="B121" s="164"/>
      <c r="C121" s="182"/>
      <c r="D121" s="164"/>
      <c r="E121" s="182"/>
      <c r="F121" s="164"/>
      <c r="G121" s="153"/>
      <c r="H121" s="152"/>
      <c r="I121" s="153"/>
      <c r="J121" s="152"/>
      <c r="K121" s="153"/>
      <c r="L121" s="157"/>
      <c r="M121" s="156"/>
      <c r="N121" s="157"/>
      <c r="O121" s="156"/>
      <c r="P121" s="137"/>
      <c r="Q121" s="138"/>
      <c r="R121" s="139"/>
      <c r="S121" s="186"/>
      <c r="T121" s="185"/>
      <c r="U121" s="186"/>
      <c r="V121" s="122"/>
      <c r="W121" s="122"/>
    </row>
    <row r="122" spans="1:23" ht="12" customHeight="1">
      <c r="A122" s="122"/>
      <c r="B122" s="164"/>
      <c r="C122" s="182"/>
      <c r="D122" s="164"/>
      <c r="E122" s="182"/>
      <c r="F122" s="164"/>
      <c r="G122" s="153"/>
      <c r="H122" s="152"/>
      <c r="I122" s="153"/>
      <c r="J122" s="197"/>
      <c r="K122" s="153"/>
      <c r="L122" s="200"/>
      <c r="M122" s="156"/>
      <c r="N122" s="157"/>
      <c r="O122" s="156"/>
      <c r="P122" s="137"/>
      <c r="Q122" s="138"/>
      <c r="R122" s="139"/>
      <c r="S122" s="186"/>
      <c r="T122" s="185"/>
      <c r="U122" s="186"/>
      <c r="V122" s="122"/>
      <c r="W122" s="122"/>
    </row>
    <row r="123" spans="1:23" ht="12" customHeight="1">
      <c r="A123" s="122"/>
      <c r="B123" s="164"/>
      <c r="C123" s="182"/>
      <c r="D123" s="164"/>
      <c r="E123" s="182"/>
      <c r="F123" s="152"/>
      <c r="G123" s="153"/>
      <c r="H123" s="152"/>
      <c r="I123" s="153"/>
      <c r="J123" s="152"/>
      <c r="K123" s="153"/>
      <c r="L123" s="157"/>
      <c r="M123" s="156"/>
      <c r="N123" s="157"/>
      <c r="O123" s="156"/>
      <c r="P123" s="137"/>
      <c r="Q123" s="138"/>
      <c r="R123" s="139"/>
      <c r="S123" s="186"/>
      <c r="T123" s="185"/>
      <c r="U123" s="186"/>
      <c r="V123" s="122"/>
      <c r="W123" s="122"/>
    </row>
    <row r="124" spans="1:23" ht="12" customHeight="1" thickBot="1">
      <c r="A124" s="141">
        <v>22</v>
      </c>
      <c r="B124" s="165"/>
      <c r="C124" s="172"/>
      <c r="D124" s="165"/>
      <c r="E124" s="172"/>
      <c r="F124" s="158"/>
      <c r="G124" s="159"/>
      <c r="H124" s="158"/>
      <c r="I124" s="159"/>
      <c r="J124" s="152"/>
      <c r="K124" s="162"/>
      <c r="L124" s="157"/>
      <c r="M124" s="162"/>
      <c r="N124" s="163"/>
      <c r="O124" s="143"/>
      <c r="P124" s="142"/>
      <c r="Q124" s="145"/>
      <c r="R124" s="187"/>
      <c r="S124" s="188"/>
      <c r="T124" s="187"/>
      <c r="U124" s="188"/>
      <c r="V124" s="122"/>
      <c r="W124" s="122"/>
    </row>
    <row r="125" spans="1:23" ht="12" customHeight="1">
      <c r="A125" s="122"/>
      <c r="B125" s="184"/>
      <c r="C125" s="147"/>
      <c r="D125" s="146"/>
      <c r="E125" s="147"/>
      <c r="F125" s="146"/>
      <c r="G125" s="147"/>
      <c r="H125" s="146"/>
      <c r="I125" s="147"/>
      <c r="J125" s="146"/>
      <c r="K125" s="147"/>
      <c r="L125" s="146"/>
      <c r="M125" s="147"/>
      <c r="N125" s="146"/>
      <c r="O125" s="147"/>
      <c r="P125" s="146"/>
      <c r="Q125" s="147"/>
      <c r="R125" s="146"/>
      <c r="S125" s="147"/>
      <c r="T125" s="146"/>
      <c r="U125" s="147"/>
      <c r="V125" s="122"/>
      <c r="W125" s="122"/>
    </row>
    <row r="126" spans="1:23" ht="12" customHeight="1">
      <c r="A126" s="122"/>
      <c r="B126" s="185"/>
      <c r="C126" s="153"/>
      <c r="D126" s="152"/>
      <c r="E126" s="153"/>
      <c r="F126" s="152"/>
      <c r="G126" s="153"/>
      <c r="H126" s="152"/>
      <c r="I126" s="153"/>
      <c r="J126" s="152"/>
      <c r="K126" s="153"/>
      <c r="L126" s="152"/>
      <c r="M126" s="153"/>
      <c r="N126" s="152"/>
      <c r="O126" s="153"/>
      <c r="P126" s="152"/>
      <c r="Q126" s="153"/>
      <c r="R126" s="152"/>
      <c r="S126" s="153"/>
      <c r="T126" s="152"/>
      <c r="U126" s="153"/>
      <c r="V126" s="122"/>
      <c r="W126" s="122"/>
    </row>
    <row r="127" spans="1:23" ht="12" customHeight="1">
      <c r="A127" s="122"/>
      <c r="B127" s="185"/>
      <c r="C127" s="153"/>
      <c r="D127" s="152"/>
      <c r="E127" s="153"/>
      <c r="F127" s="152"/>
      <c r="G127" s="153"/>
      <c r="H127" s="152"/>
      <c r="I127" s="153"/>
      <c r="J127" s="152"/>
      <c r="K127" s="153"/>
      <c r="L127" s="152"/>
      <c r="M127" s="153"/>
      <c r="N127" s="152"/>
      <c r="O127" s="153"/>
      <c r="P127" s="152"/>
      <c r="Q127" s="153"/>
      <c r="R127" s="152"/>
      <c r="S127" s="153"/>
      <c r="T127" s="152"/>
      <c r="U127" s="153"/>
      <c r="V127" s="122"/>
      <c r="W127" s="122"/>
    </row>
    <row r="128" spans="1:23" ht="12" customHeight="1">
      <c r="A128" s="122"/>
      <c r="B128" s="185"/>
      <c r="C128" s="153"/>
      <c r="D128" s="152"/>
      <c r="E128" s="153"/>
      <c r="F128" s="152"/>
      <c r="G128" s="153"/>
      <c r="H128" s="152"/>
      <c r="I128" s="153"/>
      <c r="J128" s="152"/>
      <c r="K128" s="153"/>
      <c r="L128" s="152"/>
      <c r="M128" s="153"/>
      <c r="N128" s="152"/>
      <c r="O128" s="153"/>
      <c r="P128" s="152"/>
      <c r="Q128" s="153"/>
      <c r="R128" s="152"/>
      <c r="S128" s="153"/>
      <c r="T128" s="152"/>
      <c r="U128" s="153"/>
      <c r="V128" s="122"/>
      <c r="W128" s="122"/>
    </row>
    <row r="129" spans="1:23" ht="12" customHeight="1" thickBot="1">
      <c r="A129" s="141">
        <v>23</v>
      </c>
      <c r="B129" s="187"/>
      <c r="C129" s="159"/>
      <c r="D129" s="158"/>
      <c r="E129" s="159"/>
      <c r="F129" s="158"/>
      <c r="G129" s="159"/>
      <c r="H129" s="158"/>
      <c r="I129" s="159"/>
      <c r="J129" s="158"/>
      <c r="K129" s="159"/>
      <c r="L129" s="158"/>
      <c r="M129" s="159"/>
      <c r="N129" s="158"/>
      <c r="O129" s="159"/>
      <c r="P129" s="158"/>
      <c r="Q129" s="159"/>
      <c r="R129" s="158"/>
      <c r="S129" s="159"/>
      <c r="T129" s="158"/>
      <c r="U129" s="159"/>
      <c r="V129" s="122"/>
      <c r="W129" s="122"/>
    </row>
    <row r="130" spans="1:23" ht="12" customHeight="1">
      <c r="A130" s="122"/>
      <c r="B130" s="146"/>
      <c r="C130" s="147"/>
      <c r="D130" s="146"/>
      <c r="E130" s="147"/>
      <c r="F130" s="146"/>
      <c r="G130" s="147"/>
      <c r="H130" s="146"/>
      <c r="I130" s="147"/>
      <c r="J130" s="146"/>
      <c r="K130" s="147"/>
      <c r="L130" s="146"/>
      <c r="M130" s="175"/>
      <c r="N130" s="174"/>
      <c r="O130" s="175"/>
      <c r="P130" s="174"/>
      <c r="Q130" s="175"/>
      <c r="R130" s="174"/>
      <c r="S130" s="175"/>
      <c r="T130" s="174"/>
      <c r="U130" s="175"/>
      <c r="V130" s="122"/>
      <c r="W130" s="122"/>
    </row>
    <row r="131" spans="1:23" ht="12" customHeight="1">
      <c r="A131" s="122"/>
      <c r="B131" s="152"/>
      <c r="C131" s="153"/>
      <c r="D131" s="152"/>
      <c r="E131" s="153"/>
      <c r="F131" s="152"/>
      <c r="G131" s="153"/>
      <c r="H131" s="152"/>
      <c r="I131" s="153"/>
      <c r="J131" s="152"/>
      <c r="K131" s="153"/>
      <c r="L131" s="152"/>
      <c r="M131" s="177"/>
      <c r="N131" s="176"/>
      <c r="O131" s="177"/>
      <c r="P131" s="176"/>
      <c r="Q131" s="177"/>
      <c r="R131" s="176"/>
      <c r="S131" s="177"/>
      <c r="T131" s="176"/>
      <c r="U131" s="177"/>
      <c r="V131" s="122"/>
      <c r="W131" s="122"/>
    </row>
    <row r="132" spans="1:23" ht="12" customHeight="1">
      <c r="A132" s="122"/>
      <c r="B132" s="152"/>
      <c r="C132" s="153"/>
      <c r="D132" s="152"/>
      <c r="E132" s="153"/>
      <c r="F132" s="152"/>
      <c r="G132" s="153"/>
      <c r="H132" s="152"/>
      <c r="I132" s="153"/>
      <c r="J132" s="152"/>
      <c r="K132" s="153"/>
      <c r="L132" s="152"/>
      <c r="M132" s="177"/>
      <c r="N132" s="176"/>
      <c r="O132" s="177"/>
      <c r="P132" s="176"/>
      <c r="Q132" s="177"/>
      <c r="R132" s="176"/>
      <c r="S132" s="177"/>
      <c r="T132" s="176"/>
      <c r="U132" s="177"/>
      <c r="V132" s="122"/>
      <c r="W132" s="122"/>
    </row>
    <row r="133" spans="1:23" ht="12" customHeight="1">
      <c r="A133" s="122"/>
      <c r="B133" s="152"/>
      <c r="C133" s="153"/>
      <c r="D133" s="152"/>
      <c r="E133" s="153"/>
      <c r="F133" s="152"/>
      <c r="G133" s="153"/>
      <c r="H133" s="152"/>
      <c r="I133" s="153"/>
      <c r="J133" s="152"/>
      <c r="K133" s="153"/>
      <c r="L133" s="152"/>
      <c r="M133" s="177"/>
      <c r="N133" s="176"/>
      <c r="O133" s="177"/>
      <c r="P133" s="176"/>
      <c r="Q133" s="177"/>
      <c r="R133" s="176"/>
      <c r="S133" s="177"/>
      <c r="T133" s="176"/>
      <c r="U133" s="177"/>
      <c r="V133" s="122"/>
      <c r="W133" s="122"/>
    </row>
    <row r="134" spans="1:23" ht="12" customHeight="1" thickBot="1">
      <c r="A134" s="141">
        <v>24</v>
      </c>
      <c r="B134" s="158"/>
      <c r="C134" s="159"/>
      <c r="D134" s="158"/>
      <c r="E134" s="159"/>
      <c r="F134" s="158"/>
      <c r="G134" s="159"/>
      <c r="H134" s="158"/>
      <c r="I134" s="159"/>
      <c r="J134" s="158"/>
      <c r="K134" s="159"/>
      <c r="L134" s="179"/>
      <c r="M134" s="178"/>
      <c r="N134" s="179"/>
      <c r="O134" s="178"/>
      <c r="P134" s="179"/>
      <c r="Q134" s="178"/>
      <c r="R134" s="179"/>
      <c r="S134" s="178"/>
      <c r="T134" s="179"/>
      <c r="U134" s="178"/>
      <c r="V134" s="122"/>
      <c r="W134" s="122"/>
    </row>
    <row r="135" spans="1:23" ht="12" customHeight="1">
      <c r="A135" s="122"/>
      <c r="B135" s="174"/>
      <c r="C135" s="175"/>
      <c r="D135" s="174"/>
      <c r="E135" s="175"/>
      <c r="F135" s="174"/>
      <c r="G135" s="175"/>
      <c r="H135" s="174"/>
      <c r="I135" s="175"/>
      <c r="J135" s="174"/>
      <c r="K135" s="175"/>
      <c r="L135" s="174"/>
      <c r="M135" s="175"/>
      <c r="N135" s="174"/>
      <c r="O135" s="175"/>
      <c r="P135" s="174"/>
      <c r="Q135" s="175"/>
      <c r="R135" s="174"/>
      <c r="S135" s="175"/>
      <c r="T135" s="174"/>
      <c r="U135" s="175"/>
      <c r="V135" s="122"/>
      <c r="W135" s="122"/>
    </row>
    <row r="136" spans="1:23" ht="12" customHeight="1">
      <c r="A136" s="122"/>
      <c r="B136" s="176"/>
      <c r="C136" s="177"/>
      <c r="D136" s="176"/>
      <c r="E136" s="177"/>
      <c r="F136" s="176"/>
      <c r="G136" s="177"/>
      <c r="H136" s="176"/>
      <c r="I136" s="177"/>
      <c r="J136" s="176"/>
      <c r="K136" s="177"/>
      <c r="L136" s="176"/>
      <c r="M136" s="177"/>
      <c r="N136" s="176"/>
      <c r="O136" s="177"/>
      <c r="P136" s="176"/>
      <c r="Q136" s="177"/>
      <c r="R136" s="176"/>
      <c r="S136" s="177"/>
      <c r="T136" s="176"/>
      <c r="U136" s="177"/>
      <c r="V136" s="122"/>
      <c r="W136" s="122"/>
    </row>
    <row r="137" spans="1:23" ht="12" customHeight="1">
      <c r="A137" s="122"/>
      <c r="B137" s="176"/>
      <c r="C137" s="177"/>
      <c r="D137" s="176"/>
      <c r="E137" s="177"/>
      <c r="F137" s="176"/>
      <c r="G137" s="177"/>
      <c r="H137" s="176"/>
      <c r="I137" s="177"/>
      <c r="J137" s="176"/>
      <c r="K137" s="177"/>
      <c r="L137" s="176"/>
      <c r="M137" s="177"/>
      <c r="N137" s="176"/>
      <c r="O137" s="177"/>
      <c r="P137" s="176"/>
      <c r="Q137" s="177"/>
      <c r="R137" s="176"/>
      <c r="S137" s="177"/>
      <c r="T137" s="176"/>
      <c r="U137" s="177"/>
      <c r="V137" s="122"/>
      <c r="W137" s="122"/>
    </row>
    <row r="138" spans="1:23" ht="12" customHeight="1">
      <c r="A138" s="122"/>
      <c r="B138" s="176"/>
      <c r="C138" s="177"/>
      <c r="D138" s="176"/>
      <c r="E138" s="177"/>
      <c r="F138" s="176"/>
      <c r="G138" s="177"/>
      <c r="H138" s="176"/>
      <c r="I138" s="177"/>
      <c r="J138" s="176"/>
      <c r="K138" s="177"/>
      <c r="L138" s="176"/>
      <c r="M138" s="177"/>
      <c r="N138" s="176"/>
      <c r="O138" s="177"/>
      <c r="P138" s="176"/>
      <c r="Q138" s="177"/>
      <c r="R138" s="176"/>
      <c r="S138" s="177"/>
      <c r="T138" s="176"/>
      <c r="U138" s="177"/>
      <c r="V138" s="122"/>
      <c r="W138" s="122"/>
    </row>
    <row r="139" spans="1:23" ht="12" customHeight="1" thickBot="1">
      <c r="A139" s="141">
        <v>25</v>
      </c>
      <c r="B139" s="179"/>
      <c r="C139" s="178"/>
      <c r="D139" s="179"/>
      <c r="E139" s="178"/>
      <c r="F139" s="179"/>
      <c r="G139" s="178"/>
      <c r="H139" s="179"/>
      <c r="I139" s="178"/>
      <c r="J139" s="179"/>
      <c r="K139" s="178"/>
      <c r="L139" s="179"/>
      <c r="M139" s="178"/>
      <c r="N139" s="179"/>
      <c r="O139" s="178"/>
      <c r="P139" s="179"/>
      <c r="Q139" s="178"/>
      <c r="R139" s="176"/>
      <c r="S139" s="178"/>
      <c r="T139" s="179"/>
      <c r="U139" s="178"/>
      <c r="V139" s="122"/>
      <c r="W139" s="122"/>
    </row>
    <row r="140" spans="1:23" ht="12" customHeight="1">
      <c r="A140" s="122"/>
      <c r="B140" s="174"/>
      <c r="C140" s="175"/>
      <c r="D140" s="174"/>
      <c r="E140" s="175"/>
      <c r="F140" s="174"/>
      <c r="G140" s="175"/>
      <c r="H140" s="174"/>
      <c r="I140" s="175"/>
      <c r="J140" s="174"/>
      <c r="K140" s="175"/>
      <c r="L140" s="174"/>
      <c r="M140" s="175"/>
      <c r="N140" s="174"/>
      <c r="O140" s="175"/>
      <c r="P140" s="174"/>
      <c r="Q140" s="175"/>
      <c r="R140" s="174"/>
      <c r="S140" s="175"/>
      <c r="T140" s="174"/>
      <c r="U140" s="175"/>
      <c r="V140" s="122"/>
      <c r="W140" s="122"/>
    </row>
    <row r="141" spans="1:23" ht="12" customHeight="1">
      <c r="A141" s="122"/>
      <c r="B141" s="176"/>
      <c r="C141" s="177"/>
      <c r="D141" s="176"/>
      <c r="E141" s="177"/>
      <c r="F141" s="176"/>
      <c r="G141" s="177"/>
      <c r="H141" s="176"/>
      <c r="I141" s="177"/>
      <c r="J141" s="176"/>
      <c r="K141" s="177"/>
      <c r="L141" s="176"/>
      <c r="M141" s="177"/>
      <c r="N141" s="176"/>
      <c r="O141" s="177"/>
      <c r="P141" s="176"/>
      <c r="Q141" s="177"/>
      <c r="R141" s="176"/>
      <c r="S141" s="177"/>
      <c r="T141" s="176"/>
      <c r="U141" s="177"/>
      <c r="V141" s="122"/>
      <c r="W141" s="122"/>
    </row>
    <row r="142" spans="1:23" ht="12" customHeight="1">
      <c r="A142" s="122"/>
      <c r="B142" s="176"/>
      <c r="C142" s="177"/>
      <c r="D142" s="176"/>
      <c r="E142" s="177"/>
      <c r="F142" s="176"/>
      <c r="G142" s="177"/>
      <c r="H142" s="176"/>
      <c r="I142" s="177"/>
      <c r="J142" s="176"/>
      <c r="K142" s="177"/>
      <c r="L142" s="176"/>
      <c r="M142" s="177"/>
      <c r="N142" s="176"/>
      <c r="O142" s="177"/>
      <c r="P142" s="176"/>
      <c r="Q142" s="177"/>
      <c r="R142" s="176"/>
      <c r="S142" s="177"/>
      <c r="T142" s="176"/>
      <c r="U142" s="177"/>
      <c r="V142" s="122"/>
      <c r="W142" s="122"/>
    </row>
    <row r="143" spans="1:23" ht="12" customHeight="1">
      <c r="A143" s="122"/>
      <c r="B143" s="176"/>
      <c r="C143" s="177"/>
      <c r="D143" s="176"/>
      <c r="E143" s="177"/>
      <c r="F143" s="176"/>
      <c r="G143" s="177"/>
      <c r="H143" s="176"/>
      <c r="I143" s="177"/>
      <c r="J143" s="176"/>
      <c r="K143" s="177"/>
      <c r="L143" s="176"/>
      <c r="M143" s="177"/>
      <c r="N143" s="176"/>
      <c r="O143" s="177"/>
      <c r="P143" s="176"/>
      <c r="Q143" s="177"/>
      <c r="R143" s="176"/>
      <c r="S143" s="177"/>
      <c r="T143" s="176"/>
      <c r="U143" s="177"/>
      <c r="V143" s="122"/>
      <c r="W143" s="122"/>
    </row>
    <row r="144" spans="1:23" ht="12" customHeight="1" thickBot="1">
      <c r="A144" s="141">
        <v>26</v>
      </c>
      <c r="B144" s="179"/>
      <c r="C144" s="178"/>
      <c r="D144" s="179"/>
      <c r="E144" s="178"/>
      <c r="F144" s="179"/>
      <c r="G144" s="178"/>
      <c r="H144" s="179"/>
      <c r="I144" s="178"/>
      <c r="J144" s="179"/>
      <c r="K144" s="178"/>
      <c r="L144" s="179"/>
      <c r="M144" s="178"/>
      <c r="N144" s="179"/>
      <c r="O144" s="178"/>
      <c r="P144" s="179"/>
      <c r="Q144" s="178"/>
      <c r="R144" s="179"/>
      <c r="S144" s="178"/>
      <c r="T144" s="179"/>
      <c r="U144" s="178"/>
      <c r="V144" s="122"/>
      <c r="W144" s="122"/>
    </row>
    <row r="146" spans="1:23">
      <c r="A146" s="434" t="str">
        <f>HYPERLINK("#'8월'!A1","← 8월 월간 가계부로 돌아가기")</f>
        <v>← 8월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2354000</v>
      </c>
      <c r="J149" s="433"/>
      <c r="K149" s="433"/>
      <c r="L149" s="433"/>
      <c r="M149" s="433"/>
      <c r="N149" s="365"/>
      <c r="O149" s="362" t="b">
        <f>IF('8월'!AA1,I149=('8월'!M28),"미입력")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2354000</v>
      </c>
      <c r="J150" s="433"/>
      <c r="K150" s="433"/>
      <c r="L150" s="433"/>
      <c r="M150" s="433"/>
      <c r="N150" s="365"/>
      <c r="O150" s="362" t="b">
        <f>IF('8월'!AA1,I150=('8월'!I38),"미입력")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467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B79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8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35">
        <f>(42000)+SUMIFS($AB$52:$AB$61,$A$52:$A$61,"&gt;="&amp;C3,$A$52:$A$61,"&lt;"&amp;C3+1)</f>
        <v>53000</v>
      </c>
      <c r="D4" s="35">
        <f>(57000)+SUMIFS($AB$52:$AB$61,$A$52:$A$61,"&gt;="&amp;D3,$A$52:$A$61,"&lt;"&amp;D3+1)</f>
        <v>57000</v>
      </c>
      <c r="E4" s="35">
        <f>(74000)+SUMIFS($AB$52:$AB$61,$A$52:$A$61,"&gt;="&amp;E3,$A$52:$A$61,"&lt;"&amp;E3+1)</f>
        <v>74000</v>
      </c>
      <c r="F4" s="35">
        <f>(92000)+SUMIFS($AB$52:$AB$61,$A$52:$A$61,"&gt;="&amp;F3,$A$52:$A$61,"&lt;"&amp;F3+1)</f>
        <v>92000</v>
      </c>
      <c r="G4" s="35">
        <f>(66000)+SUMIFS($AB$52:$AB$61,$A$52:$A$61,"&gt;="&amp;G3,$A$52:$A$61,"&lt;"&amp;G3+1)</f>
        <v>66000</v>
      </c>
      <c r="H4" s="35">
        <f>(36000)+SUMIFS($AB$52:$AB$61,$A$52:$A$61,"&gt;="&amp;H3,$A$52:$A$61,"&lt;"&amp;H3+1)</f>
        <v>36000</v>
      </c>
      <c r="I4" s="45">
        <f>SUM(B4:H4)</f>
        <v>378000</v>
      </c>
      <c r="J4" s="12"/>
      <c r="K4" s="31" t="s">
        <v>73</v>
      </c>
      <c r="L4" s="31"/>
      <c r="M4" s="27" t="s">
        <v>326</v>
      </c>
      <c r="N4" s="27" t="s">
        <v>524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542</v>
      </c>
    </row>
    <row r="5" spans="1:27" ht="22" customHeight="1">
      <c r="A5" s="31" t="s">
        <v>322</v>
      </c>
      <c r="B5" s="27"/>
      <c r="C5" s="35">
        <f>(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)+SUMIFS($H$52:$H$61,$A$52:$A$61,"&gt;="&amp;C3,$A$52:$A$61,"&lt;"&amp;C3+1)</f>
        <v>52500</v>
      </c>
      <c r="D5" s="35">
        <f>(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)+SUMIFS($H$52:$H$61,$A$52:$A$61,"&gt;="&amp;D3,$A$52:$A$61,"&lt;"&amp;D3+1)</f>
        <v>55590</v>
      </c>
      <c r="E5" s="35">
        <f>(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)+SUMIFS($H$52:$H$61,$A$52:$A$61,"&gt;="&amp;E3,$A$52:$A$61,"&lt;"&amp;E3+1)</f>
        <v>73120</v>
      </c>
      <c r="F5" s="35">
        <f>(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)+SUMIFS($H$52:$H$61,$A$52:$A$61,"&gt;="&amp;F3,$A$52:$A$61,"&lt;"&amp;F3+1)</f>
        <v>91100</v>
      </c>
      <c r="G5" s="35">
        <f>(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)+SUMIFS($H$52:$H$61,$A$52:$A$61,"&gt;="&amp;G3,$A$52:$A$61,"&lt;"&amp;G3+1)</f>
        <v>64500</v>
      </c>
      <c r="H5" s="35">
        <f>(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)+SUMIFS($H$52:$H$61,$A$52:$A$61,"&gt;="&amp;H3,$A$52:$A$61,"&lt;"&amp;H3+1)</f>
        <v>34670</v>
      </c>
      <c r="I5" s="45">
        <f>SUM(B5:H5)</f>
        <v>371480</v>
      </c>
      <c r="J5" s="12"/>
      <c r="K5" s="38" t="s">
        <v>328</v>
      </c>
      <c r="L5" s="38" t="s">
        <v>543</v>
      </c>
      <c r="M5" s="34" t="s">
        <v>330</v>
      </c>
      <c r="N5" s="34" t="s">
        <v>331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332</v>
      </c>
      <c r="U5" s="34" t="s">
        <v>544</v>
      </c>
    </row>
    <row r="6" spans="1:27" ht="22" customHeight="1">
      <c r="A6" s="31" t="s">
        <v>223</v>
      </c>
      <c r="B6" s="27"/>
      <c r="C6" s="27">
        <f t="shared" ref="C6:H6" si="2">IF(COUNT(C4,C5)=0,"",SUM(C4)-SUM(C5))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333</v>
      </c>
      <c r="L6" s="31" t="s">
        <v>543</v>
      </c>
      <c r="M6" s="27" t="s">
        <v>330</v>
      </c>
      <c r="N6" s="27" t="s">
        <v>334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332</v>
      </c>
      <c r="U6" s="27" t="s">
        <v>542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338</v>
      </c>
      <c r="U7" s="34" t="s">
        <v>542</v>
      </c>
    </row>
    <row r="8" spans="1:27" ht="22" customHeight="1">
      <c r="A8" s="39" t="s">
        <v>339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332</v>
      </c>
      <c r="U8" s="27" t="s">
        <v>542</v>
      </c>
    </row>
    <row r="9" spans="1:27" ht="22" customHeight="1">
      <c r="A9" s="31" t="s">
        <v>323</v>
      </c>
      <c r="B9" s="35">
        <f>(29000)+SUMIFS($AB$52:$AB$61,$A$52:$A$61,"&gt;="&amp;B8,$A$52:$A$61,"&lt;"&amp;B8+1)</f>
        <v>29000</v>
      </c>
      <c r="C9" s="35">
        <f>(31000)+SUMIFS($AB$52:$AB$61,$A$52:$A$61,"&gt;="&amp;C8,$A$52:$A$61,"&lt;"&amp;C8+1)</f>
        <v>31000</v>
      </c>
      <c r="D9" s="35">
        <f>(30000)+SUMIFS($AB$52:$AB$61,$A$52:$A$61,"&gt;="&amp;D8,$A$52:$A$61,"&lt;"&amp;D8+1)</f>
        <v>30000</v>
      </c>
      <c r="E9" s="35">
        <f>(142000)+SUMIFS($AB$52:$AB$61,$A$52:$A$61,"&gt;="&amp;E8,$A$52:$A$61,"&lt;"&amp;E8+1)</f>
        <v>142000</v>
      </c>
      <c r="F9" s="35">
        <f>(30000)+SUMIFS($AB$52:$AB$61,$A$52:$A$61,"&gt;="&amp;F8,$A$52:$A$61,"&lt;"&amp;F8+1)</f>
        <v>30000</v>
      </c>
      <c r="G9" s="35">
        <f>(78000)+SUMIFS($AB$52:$AB$61,$A$52:$A$61,"&gt;="&amp;G8,$A$52:$A$61,"&lt;"&amp;G8+1)</f>
        <v>78000</v>
      </c>
      <c r="H9" s="35">
        <f>(4000)+SUMIFS($AB$52:$AB$61,$A$52:$A$61,"&gt;="&amp;H8,$A$52:$A$61,"&lt;"&amp;H8+1)</f>
        <v>4000</v>
      </c>
      <c r="I9" s="45">
        <f>SUM(B9:H9)</f>
        <v>344000</v>
      </c>
      <c r="J9" s="12"/>
      <c r="K9" s="38"/>
      <c r="L9" s="38" t="s">
        <v>343</v>
      </c>
      <c r="M9" s="34" t="s">
        <v>344</v>
      </c>
      <c r="N9" s="34" t="s">
        <v>345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34" t="s">
        <v>542</v>
      </c>
    </row>
    <row r="10" spans="1:27" ht="22" customHeight="1">
      <c r="A10" s="31" t="s">
        <v>322</v>
      </c>
      <c r="B10" s="35">
        <f>(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)+SUMIFS($H$52:$H$61,$A$52:$A$61,"&gt;="&amp;B8,$A$52:$A$61,"&lt;"&amp;B8+1)</f>
        <v>26470</v>
      </c>
      <c r="C10" s="35">
        <f>(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)+SUMIFS($H$52:$H$61,$A$52:$A$61,"&gt;="&amp;C8,$A$52:$A$61,"&lt;"&amp;C8+1)</f>
        <v>27300</v>
      </c>
      <c r="D10" s="35">
        <f>(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)+SUMIFS($H$52:$H$61,$A$52:$A$61,"&gt;="&amp;D8,$A$52:$A$61,"&lt;"&amp;D8+1)</f>
        <v>29020</v>
      </c>
      <c r="E10" s="35">
        <f>(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일할계산",RAW!$J$2:$J$10018,"이사부대"))+SUMIFS($H$52:$H$61,$A$52:$A$61,"&gt;="&amp;E8,$A$52:$A$61,"&lt;"&amp;E8+1)</f>
        <v>140201</v>
      </c>
      <c r="F10" s="35">
        <f>(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)+SUMIFS($H$52:$H$61,$A$52:$A$61,"&gt;="&amp;F8,$A$52:$A$61,"&lt;"&amp;F8+1)</f>
        <v>28000</v>
      </c>
      <c r="G10" s="35">
        <f>(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)+SUMIFS($H$52:$H$61,$A$52:$A$61,"&gt;="&amp;G8,$A$52:$A$61,"&lt;"&amp;G8+1)</f>
        <v>76400</v>
      </c>
      <c r="H10" s="35">
        <f>(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)+SUMIFS($H$52:$H$61,$A$52:$A$61,"&gt;="&amp;H8,$A$52:$A$61,"&lt;"&amp;H8+1)</f>
        <v>3300</v>
      </c>
      <c r="I10" s="45">
        <f>SUM(B10:H10)</f>
        <v>330691</v>
      </c>
      <c r="J10" s="12"/>
      <c r="K10" s="31" t="s">
        <v>346</v>
      </c>
      <c r="L10" s="31" t="s">
        <v>526</v>
      </c>
      <c r="M10" s="27" t="s">
        <v>330</v>
      </c>
      <c r="N10" s="27" t="s">
        <v>527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332</v>
      </c>
      <c r="U10" s="27" t="s">
        <v>542</v>
      </c>
    </row>
    <row r="11" spans="1:27" ht="22" customHeight="1">
      <c r="A11" s="31" t="s">
        <v>223</v>
      </c>
      <c r="B11" s="27">
        <f t="shared" ref="B11:H11" si="3">IF(COUNT(B9,B10)=0,"",SUM(B9)-SUM(B10))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350</v>
      </c>
      <c r="L11" s="38" t="s">
        <v>514</v>
      </c>
      <c r="M11" s="34" t="s">
        <v>162</v>
      </c>
      <c r="N11" s="34" t="s">
        <v>515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332</v>
      </c>
      <c r="U11" s="34" t="s">
        <v>544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362</v>
      </c>
      <c r="L12" s="31" t="s">
        <v>545</v>
      </c>
      <c r="M12" s="27" t="s">
        <v>546</v>
      </c>
      <c r="N12" s="27" t="s">
        <v>376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542</v>
      </c>
    </row>
    <row r="13" spans="1:27" ht="22" customHeight="1">
      <c r="A13" s="39" t="s">
        <v>357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531</v>
      </c>
      <c r="L13" s="38" t="s">
        <v>187</v>
      </c>
      <c r="M13" s="34" t="s">
        <v>326</v>
      </c>
      <c r="N13" s="34" t="s">
        <v>532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332</v>
      </c>
      <c r="U13" s="34" t="s">
        <v>542</v>
      </c>
    </row>
    <row r="14" spans="1:27" ht="22" customHeight="1">
      <c r="A14" s="31" t="s">
        <v>323</v>
      </c>
      <c r="B14" s="35">
        <f>(14000)+SUMIFS($AB$52:$AB$61,$A$52:$A$61,"&gt;="&amp;B13,$A$52:$A$61,"&lt;"&amp;B13+1)</f>
        <v>14000</v>
      </c>
      <c r="C14" s="35">
        <f>(16000+CEILING(RAW!K2203,1000))+SUMIFS($AB$52:$AB$61,$A$52:$A$61,"&gt;="&amp;C13,$A$52:$A$61,"&lt;"&amp;C13+1)</f>
        <v>66000</v>
      </c>
      <c r="D14" s="35">
        <f>(69000)+SUMIFS($AB$52:$AB$61,$A$52:$A$61,"&gt;="&amp;D13,$A$52:$A$61,"&lt;"&amp;D13+1)</f>
        <v>69000</v>
      </c>
      <c r="E14" s="35">
        <f>(55000)+SUMIFS($AB$52:$AB$61,$A$52:$A$61,"&gt;="&amp;E13,$A$52:$A$61,"&lt;"&amp;E13+1)</f>
        <v>55000</v>
      </c>
      <c r="F14" s="35">
        <f>(199000)+SUMIFS($AB$52:$AB$61,$A$52:$A$61,"&gt;="&amp;F13,$A$52:$A$61,"&lt;"&amp;F13+1)</f>
        <v>199000</v>
      </c>
      <c r="G14" s="35">
        <f>(81000)+SUMIFS($AB$52:$AB$61,$A$52:$A$61,"&gt;="&amp;G13,$A$52:$A$61,"&lt;"&amp;G13+1)</f>
        <v>81000</v>
      </c>
      <c r="H14" s="35">
        <f>(25000)+SUMIFS($AB$52:$AB$61,$A$52:$A$61,"&gt;="&amp;H13,$A$52:$A$61,"&lt;"&amp;H13+1)</f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322</v>
      </c>
      <c r="B15" s="35">
        <f>(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)+SUMIFS($H$52:$H$61,$A$52:$A$61,"&gt;="&amp;B13,$A$52:$A$61,"&lt;"&amp;B13+1)</f>
        <v>13400</v>
      </c>
      <c r="C15" s="35">
        <f>(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생일",RAW!$G$2:$G$10018,50000,RAW!$J$2:$J$10018,"경조·선물"))+SUMIFS($H$52:$H$61,$A$52:$A$61,"&gt;="&amp;C13,$A$52:$A$61,"&lt;"&amp;C13+1)</f>
        <v>65100</v>
      </c>
      <c r="D15" s="35">
        <f>(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)+SUMIFS($H$52:$H$61,$A$52:$A$61,"&gt;="&amp;D13,$A$52:$A$61,"&lt;"&amp;D13+1)</f>
        <v>68190</v>
      </c>
      <c r="E15" s="35">
        <f>(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)+SUMIFS($H$52:$H$61,$A$52:$A$61,"&gt;="&amp;E13,$A$52:$A$61,"&lt;"&amp;E13+1)</f>
        <v>53900</v>
      </c>
      <c r="F15" s="35">
        <f>(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)+SUMIFS($H$52:$H$61,$A$52:$A$61,"&gt;="&amp;F13,$A$52:$A$61,"&lt;"&amp;F13+1)</f>
        <v>196170</v>
      </c>
      <c r="G15" s="35">
        <f>(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)+SUMIFS($H$52:$H$61,$A$52:$A$61,"&gt;="&amp;G13,$A$52:$A$61,"&lt;"&amp;G13+1)</f>
        <v>79000</v>
      </c>
      <c r="H15" s="35">
        <f>(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)+SUMIFS($H$52:$H$61,$A$52:$A$61,"&gt;="&amp;H13,$A$52:$A$61,"&lt;"&amp;H13+1)</f>
        <v>23950</v>
      </c>
      <c r="I15" s="45">
        <f>SUM(B15:H15)</f>
        <v>499710</v>
      </c>
      <c r="J15" s="12"/>
      <c r="K15" s="38" t="s">
        <v>362</v>
      </c>
      <c r="L15" s="38" t="s">
        <v>547</v>
      </c>
      <c r="M15" s="34" t="s">
        <v>344</v>
      </c>
      <c r="N15" s="34" t="s">
        <v>360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542</v>
      </c>
    </row>
    <row r="16" spans="1:27" ht="22" customHeight="1">
      <c r="A16" s="31" t="s">
        <v>223</v>
      </c>
      <c r="B16" s="27">
        <f t="shared" ref="B16:H16" si="4">IF(COUNT(B14,B15)=0,"",SUM(B14)-SUM(B15))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363</v>
      </c>
      <c r="M16" s="27" t="s">
        <v>344</v>
      </c>
      <c r="N16" s="27" t="s">
        <v>364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27" t="s">
        <v>542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34" t="s">
        <v>542</v>
      </c>
    </row>
    <row r="18" spans="1:22" ht="22" customHeight="1">
      <c r="A18" s="39" t="s">
        <v>368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371</v>
      </c>
      <c r="U18" s="27" t="s">
        <v>542</v>
      </c>
    </row>
    <row r="19" spans="1:22" ht="22" customHeight="1">
      <c r="A19" s="31" t="s">
        <v>323</v>
      </c>
      <c r="B19" s="35">
        <f>(35000)+SUMIFS($AB$52:$AB$61,$A$52:$A$61,"&gt;="&amp;B18,$A$52:$A$61,"&lt;"&amp;B18+1)</f>
        <v>35000</v>
      </c>
      <c r="C19" s="35">
        <f>(29000)+SUMIFS($AB$52:$AB$61,$A$52:$A$61,"&gt;="&amp;C18,$A$52:$A$61,"&lt;"&amp;C18+1)</f>
        <v>29000</v>
      </c>
      <c r="D19" s="35">
        <f>(43000)+SUMIFS($AB$52:$AB$61,$A$52:$A$61,"&gt;="&amp;D18,$A$52:$A$61,"&lt;"&amp;D18+1)</f>
        <v>43000</v>
      </c>
      <c r="E19" s="35">
        <f>(250000)+SUMIFS($AB$52:$AB$61,$A$52:$A$61,"&gt;="&amp;E18,$A$52:$A$61,"&lt;"&amp;E18+1)</f>
        <v>250000</v>
      </c>
      <c r="F19" s="35">
        <f>(62000)+SUMIFS($AB$52:$AB$61,$A$52:$A$61,"&gt;="&amp;F18,$A$52:$A$61,"&lt;"&amp;F18+1)</f>
        <v>62000</v>
      </c>
      <c r="G19" s="35">
        <f>(52000)+SUMIFS($AB$52:$AB$61,$A$52:$A$61,"&gt;="&amp;G18,$A$52:$A$61,"&lt;"&amp;G18+1)</f>
        <v>52000</v>
      </c>
      <c r="H19" s="35">
        <f>(48000)+SUMIFS($AB$52:$AB$61,$A$52:$A$61,"&gt;="&amp;H18,$A$52:$A$61,"&lt;"&amp;H18+1)</f>
        <v>198000</v>
      </c>
      <c r="I19" s="45">
        <f>SUM(B19:H19)</f>
        <v>669000</v>
      </c>
      <c r="J19" s="12"/>
      <c r="K19" s="38"/>
      <c r="L19" s="38" t="s">
        <v>372</v>
      </c>
      <c r="M19" s="34" t="s">
        <v>344</v>
      </c>
      <c r="N19" s="34" t="s">
        <v>373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374</v>
      </c>
      <c r="U19" s="34" t="s">
        <v>542</v>
      </c>
    </row>
    <row r="20" spans="1:22" ht="22" customHeight="1">
      <c r="A20" s="31" t="s">
        <v>322</v>
      </c>
      <c r="B20" s="35">
        <f>(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)+SUMIFS($H$52:$H$61,$A$52:$A$61,"&gt;="&amp;B18,$A$52:$A$61,"&lt;"&amp;B18+1)</f>
        <v>33800</v>
      </c>
      <c r="C20" s="35">
        <f>(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)+SUMIFS($H$52:$H$61,$A$52:$A$61,"&gt;="&amp;C18,$A$52:$A$61,"&lt;"&amp;C18+1)</f>
        <v>28400</v>
      </c>
      <c r="D20" s="35">
        <f>(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)+SUMIFS($H$52:$H$61,$A$52:$A$61,"&gt;="&amp;D18,$A$52:$A$61,"&lt;"&amp;D18+1)</f>
        <v>41890</v>
      </c>
      <c r="E20" s="35">
        <f>(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)+SUMIFS($H$52:$H$61,$A$52:$A$61,"&gt;="&amp;E18,$A$52:$A$61,"&lt;"&amp;E18+1)</f>
        <v>245130</v>
      </c>
      <c r="F20" s="35">
        <f>(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)+SUMIFS($H$52:$H$61,$A$52:$A$61,"&gt;="&amp;F18,$A$52:$A$61,"&lt;"&amp;F18+1)</f>
        <v>60300</v>
      </c>
      <c r="G20" s="35">
        <f>(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)+SUMIFS($H$52:$H$61,$A$52:$A$61,"&gt;="&amp;G18,$A$52:$A$61,"&lt;"&amp;G18+1)</f>
        <v>52000</v>
      </c>
      <c r="H20" s="35">
        <f>(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정산",RAW!$J$2:$J$10018,"약속·만남"))+SUMIFS($H$52:$H$61,$A$52:$A$61,"&gt;="&amp;H18,$A$52:$A$61,"&lt;"&amp;H18+1)</f>
        <v>198000</v>
      </c>
      <c r="I20" s="45">
        <f>SUM(B20:H20)</f>
        <v>659520</v>
      </c>
      <c r="J20" s="12"/>
      <c r="K20" s="31"/>
      <c r="L20" s="31" t="s">
        <v>375</v>
      </c>
      <c r="M20" s="27" t="s">
        <v>344</v>
      </c>
      <c r="N20" s="27" t="s">
        <v>376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371</v>
      </c>
      <c r="U20" s="27" t="s">
        <v>542</v>
      </c>
    </row>
    <row r="21" spans="1:22" ht="22" customHeight="1">
      <c r="A21" s="31" t="s">
        <v>223</v>
      </c>
      <c r="B21" s="27">
        <f t="shared" ref="B21:H21" si="5">IF(COUNT(B19,B20)=0,"",SUM(B19)-SUM(B20))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377</v>
      </c>
      <c r="M21" s="34" t="s">
        <v>344</v>
      </c>
      <c r="N21" s="34" t="s">
        <v>378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379</v>
      </c>
      <c r="U21" s="34" t="s">
        <v>542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548</v>
      </c>
      <c r="T22" s="27" t="s">
        <v>383</v>
      </c>
      <c r="U22" s="27" t="s">
        <v>542</v>
      </c>
    </row>
    <row r="23" spans="1:22" ht="22" customHeight="1">
      <c r="A23" s="39" t="s">
        <v>384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382</v>
      </c>
      <c r="T23" s="34" t="s">
        <v>76</v>
      </c>
      <c r="U23" s="34" t="s">
        <v>542</v>
      </c>
    </row>
    <row r="24" spans="1:22" ht="22" customHeight="1">
      <c r="A24" s="31" t="s">
        <v>323</v>
      </c>
      <c r="B24" s="35">
        <f>(24000)+SUMIFS($AB$52:$AB$61,$A$52:$A$61,"&gt;="&amp;B23,$A$52:$A$61,"&lt;"&amp;B23+1)</f>
        <v>24000</v>
      </c>
      <c r="C24" s="35">
        <f>(174000)+SUMIFS($AB$52:$AB$61,$A$52:$A$61,"&gt;="&amp;C23,$A$52:$A$61,"&lt;"&amp;C23+1)</f>
        <v>174000</v>
      </c>
      <c r="D24" s="35">
        <f>(18000)+SUMIFS($AB$52:$AB$61,$A$52:$A$61,"&gt;="&amp;D23,$A$52:$A$61,"&lt;"&amp;D23+1)</f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517</v>
      </c>
      <c r="M24" s="27" t="s">
        <v>330</v>
      </c>
      <c r="N24" s="27" t="s">
        <v>378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386</v>
      </c>
      <c r="T24" s="27" t="s">
        <v>76</v>
      </c>
      <c r="U24" s="27" t="s">
        <v>542</v>
      </c>
    </row>
    <row r="25" spans="1:22" ht="25" customHeight="1">
      <c r="A25" s="31" t="s">
        <v>322</v>
      </c>
      <c r="B25" s="35">
        <f>(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)+SUMIFS($H$52:$H$61,$A$52:$A$61,"&gt;="&amp;B23,$A$52:$A$61,"&lt;"&amp;B23+1)</f>
        <v>23900</v>
      </c>
      <c r="C25" s="35">
        <f>(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)+SUMIFS($H$52:$H$61,$A$52:$A$61,"&gt;="&amp;C23,$A$52:$A$61,"&lt;"&amp;C23+1)</f>
        <v>171750</v>
      </c>
      <c r="D25" s="35">
        <f>(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)+SUMIFS($H$52:$H$61,$A$52:$A$61,"&gt;="&amp;D23,$A$52:$A$61,"&lt;"&amp;D23+1)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223</v>
      </c>
      <c r="B26" s="27">
        <f>IF(COUNT(B24,B25)=0,"",SUM(B24)-SUM(B25))</f>
        <v>100</v>
      </c>
      <c r="C26" s="27">
        <f>IF(COUNT(C24,C25)=0,"",SUM(C24)-SUM(C25))</f>
        <v>2250</v>
      </c>
      <c r="D26" s="27">
        <f>IF(COUNT(D24,D25)=0,"",SUM(D24)-SUM(D25))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HYPERLINK("#'9월계산기'!A1","계산기 대조 · 9월계산기 열기")</f>
        <v>계산기 대조 · 9월계산기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2116000</v>
      </c>
      <c r="N28" s="365"/>
      <c r="O28" s="366" t="s">
        <v>212</v>
      </c>
      <c r="P28" s="365"/>
      <c r="Q28" s="364">
        <f>'9월계산기'!W12</f>
        <v>2116000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2066000</v>
      </c>
      <c r="N29" s="365"/>
      <c r="O29" s="366" t="s">
        <v>213</v>
      </c>
      <c r="P29" s="365"/>
      <c r="Q29" s="364">
        <f>'9월계산기'!W13</f>
        <v>2066000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42149</v>
      </c>
      <c r="N30" s="365"/>
      <c r="O30" s="366" t="s">
        <v>391</v>
      </c>
      <c r="P30" s="365"/>
      <c r="Q30" s="364">
        <f>SUM(I4,I9,I14,I19,I24,I29)-I33</f>
        <v>42149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'9월계산기'!W14</f>
        <v>50000</v>
      </c>
      <c r="N31" s="365"/>
      <c r="O31" s="366" t="s">
        <v>392</v>
      </c>
      <c r="P31" s="365"/>
      <c r="Q31" s="364">
        <f>SUM(I4,I9,I14,I19,I24,I29)-I38</f>
        <v>50000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393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2501</v>
      </c>
      <c r="B33" s="37"/>
      <c r="C33" s="37"/>
      <c r="D33" s="37"/>
      <c r="E33" s="37"/>
      <c r="F33" s="37"/>
      <c r="G33" s="37"/>
      <c r="H33" s="37"/>
      <c r="I33" s="37">
        <f>SUM(I5,I10,I15,I20,I25,I30)</f>
        <v>2073851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306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402</v>
      </c>
      <c r="L37" s="31" t="s">
        <v>403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2502</v>
      </c>
      <c r="F38" s="27"/>
      <c r="G38" s="27"/>
      <c r="H38" s="27">
        <f>I33-50000-_예비비계산!AG10</f>
        <v>2023851</v>
      </c>
      <c r="I38" s="27">
        <f>SUM(I4,I9,I14,I19,I24,I29)-50000-_예비비계산!AH10</f>
        <v>2066000</v>
      </c>
      <c r="J38" s="12"/>
      <c r="K38" s="38" t="s">
        <v>402</v>
      </c>
      <c r="L38" s="38" t="s">
        <v>404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2503</v>
      </c>
      <c r="F39" s="27"/>
      <c r="G39" s="27"/>
      <c r="H39" s="27">
        <f>I62</f>
        <v>175701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176000</v>
      </c>
      <c r="J39" s="12"/>
      <c r="K39" s="31" t="s">
        <v>402</v>
      </c>
      <c r="L39" s="31" t="s">
        <v>406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402</v>
      </c>
      <c r="L40" s="38" t="s">
        <v>409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3126050</v>
      </c>
      <c r="D41" s="27"/>
      <c r="E41" s="49" t="s">
        <v>411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402</v>
      </c>
      <c r="L41" s="31" t="s">
        <v>412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2504</v>
      </c>
      <c r="B42" s="380"/>
      <c r="C42" s="380"/>
      <c r="D42" s="381"/>
      <c r="E42" s="49" t="s">
        <v>414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402</v>
      </c>
      <c r="L42" s="38" t="s">
        <v>415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v>0</v>
      </c>
      <c r="I43" s="27">
        <f>H43</f>
        <v>0</v>
      </c>
      <c r="J43" s="12"/>
      <c r="K43" s="31" t="s">
        <v>402</v>
      </c>
      <c r="L43" s="31" t="s">
        <v>416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SUM(H37:H38,H40:H42)+H47-H43</f>
        <v>4278097</v>
      </c>
      <c r="I44" s="37">
        <f>SUM(I37:I38,I40:I42)+I47-I43</f>
        <v>4328000</v>
      </c>
      <c r="J44" s="12"/>
      <c r="K44" s="50" t="s">
        <v>418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8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8" ht="27" customHeight="1">
      <c r="A50" s="388" t="s">
        <v>2505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8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2506</v>
      </c>
      <c r="H51" s="55" t="s">
        <v>2507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  <c r="AB51" t="s">
        <v>2508</v>
      </c>
    </row>
    <row r="52" spans="1:28" ht="64" customHeight="1">
      <c r="A52" s="95">
        <v>46275</v>
      </c>
      <c r="B52" s="35" t="s">
        <v>549</v>
      </c>
      <c r="C52" s="35" t="s">
        <v>550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2509</v>
      </c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 t="shared" ref="AB52:AB61" si="8">IF(D52="","",CEILING(F52,1000)-IF(G52="",0,CEILING(G52,1000)))</f>
        <v>0</v>
      </c>
    </row>
    <row r="53" spans="1:28" ht="72" customHeight="1">
      <c r="A53" s="95">
        <f>RAW!A2080</f>
        <v>46266.848612465277</v>
      </c>
      <c r="B53" s="35" t="s">
        <v>480</v>
      </c>
      <c r="C53" s="35" t="s">
        <v>551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2509</v>
      </c>
      <c r="J53" s="12"/>
      <c r="K53" s="50" t="s">
        <v>432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  <c r="AB53">
        <f t="shared" si="8"/>
        <v>11000</v>
      </c>
    </row>
    <row r="54" spans="1:28" ht="72" customHeight="1">
      <c r="A54" s="95">
        <f>RAW!A2286</f>
        <v>46292.87639164352</v>
      </c>
      <c r="B54" s="35" t="s">
        <v>480</v>
      </c>
      <c r="C54" s="35" t="s">
        <v>552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2509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 t="shared" si="8"/>
        <v>150000</v>
      </c>
    </row>
    <row r="55" spans="1:28" ht="27" customHeight="1">
      <c r="A55" s="95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  <c r="AB55" t="str">
        <f t="shared" si="8"/>
        <v/>
      </c>
    </row>
    <row r="56" spans="1:28" ht="25" customHeight="1">
      <c r="A56" s="95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  <c r="AB56" t="str">
        <f t="shared" si="8"/>
        <v/>
      </c>
    </row>
    <row r="57" spans="1:28" ht="22" customHeight="1">
      <c r="A57" s="95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435</v>
      </c>
      <c r="L57" s="31" t="s">
        <v>190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  <c r="AB57" t="str">
        <f t="shared" si="8"/>
        <v/>
      </c>
    </row>
    <row r="58" spans="1:28" ht="22" customHeight="1">
      <c r="A58" s="95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435</v>
      </c>
      <c r="L58" s="31" t="s">
        <v>138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  <c r="AB58" t="str">
        <f t="shared" si="8"/>
        <v/>
      </c>
    </row>
    <row r="59" spans="1:28" ht="22" customHeight="1">
      <c r="A59" s="95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435</v>
      </c>
      <c r="L59" s="31" t="s">
        <v>436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  <c r="AB59" t="str">
        <f t="shared" si="8"/>
        <v/>
      </c>
    </row>
    <row r="60" spans="1:28" ht="25" customHeight="1">
      <c r="A60" s="95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437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  <c r="AB60" t="str">
        <f t="shared" si="8"/>
        <v/>
      </c>
    </row>
    <row r="61" spans="1:28" ht="22" customHeight="1">
      <c r="A61" s="95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 t="str">
        <f t="shared" si="8"/>
        <v/>
      </c>
    </row>
    <row r="62" spans="1:28" ht="27" customHeight="1">
      <c r="A62" s="375" t="s">
        <v>2510</v>
      </c>
      <c r="B62" s="376"/>
      <c r="C62" s="376"/>
      <c r="D62" s="376"/>
      <c r="E62" s="376"/>
      <c r="F62" s="376"/>
      <c r="G62" s="376"/>
      <c r="H62" s="377"/>
      <c r="I62" s="37">
        <f>SUM(F52:F61)</f>
        <v>175701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8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8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358" t="s">
        <v>553</v>
      </c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378"/>
      <c r="T65" s="359"/>
      <c r="U65" s="360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50000</v>
      </c>
      <c r="N66" s="40">
        <f>_예비비계산!AD10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26" t="s">
        <v>554</v>
      </c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51" t="s">
        <v>555</v>
      </c>
      <c r="B70" s="376"/>
      <c r="C70" s="376"/>
      <c r="D70" s="376"/>
      <c r="E70" s="376"/>
      <c r="F70" s="376"/>
      <c r="G70" s="376"/>
      <c r="H70" s="376"/>
      <c r="I70" s="376"/>
      <c r="J70" s="376"/>
      <c r="K70" s="376"/>
      <c r="L70" s="376"/>
      <c r="M70" s="376"/>
      <c r="N70" s="376"/>
      <c r="O70" s="376"/>
      <c r="P70" s="376"/>
      <c r="Q70" s="376"/>
      <c r="R70" s="376"/>
      <c r="S70" s="376"/>
      <c r="T70" s="377"/>
    </row>
    <row r="72" spans="1:21" ht="27" customHeight="1">
      <c r="A72" s="354" t="str">
        <f>TEXT($T$1,"m월")&amp;" 사용금액 요약"</f>
        <v>9월 사용금액 요약</v>
      </c>
      <c r="B72" s="350"/>
      <c r="C72" s="350"/>
      <c r="D72" s="350"/>
      <c r="E72" s="350"/>
      <c r="F72" s="350"/>
      <c r="G72" s="350"/>
      <c r="H72" s="350"/>
      <c r="I72" s="350"/>
      <c r="J72" s="350"/>
      <c r="K72" s="350"/>
      <c r="L72" s="350"/>
      <c r="M72" s="350"/>
      <c r="N72" s="350"/>
      <c r="O72" s="350"/>
      <c r="P72" s="350"/>
      <c r="Q72" s="350"/>
      <c r="R72" s="350"/>
      <c r="S72" s="350"/>
      <c r="T72" s="350"/>
      <c r="U72" s="350"/>
    </row>
    <row r="73" spans="1:21" ht="32" customHeight="1">
      <c r="A73" s="352" t="s">
        <v>573</v>
      </c>
      <c r="B73" s="350"/>
      <c r="C73" s="350"/>
      <c r="D73" s="350"/>
      <c r="E73" s="353">
        <v>2776050</v>
      </c>
      <c r="F73" s="350"/>
      <c r="G73" s="350"/>
      <c r="H73" s="350"/>
      <c r="J73" s="352" t="s">
        <v>2511</v>
      </c>
      <c r="K73" s="350"/>
      <c r="L73" s="350"/>
      <c r="M73" s="350"/>
      <c r="N73" s="350"/>
      <c r="O73" s="350"/>
      <c r="P73" s="350"/>
      <c r="Q73" s="350"/>
      <c r="R73" s="350"/>
      <c r="S73" s="350"/>
      <c r="T73" s="350"/>
      <c r="U73" s="350"/>
    </row>
    <row r="74" spans="1:21" ht="32" customHeight="1">
      <c r="A74" s="352" t="s">
        <v>2512</v>
      </c>
      <c r="B74" s="350"/>
      <c r="C74" s="350"/>
      <c r="D74" s="350"/>
      <c r="E74" s="353">
        <f>SUMIF($U$4:$U$24,"확정",$Q$4:$Q$24)+SUMIF($U$4:$U$24,"결제",$Q$4:$Q$24)+SUMIF($U$4:$U$24,"RAW 확인",$Q$4:$Q$24)+SUMIF($U$4:$U$24,"기존 입력",$Q$4:$Q$24)</f>
        <v>1244246</v>
      </c>
      <c r="F74" s="350"/>
      <c r="G74" s="350"/>
      <c r="H74" s="350"/>
      <c r="J74" s="352" t="s">
        <v>2513</v>
      </c>
      <c r="K74" s="350"/>
      <c r="L74" s="350"/>
      <c r="M74" s="350"/>
      <c r="N74" s="350"/>
      <c r="O74" s="350"/>
      <c r="P74" s="350"/>
      <c r="Q74" s="350"/>
      <c r="R74" s="350"/>
      <c r="S74" s="350"/>
      <c r="T74" s="350"/>
      <c r="U74" s="350"/>
    </row>
    <row r="75" spans="1:21" ht="32" customHeight="1">
      <c r="A75" s="352" t="s">
        <v>2514</v>
      </c>
      <c r="B75" s="350"/>
      <c r="C75" s="350"/>
      <c r="D75" s="350"/>
      <c r="E75" s="353">
        <f>SUM(Q4:Q24)</f>
        <v>1244246</v>
      </c>
      <c r="F75" s="350"/>
      <c r="G75" s="350"/>
      <c r="H75" s="350"/>
      <c r="J75" s="352" t="str">
        <f>"실제 확정액 포함. 미결제 예정 "&amp;TEXT(E75-E74,"#,##0")&amp;"원 포함한 참고 총액이며 실제 합계에 중복 가산하지 않음."</f>
        <v>실제 확정액 포함. 미결제 예정 0원 포함한 참고 총액이며 실제 합계에 중복 가산하지 않음.</v>
      </c>
      <c r="K75" s="350"/>
      <c r="L75" s="350"/>
      <c r="M75" s="350"/>
      <c r="N75" s="350"/>
      <c r="O75" s="350"/>
      <c r="P75" s="350"/>
      <c r="Q75" s="350"/>
      <c r="R75" s="350"/>
      <c r="S75" s="350"/>
      <c r="T75" s="350"/>
      <c r="U75" s="350"/>
    </row>
    <row r="76" spans="1:21" ht="32" customHeight="1">
      <c r="A76" s="352" t="s">
        <v>2515</v>
      </c>
      <c r="B76" s="350"/>
      <c r="C76" s="350"/>
      <c r="D76" s="350"/>
      <c r="E76" s="353">
        <f>I33</f>
        <v>2073851</v>
      </c>
      <c r="F76" s="350"/>
      <c r="G76" s="350"/>
      <c r="H76" s="350"/>
      <c r="J76" s="352" t="s">
        <v>2516</v>
      </c>
      <c r="K76" s="350"/>
      <c r="L76" s="350"/>
      <c r="M76" s="350"/>
      <c r="N76" s="350"/>
      <c r="O76" s="350"/>
      <c r="P76" s="350"/>
      <c r="Q76" s="350"/>
      <c r="R76" s="350"/>
      <c r="S76" s="350"/>
      <c r="T76" s="350"/>
      <c r="U76" s="350"/>
    </row>
    <row r="77" spans="1:21" ht="32" customHeight="1">
      <c r="A77" s="352" t="s">
        <v>2517</v>
      </c>
      <c r="B77" s="350"/>
      <c r="C77" s="350"/>
      <c r="D77" s="350"/>
      <c r="E77" s="353">
        <f>SUM(I4,I9,I14,I19,I24,I29)</f>
        <v>2116000</v>
      </c>
      <c r="F77" s="350"/>
      <c r="G77" s="350"/>
      <c r="H77" s="350"/>
      <c r="J77" s="352" t="s">
        <v>2518</v>
      </c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</row>
    <row r="78" spans="1:21" ht="32" customHeight="1">
      <c r="A78" s="349" t="s">
        <v>2519</v>
      </c>
      <c r="B78" s="350"/>
      <c r="C78" s="350"/>
      <c r="D78" s="350"/>
      <c r="E78" s="35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3318097</v>
      </c>
      <c r="F78" s="350"/>
      <c r="G78" s="350"/>
      <c r="H78" s="350"/>
      <c r="J78" s="35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  <c r="K78" s="350"/>
      <c r="L78" s="350"/>
      <c r="M78" s="350"/>
      <c r="N78" s="350"/>
      <c r="O78" s="350"/>
      <c r="P78" s="350"/>
      <c r="Q78" s="350"/>
      <c r="R78" s="350"/>
      <c r="S78" s="350"/>
      <c r="T78" s="350"/>
      <c r="U78" s="350"/>
    </row>
    <row r="79" spans="1:21" ht="32" customHeight="1">
      <c r="A79" s="349" t="s">
        <v>2520</v>
      </c>
      <c r="B79" s="350"/>
      <c r="C79" s="350"/>
      <c r="D79" s="350"/>
      <c r="E79" s="351">
        <f>E78</f>
        <v>3318097</v>
      </c>
      <c r="F79" s="350"/>
      <c r="G79" s="350"/>
      <c r="H79" s="350"/>
      <c r="J79" s="352" t="s">
        <v>2521</v>
      </c>
      <c r="K79" s="350"/>
      <c r="L79" s="350"/>
      <c r="M79" s="350"/>
      <c r="N79" s="350"/>
      <c r="O79" s="350"/>
      <c r="P79" s="350"/>
      <c r="Q79" s="350"/>
      <c r="R79" s="350"/>
      <c r="S79" s="350"/>
      <c r="T79" s="350"/>
      <c r="U79" s="350"/>
    </row>
  </sheetData>
  <mergeCells count="59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9:D79"/>
    <mergeCell ref="E79:H79"/>
    <mergeCell ref="J79:U79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27" priority="1" operator="lessThan">
      <formula>0</formula>
    </cfRule>
  </conditionalFormatting>
  <conditionalFormatting sqref="C12">
    <cfRule type="expression" dxfId="26" priority="2">
      <formula>$C$12="SUCCESS"</formula>
    </cfRule>
    <cfRule type="expression" dxfId="25" priority="3">
      <formula>$C$12="FALSE"</formula>
    </cfRule>
  </conditionalFormatting>
  <conditionalFormatting sqref="C14">
    <cfRule type="expression" dxfId="24" priority="4">
      <formula>C14="FALSE"</formula>
    </cfRule>
  </conditionalFormatting>
  <conditionalFormatting sqref="H45:I45">
    <cfRule type="cellIs" dxfId="23" priority="6" operator="lessThan">
      <formula>0</formula>
    </cfRule>
  </conditionalFormatting>
  <conditionalFormatting sqref="H46:I46">
    <cfRule type="expression" dxfId="22" priority="7">
      <formula>H46="FALSE"</formula>
    </cfRule>
  </conditionalFormatting>
  <conditionalFormatting sqref="I5">
    <cfRule type="cellIs" dxfId="21" priority="5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5" bestFit="1" customWidth="1"/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556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434</v>
      </c>
      <c r="D3" s="120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434000</v>
      </c>
      <c r="AA3">
        <v>434</v>
      </c>
    </row>
    <row r="4" spans="1:27" ht="18" customHeight="1">
      <c r="A4" s="117" t="s">
        <v>453</v>
      </c>
      <c r="B4" s="125"/>
      <c r="C4" s="119">
        <f>IFERROR(colorfunction(B4,$B$15:$U$144,FALSE),$AA$4)</f>
        <v>165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165000</v>
      </c>
      <c r="AA4">
        <v>165</v>
      </c>
    </row>
    <row r="5" spans="1:27" ht="18" customHeight="1">
      <c r="A5" s="117" t="s">
        <v>454</v>
      </c>
      <c r="B5" s="127"/>
      <c r="C5" s="119">
        <f>IFERROR(colorfunction(B5,$B$15:$U$144,FALSE),$AA$5)</f>
        <v>441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441000</v>
      </c>
      <c r="AA5">
        <v>441</v>
      </c>
    </row>
    <row r="6" spans="1:27" ht="18" customHeight="1">
      <c r="A6" s="117" t="s">
        <v>455</v>
      </c>
      <c r="B6" s="128"/>
      <c r="C6" s="119">
        <f>IFERROR(colorfunction(B6,$B$15:$U$144,FALSE),$AA$6)</f>
        <v>329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329000</v>
      </c>
      <c r="AA6">
        <v>329</v>
      </c>
    </row>
    <row r="7" spans="1:27" ht="18" customHeight="1">
      <c r="A7" s="117" t="s">
        <v>456</v>
      </c>
      <c r="B7" s="129"/>
      <c r="C7" s="119">
        <f>IFERROR(colorfunction(B7,$B$15:$U$144,FALSE),$AA$7)</f>
        <v>124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124000</v>
      </c>
      <c r="AA7">
        <v>124</v>
      </c>
    </row>
    <row r="8" spans="1:27" ht="18" customHeight="1">
      <c r="A8" s="117" t="s">
        <v>457</v>
      </c>
      <c r="B8" s="130"/>
      <c r="C8" s="119">
        <f>IFERROR(colorfunction(B8,$B$15:$U$144,FALSE),$AA$8)</f>
        <v>218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218000</v>
      </c>
      <c r="AA8">
        <v>218</v>
      </c>
    </row>
    <row r="9" spans="1:27" ht="18" customHeight="1">
      <c r="A9" s="117" t="s">
        <v>458</v>
      </c>
      <c r="B9" s="131"/>
      <c r="C9" s="119">
        <f>IFERROR(colorfunction(B9,$B$15:$U$144,FALSE),$AA$9)</f>
        <v>211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211000</v>
      </c>
      <c r="AA9">
        <v>211</v>
      </c>
    </row>
    <row r="10" spans="1:27" ht="18" customHeight="1">
      <c r="A10" s="117" t="s">
        <v>459</v>
      </c>
      <c r="B10" s="132"/>
      <c r="C10" s="119">
        <f>IFERROR(colorfunction(B10,$B$15:$U$144,FALSE),$AA$10)</f>
        <v>146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146000</v>
      </c>
      <c r="AA10">
        <v>146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2116000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2066000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CEILING(RAW!K2203,1000)+_예비비계산!AH10</f>
        <v>50000</v>
      </c>
    </row>
    <row r="15" spans="1:27" ht="12" customHeight="1">
      <c r="A15" s="122"/>
      <c r="B15" s="133"/>
      <c r="C15" s="134"/>
      <c r="D15" s="133"/>
      <c r="E15" s="147"/>
      <c r="F15" s="135"/>
      <c r="G15" s="147"/>
      <c r="H15" s="146"/>
      <c r="I15" s="147"/>
      <c r="J15" s="146"/>
      <c r="K15" s="136"/>
      <c r="L15" s="133"/>
      <c r="M15" s="134"/>
      <c r="N15" s="135"/>
      <c r="O15" s="173"/>
      <c r="P15" s="181"/>
      <c r="Q15" s="147"/>
      <c r="R15" s="146"/>
      <c r="S15" s="147"/>
      <c r="T15" s="146"/>
      <c r="U15" s="134"/>
      <c r="V15" s="299" t="s">
        <v>462</v>
      </c>
      <c r="W15" s="300">
        <f>AA15</f>
        <v>50000</v>
      </c>
      <c r="AA15">
        <f>CEILING(RAW!K2203,1000)</f>
        <v>50000</v>
      </c>
    </row>
    <row r="16" spans="1:27" ht="12" customHeight="1">
      <c r="A16" s="122"/>
      <c r="B16" s="137"/>
      <c r="C16" s="138"/>
      <c r="D16" s="152"/>
      <c r="E16" s="153"/>
      <c r="F16" s="139"/>
      <c r="G16" s="153"/>
      <c r="H16" s="152"/>
      <c r="I16" s="153"/>
      <c r="J16" s="152"/>
      <c r="K16" s="140"/>
      <c r="L16" s="137"/>
      <c r="M16" s="138"/>
      <c r="N16" s="139"/>
      <c r="O16" s="182"/>
      <c r="P16" s="164"/>
      <c r="Q16" s="153"/>
      <c r="R16" s="152"/>
      <c r="S16" s="153"/>
      <c r="T16" s="137"/>
      <c r="U16" s="138"/>
      <c r="V16" s="299" t="s">
        <v>211</v>
      </c>
      <c r="W16" s="300">
        <f>SUM(W3:W10)</f>
        <v>2068000</v>
      </c>
    </row>
    <row r="17" spans="1:27" ht="12" customHeight="1">
      <c r="A17" s="122"/>
      <c r="B17" s="137"/>
      <c r="C17" s="138"/>
      <c r="D17" s="152"/>
      <c r="E17" s="153"/>
      <c r="F17" s="139"/>
      <c r="G17" s="153"/>
      <c r="H17" s="152"/>
      <c r="I17" s="153"/>
      <c r="J17" s="152"/>
      <c r="K17" s="140"/>
      <c r="L17" s="137"/>
      <c r="M17" s="138"/>
      <c r="N17" s="139"/>
      <c r="O17" s="182"/>
      <c r="P17" s="164"/>
      <c r="Q17" s="153"/>
      <c r="R17" s="152"/>
      <c r="S17" s="153"/>
      <c r="T17" s="137"/>
      <c r="U17" s="138"/>
      <c r="V17" s="301" t="s">
        <v>463</v>
      </c>
      <c r="W17" s="302">
        <f>AA17</f>
        <v>2000</v>
      </c>
      <c r="AA17">
        <f>CEILING(RAW!K2085,1000)</f>
        <v>2000</v>
      </c>
    </row>
    <row r="18" spans="1:27" ht="12" customHeight="1">
      <c r="A18" s="122"/>
      <c r="B18" s="137"/>
      <c r="C18" s="138"/>
      <c r="D18" s="152"/>
      <c r="E18" s="140"/>
      <c r="F18" s="164"/>
      <c r="G18" s="153"/>
      <c r="H18" s="152"/>
      <c r="I18" s="153"/>
      <c r="J18" s="152"/>
      <c r="K18" s="140"/>
      <c r="L18" s="137"/>
      <c r="M18" s="140"/>
      <c r="N18" s="164"/>
      <c r="O18" s="182"/>
      <c r="P18" s="164"/>
      <c r="Q18" s="153"/>
      <c r="R18" s="152"/>
      <c r="S18" s="153"/>
      <c r="T18" s="137"/>
      <c r="U18" s="138"/>
      <c r="V18" s="122"/>
      <c r="W18" s="122"/>
    </row>
    <row r="19" spans="1:27" ht="12" customHeight="1" thickBot="1">
      <c r="A19" s="141">
        <v>1</v>
      </c>
      <c r="B19" s="142"/>
      <c r="C19" s="143"/>
      <c r="D19" s="158"/>
      <c r="E19" s="145"/>
      <c r="F19" s="165"/>
      <c r="G19" s="159"/>
      <c r="H19" s="158"/>
      <c r="I19" s="159"/>
      <c r="J19" s="144"/>
      <c r="K19" s="143"/>
      <c r="L19" s="142"/>
      <c r="M19" s="145"/>
      <c r="N19" s="165"/>
      <c r="O19" s="172"/>
      <c r="P19" s="158"/>
      <c r="Q19" s="159"/>
      <c r="R19" s="158"/>
      <c r="S19" s="159"/>
      <c r="T19" s="142"/>
      <c r="U19" s="143"/>
      <c r="V19" s="122"/>
      <c r="W19" s="122"/>
    </row>
    <row r="20" spans="1:27" ht="12" customHeight="1">
      <c r="A20" s="122"/>
      <c r="B20" s="133"/>
      <c r="C20" s="136"/>
      <c r="D20" s="133"/>
      <c r="E20" s="150"/>
      <c r="F20" s="151"/>
      <c r="G20" s="150"/>
      <c r="H20" s="151"/>
      <c r="I20" s="150"/>
      <c r="J20" s="151"/>
      <c r="K20" s="150"/>
      <c r="L20" s="151"/>
      <c r="M20" s="150"/>
      <c r="N20" s="151"/>
      <c r="O20" s="150"/>
      <c r="P20" s="133"/>
      <c r="Q20" s="136"/>
      <c r="R20" s="133"/>
      <c r="S20" s="134"/>
      <c r="T20" s="133"/>
      <c r="U20" s="134"/>
      <c r="V20" s="122"/>
      <c r="W20" s="122"/>
    </row>
    <row r="21" spans="1:27" ht="12" customHeight="1">
      <c r="A21" s="122"/>
      <c r="B21" s="139"/>
      <c r="C21" s="138"/>
      <c r="D21" s="137"/>
      <c r="E21" s="156"/>
      <c r="F21" s="157"/>
      <c r="G21" s="156"/>
      <c r="H21" s="157"/>
      <c r="I21" s="156"/>
      <c r="J21" s="157"/>
      <c r="K21" s="156"/>
      <c r="L21" s="157"/>
      <c r="M21" s="156"/>
      <c r="N21" s="157"/>
      <c r="O21" s="138"/>
      <c r="P21" s="137"/>
      <c r="Q21" s="140"/>
      <c r="R21" s="137"/>
      <c r="S21" s="138"/>
      <c r="T21" s="137"/>
      <c r="U21" s="138"/>
      <c r="V21" s="122"/>
      <c r="W21" s="122"/>
    </row>
    <row r="22" spans="1:27" ht="12" customHeight="1">
      <c r="A22" s="122"/>
      <c r="B22" s="139"/>
      <c r="C22" s="138"/>
      <c r="D22" s="157"/>
      <c r="E22" s="156"/>
      <c r="F22" s="157"/>
      <c r="G22" s="156"/>
      <c r="H22" s="157"/>
      <c r="I22" s="156"/>
      <c r="J22" s="157"/>
      <c r="K22" s="156"/>
      <c r="L22" s="157"/>
      <c r="M22" s="156"/>
      <c r="N22" s="157"/>
      <c r="O22" s="138"/>
      <c r="P22" s="137"/>
      <c r="Q22" s="140"/>
      <c r="R22" s="137"/>
      <c r="S22" s="138"/>
      <c r="T22" s="137"/>
      <c r="U22" s="138"/>
      <c r="V22" s="122"/>
      <c r="W22" s="122"/>
    </row>
    <row r="23" spans="1:27" ht="12" customHeight="1">
      <c r="A23" s="122"/>
      <c r="B23" s="139"/>
      <c r="C23" s="138"/>
      <c r="D23" s="157"/>
      <c r="E23" s="156"/>
      <c r="F23" s="157"/>
      <c r="G23" s="156"/>
      <c r="H23" s="157"/>
      <c r="I23" s="156"/>
      <c r="J23" s="157"/>
      <c r="K23" s="156"/>
      <c r="L23" s="157"/>
      <c r="M23" s="156"/>
      <c r="N23" s="157"/>
      <c r="O23" s="138"/>
      <c r="P23" s="137"/>
      <c r="Q23" s="140"/>
      <c r="R23" s="137"/>
      <c r="S23" s="138"/>
      <c r="T23" s="137"/>
      <c r="U23" s="138"/>
      <c r="V23" s="122"/>
      <c r="W23" s="122"/>
    </row>
    <row r="24" spans="1:27" ht="12" customHeight="1" thickBot="1">
      <c r="A24" s="141">
        <v>2</v>
      </c>
      <c r="B24" s="144"/>
      <c r="C24" s="143"/>
      <c r="D24" s="163"/>
      <c r="E24" s="162"/>
      <c r="F24" s="163"/>
      <c r="G24" s="162"/>
      <c r="H24" s="163"/>
      <c r="I24" s="162"/>
      <c r="J24" s="163"/>
      <c r="K24" s="162"/>
      <c r="L24" s="163"/>
      <c r="M24" s="162"/>
      <c r="N24" s="163"/>
      <c r="O24" s="143"/>
      <c r="P24" s="142"/>
      <c r="Q24" s="145"/>
      <c r="R24" s="142"/>
      <c r="S24" s="143"/>
      <c r="T24" s="142"/>
      <c r="U24" s="143"/>
      <c r="V24" s="122"/>
      <c r="W24" s="122"/>
    </row>
    <row r="25" spans="1:27" ht="12" customHeight="1">
      <c r="A25" s="122"/>
      <c r="B25" s="133"/>
      <c r="C25" s="134"/>
      <c r="D25" s="133"/>
      <c r="E25" s="134"/>
      <c r="F25" s="133"/>
      <c r="G25" s="134"/>
      <c r="H25" s="133"/>
      <c r="I25" s="134"/>
      <c r="J25" s="133"/>
      <c r="K25" s="134"/>
      <c r="L25" s="146"/>
      <c r="M25" s="147"/>
      <c r="N25" s="146"/>
      <c r="O25" s="147"/>
      <c r="P25" s="135"/>
      <c r="Q25" s="173"/>
      <c r="R25" s="181"/>
      <c r="S25" s="173"/>
      <c r="T25" s="181"/>
      <c r="U25" s="147"/>
      <c r="V25" s="122"/>
      <c r="W25" s="122"/>
    </row>
    <row r="26" spans="1:27" ht="12" customHeight="1">
      <c r="A26" s="122"/>
      <c r="B26" s="137"/>
      <c r="C26" s="138"/>
      <c r="D26" s="137"/>
      <c r="E26" s="138"/>
      <c r="F26" s="137"/>
      <c r="G26" s="138"/>
      <c r="H26" s="137"/>
      <c r="I26" s="138"/>
      <c r="J26" s="137"/>
      <c r="K26" s="138"/>
      <c r="L26" s="152"/>
      <c r="M26" s="153"/>
      <c r="N26" s="152"/>
      <c r="O26" s="153"/>
      <c r="P26" s="139"/>
      <c r="Q26" s="182"/>
      <c r="R26" s="164"/>
      <c r="S26" s="182"/>
      <c r="T26" s="164"/>
      <c r="U26" s="153"/>
      <c r="V26" s="122"/>
      <c r="W26" s="122"/>
    </row>
    <row r="27" spans="1:27" ht="12" customHeight="1">
      <c r="A27" s="122"/>
      <c r="B27" s="137"/>
      <c r="C27" s="138"/>
      <c r="D27" s="137"/>
      <c r="E27" s="138"/>
      <c r="F27" s="137"/>
      <c r="G27" s="138"/>
      <c r="H27" s="137"/>
      <c r="I27" s="138"/>
      <c r="J27" s="137"/>
      <c r="K27" s="138"/>
      <c r="L27" s="152"/>
      <c r="M27" s="153"/>
      <c r="N27" s="152"/>
      <c r="O27" s="138"/>
      <c r="P27" s="139"/>
      <c r="Q27" s="182"/>
      <c r="R27" s="164"/>
      <c r="S27" s="182"/>
      <c r="T27" s="164"/>
      <c r="U27" s="153"/>
      <c r="V27" s="122"/>
      <c r="W27" s="122"/>
    </row>
    <row r="28" spans="1:27" ht="12" customHeight="1">
      <c r="A28" s="122"/>
      <c r="B28" s="137"/>
      <c r="C28" s="138"/>
      <c r="D28" s="137"/>
      <c r="E28" s="138"/>
      <c r="F28" s="137"/>
      <c r="G28" s="138"/>
      <c r="H28" s="137"/>
      <c r="I28" s="138"/>
      <c r="J28" s="137"/>
      <c r="K28" s="138"/>
      <c r="L28" s="152"/>
      <c r="M28" s="153"/>
      <c r="N28" s="152"/>
      <c r="O28" s="138"/>
      <c r="P28" s="139"/>
      <c r="Q28" s="182"/>
      <c r="R28" s="164"/>
      <c r="S28" s="182"/>
      <c r="T28" s="164"/>
      <c r="U28" s="153"/>
      <c r="V28" s="122"/>
      <c r="W28" s="122"/>
    </row>
    <row r="29" spans="1:27" ht="12" customHeight="1" thickBot="1">
      <c r="A29" s="141">
        <v>3</v>
      </c>
      <c r="B29" s="142"/>
      <c r="C29" s="143"/>
      <c r="D29" s="142"/>
      <c r="E29" s="143"/>
      <c r="F29" s="142"/>
      <c r="G29" s="143"/>
      <c r="H29" s="142"/>
      <c r="I29" s="143"/>
      <c r="J29" s="142"/>
      <c r="K29" s="143"/>
      <c r="L29" s="158"/>
      <c r="M29" s="159"/>
      <c r="N29" s="158"/>
      <c r="O29" s="143"/>
      <c r="P29" s="144"/>
      <c r="Q29" s="172"/>
      <c r="R29" s="165"/>
      <c r="S29" s="172"/>
      <c r="T29" s="165"/>
      <c r="U29" s="159"/>
      <c r="V29" s="122"/>
      <c r="W29" s="122"/>
    </row>
    <row r="30" spans="1:27" ht="12" customHeight="1">
      <c r="A30" s="122"/>
      <c r="B30" s="146"/>
      <c r="C30" s="147"/>
      <c r="D30" s="146"/>
      <c r="E30" s="147"/>
      <c r="F30" s="146"/>
      <c r="G30" s="134"/>
      <c r="H30" s="133"/>
      <c r="I30" s="134"/>
      <c r="J30" s="133"/>
      <c r="K30" s="134"/>
      <c r="L30" s="133"/>
      <c r="M30" s="173"/>
      <c r="N30" s="181"/>
      <c r="O30" s="173"/>
      <c r="P30" s="181"/>
      <c r="Q30" s="134"/>
      <c r="R30" s="133"/>
      <c r="S30" s="136"/>
      <c r="T30" s="149"/>
      <c r="U30" s="148"/>
      <c r="V30" s="122"/>
      <c r="W30" s="122"/>
    </row>
    <row r="31" spans="1:27" ht="12" customHeight="1">
      <c r="A31" s="122"/>
      <c r="B31" s="152"/>
      <c r="C31" s="153"/>
      <c r="D31" s="152"/>
      <c r="E31" s="153"/>
      <c r="F31" s="152"/>
      <c r="G31" s="138"/>
      <c r="H31" s="137"/>
      <c r="I31" s="138"/>
      <c r="J31" s="137"/>
      <c r="K31" s="138"/>
      <c r="L31" s="137"/>
      <c r="M31" s="182"/>
      <c r="N31" s="164"/>
      <c r="O31" s="182"/>
      <c r="P31" s="164"/>
      <c r="Q31" s="138"/>
      <c r="R31" s="137"/>
      <c r="S31" s="140"/>
      <c r="T31" s="155"/>
      <c r="U31" s="154"/>
      <c r="V31" s="122"/>
      <c r="W31" s="122"/>
    </row>
    <row r="32" spans="1:27" ht="12" customHeight="1">
      <c r="A32" s="122"/>
      <c r="B32" s="152"/>
      <c r="C32" s="153"/>
      <c r="D32" s="152"/>
      <c r="E32" s="153"/>
      <c r="F32" s="152"/>
      <c r="G32" s="138"/>
      <c r="H32" s="137"/>
      <c r="I32" s="138"/>
      <c r="J32" s="137"/>
      <c r="K32" s="138"/>
      <c r="L32" s="137"/>
      <c r="M32" s="182"/>
      <c r="N32" s="164"/>
      <c r="O32" s="182"/>
      <c r="P32" s="164"/>
      <c r="Q32" s="138"/>
      <c r="R32" s="137"/>
      <c r="S32" s="140"/>
      <c r="T32" s="155"/>
      <c r="U32" s="154"/>
      <c r="V32" s="122"/>
      <c r="W32" s="122"/>
    </row>
    <row r="33" spans="1:23" ht="12" customHeight="1">
      <c r="A33" s="122"/>
      <c r="B33" s="152"/>
      <c r="C33" s="153"/>
      <c r="D33" s="152"/>
      <c r="E33" s="153"/>
      <c r="F33" s="152"/>
      <c r="G33" s="138"/>
      <c r="H33" s="137"/>
      <c r="I33" s="138"/>
      <c r="J33" s="137"/>
      <c r="K33" s="138"/>
      <c r="L33" s="164"/>
      <c r="M33" s="182"/>
      <c r="N33" s="164"/>
      <c r="O33" s="182"/>
      <c r="P33" s="164"/>
      <c r="Q33" s="138"/>
      <c r="R33" s="137"/>
      <c r="S33" s="140"/>
      <c r="T33" s="155"/>
      <c r="U33" s="140"/>
      <c r="V33" s="122"/>
      <c r="W33" s="122"/>
    </row>
    <row r="34" spans="1:23" ht="12" customHeight="1" thickBot="1">
      <c r="A34" s="141">
        <v>4</v>
      </c>
      <c r="B34" s="158"/>
      <c r="C34" s="159"/>
      <c r="D34" s="158"/>
      <c r="E34" s="159"/>
      <c r="F34" s="158"/>
      <c r="G34" s="143"/>
      <c r="H34" s="142"/>
      <c r="I34" s="143"/>
      <c r="J34" s="142"/>
      <c r="K34" s="143"/>
      <c r="L34" s="165"/>
      <c r="M34" s="172"/>
      <c r="N34" s="165"/>
      <c r="O34" s="172"/>
      <c r="P34" s="142"/>
      <c r="Q34" s="143"/>
      <c r="R34" s="144"/>
      <c r="S34" s="160"/>
      <c r="T34" s="161"/>
      <c r="U34" s="145"/>
      <c r="V34" s="122"/>
      <c r="W34" s="122"/>
    </row>
    <row r="35" spans="1:23" ht="12" customHeight="1">
      <c r="A35" s="122"/>
      <c r="B35" s="135"/>
      <c r="C35" s="134"/>
      <c r="D35" s="133"/>
      <c r="E35" s="134"/>
      <c r="F35" s="135"/>
      <c r="G35" s="134"/>
      <c r="H35" s="146"/>
      <c r="I35" s="147"/>
      <c r="J35" s="146"/>
      <c r="K35" s="136"/>
      <c r="L35" s="133"/>
      <c r="M35" s="134"/>
      <c r="N35" s="135"/>
      <c r="O35" s="134"/>
      <c r="P35" s="181"/>
      <c r="Q35" s="173"/>
      <c r="R35" s="181"/>
      <c r="S35" s="183"/>
      <c r="T35" s="184"/>
      <c r="U35" s="183"/>
      <c r="V35" s="122"/>
      <c r="W35" s="122"/>
    </row>
    <row r="36" spans="1:23" ht="12" customHeight="1">
      <c r="A36" s="122"/>
      <c r="B36" s="139"/>
      <c r="C36" s="138"/>
      <c r="D36" s="137"/>
      <c r="E36" s="138"/>
      <c r="F36" s="139"/>
      <c r="G36" s="138"/>
      <c r="H36" s="152"/>
      <c r="I36" s="153"/>
      <c r="J36" s="137"/>
      <c r="K36" s="140"/>
      <c r="L36" s="137"/>
      <c r="M36" s="138"/>
      <c r="N36" s="139"/>
      <c r="O36" s="138"/>
      <c r="P36" s="164"/>
      <c r="Q36" s="182"/>
      <c r="R36" s="164"/>
      <c r="S36" s="186"/>
      <c r="T36" s="185"/>
      <c r="U36" s="186"/>
      <c r="V36" s="122"/>
      <c r="W36" s="122"/>
    </row>
    <row r="37" spans="1:23" ht="12" customHeight="1">
      <c r="A37" s="122"/>
      <c r="B37" s="139"/>
      <c r="C37" s="138"/>
      <c r="D37" s="137"/>
      <c r="E37" s="138"/>
      <c r="F37" s="139"/>
      <c r="G37" s="138"/>
      <c r="H37" s="152"/>
      <c r="I37" s="153"/>
      <c r="J37" s="137"/>
      <c r="K37" s="140"/>
      <c r="L37" s="137"/>
      <c r="M37" s="138"/>
      <c r="N37" s="139"/>
      <c r="O37" s="138"/>
      <c r="P37" s="164"/>
      <c r="Q37" s="182"/>
      <c r="R37" s="164"/>
      <c r="S37" s="186"/>
      <c r="T37" s="185"/>
      <c r="U37" s="186"/>
      <c r="V37" s="122"/>
      <c r="W37" s="122"/>
    </row>
    <row r="38" spans="1:23" ht="12" customHeight="1">
      <c r="A38" s="122"/>
      <c r="B38" s="137"/>
      <c r="C38" s="138"/>
      <c r="D38" s="137"/>
      <c r="E38" s="140"/>
      <c r="F38" s="137"/>
      <c r="G38" s="138"/>
      <c r="H38" s="152"/>
      <c r="I38" s="153"/>
      <c r="J38" s="139"/>
      <c r="K38" s="138"/>
      <c r="L38" s="137"/>
      <c r="M38" s="138"/>
      <c r="N38" s="139"/>
      <c r="O38" s="138"/>
      <c r="P38" s="164"/>
      <c r="Q38" s="182"/>
      <c r="R38" s="164"/>
      <c r="S38" s="186"/>
      <c r="T38" s="185"/>
      <c r="U38" s="186"/>
      <c r="V38" s="122"/>
      <c r="W38" s="122"/>
    </row>
    <row r="39" spans="1:23" ht="12" customHeight="1" thickBot="1">
      <c r="A39" s="141">
        <v>5</v>
      </c>
      <c r="B39" s="142"/>
      <c r="C39" s="143"/>
      <c r="D39" s="142"/>
      <c r="E39" s="145"/>
      <c r="F39" s="142"/>
      <c r="G39" s="159"/>
      <c r="H39" s="158"/>
      <c r="I39" s="159"/>
      <c r="J39" s="144"/>
      <c r="K39" s="143"/>
      <c r="L39" s="142"/>
      <c r="M39" s="145"/>
      <c r="N39" s="142"/>
      <c r="O39" s="172"/>
      <c r="P39" s="165"/>
      <c r="Q39" s="172"/>
      <c r="R39" s="187"/>
      <c r="S39" s="188"/>
      <c r="T39" s="187"/>
      <c r="U39" s="188"/>
      <c r="V39" s="122"/>
      <c r="W39" s="122"/>
    </row>
    <row r="40" spans="1:23" ht="12" customHeight="1">
      <c r="A40" s="122"/>
      <c r="B40" s="184"/>
      <c r="C40" s="183"/>
      <c r="D40" s="185"/>
      <c r="E40" s="183"/>
      <c r="F40" s="184"/>
      <c r="G40" s="183"/>
      <c r="H40" s="184"/>
      <c r="I40" s="183"/>
      <c r="J40" s="184"/>
      <c r="K40" s="183"/>
      <c r="L40" s="184"/>
      <c r="M40" s="183"/>
      <c r="N40" s="184"/>
      <c r="O40" s="183"/>
      <c r="P40" s="184"/>
      <c r="Q40" s="183"/>
      <c r="R40" s="184"/>
      <c r="S40" s="183"/>
      <c r="T40" s="133"/>
      <c r="U40" s="134"/>
      <c r="V40" s="122"/>
      <c r="W40" s="122"/>
    </row>
    <row r="41" spans="1:23" ht="12" customHeight="1">
      <c r="A41" s="122"/>
      <c r="B41" s="185"/>
      <c r="C41" s="186"/>
      <c r="D41" s="196"/>
      <c r="E41" s="186"/>
      <c r="F41" s="185"/>
      <c r="G41" s="186"/>
      <c r="H41" s="185"/>
      <c r="I41" s="186"/>
      <c r="J41" s="185"/>
      <c r="K41" s="186"/>
      <c r="L41" s="185"/>
      <c r="M41" s="186"/>
      <c r="N41" s="185"/>
      <c r="O41" s="186"/>
      <c r="P41" s="185"/>
      <c r="Q41" s="186"/>
      <c r="R41" s="185"/>
      <c r="S41" s="186"/>
      <c r="T41" s="137"/>
      <c r="U41" s="138"/>
      <c r="V41" s="122"/>
      <c r="W41" s="122"/>
    </row>
    <row r="42" spans="1:23" ht="12" customHeight="1">
      <c r="A42" s="122"/>
      <c r="B42" s="185"/>
      <c r="C42" s="186"/>
      <c r="D42" s="185"/>
      <c r="E42" s="186"/>
      <c r="F42" s="185"/>
      <c r="G42" s="186"/>
      <c r="H42" s="185"/>
      <c r="I42" s="186"/>
      <c r="J42" s="185"/>
      <c r="K42" s="186"/>
      <c r="L42" s="185"/>
      <c r="M42" s="186"/>
      <c r="N42" s="185"/>
      <c r="O42" s="186"/>
      <c r="P42" s="185"/>
      <c r="Q42" s="186"/>
      <c r="R42" s="185"/>
      <c r="S42" s="138"/>
      <c r="T42" s="137"/>
      <c r="U42" s="138"/>
      <c r="V42" s="122"/>
      <c r="W42" s="122"/>
    </row>
    <row r="43" spans="1:23" ht="12" customHeight="1">
      <c r="A43" s="122"/>
      <c r="B43" s="185"/>
      <c r="C43" s="186"/>
      <c r="D43" s="185"/>
      <c r="E43" s="186"/>
      <c r="F43" s="185"/>
      <c r="G43" s="186"/>
      <c r="H43" s="185"/>
      <c r="I43" s="186"/>
      <c r="J43" s="185"/>
      <c r="K43" s="186"/>
      <c r="L43" s="185"/>
      <c r="M43" s="186"/>
      <c r="N43" s="185"/>
      <c r="O43" s="186"/>
      <c r="P43" s="185"/>
      <c r="Q43" s="186"/>
      <c r="R43" s="185"/>
      <c r="S43" s="138"/>
      <c r="T43" s="137"/>
      <c r="U43" s="138"/>
      <c r="V43" s="122"/>
      <c r="W43" s="122"/>
    </row>
    <row r="44" spans="1:23" ht="12" customHeight="1" thickBot="1">
      <c r="A44" s="141">
        <v>6</v>
      </c>
      <c r="B44" s="187"/>
      <c r="C44" s="188"/>
      <c r="D44" s="187"/>
      <c r="E44" s="188"/>
      <c r="F44" s="187"/>
      <c r="G44" s="188"/>
      <c r="H44" s="187"/>
      <c r="I44" s="188"/>
      <c r="J44" s="187"/>
      <c r="K44" s="188"/>
      <c r="L44" s="187"/>
      <c r="M44" s="188"/>
      <c r="N44" s="187"/>
      <c r="O44" s="188"/>
      <c r="P44" s="187"/>
      <c r="Q44" s="188"/>
      <c r="R44" s="187"/>
      <c r="S44" s="143"/>
      <c r="T44" s="142"/>
      <c r="U44" s="143"/>
      <c r="V44" s="122"/>
      <c r="W44" s="122"/>
    </row>
    <row r="45" spans="1:23" ht="12" customHeight="1">
      <c r="A45" s="122"/>
      <c r="B45" s="133"/>
      <c r="C45" s="150"/>
      <c r="D45" s="151"/>
      <c r="E45" s="136"/>
      <c r="F45" s="133"/>
      <c r="G45" s="136"/>
      <c r="H45" s="133"/>
      <c r="I45" s="147"/>
      <c r="J45" s="133"/>
      <c r="K45" s="134"/>
      <c r="L45" s="133"/>
      <c r="M45" s="134"/>
      <c r="N45" s="151"/>
      <c r="O45" s="150"/>
      <c r="P45" s="181"/>
      <c r="Q45" s="173"/>
      <c r="R45" s="181"/>
      <c r="S45" s="173"/>
      <c r="T45" s="181"/>
      <c r="U45" s="173"/>
      <c r="V45" s="122"/>
      <c r="W45" s="122"/>
    </row>
    <row r="46" spans="1:23" ht="12" customHeight="1">
      <c r="A46" s="122"/>
      <c r="B46" s="157"/>
      <c r="C46" s="156"/>
      <c r="D46" s="157"/>
      <c r="E46" s="140"/>
      <c r="F46" s="137"/>
      <c r="G46" s="140"/>
      <c r="H46" s="152"/>
      <c r="I46" s="153"/>
      <c r="J46" s="137"/>
      <c r="K46" s="138"/>
      <c r="L46" s="157"/>
      <c r="M46" s="156"/>
      <c r="N46" s="157"/>
      <c r="O46" s="156"/>
      <c r="P46" s="164"/>
      <c r="Q46" s="182"/>
      <c r="R46" s="164"/>
      <c r="S46" s="182"/>
      <c r="T46" s="164"/>
      <c r="U46" s="182"/>
      <c r="V46" s="122"/>
      <c r="W46" s="122"/>
    </row>
    <row r="47" spans="1:23" ht="12" customHeight="1">
      <c r="A47" s="122"/>
      <c r="B47" s="157"/>
      <c r="C47" s="156"/>
      <c r="D47" s="157"/>
      <c r="E47" s="140"/>
      <c r="F47" s="137"/>
      <c r="G47" s="140"/>
      <c r="H47" s="152"/>
      <c r="I47" s="153"/>
      <c r="J47" s="137"/>
      <c r="K47" s="138"/>
      <c r="L47" s="157"/>
      <c r="M47" s="156"/>
      <c r="N47" s="157"/>
      <c r="O47" s="156"/>
      <c r="P47" s="164"/>
      <c r="Q47" s="182"/>
      <c r="R47" s="164"/>
      <c r="S47" s="182"/>
      <c r="T47" s="164"/>
      <c r="U47" s="138"/>
      <c r="V47" s="122"/>
      <c r="W47" s="122"/>
    </row>
    <row r="48" spans="1:23" ht="12" customHeight="1">
      <c r="A48" s="122"/>
      <c r="B48" s="157"/>
      <c r="C48" s="156"/>
      <c r="D48" s="139"/>
      <c r="E48" s="138"/>
      <c r="F48" s="139"/>
      <c r="G48" s="138"/>
      <c r="H48" s="152"/>
      <c r="I48" s="153"/>
      <c r="J48" s="137"/>
      <c r="K48" s="138"/>
      <c r="L48" s="157"/>
      <c r="M48" s="156"/>
      <c r="N48" s="157"/>
      <c r="O48" s="156"/>
      <c r="P48" s="164"/>
      <c r="Q48" s="182"/>
      <c r="R48" s="164"/>
      <c r="S48" s="182"/>
      <c r="T48" s="164"/>
      <c r="U48" s="138"/>
      <c r="V48" s="122"/>
      <c r="W48" s="122"/>
    </row>
    <row r="49" spans="1:23" ht="12" customHeight="1" thickBot="1">
      <c r="A49" s="141">
        <v>7</v>
      </c>
      <c r="B49" s="163"/>
      <c r="C49" s="162"/>
      <c r="D49" s="144"/>
      <c r="E49" s="143"/>
      <c r="F49" s="144"/>
      <c r="G49" s="143"/>
      <c r="H49" s="158"/>
      <c r="I49" s="159"/>
      <c r="J49" s="142"/>
      <c r="K49" s="143"/>
      <c r="L49" s="163"/>
      <c r="M49" s="162"/>
      <c r="N49" s="163"/>
      <c r="O49" s="172"/>
      <c r="P49" s="165"/>
      <c r="Q49" s="172"/>
      <c r="R49" s="165"/>
      <c r="S49" s="172"/>
      <c r="T49" s="165"/>
      <c r="U49" s="143"/>
      <c r="V49" s="122"/>
      <c r="W49" s="122"/>
    </row>
    <row r="50" spans="1:23" ht="12" customHeight="1">
      <c r="A50" s="122"/>
      <c r="B50" s="133"/>
      <c r="C50" s="136"/>
      <c r="D50" s="181"/>
      <c r="E50" s="136"/>
      <c r="F50" s="133"/>
      <c r="G50" s="150"/>
      <c r="H50" s="135"/>
      <c r="I50" s="136"/>
      <c r="J50" s="133"/>
      <c r="K50" s="147"/>
      <c r="L50" s="133"/>
      <c r="M50" s="134"/>
      <c r="N50" s="133"/>
      <c r="O50" s="183"/>
      <c r="P50" s="184"/>
      <c r="Q50" s="183"/>
      <c r="R50" s="184"/>
      <c r="S50" s="183"/>
      <c r="T50" s="185"/>
      <c r="U50" s="183"/>
      <c r="V50" s="122"/>
      <c r="W50" s="122"/>
    </row>
    <row r="51" spans="1:23" ht="12" customHeight="1">
      <c r="A51" s="122"/>
      <c r="B51" s="137"/>
      <c r="C51" s="140"/>
      <c r="D51" s="164"/>
      <c r="E51" s="140"/>
      <c r="F51" s="137"/>
      <c r="G51" s="156"/>
      <c r="H51" s="139"/>
      <c r="I51" s="140"/>
      <c r="J51" s="137"/>
      <c r="K51" s="153"/>
      <c r="L51" s="137"/>
      <c r="M51" s="138"/>
      <c r="N51" s="137"/>
      <c r="O51" s="186"/>
      <c r="P51" s="185"/>
      <c r="Q51" s="186"/>
      <c r="R51" s="185"/>
      <c r="S51" s="186"/>
      <c r="T51" s="185"/>
      <c r="U51" s="186"/>
      <c r="V51" s="122"/>
      <c r="W51" s="122"/>
    </row>
    <row r="52" spans="1:23" ht="12" customHeight="1">
      <c r="A52" s="122"/>
      <c r="B52" s="137"/>
      <c r="C52" s="140"/>
      <c r="D52" s="164"/>
      <c r="E52" s="140"/>
      <c r="F52" s="137"/>
      <c r="G52" s="140"/>
      <c r="H52" s="139"/>
      <c r="I52" s="138"/>
      <c r="J52" s="137"/>
      <c r="K52" s="153"/>
      <c r="L52" s="137"/>
      <c r="M52" s="138"/>
      <c r="N52" s="185"/>
      <c r="O52" s="186"/>
      <c r="P52" s="185"/>
      <c r="Q52" s="186"/>
      <c r="R52" s="185"/>
      <c r="S52" s="186"/>
      <c r="T52" s="185"/>
      <c r="U52" s="186"/>
      <c r="V52" s="122"/>
      <c r="W52" s="122"/>
    </row>
    <row r="53" spans="1:23" ht="12" customHeight="1">
      <c r="A53" s="122"/>
      <c r="B53" s="137"/>
      <c r="C53" s="140"/>
      <c r="D53" s="139"/>
      <c r="E53" s="138"/>
      <c r="F53" s="157"/>
      <c r="G53" s="140"/>
      <c r="H53" s="139"/>
      <c r="I53" s="138"/>
      <c r="J53" s="152"/>
      <c r="K53" s="153"/>
      <c r="L53" s="137"/>
      <c r="M53" s="138"/>
      <c r="N53" s="185"/>
      <c r="O53" s="186"/>
      <c r="P53" s="185"/>
      <c r="Q53" s="186"/>
      <c r="R53" s="185"/>
      <c r="S53" s="186"/>
      <c r="T53" s="185"/>
      <c r="U53" s="186"/>
      <c r="V53" s="122"/>
      <c r="W53" s="122"/>
    </row>
    <row r="54" spans="1:23" ht="12" customHeight="1" thickBot="1">
      <c r="A54" s="141">
        <v>8</v>
      </c>
      <c r="B54" s="144"/>
      <c r="C54" s="172"/>
      <c r="D54" s="144"/>
      <c r="E54" s="143"/>
      <c r="F54" s="163"/>
      <c r="G54" s="145"/>
      <c r="H54" s="144"/>
      <c r="I54" s="143"/>
      <c r="J54" s="158"/>
      <c r="K54" s="159"/>
      <c r="L54" s="142"/>
      <c r="M54" s="143"/>
      <c r="N54" s="187"/>
      <c r="O54" s="188"/>
      <c r="P54" s="187"/>
      <c r="Q54" s="188"/>
      <c r="R54" s="187"/>
      <c r="S54" s="188"/>
      <c r="T54" s="187"/>
      <c r="U54" s="188"/>
      <c r="V54" s="122"/>
      <c r="W54" s="122"/>
    </row>
    <row r="55" spans="1:23" ht="12" customHeight="1">
      <c r="A55" s="122"/>
      <c r="B55" s="184"/>
      <c r="C55" s="183"/>
      <c r="D55" s="184"/>
      <c r="E55" s="136"/>
      <c r="F55" s="184"/>
      <c r="G55" s="183"/>
      <c r="H55" s="184"/>
      <c r="I55" s="183"/>
      <c r="J55" s="184"/>
      <c r="K55" s="183"/>
      <c r="L55" s="184"/>
      <c r="M55" s="183"/>
      <c r="N55" s="184"/>
      <c r="O55" s="183"/>
      <c r="P55" s="146"/>
      <c r="Q55" s="136"/>
      <c r="R55" s="133"/>
      <c r="S55" s="134"/>
      <c r="T55" s="133"/>
      <c r="U55" s="136"/>
      <c r="V55" s="122"/>
      <c r="W55" s="122"/>
    </row>
    <row r="56" spans="1:23" ht="12" customHeight="1">
      <c r="A56" s="122"/>
      <c r="B56" s="191"/>
      <c r="C56" s="186"/>
      <c r="D56" s="185"/>
      <c r="E56" s="140"/>
      <c r="F56" s="185"/>
      <c r="G56" s="186"/>
      <c r="H56" s="185"/>
      <c r="I56" s="186"/>
      <c r="J56" s="185"/>
      <c r="K56" s="186"/>
      <c r="L56" s="185"/>
      <c r="M56" s="186"/>
      <c r="N56" s="185"/>
      <c r="O56" s="186"/>
      <c r="P56" s="152"/>
      <c r="Q56" s="140"/>
      <c r="R56" s="137"/>
      <c r="S56" s="138"/>
      <c r="T56" s="137"/>
      <c r="U56" s="140"/>
      <c r="V56" s="122"/>
      <c r="W56" s="122"/>
    </row>
    <row r="57" spans="1:23" ht="12" customHeight="1">
      <c r="A57" s="122"/>
      <c r="B57" s="191"/>
      <c r="C57" s="186"/>
      <c r="D57" s="139"/>
      <c r="E57" s="186"/>
      <c r="F57" s="185"/>
      <c r="G57" s="186"/>
      <c r="H57" s="185"/>
      <c r="I57" s="186"/>
      <c r="J57" s="185"/>
      <c r="K57" s="186"/>
      <c r="L57" s="185"/>
      <c r="M57" s="186"/>
      <c r="N57" s="185"/>
      <c r="O57" s="153"/>
      <c r="P57" s="139"/>
      <c r="Q57" s="138"/>
      <c r="R57" s="137"/>
      <c r="S57" s="138"/>
      <c r="T57" s="137"/>
      <c r="U57" s="140"/>
      <c r="V57" s="122"/>
      <c r="W57" s="122"/>
    </row>
    <row r="58" spans="1:23" ht="12" customHeight="1">
      <c r="A58" s="122"/>
      <c r="B58" s="191"/>
      <c r="C58" s="186"/>
      <c r="D58" s="139"/>
      <c r="E58" s="186"/>
      <c r="F58" s="185"/>
      <c r="G58" s="186"/>
      <c r="H58" s="185"/>
      <c r="I58" s="186"/>
      <c r="J58" s="185"/>
      <c r="K58" s="186"/>
      <c r="L58" s="185"/>
      <c r="M58" s="186"/>
      <c r="N58" s="185"/>
      <c r="O58" s="153"/>
      <c r="P58" s="139"/>
      <c r="Q58" s="138"/>
      <c r="R58" s="137"/>
      <c r="S58" s="138"/>
      <c r="T58" s="139"/>
      <c r="U58" s="138"/>
      <c r="V58" s="122"/>
      <c r="W58" s="122"/>
    </row>
    <row r="59" spans="1:23" ht="12" customHeight="1" thickBot="1">
      <c r="A59" s="141">
        <v>9</v>
      </c>
      <c r="B59" s="192"/>
      <c r="C59" s="188"/>
      <c r="D59" s="144"/>
      <c r="E59" s="188"/>
      <c r="F59" s="187"/>
      <c r="G59" s="188"/>
      <c r="H59" s="187"/>
      <c r="I59" s="188"/>
      <c r="J59" s="187"/>
      <c r="K59" s="188"/>
      <c r="L59" s="187"/>
      <c r="M59" s="188"/>
      <c r="N59" s="187"/>
      <c r="O59" s="159"/>
      <c r="P59" s="144"/>
      <c r="Q59" s="143"/>
      <c r="R59" s="142"/>
      <c r="S59" s="143"/>
      <c r="T59" s="144"/>
      <c r="U59" s="143"/>
      <c r="V59" s="122"/>
      <c r="W59" s="122"/>
    </row>
    <row r="60" spans="1:23" ht="12" customHeight="1">
      <c r="A60" s="122"/>
      <c r="B60" s="133"/>
      <c r="C60" s="134"/>
      <c r="D60" s="184"/>
      <c r="E60" s="183"/>
      <c r="F60" s="184"/>
      <c r="G60" s="183"/>
      <c r="H60" s="184"/>
      <c r="I60" s="183"/>
      <c r="J60" s="184"/>
      <c r="K60" s="183"/>
      <c r="L60" s="184"/>
      <c r="M60" s="183"/>
      <c r="N60" s="184"/>
      <c r="O60" s="183"/>
      <c r="P60" s="184"/>
      <c r="Q60" s="183"/>
      <c r="R60" s="184"/>
      <c r="S60" s="183"/>
      <c r="T60" s="149"/>
      <c r="U60" s="148"/>
      <c r="V60" s="122"/>
      <c r="W60" s="122"/>
    </row>
    <row r="61" spans="1:23" ht="12" customHeight="1">
      <c r="A61" s="122"/>
      <c r="B61" s="137"/>
      <c r="C61" s="186"/>
      <c r="D61" s="185"/>
      <c r="E61" s="186"/>
      <c r="F61" s="185"/>
      <c r="G61" s="186"/>
      <c r="H61" s="185"/>
      <c r="I61" s="186"/>
      <c r="J61" s="185"/>
      <c r="K61" s="186"/>
      <c r="L61" s="185"/>
      <c r="M61" s="186"/>
      <c r="N61" s="185"/>
      <c r="O61" s="186"/>
      <c r="P61" s="185"/>
      <c r="Q61" s="186"/>
      <c r="R61" s="185"/>
      <c r="S61" s="186"/>
      <c r="T61" s="155"/>
      <c r="U61" s="154"/>
      <c r="V61" s="122"/>
      <c r="W61" s="122"/>
    </row>
    <row r="62" spans="1:23" ht="12" customHeight="1">
      <c r="A62" s="122"/>
      <c r="B62" s="137"/>
      <c r="C62" s="186"/>
      <c r="D62" s="185"/>
      <c r="E62" s="186"/>
      <c r="F62" s="185"/>
      <c r="G62" s="186"/>
      <c r="H62" s="185"/>
      <c r="I62" s="186"/>
      <c r="J62" s="185"/>
      <c r="K62" s="186"/>
      <c r="L62" s="185"/>
      <c r="M62" s="186"/>
      <c r="N62" s="185"/>
      <c r="O62" s="186"/>
      <c r="P62" s="185"/>
      <c r="Q62" s="186"/>
      <c r="R62" s="185"/>
      <c r="S62" s="186"/>
      <c r="T62" s="155"/>
      <c r="U62" s="154"/>
      <c r="V62" s="122"/>
      <c r="W62" s="122"/>
    </row>
    <row r="63" spans="1:23" ht="12" customHeight="1">
      <c r="A63" s="122"/>
      <c r="B63" s="137"/>
      <c r="C63" s="186"/>
      <c r="D63" s="185"/>
      <c r="E63" s="186"/>
      <c r="F63" s="185"/>
      <c r="G63" s="186"/>
      <c r="H63" s="185"/>
      <c r="I63" s="186"/>
      <c r="J63" s="185"/>
      <c r="K63" s="186"/>
      <c r="L63" s="185"/>
      <c r="M63" s="186"/>
      <c r="N63" s="185"/>
      <c r="O63" s="186"/>
      <c r="P63" s="185"/>
      <c r="Q63" s="186"/>
      <c r="R63" s="185"/>
      <c r="S63" s="186"/>
      <c r="T63" s="155"/>
      <c r="U63" s="154"/>
      <c r="V63" s="122"/>
      <c r="W63" s="122"/>
    </row>
    <row r="64" spans="1:23" ht="12" customHeight="1" thickBot="1">
      <c r="A64" s="141">
        <v>10</v>
      </c>
      <c r="B64" s="142"/>
      <c r="C64" s="188"/>
      <c r="D64" s="187"/>
      <c r="E64" s="188"/>
      <c r="F64" s="187"/>
      <c r="G64" s="188"/>
      <c r="H64" s="187"/>
      <c r="I64" s="188"/>
      <c r="J64" s="187"/>
      <c r="K64" s="188"/>
      <c r="L64" s="187"/>
      <c r="M64" s="188"/>
      <c r="N64" s="187"/>
      <c r="O64" s="188"/>
      <c r="P64" s="187"/>
      <c r="Q64" s="188"/>
      <c r="R64" s="187"/>
      <c r="S64" s="160"/>
      <c r="T64" s="161"/>
      <c r="U64" s="160"/>
      <c r="V64" s="122"/>
      <c r="W64" s="122"/>
    </row>
    <row r="65" spans="1:23" ht="12" customHeight="1">
      <c r="A65" s="122"/>
      <c r="B65" s="149"/>
      <c r="C65" s="148"/>
      <c r="D65" s="149"/>
      <c r="E65" s="148"/>
      <c r="F65" s="149"/>
      <c r="G65" s="148"/>
      <c r="H65" s="149"/>
      <c r="I65" s="150"/>
      <c r="J65" s="151"/>
      <c r="K65" s="150"/>
      <c r="L65" s="151"/>
      <c r="M65" s="134"/>
      <c r="N65" s="133"/>
      <c r="O65" s="134"/>
      <c r="P65" s="146"/>
      <c r="Q65" s="147"/>
      <c r="R65" s="146"/>
      <c r="S65" s="147"/>
      <c r="T65" s="146"/>
      <c r="U65" s="134"/>
      <c r="V65" s="122"/>
      <c r="W65" s="122"/>
    </row>
    <row r="66" spans="1:23" ht="12" customHeight="1">
      <c r="A66" s="122"/>
      <c r="B66" s="155"/>
      <c r="C66" s="154"/>
      <c r="D66" s="155"/>
      <c r="E66" s="154"/>
      <c r="F66" s="155"/>
      <c r="G66" s="154"/>
      <c r="H66" s="155"/>
      <c r="I66" s="156"/>
      <c r="J66" s="157"/>
      <c r="K66" s="156"/>
      <c r="L66" s="157"/>
      <c r="M66" s="138"/>
      <c r="N66" s="137"/>
      <c r="O66" s="153"/>
      <c r="P66" s="152"/>
      <c r="Q66" s="153"/>
      <c r="R66" s="152"/>
      <c r="S66" s="153"/>
      <c r="T66" s="152"/>
      <c r="U66" s="138"/>
      <c r="V66" s="122"/>
      <c r="W66" s="122"/>
    </row>
    <row r="67" spans="1:23" ht="12" customHeight="1">
      <c r="A67" s="122"/>
      <c r="B67" s="155"/>
      <c r="C67" s="154"/>
      <c r="D67" s="155"/>
      <c r="E67" s="154"/>
      <c r="F67" s="155"/>
      <c r="G67" s="154"/>
      <c r="H67" s="155"/>
      <c r="I67" s="156"/>
      <c r="J67" s="200"/>
      <c r="K67" s="156"/>
      <c r="L67" s="200"/>
      <c r="M67" s="138"/>
      <c r="N67" s="137"/>
      <c r="O67" s="153"/>
      <c r="P67" s="152"/>
      <c r="Q67" s="153"/>
      <c r="R67" s="152"/>
      <c r="S67" s="153"/>
      <c r="T67" s="152"/>
      <c r="U67" s="138"/>
      <c r="V67" s="122"/>
      <c r="W67" s="122"/>
    </row>
    <row r="68" spans="1:23" ht="12" customHeight="1">
      <c r="A68" s="122"/>
      <c r="B68" s="155"/>
      <c r="C68" s="154"/>
      <c r="D68" s="155"/>
      <c r="E68" s="154"/>
      <c r="F68" s="155"/>
      <c r="G68" s="154"/>
      <c r="H68" s="155"/>
      <c r="I68" s="156"/>
      <c r="J68" s="157"/>
      <c r="K68" s="156"/>
      <c r="L68" s="157"/>
      <c r="M68" s="138"/>
      <c r="N68" s="137"/>
      <c r="O68" s="153"/>
      <c r="P68" s="152"/>
      <c r="Q68" s="153"/>
      <c r="R68" s="152"/>
      <c r="S68" s="153"/>
      <c r="T68" s="137"/>
      <c r="U68" s="138"/>
      <c r="V68" s="122"/>
      <c r="W68" s="122"/>
    </row>
    <row r="69" spans="1:23" ht="12" customHeight="1" thickBot="1">
      <c r="A69" s="141">
        <v>11</v>
      </c>
      <c r="B69" s="161"/>
      <c r="C69" s="160"/>
      <c r="D69" s="161"/>
      <c r="E69" s="160"/>
      <c r="F69" s="161"/>
      <c r="G69" s="160"/>
      <c r="H69" s="161"/>
      <c r="I69" s="162"/>
      <c r="J69" s="157"/>
      <c r="K69" s="162"/>
      <c r="L69" s="157"/>
      <c r="M69" s="143"/>
      <c r="N69" s="142"/>
      <c r="O69" s="159"/>
      <c r="P69" s="158"/>
      <c r="Q69" s="159"/>
      <c r="R69" s="158"/>
      <c r="S69" s="159"/>
      <c r="T69" s="142"/>
      <c r="U69" s="143"/>
      <c r="V69" s="122"/>
      <c r="W69" s="122"/>
    </row>
    <row r="70" spans="1:23" ht="12" customHeight="1">
      <c r="A70" s="122"/>
      <c r="B70" s="133"/>
      <c r="C70" s="134"/>
      <c r="D70" s="133"/>
      <c r="E70" s="147"/>
      <c r="F70" s="146"/>
      <c r="G70" s="183"/>
      <c r="H70" s="184"/>
      <c r="I70" s="183"/>
      <c r="J70" s="184"/>
      <c r="K70" s="183"/>
      <c r="L70" s="135"/>
      <c r="M70" s="134"/>
      <c r="N70" s="133"/>
      <c r="O70" s="134"/>
      <c r="P70" s="133"/>
      <c r="Q70" s="136"/>
      <c r="R70" s="133"/>
      <c r="S70" s="134"/>
      <c r="T70" s="181"/>
      <c r="U70" s="173"/>
      <c r="V70" s="122"/>
      <c r="W70" s="122"/>
    </row>
    <row r="71" spans="1:23" ht="12" customHeight="1">
      <c r="A71" s="122"/>
      <c r="B71" s="137"/>
      <c r="C71" s="138"/>
      <c r="D71" s="137"/>
      <c r="E71" s="153"/>
      <c r="F71" s="152"/>
      <c r="G71" s="186"/>
      <c r="H71" s="185"/>
      <c r="I71" s="186"/>
      <c r="J71" s="185"/>
      <c r="K71" s="186"/>
      <c r="L71" s="139"/>
      <c r="M71" s="138"/>
      <c r="N71" s="137"/>
      <c r="O71" s="138"/>
      <c r="P71" s="137"/>
      <c r="Q71" s="140"/>
      <c r="R71" s="137"/>
      <c r="S71" s="138"/>
      <c r="T71" s="164"/>
      <c r="U71" s="182"/>
      <c r="V71" s="122"/>
      <c r="W71" s="122"/>
    </row>
    <row r="72" spans="1:23" ht="12" customHeight="1">
      <c r="A72" s="122"/>
      <c r="B72" s="137"/>
      <c r="C72" s="138"/>
      <c r="D72" s="137"/>
      <c r="E72" s="153"/>
      <c r="F72" s="152"/>
      <c r="G72" s="186"/>
      <c r="H72" s="185"/>
      <c r="I72" s="186"/>
      <c r="J72" s="185"/>
      <c r="K72" s="140"/>
      <c r="L72" s="137"/>
      <c r="M72" s="138"/>
      <c r="N72" s="137"/>
      <c r="O72" s="138"/>
      <c r="P72" s="137"/>
      <c r="Q72" s="140"/>
      <c r="R72" s="137"/>
      <c r="S72" s="138"/>
      <c r="T72" s="164"/>
      <c r="U72" s="182"/>
      <c r="V72" s="122"/>
      <c r="W72" s="122"/>
    </row>
    <row r="73" spans="1:23" ht="12" customHeight="1">
      <c r="A73" s="122"/>
      <c r="B73" s="137"/>
      <c r="C73" s="138"/>
      <c r="D73" s="137"/>
      <c r="E73" s="153"/>
      <c r="F73" s="152"/>
      <c r="G73" s="186"/>
      <c r="H73" s="185"/>
      <c r="I73" s="186"/>
      <c r="J73" s="185"/>
      <c r="K73" s="140"/>
      <c r="L73" s="137"/>
      <c r="M73" s="138"/>
      <c r="N73" s="137"/>
      <c r="O73" s="138"/>
      <c r="P73" s="137"/>
      <c r="Q73" s="140"/>
      <c r="R73" s="137"/>
      <c r="S73" s="138"/>
      <c r="T73" s="164"/>
      <c r="U73" s="182"/>
      <c r="V73" s="122"/>
      <c r="W73" s="122"/>
    </row>
    <row r="74" spans="1:23" ht="12" customHeight="1" thickBot="1">
      <c r="A74" s="141">
        <v>12</v>
      </c>
      <c r="B74" s="142"/>
      <c r="C74" s="143"/>
      <c r="D74" s="142"/>
      <c r="E74" s="159"/>
      <c r="F74" s="187"/>
      <c r="G74" s="188"/>
      <c r="H74" s="187"/>
      <c r="I74" s="188"/>
      <c r="J74" s="187"/>
      <c r="K74" s="145"/>
      <c r="L74" s="142"/>
      <c r="M74" s="143"/>
      <c r="N74" s="142"/>
      <c r="O74" s="143"/>
      <c r="P74" s="142"/>
      <c r="Q74" s="145"/>
      <c r="R74" s="142"/>
      <c r="S74" s="143"/>
      <c r="T74" s="165"/>
      <c r="U74" s="172"/>
      <c r="V74" s="122"/>
      <c r="W74" s="122"/>
    </row>
    <row r="75" spans="1:23" ht="12" customHeight="1">
      <c r="A75" s="122"/>
      <c r="B75" s="181"/>
      <c r="C75" s="136"/>
      <c r="D75" s="133"/>
      <c r="E75" s="136"/>
      <c r="F75" s="133"/>
      <c r="G75" s="134"/>
      <c r="H75" s="135"/>
      <c r="I75" s="134"/>
      <c r="J75" s="146"/>
      <c r="K75" s="147"/>
      <c r="L75" s="133"/>
      <c r="M75" s="134"/>
      <c r="N75" s="133"/>
      <c r="O75" s="148"/>
      <c r="P75" s="149"/>
      <c r="Q75" s="148"/>
      <c r="R75" s="184"/>
      <c r="S75" s="183"/>
      <c r="T75" s="184"/>
      <c r="U75" s="183"/>
      <c r="V75" s="122"/>
      <c r="W75" s="122"/>
    </row>
    <row r="76" spans="1:23" ht="12" customHeight="1">
      <c r="A76" s="122"/>
      <c r="B76" s="164"/>
      <c r="C76" s="140"/>
      <c r="D76" s="137"/>
      <c r="E76" s="140"/>
      <c r="F76" s="137"/>
      <c r="G76" s="138"/>
      <c r="H76" s="139"/>
      <c r="I76" s="153"/>
      <c r="J76" s="152"/>
      <c r="K76" s="153"/>
      <c r="L76" s="137"/>
      <c r="M76" s="138"/>
      <c r="N76" s="137"/>
      <c r="O76" s="154"/>
      <c r="P76" s="155"/>
      <c r="Q76" s="154"/>
      <c r="R76" s="185"/>
      <c r="S76" s="186"/>
      <c r="T76" s="185"/>
      <c r="U76" s="186"/>
      <c r="V76" s="122"/>
      <c r="W76" s="122"/>
    </row>
    <row r="77" spans="1:23" ht="12" customHeight="1">
      <c r="A77" s="122"/>
      <c r="B77" s="139"/>
      <c r="C77" s="138"/>
      <c r="D77" s="139"/>
      <c r="E77" s="138"/>
      <c r="F77" s="137"/>
      <c r="G77" s="138"/>
      <c r="H77" s="139"/>
      <c r="I77" s="153"/>
      <c r="J77" s="152"/>
      <c r="K77" s="153"/>
      <c r="L77" s="137"/>
      <c r="M77" s="138"/>
      <c r="N77" s="155"/>
      <c r="O77" s="154"/>
      <c r="P77" s="155"/>
      <c r="Q77" s="154"/>
      <c r="R77" s="185"/>
      <c r="S77" s="186"/>
      <c r="T77" s="185"/>
      <c r="U77" s="186"/>
      <c r="V77" s="122"/>
      <c r="W77" s="122"/>
    </row>
    <row r="78" spans="1:23" ht="12" customHeight="1">
      <c r="A78" s="122"/>
      <c r="B78" s="139"/>
      <c r="C78" s="138"/>
      <c r="D78" s="139"/>
      <c r="E78" s="138"/>
      <c r="F78" s="137"/>
      <c r="G78" s="138"/>
      <c r="H78" s="139"/>
      <c r="I78" s="153"/>
      <c r="J78" s="152"/>
      <c r="K78" s="153"/>
      <c r="L78" s="137"/>
      <c r="M78" s="138"/>
      <c r="N78" s="155"/>
      <c r="O78" s="154"/>
      <c r="P78" s="155"/>
      <c r="Q78" s="154"/>
      <c r="R78" s="185"/>
      <c r="S78" s="186"/>
      <c r="T78" s="185"/>
      <c r="U78" s="186"/>
      <c r="V78" s="122"/>
      <c r="W78" s="122"/>
    </row>
    <row r="79" spans="1:23" ht="12" customHeight="1" thickBot="1">
      <c r="A79" s="141">
        <v>13</v>
      </c>
      <c r="B79" s="144"/>
      <c r="C79" s="143"/>
      <c r="D79" s="144"/>
      <c r="E79" s="143"/>
      <c r="F79" s="142"/>
      <c r="G79" s="143"/>
      <c r="H79" s="144"/>
      <c r="I79" s="159"/>
      <c r="J79" s="158"/>
      <c r="K79" s="159"/>
      <c r="L79" s="142"/>
      <c r="M79" s="143"/>
      <c r="N79" s="161"/>
      <c r="O79" s="160"/>
      <c r="P79" s="161"/>
      <c r="Q79" s="188"/>
      <c r="R79" s="187"/>
      <c r="S79" s="188"/>
      <c r="T79" s="187"/>
      <c r="U79" s="188"/>
      <c r="V79" s="122"/>
      <c r="W79" s="122"/>
    </row>
    <row r="80" spans="1:23" ht="12" customHeight="1">
      <c r="A80" s="122"/>
      <c r="B80" s="184"/>
      <c r="C80" s="183"/>
      <c r="D80" s="184"/>
      <c r="E80" s="183"/>
      <c r="F80" s="184"/>
      <c r="G80" s="173"/>
      <c r="H80" s="181"/>
      <c r="I80" s="173"/>
      <c r="J80" s="181"/>
      <c r="K80" s="173"/>
      <c r="L80" s="181"/>
      <c r="M80" s="173"/>
      <c r="N80" s="181"/>
      <c r="O80" s="173"/>
      <c r="P80" s="181"/>
      <c r="Q80" s="173"/>
      <c r="R80" s="181"/>
      <c r="S80" s="173"/>
      <c r="T80" s="181"/>
      <c r="U80" s="173"/>
      <c r="V80" s="122"/>
      <c r="W80" s="122"/>
    </row>
    <row r="81" spans="1:23" ht="12" customHeight="1">
      <c r="A81" s="122"/>
      <c r="B81" s="185"/>
      <c r="C81" s="186"/>
      <c r="D81" s="185"/>
      <c r="E81" s="186"/>
      <c r="F81" s="137"/>
      <c r="G81" s="182"/>
      <c r="H81" s="164"/>
      <c r="I81" s="182"/>
      <c r="J81" s="164"/>
      <c r="K81" s="182"/>
      <c r="L81" s="164"/>
      <c r="M81" s="182"/>
      <c r="N81" s="164"/>
      <c r="O81" s="182"/>
      <c r="P81" s="164"/>
      <c r="Q81" s="182"/>
      <c r="R81" s="164"/>
      <c r="S81" s="182"/>
      <c r="T81" s="164"/>
      <c r="U81" s="182"/>
      <c r="V81" s="122"/>
      <c r="W81" s="122"/>
    </row>
    <row r="82" spans="1:23" ht="12" customHeight="1">
      <c r="A82" s="122"/>
      <c r="B82" s="185"/>
      <c r="C82" s="186"/>
      <c r="D82" s="185"/>
      <c r="E82" s="186"/>
      <c r="F82" s="137"/>
      <c r="G82" s="182"/>
      <c r="H82" s="164"/>
      <c r="I82" s="182"/>
      <c r="J82" s="164"/>
      <c r="K82" s="182"/>
      <c r="L82" s="164"/>
      <c r="M82" s="182"/>
      <c r="N82" s="164"/>
      <c r="O82" s="182"/>
      <c r="P82" s="164"/>
      <c r="Q82" s="182"/>
      <c r="R82" s="164"/>
      <c r="S82" s="182"/>
      <c r="T82" s="164"/>
      <c r="U82" s="182"/>
      <c r="V82" s="122"/>
      <c r="W82" s="122"/>
    </row>
    <row r="83" spans="1:23" ht="12" customHeight="1">
      <c r="A83" s="122"/>
      <c r="B83" s="185"/>
      <c r="C83" s="186"/>
      <c r="D83" s="185"/>
      <c r="E83" s="186"/>
      <c r="F83" s="137"/>
      <c r="G83" s="182"/>
      <c r="H83" s="164"/>
      <c r="I83" s="182"/>
      <c r="J83" s="164"/>
      <c r="K83" s="182"/>
      <c r="L83" s="164"/>
      <c r="M83" s="182"/>
      <c r="N83" s="164"/>
      <c r="O83" s="182"/>
      <c r="P83" s="164"/>
      <c r="Q83" s="182"/>
      <c r="R83" s="164"/>
      <c r="S83" s="182"/>
      <c r="T83" s="164"/>
      <c r="U83" s="182"/>
      <c r="V83" s="122"/>
      <c r="W83" s="122"/>
    </row>
    <row r="84" spans="1:23" ht="12" customHeight="1" thickBot="1">
      <c r="A84" s="141">
        <v>14</v>
      </c>
      <c r="B84" s="187"/>
      <c r="C84" s="188"/>
      <c r="D84" s="187"/>
      <c r="E84" s="188"/>
      <c r="F84" s="142"/>
      <c r="G84" s="172"/>
      <c r="H84" s="165"/>
      <c r="I84" s="172"/>
      <c r="J84" s="165"/>
      <c r="K84" s="172"/>
      <c r="L84" s="165"/>
      <c r="M84" s="172"/>
      <c r="N84" s="165"/>
      <c r="O84" s="172"/>
      <c r="P84" s="165"/>
      <c r="Q84" s="172"/>
      <c r="R84" s="164"/>
      <c r="S84" s="172"/>
      <c r="T84" s="165"/>
      <c r="U84" s="172"/>
      <c r="V84" s="122"/>
      <c r="W84" s="122"/>
    </row>
    <row r="85" spans="1:23" ht="12" customHeight="1">
      <c r="A85" s="122"/>
      <c r="B85" s="181"/>
      <c r="C85" s="173"/>
      <c r="D85" s="181"/>
      <c r="E85" s="173"/>
      <c r="F85" s="181"/>
      <c r="G85" s="173"/>
      <c r="H85" s="181"/>
      <c r="I85" s="173"/>
      <c r="J85" s="181"/>
      <c r="K85" s="173"/>
      <c r="L85" s="181"/>
      <c r="M85" s="173"/>
      <c r="N85" s="181"/>
      <c r="O85" s="173"/>
      <c r="P85" s="135"/>
      <c r="Q85" s="136"/>
      <c r="R85" s="133"/>
      <c r="S85" s="134"/>
      <c r="T85" s="181"/>
      <c r="U85" s="173"/>
      <c r="V85" s="122"/>
      <c r="W85" s="122"/>
    </row>
    <row r="86" spans="1:23" ht="12" customHeight="1">
      <c r="A86" s="122"/>
      <c r="B86" s="164"/>
      <c r="C86" s="182"/>
      <c r="D86" s="164"/>
      <c r="E86" s="182"/>
      <c r="F86" s="164"/>
      <c r="G86" s="182"/>
      <c r="H86" s="164"/>
      <c r="I86" s="182"/>
      <c r="J86" s="164"/>
      <c r="K86" s="182"/>
      <c r="L86" s="164"/>
      <c r="M86" s="182"/>
      <c r="N86" s="164"/>
      <c r="O86" s="140"/>
      <c r="P86" s="139"/>
      <c r="Q86" s="138"/>
      <c r="R86" s="137"/>
      <c r="S86" s="138"/>
      <c r="T86" s="164"/>
      <c r="U86" s="182"/>
      <c r="V86" s="122"/>
      <c r="W86" s="122"/>
    </row>
    <row r="87" spans="1:23" ht="12" customHeight="1">
      <c r="A87" s="122"/>
      <c r="B87" s="164"/>
      <c r="C87" s="182"/>
      <c r="D87" s="164"/>
      <c r="E87" s="182"/>
      <c r="F87" s="164"/>
      <c r="G87" s="182"/>
      <c r="H87" s="164"/>
      <c r="I87" s="182"/>
      <c r="J87" s="164"/>
      <c r="K87" s="182"/>
      <c r="L87" s="164"/>
      <c r="M87" s="182"/>
      <c r="N87" s="164"/>
      <c r="O87" s="140"/>
      <c r="P87" s="139"/>
      <c r="Q87" s="138"/>
      <c r="R87" s="137"/>
      <c r="S87" s="182"/>
      <c r="T87" s="164"/>
      <c r="U87" s="182"/>
      <c r="V87" s="122"/>
      <c r="W87" s="122"/>
    </row>
    <row r="88" spans="1:23" ht="12" customHeight="1">
      <c r="A88" s="122"/>
      <c r="B88" s="164"/>
      <c r="C88" s="182"/>
      <c r="D88" s="164"/>
      <c r="E88" s="182"/>
      <c r="F88" s="164"/>
      <c r="G88" s="182"/>
      <c r="H88" s="164"/>
      <c r="I88" s="182"/>
      <c r="J88" s="164"/>
      <c r="K88" s="182"/>
      <c r="L88" s="164"/>
      <c r="M88" s="182"/>
      <c r="N88" s="164"/>
      <c r="O88" s="140"/>
      <c r="P88" s="139"/>
      <c r="Q88" s="138"/>
      <c r="R88" s="137"/>
      <c r="S88" s="182"/>
      <c r="T88" s="164"/>
      <c r="U88" s="182"/>
      <c r="V88" s="122"/>
      <c r="W88" s="122"/>
    </row>
    <row r="89" spans="1:23" ht="12" customHeight="1" thickBot="1">
      <c r="A89" s="141">
        <v>15</v>
      </c>
      <c r="B89" s="165"/>
      <c r="C89" s="172"/>
      <c r="D89" s="165"/>
      <c r="E89" s="172"/>
      <c r="F89" s="165"/>
      <c r="G89" s="172"/>
      <c r="H89" s="165"/>
      <c r="I89" s="172"/>
      <c r="J89" s="165"/>
      <c r="K89" s="172"/>
      <c r="L89" s="165"/>
      <c r="M89" s="172"/>
      <c r="N89" s="165"/>
      <c r="O89" s="145"/>
      <c r="P89" s="144"/>
      <c r="Q89" s="143"/>
      <c r="R89" s="142"/>
      <c r="S89" s="172"/>
      <c r="T89" s="165"/>
      <c r="U89" s="172"/>
      <c r="V89" s="122"/>
      <c r="W89" s="122"/>
    </row>
    <row r="90" spans="1:23" ht="12" customHeight="1">
      <c r="A90" s="122"/>
      <c r="B90" s="181"/>
      <c r="C90" s="173"/>
      <c r="D90" s="181"/>
      <c r="E90" s="173"/>
      <c r="F90" s="181"/>
      <c r="G90" s="147"/>
      <c r="H90" s="135"/>
      <c r="I90" s="134"/>
      <c r="J90" s="184"/>
      <c r="K90" s="183"/>
      <c r="L90" s="184"/>
      <c r="M90" s="183"/>
      <c r="N90" s="184"/>
      <c r="O90" s="183"/>
      <c r="P90" s="184"/>
      <c r="Q90" s="183"/>
      <c r="R90" s="184"/>
      <c r="S90" s="147"/>
      <c r="T90" s="146"/>
      <c r="U90" s="150"/>
      <c r="V90" s="122"/>
      <c r="W90" s="122"/>
    </row>
    <row r="91" spans="1:23" ht="12" customHeight="1">
      <c r="A91" s="122"/>
      <c r="B91" s="164"/>
      <c r="C91" s="182"/>
      <c r="D91" s="164"/>
      <c r="E91" s="182"/>
      <c r="F91" s="152"/>
      <c r="G91" s="153"/>
      <c r="H91" s="139"/>
      <c r="I91" s="138"/>
      <c r="J91" s="185"/>
      <c r="K91" s="186"/>
      <c r="L91" s="185"/>
      <c r="M91" s="186"/>
      <c r="N91" s="185"/>
      <c r="O91" s="186"/>
      <c r="P91" s="185"/>
      <c r="Q91" s="186"/>
      <c r="R91" s="185"/>
      <c r="S91" s="153"/>
      <c r="T91" s="157"/>
      <c r="U91" s="156"/>
      <c r="V91" s="122"/>
      <c r="W91" s="122"/>
    </row>
    <row r="92" spans="1:23" ht="12" customHeight="1">
      <c r="A92" s="122"/>
      <c r="B92" s="164"/>
      <c r="C92" s="182"/>
      <c r="D92" s="164"/>
      <c r="E92" s="182"/>
      <c r="F92" s="152"/>
      <c r="G92" s="153"/>
      <c r="H92" s="139"/>
      <c r="I92" s="138"/>
      <c r="J92" s="196"/>
      <c r="K92" s="186"/>
      <c r="L92" s="196"/>
      <c r="M92" s="186"/>
      <c r="N92" s="185"/>
      <c r="O92" s="186"/>
      <c r="P92" s="185"/>
      <c r="Q92" s="186"/>
      <c r="R92" s="185"/>
      <c r="S92" s="153"/>
      <c r="T92" s="157"/>
      <c r="U92" s="156"/>
      <c r="V92" s="122"/>
      <c r="W92" s="122"/>
    </row>
    <row r="93" spans="1:23" ht="12" customHeight="1">
      <c r="A93" s="122"/>
      <c r="B93" s="164"/>
      <c r="C93" s="182"/>
      <c r="D93" s="164"/>
      <c r="E93" s="182"/>
      <c r="F93" s="152"/>
      <c r="G93" s="153"/>
      <c r="H93" s="139"/>
      <c r="I93" s="186"/>
      <c r="J93" s="185"/>
      <c r="K93" s="186"/>
      <c r="L93" s="185"/>
      <c r="M93" s="186"/>
      <c r="N93" s="185"/>
      <c r="O93" s="186"/>
      <c r="P93" s="185"/>
      <c r="Q93" s="186"/>
      <c r="R93" s="185"/>
      <c r="S93" s="153"/>
      <c r="T93" s="157"/>
      <c r="U93" s="156"/>
      <c r="V93" s="122"/>
      <c r="W93" s="122"/>
    </row>
    <row r="94" spans="1:23" ht="12" customHeight="1" thickBot="1">
      <c r="A94" s="141">
        <v>16</v>
      </c>
      <c r="B94" s="165"/>
      <c r="C94" s="172"/>
      <c r="D94" s="165"/>
      <c r="E94" s="172"/>
      <c r="F94" s="158"/>
      <c r="G94" s="145"/>
      <c r="H94" s="142"/>
      <c r="I94" s="188"/>
      <c r="J94" s="185"/>
      <c r="K94" s="188"/>
      <c r="L94" s="185"/>
      <c r="M94" s="188"/>
      <c r="N94" s="187"/>
      <c r="O94" s="188"/>
      <c r="P94" s="187"/>
      <c r="Q94" s="188"/>
      <c r="R94" s="187"/>
      <c r="S94" s="159"/>
      <c r="T94" s="163"/>
      <c r="U94" s="162"/>
      <c r="V94" s="122"/>
      <c r="W94" s="122"/>
    </row>
    <row r="95" spans="1:23" ht="12" customHeight="1">
      <c r="A95" s="122"/>
      <c r="B95" s="151"/>
      <c r="C95" s="150"/>
      <c r="D95" s="146"/>
      <c r="E95" s="173"/>
      <c r="F95" s="181"/>
      <c r="G95" s="173"/>
      <c r="H95" s="181"/>
      <c r="I95" s="173"/>
      <c r="J95" s="181"/>
      <c r="K95" s="136"/>
      <c r="L95" s="184"/>
      <c r="M95" s="183"/>
      <c r="N95" s="184"/>
      <c r="O95" s="183"/>
      <c r="P95" s="184"/>
      <c r="Q95" s="183"/>
      <c r="R95" s="184"/>
      <c r="S95" s="183"/>
      <c r="T95" s="184"/>
      <c r="U95" s="201"/>
      <c r="V95" s="122"/>
      <c r="W95" s="122"/>
    </row>
    <row r="96" spans="1:23" ht="12" customHeight="1">
      <c r="A96" s="122"/>
      <c r="B96" s="157"/>
      <c r="C96" s="156"/>
      <c r="D96" s="152"/>
      <c r="E96" s="182"/>
      <c r="F96" s="164"/>
      <c r="G96" s="182"/>
      <c r="H96" s="164"/>
      <c r="I96" s="182"/>
      <c r="J96" s="164"/>
      <c r="K96" s="140"/>
      <c r="L96" s="185"/>
      <c r="M96" s="186"/>
      <c r="N96" s="185"/>
      <c r="O96" s="186"/>
      <c r="P96" s="185"/>
      <c r="Q96" s="186"/>
      <c r="R96" s="185"/>
      <c r="S96" s="186"/>
      <c r="T96" s="202"/>
      <c r="U96" s="203"/>
      <c r="V96" s="122"/>
      <c r="W96" s="122"/>
    </row>
    <row r="97" spans="1:23" ht="12" customHeight="1">
      <c r="A97" s="122"/>
      <c r="B97" s="157"/>
      <c r="C97" s="156"/>
      <c r="D97" s="152"/>
      <c r="E97" s="182"/>
      <c r="F97" s="164"/>
      <c r="G97" s="182"/>
      <c r="H97" s="164"/>
      <c r="I97" s="182"/>
      <c r="J97" s="164"/>
      <c r="K97" s="140"/>
      <c r="L97" s="185"/>
      <c r="M97" s="186"/>
      <c r="N97" s="185"/>
      <c r="O97" s="186"/>
      <c r="P97" s="185"/>
      <c r="Q97" s="186"/>
      <c r="R97" s="185"/>
      <c r="S97" s="186"/>
      <c r="T97" s="202"/>
      <c r="U97" s="203"/>
      <c r="V97" s="122"/>
      <c r="W97" s="122"/>
    </row>
    <row r="98" spans="1:23" ht="12" customHeight="1">
      <c r="A98" s="122"/>
      <c r="B98" s="157"/>
      <c r="C98" s="153"/>
      <c r="D98" s="164"/>
      <c r="E98" s="182"/>
      <c r="F98" s="164"/>
      <c r="G98" s="182"/>
      <c r="H98" s="164"/>
      <c r="I98" s="182"/>
      <c r="J98" s="139"/>
      <c r="K98" s="186"/>
      <c r="L98" s="185"/>
      <c r="M98" s="186"/>
      <c r="N98" s="185"/>
      <c r="O98" s="186"/>
      <c r="P98" s="185"/>
      <c r="Q98" s="186"/>
      <c r="R98" s="185"/>
      <c r="S98" s="186"/>
      <c r="T98" s="204"/>
      <c r="U98" s="205"/>
      <c r="V98" s="122"/>
      <c r="W98" s="122"/>
    </row>
    <row r="99" spans="1:23" ht="12" customHeight="1" thickBot="1">
      <c r="A99" s="141">
        <v>17</v>
      </c>
      <c r="B99" s="163"/>
      <c r="C99" s="159"/>
      <c r="D99" s="165"/>
      <c r="E99" s="172"/>
      <c r="F99" s="165"/>
      <c r="G99" s="172"/>
      <c r="H99" s="165"/>
      <c r="I99" s="172"/>
      <c r="J99" s="144"/>
      <c r="K99" s="188"/>
      <c r="L99" s="187"/>
      <c r="M99" s="188"/>
      <c r="N99" s="187"/>
      <c r="O99" s="188"/>
      <c r="P99" s="187"/>
      <c r="Q99" s="188"/>
      <c r="R99" s="187"/>
      <c r="S99" s="188"/>
      <c r="T99" s="206"/>
      <c r="U99" s="207"/>
      <c r="V99" s="122"/>
      <c r="W99" s="122"/>
    </row>
    <row r="100" spans="1:23" ht="12" customHeight="1">
      <c r="A100" s="122"/>
      <c r="B100" s="208"/>
      <c r="C100" s="209"/>
      <c r="D100" s="208"/>
      <c r="E100" s="209"/>
      <c r="F100" s="208"/>
      <c r="G100" s="209"/>
      <c r="H100" s="210"/>
      <c r="I100" s="201"/>
      <c r="J100" s="210"/>
      <c r="K100" s="201"/>
      <c r="L100" s="210"/>
      <c r="M100" s="201"/>
      <c r="N100" s="210"/>
      <c r="O100" s="201"/>
      <c r="P100" s="210"/>
      <c r="Q100" s="211"/>
      <c r="R100" s="212"/>
      <c r="S100" s="211"/>
      <c r="T100" s="212"/>
      <c r="U100" s="211"/>
      <c r="V100" s="122"/>
      <c r="W100" s="122"/>
    </row>
    <row r="101" spans="1:23" ht="12" customHeight="1">
      <c r="A101" s="122"/>
      <c r="B101" s="213"/>
      <c r="C101" s="214"/>
      <c r="D101" s="213"/>
      <c r="E101" s="214"/>
      <c r="F101" s="213"/>
      <c r="G101" s="214"/>
      <c r="H101" s="213"/>
      <c r="I101" s="214"/>
      <c r="J101" s="213"/>
      <c r="K101" s="214"/>
      <c r="L101" s="213"/>
      <c r="M101" s="214"/>
      <c r="N101" s="213"/>
      <c r="O101" s="214"/>
      <c r="P101" s="213"/>
      <c r="Q101" s="214"/>
      <c r="R101" s="213"/>
      <c r="S101" s="214"/>
      <c r="T101" s="213"/>
      <c r="U101" s="214"/>
      <c r="V101" s="122"/>
      <c r="W101" s="122"/>
    </row>
    <row r="102" spans="1:23" ht="12" customHeight="1">
      <c r="A102" s="122"/>
      <c r="B102" s="213"/>
      <c r="C102" s="214"/>
      <c r="D102" s="213"/>
      <c r="E102" s="214"/>
      <c r="F102" s="213"/>
      <c r="G102" s="214"/>
      <c r="H102" s="213"/>
      <c r="I102" s="214"/>
      <c r="J102" s="213"/>
      <c r="K102" s="214"/>
      <c r="L102" s="213"/>
      <c r="M102" s="214"/>
      <c r="N102" s="213"/>
      <c r="O102" s="214"/>
      <c r="P102" s="213"/>
      <c r="Q102" s="214"/>
      <c r="R102" s="213"/>
      <c r="S102" s="214"/>
      <c r="T102" s="202"/>
      <c r="U102" s="203"/>
      <c r="V102" s="122"/>
      <c r="W102" s="122"/>
    </row>
    <row r="103" spans="1:23" ht="12" customHeight="1">
      <c r="A103" s="122"/>
      <c r="B103" s="202"/>
      <c r="C103" s="203"/>
      <c r="D103" s="202"/>
      <c r="E103" s="203"/>
      <c r="F103" s="202"/>
      <c r="G103" s="203"/>
      <c r="H103" s="215"/>
      <c r="I103" s="216"/>
      <c r="J103" s="215"/>
      <c r="K103" s="216"/>
      <c r="L103" s="215"/>
      <c r="M103" s="216"/>
      <c r="N103" s="215"/>
      <c r="O103" s="216"/>
      <c r="P103" s="215"/>
      <c r="Q103" s="216"/>
      <c r="R103" s="215"/>
      <c r="S103" s="216"/>
      <c r="T103" s="215"/>
      <c r="U103" s="216"/>
      <c r="V103" s="122"/>
      <c r="W103" s="122"/>
    </row>
    <row r="104" spans="1:23" ht="12" customHeight="1" thickBot="1">
      <c r="A104" s="141">
        <v>18</v>
      </c>
      <c r="B104" s="217"/>
      <c r="C104" s="218"/>
      <c r="D104" s="217"/>
      <c r="E104" s="218"/>
      <c r="F104" s="217"/>
      <c r="G104" s="218"/>
      <c r="H104" s="217"/>
      <c r="I104" s="218"/>
      <c r="J104" s="217"/>
      <c r="K104" s="218"/>
      <c r="L104" s="217"/>
      <c r="M104" s="218"/>
      <c r="N104" s="217"/>
      <c r="O104" s="218"/>
      <c r="P104" s="217"/>
      <c r="Q104" s="218"/>
      <c r="R104" s="217"/>
      <c r="S104" s="218"/>
      <c r="T104" s="217"/>
      <c r="U104" s="218"/>
      <c r="V104" s="122"/>
      <c r="W104" s="122"/>
    </row>
    <row r="105" spans="1:23" ht="12" customHeight="1">
      <c r="A105" s="122"/>
      <c r="B105" s="219"/>
      <c r="C105" s="220"/>
      <c r="D105" s="219"/>
      <c r="E105" s="220"/>
      <c r="F105" s="219"/>
      <c r="G105" s="220"/>
      <c r="H105" s="219"/>
      <c r="I105" s="220"/>
      <c r="J105" s="219"/>
      <c r="K105" s="220"/>
      <c r="L105" s="219"/>
      <c r="M105" s="220"/>
      <c r="N105" s="219"/>
      <c r="O105" s="220"/>
      <c r="P105" s="219"/>
      <c r="Q105" s="220"/>
      <c r="R105" s="219"/>
      <c r="S105" s="220"/>
      <c r="T105" s="219"/>
      <c r="U105" s="220"/>
      <c r="V105" s="122"/>
      <c r="W105" s="122"/>
    </row>
    <row r="106" spans="1:23" ht="12" customHeight="1">
      <c r="A106" s="122"/>
      <c r="B106" s="215"/>
      <c r="C106" s="216"/>
      <c r="D106" s="215"/>
      <c r="E106" s="216"/>
      <c r="F106" s="215"/>
      <c r="G106" s="216"/>
      <c r="H106" s="215"/>
      <c r="I106" s="216"/>
      <c r="J106" s="215"/>
      <c r="K106" s="216"/>
      <c r="L106" s="215"/>
      <c r="M106" s="216"/>
      <c r="N106" s="215"/>
      <c r="O106" s="216"/>
      <c r="P106" s="221"/>
      <c r="Q106" s="222"/>
      <c r="R106" s="221"/>
      <c r="S106" s="222"/>
      <c r="T106" s="221"/>
      <c r="U106" s="222"/>
      <c r="V106" s="122"/>
      <c r="W106" s="122"/>
    </row>
    <row r="107" spans="1:23" ht="12" customHeight="1">
      <c r="A107" s="122"/>
      <c r="B107" s="221"/>
      <c r="C107" s="222"/>
      <c r="D107" s="221"/>
      <c r="E107" s="222"/>
      <c r="F107" s="221"/>
      <c r="G107" s="222"/>
      <c r="H107" s="221"/>
      <c r="I107" s="222"/>
      <c r="J107" s="221"/>
      <c r="K107" s="222"/>
      <c r="L107" s="221"/>
      <c r="M107" s="222"/>
      <c r="N107" s="221"/>
      <c r="O107" s="214"/>
      <c r="P107" s="213"/>
      <c r="Q107" s="214"/>
      <c r="R107" s="213"/>
      <c r="S107" s="214"/>
      <c r="T107" s="213"/>
      <c r="U107" s="214"/>
      <c r="V107" s="122"/>
      <c r="W107" s="122"/>
    </row>
    <row r="108" spans="1:23" ht="12" customHeight="1">
      <c r="A108" s="122"/>
      <c r="B108" s="213"/>
      <c r="C108" s="214"/>
      <c r="D108" s="213"/>
      <c r="E108" s="214"/>
      <c r="F108" s="213"/>
      <c r="G108" s="214"/>
      <c r="H108" s="213"/>
      <c r="I108" s="214"/>
      <c r="J108" s="213"/>
      <c r="K108" s="214"/>
      <c r="L108" s="213"/>
      <c r="M108" s="214"/>
      <c r="N108" s="213"/>
      <c r="O108" s="214"/>
      <c r="P108" s="213"/>
      <c r="Q108" s="214"/>
      <c r="R108" s="213"/>
      <c r="S108" s="214"/>
      <c r="T108" s="213"/>
      <c r="U108" s="214"/>
      <c r="V108" s="122"/>
      <c r="W108" s="122"/>
    </row>
    <row r="109" spans="1:23" ht="12" customHeight="1" thickBot="1">
      <c r="A109" s="141">
        <v>19</v>
      </c>
      <c r="B109" s="223"/>
      <c r="C109" s="224"/>
      <c r="D109" s="223"/>
      <c r="E109" s="224"/>
      <c r="F109" s="206"/>
      <c r="G109" s="207"/>
      <c r="H109" s="206"/>
      <c r="I109" s="207"/>
      <c r="J109" s="206"/>
      <c r="K109" s="225"/>
      <c r="L109" s="226"/>
      <c r="M109" s="225"/>
      <c r="N109" s="226"/>
      <c r="O109" s="225"/>
      <c r="P109" s="226"/>
      <c r="Q109" s="225"/>
      <c r="R109" s="202"/>
      <c r="S109" s="225"/>
      <c r="T109" s="226"/>
      <c r="U109" s="225"/>
      <c r="V109" s="122"/>
      <c r="W109" s="122"/>
    </row>
    <row r="110" spans="1:23" ht="12" customHeight="1">
      <c r="A110" s="122"/>
      <c r="B110" s="210"/>
      <c r="C110" s="201"/>
      <c r="D110" s="208"/>
      <c r="E110" s="209"/>
      <c r="F110" s="208"/>
      <c r="G110" s="209"/>
      <c r="H110" s="208"/>
      <c r="I110" s="236"/>
      <c r="J110" s="235"/>
      <c r="K110" s="220"/>
      <c r="L110" s="219"/>
      <c r="M110" s="220"/>
      <c r="N110" s="219"/>
      <c r="O110" s="220"/>
      <c r="P110" s="219"/>
      <c r="Q110" s="220"/>
      <c r="R110" s="219"/>
      <c r="S110" s="220"/>
      <c r="T110" s="219"/>
      <c r="U110" s="220"/>
      <c r="V110" s="122"/>
      <c r="W110" s="122"/>
    </row>
    <row r="111" spans="1:23" ht="12" customHeight="1">
      <c r="A111" s="122"/>
      <c r="B111" s="176"/>
      <c r="C111" s="177"/>
      <c r="D111" s="176"/>
      <c r="E111" s="177"/>
      <c r="F111" s="176"/>
      <c r="G111" s="177"/>
      <c r="H111" s="237"/>
      <c r="I111" s="238"/>
      <c r="J111" s="237"/>
      <c r="K111" s="216"/>
      <c r="L111" s="215"/>
      <c r="M111" s="216"/>
      <c r="N111" s="215"/>
      <c r="O111" s="216"/>
      <c r="P111" s="215"/>
      <c r="Q111" s="216"/>
      <c r="R111" s="215"/>
      <c r="S111" s="216"/>
      <c r="T111" s="215"/>
      <c r="U111" s="216"/>
      <c r="V111" s="122"/>
      <c r="W111" s="122"/>
    </row>
    <row r="112" spans="1:23" ht="12" customHeight="1">
      <c r="A112" s="122"/>
      <c r="B112" s="176"/>
      <c r="C112" s="177"/>
      <c r="D112" s="176"/>
      <c r="E112" s="177"/>
      <c r="F112" s="176"/>
      <c r="G112" s="177"/>
      <c r="H112" s="237"/>
      <c r="I112" s="238"/>
      <c r="J112" s="215"/>
      <c r="K112" s="216"/>
      <c r="L112" s="215"/>
      <c r="M112" s="216"/>
      <c r="N112" s="215"/>
      <c r="O112" s="216"/>
      <c r="P112" s="215"/>
      <c r="Q112" s="216"/>
      <c r="R112" s="215"/>
      <c r="S112" s="216"/>
      <c r="T112" s="215"/>
      <c r="U112" s="216"/>
      <c r="V112" s="122"/>
      <c r="W112" s="122"/>
    </row>
    <row r="113" spans="1:23" ht="12" customHeight="1">
      <c r="A113" s="122"/>
      <c r="B113" s="176"/>
      <c r="C113" s="177"/>
      <c r="D113" s="176"/>
      <c r="E113" s="177"/>
      <c r="F113" s="176"/>
      <c r="G113" s="177"/>
      <c r="H113" s="237"/>
      <c r="I113" s="238"/>
      <c r="J113" s="215"/>
      <c r="K113" s="216"/>
      <c r="L113" s="215"/>
      <c r="M113" s="216"/>
      <c r="N113" s="215"/>
      <c r="O113" s="216"/>
      <c r="P113" s="215"/>
      <c r="Q113" s="216"/>
      <c r="R113" s="215"/>
      <c r="S113" s="216"/>
      <c r="T113" s="215"/>
      <c r="U113" s="216"/>
      <c r="V113" s="122"/>
      <c r="W113" s="122"/>
    </row>
    <row r="114" spans="1:23" ht="12" customHeight="1" thickBot="1">
      <c r="A114" s="141">
        <v>20</v>
      </c>
      <c r="B114" s="179"/>
      <c r="C114" s="178"/>
      <c r="D114" s="179"/>
      <c r="E114" s="178"/>
      <c r="F114" s="179"/>
      <c r="G114" s="178"/>
      <c r="H114" s="293"/>
      <c r="I114" s="294"/>
      <c r="J114" s="217"/>
      <c r="K114" s="218"/>
      <c r="L114" s="217"/>
      <c r="M114" s="218"/>
      <c r="N114" s="217"/>
      <c r="O114" s="218"/>
      <c r="P114" s="217"/>
      <c r="Q114" s="218"/>
      <c r="R114" s="217"/>
      <c r="S114" s="218"/>
      <c r="T114" s="217"/>
      <c r="U114" s="218"/>
      <c r="V114" s="122"/>
      <c r="W114" s="122"/>
    </row>
    <row r="115" spans="1:23" ht="12" customHeight="1">
      <c r="A115" s="122"/>
      <c r="B115" s="219"/>
      <c r="C115" s="220"/>
      <c r="D115" s="219"/>
      <c r="E115" s="220"/>
      <c r="F115" s="219"/>
      <c r="G115" s="220"/>
      <c r="H115" s="219"/>
      <c r="I115" s="220"/>
      <c r="J115" s="219"/>
      <c r="K115" s="220"/>
      <c r="L115" s="219"/>
      <c r="M115" s="220"/>
      <c r="N115" s="219"/>
      <c r="O115" s="220"/>
      <c r="P115" s="219"/>
      <c r="Q115" s="220"/>
      <c r="R115" s="219"/>
      <c r="S115" s="220"/>
      <c r="T115" s="219"/>
      <c r="U115" s="175"/>
      <c r="V115" s="122"/>
      <c r="W115" s="122"/>
    </row>
    <row r="116" spans="1:23" ht="12" customHeight="1">
      <c r="A116" s="122"/>
      <c r="B116" s="215"/>
      <c r="C116" s="216"/>
      <c r="D116" s="215"/>
      <c r="E116" s="216"/>
      <c r="F116" s="215"/>
      <c r="G116" s="216"/>
      <c r="H116" s="215"/>
      <c r="I116" s="216"/>
      <c r="J116" s="215"/>
      <c r="K116" s="216"/>
      <c r="L116" s="215"/>
      <c r="M116" s="216"/>
      <c r="N116" s="215"/>
      <c r="O116" s="216"/>
      <c r="P116" s="215"/>
      <c r="Q116" s="216"/>
      <c r="R116" s="215"/>
      <c r="S116" s="216"/>
      <c r="T116" s="215"/>
      <c r="U116" s="177"/>
      <c r="V116" s="122"/>
      <c r="W116" s="122"/>
    </row>
    <row r="117" spans="1:23" ht="12" customHeight="1">
      <c r="A117" s="122"/>
      <c r="B117" s="215"/>
      <c r="C117" s="216"/>
      <c r="D117" s="215"/>
      <c r="E117" s="216"/>
      <c r="F117" s="215"/>
      <c r="G117" s="216"/>
      <c r="H117" s="215"/>
      <c r="I117" s="216"/>
      <c r="J117" s="215"/>
      <c r="K117" s="216"/>
      <c r="L117" s="215"/>
      <c r="M117" s="216"/>
      <c r="N117" s="215"/>
      <c r="O117" s="216"/>
      <c r="P117" s="215"/>
      <c r="Q117" s="216"/>
      <c r="R117" s="215"/>
      <c r="S117" s="216"/>
      <c r="T117" s="176"/>
      <c r="U117" s="177"/>
      <c r="V117" s="122"/>
      <c r="W117" s="122"/>
    </row>
    <row r="118" spans="1:23" ht="12" customHeight="1">
      <c r="A118" s="122"/>
      <c r="B118" s="215"/>
      <c r="C118" s="216"/>
      <c r="D118" s="215"/>
      <c r="E118" s="216"/>
      <c r="F118" s="215"/>
      <c r="G118" s="216"/>
      <c r="H118" s="215"/>
      <c r="I118" s="216"/>
      <c r="J118" s="215"/>
      <c r="K118" s="216"/>
      <c r="L118" s="215"/>
      <c r="M118" s="216"/>
      <c r="N118" s="215"/>
      <c r="O118" s="216"/>
      <c r="P118" s="215"/>
      <c r="Q118" s="216"/>
      <c r="R118" s="215"/>
      <c r="S118" s="216"/>
      <c r="T118" s="176"/>
      <c r="U118" s="177"/>
      <c r="V118" s="122"/>
      <c r="W118" s="122"/>
    </row>
    <row r="119" spans="1:23" ht="12" customHeight="1" thickBot="1">
      <c r="A119" s="141">
        <v>21</v>
      </c>
      <c r="B119" s="217"/>
      <c r="C119" s="218"/>
      <c r="D119" s="217"/>
      <c r="E119" s="218"/>
      <c r="F119" s="217"/>
      <c r="G119" s="218"/>
      <c r="H119" s="217"/>
      <c r="I119" s="218"/>
      <c r="J119" s="217"/>
      <c r="K119" s="218"/>
      <c r="L119" s="217"/>
      <c r="M119" s="218"/>
      <c r="N119" s="217"/>
      <c r="O119" s="218"/>
      <c r="P119" s="217"/>
      <c r="Q119" s="218"/>
      <c r="R119" s="217"/>
      <c r="S119" s="218"/>
      <c r="T119" s="179"/>
      <c r="U119" s="178"/>
      <c r="V119" s="122"/>
      <c r="W119" s="122"/>
    </row>
    <row r="120" spans="1:23" ht="12" customHeight="1">
      <c r="A120" s="122"/>
      <c r="B120" s="174"/>
      <c r="C120" s="175"/>
      <c r="D120" s="174"/>
      <c r="E120" s="175"/>
      <c r="F120" s="174"/>
      <c r="G120" s="175"/>
      <c r="H120" s="174"/>
      <c r="I120" s="175"/>
      <c r="J120" s="174"/>
      <c r="K120" s="175"/>
      <c r="L120" s="174"/>
      <c r="M120" s="175"/>
      <c r="N120" s="174"/>
      <c r="O120" s="175"/>
      <c r="P120" s="174"/>
      <c r="Q120" s="175"/>
      <c r="R120" s="174"/>
      <c r="S120" s="175"/>
      <c r="T120" s="174"/>
      <c r="U120" s="175"/>
      <c r="V120" s="122"/>
      <c r="W120" s="122"/>
    </row>
    <row r="121" spans="1:23" ht="12" customHeight="1">
      <c r="A121" s="122"/>
      <c r="B121" s="176"/>
      <c r="C121" s="177"/>
      <c r="D121" s="176"/>
      <c r="E121" s="177"/>
      <c r="F121" s="176"/>
      <c r="G121" s="177"/>
      <c r="H121" s="176"/>
      <c r="I121" s="177"/>
      <c r="J121" s="176"/>
      <c r="K121" s="177"/>
      <c r="L121" s="176"/>
      <c r="M121" s="177"/>
      <c r="N121" s="176"/>
      <c r="O121" s="177"/>
      <c r="P121" s="176"/>
      <c r="Q121" s="177"/>
      <c r="R121" s="176"/>
      <c r="S121" s="177"/>
      <c r="T121" s="176"/>
      <c r="U121" s="177"/>
      <c r="V121" s="122"/>
      <c r="W121" s="122"/>
    </row>
    <row r="122" spans="1:23" ht="12" customHeight="1">
      <c r="A122" s="122"/>
      <c r="B122" s="176"/>
      <c r="C122" s="177"/>
      <c r="D122" s="176"/>
      <c r="E122" s="177"/>
      <c r="F122" s="176"/>
      <c r="G122" s="177"/>
      <c r="H122" s="176"/>
      <c r="I122" s="177"/>
      <c r="J122" s="122"/>
      <c r="K122" s="177"/>
      <c r="L122" s="122"/>
      <c r="M122" s="177"/>
      <c r="N122" s="176"/>
      <c r="O122" s="177"/>
      <c r="P122" s="176"/>
      <c r="Q122" s="177"/>
      <c r="R122" s="176"/>
      <c r="S122" s="177"/>
      <c r="T122" s="176"/>
      <c r="U122" s="177"/>
      <c r="V122" s="122"/>
      <c r="W122" s="122"/>
    </row>
    <row r="123" spans="1:23" ht="12" customHeight="1">
      <c r="A123" s="122"/>
      <c r="B123" s="176"/>
      <c r="C123" s="177"/>
      <c r="D123" s="176"/>
      <c r="E123" s="177"/>
      <c r="F123" s="176"/>
      <c r="G123" s="177"/>
      <c r="H123" s="176"/>
      <c r="I123" s="177"/>
      <c r="J123" s="176"/>
      <c r="K123" s="177"/>
      <c r="L123" s="176"/>
      <c r="M123" s="177"/>
      <c r="N123" s="176"/>
      <c r="O123" s="177"/>
      <c r="P123" s="176"/>
      <c r="Q123" s="177"/>
      <c r="R123" s="176"/>
      <c r="S123" s="177"/>
      <c r="T123" s="176"/>
      <c r="U123" s="177"/>
      <c r="V123" s="122"/>
      <c r="W123" s="122"/>
    </row>
    <row r="124" spans="1:23" ht="12" customHeight="1" thickBot="1">
      <c r="A124" s="141">
        <v>22</v>
      </c>
      <c r="B124" s="179"/>
      <c r="C124" s="178"/>
      <c r="D124" s="179"/>
      <c r="E124" s="178"/>
      <c r="F124" s="179"/>
      <c r="G124" s="178"/>
      <c r="H124" s="179"/>
      <c r="I124" s="178"/>
      <c r="J124" s="176"/>
      <c r="K124" s="178"/>
      <c r="L124" s="176"/>
      <c r="M124" s="178"/>
      <c r="N124" s="179"/>
      <c r="O124" s="178"/>
      <c r="P124" s="179"/>
      <c r="Q124" s="178"/>
      <c r="R124" s="179"/>
      <c r="S124" s="178"/>
      <c r="T124" s="179"/>
      <c r="U124" s="178"/>
      <c r="V124" s="122"/>
      <c r="W124" s="122"/>
    </row>
    <row r="125" spans="1:23" ht="12" customHeight="1">
      <c r="A125" s="122"/>
      <c r="B125" s="174"/>
      <c r="C125" s="175"/>
      <c r="D125" s="174"/>
      <c r="E125" s="175"/>
      <c r="F125" s="174"/>
      <c r="G125" s="175"/>
      <c r="H125" s="174"/>
      <c r="I125" s="175"/>
      <c r="J125" s="174"/>
      <c r="K125" s="175"/>
      <c r="L125" s="174"/>
      <c r="M125" s="175"/>
      <c r="N125" s="174"/>
      <c r="O125" s="175"/>
      <c r="P125" s="174"/>
      <c r="Q125" s="175"/>
      <c r="R125" s="174"/>
      <c r="S125" s="175"/>
      <c r="T125" s="174"/>
      <c r="U125" s="175"/>
      <c r="V125" s="122"/>
      <c r="W125" s="122"/>
    </row>
    <row r="126" spans="1:23" ht="12" customHeight="1">
      <c r="A126" s="122"/>
      <c r="B126" s="176"/>
      <c r="C126" s="177"/>
      <c r="D126" s="176"/>
      <c r="E126" s="177"/>
      <c r="F126" s="176"/>
      <c r="G126" s="177"/>
      <c r="H126" s="176"/>
      <c r="I126" s="177"/>
      <c r="J126" s="176"/>
      <c r="K126" s="177"/>
      <c r="L126" s="176"/>
      <c r="M126" s="177"/>
      <c r="N126" s="176"/>
      <c r="O126" s="177"/>
      <c r="P126" s="176"/>
      <c r="Q126" s="177"/>
      <c r="R126" s="176"/>
      <c r="S126" s="177"/>
      <c r="T126" s="176"/>
      <c r="U126" s="177"/>
      <c r="V126" s="122"/>
      <c r="W126" s="122"/>
    </row>
    <row r="127" spans="1:23" ht="12" customHeight="1">
      <c r="A127" s="122"/>
      <c r="B127" s="176"/>
      <c r="C127" s="177"/>
      <c r="D127" s="176"/>
      <c r="E127" s="177"/>
      <c r="F127" s="176"/>
      <c r="G127" s="177"/>
      <c r="H127" s="176"/>
      <c r="I127" s="177"/>
      <c r="J127" s="176"/>
      <c r="K127" s="177"/>
      <c r="L127" s="176"/>
      <c r="M127" s="177"/>
      <c r="N127" s="176"/>
      <c r="O127" s="177"/>
      <c r="P127" s="176"/>
      <c r="Q127" s="177"/>
      <c r="R127" s="176"/>
      <c r="S127" s="177"/>
      <c r="T127" s="176"/>
      <c r="U127" s="177"/>
      <c r="V127" s="122"/>
      <c r="W127" s="122"/>
    </row>
    <row r="128" spans="1:23" ht="12" customHeight="1">
      <c r="A128" s="122"/>
      <c r="B128" s="176"/>
      <c r="C128" s="177"/>
      <c r="D128" s="176"/>
      <c r="E128" s="177"/>
      <c r="F128" s="176"/>
      <c r="G128" s="177"/>
      <c r="H128" s="176"/>
      <c r="I128" s="177"/>
      <c r="J128" s="176"/>
      <c r="K128" s="177"/>
      <c r="L128" s="176"/>
      <c r="M128" s="177"/>
      <c r="N128" s="176"/>
      <c r="O128" s="177"/>
      <c r="P128" s="176"/>
      <c r="Q128" s="177"/>
      <c r="R128" s="176"/>
      <c r="S128" s="177"/>
      <c r="T128" s="176"/>
      <c r="U128" s="177"/>
      <c r="V128" s="122"/>
      <c r="W128" s="122"/>
    </row>
    <row r="129" spans="1:23" ht="12" customHeight="1" thickBot="1">
      <c r="A129" s="141">
        <v>23</v>
      </c>
      <c r="B129" s="179"/>
      <c r="C129" s="178"/>
      <c r="D129" s="179"/>
      <c r="E129" s="178"/>
      <c r="F129" s="179"/>
      <c r="G129" s="178"/>
      <c r="H129" s="179"/>
      <c r="I129" s="178"/>
      <c r="J129" s="179"/>
      <c r="K129" s="178"/>
      <c r="L129" s="179"/>
      <c r="M129" s="178"/>
      <c r="N129" s="179"/>
      <c r="O129" s="178"/>
      <c r="P129" s="179"/>
      <c r="Q129" s="178"/>
      <c r="R129" s="179"/>
      <c r="S129" s="178"/>
      <c r="T129" s="179"/>
      <c r="U129" s="178"/>
      <c r="V129" s="122"/>
      <c r="W129" s="122"/>
    </row>
    <row r="130" spans="1:23" ht="12" customHeight="1">
      <c r="A130" s="122"/>
      <c r="B130" s="174"/>
      <c r="C130" s="175"/>
      <c r="D130" s="174"/>
      <c r="E130" s="175"/>
      <c r="F130" s="174"/>
      <c r="G130" s="175"/>
      <c r="H130" s="174"/>
      <c r="I130" s="175"/>
      <c r="J130" s="174"/>
      <c r="K130" s="175"/>
      <c r="L130" s="174"/>
      <c r="M130" s="175"/>
      <c r="N130" s="174"/>
      <c r="O130" s="175"/>
      <c r="P130" s="174"/>
      <c r="Q130" s="175"/>
      <c r="R130" s="174"/>
      <c r="S130" s="175"/>
      <c r="T130" s="174"/>
      <c r="U130" s="175"/>
      <c r="V130" s="122"/>
      <c r="W130" s="122"/>
    </row>
    <row r="131" spans="1:23" ht="12" customHeight="1">
      <c r="A131" s="122"/>
      <c r="B131" s="176"/>
      <c r="C131" s="177"/>
      <c r="D131" s="176"/>
      <c r="E131" s="177"/>
      <c r="F131" s="176"/>
      <c r="G131" s="177"/>
      <c r="H131" s="176"/>
      <c r="I131" s="177"/>
      <c r="J131" s="176"/>
      <c r="K131" s="177"/>
      <c r="L131" s="176"/>
      <c r="M131" s="177"/>
      <c r="N131" s="176"/>
      <c r="O131" s="177"/>
      <c r="P131" s="176"/>
      <c r="Q131" s="177"/>
      <c r="R131" s="176"/>
      <c r="S131" s="177"/>
      <c r="T131" s="176"/>
      <c r="U131" s="177"/>
      <c r="V131" s="122"/>
      <c r="W131" s="122"/>
    </row>
    <row r="132" spans="1:23" ht="12" customHeight="1">
      <c r="A132" s="122"/>
      <c r="B132" s="176"/>
      <c r="C132" s="177"/>
      <c r="D132" s="176"/>
      <c r="E132" s="177"/>
      <c r="F132" s="176"/>
      <c r="G132" s="177"/>
      <c r="H132" s="176"/>
      <c r="I132" s="177"/>
      <c r="J132" s="176"/>
      <c r="K132" s="177"/>
      <c r="L132" s="176"/>
      <c r="M132" s="177"/>
      <c r="N132" s="176"/>
      <c r="O132" s="177"/>
      <c r="P132" s="176"/>
      <c r="Q132" s="177"/>
      <c r="R132" s="176"/>
      <c r="S132" s="177"/>
      <c r="T132" s="176"/>
      <c r="U132" s="177"/>
      <c r="V132" s="122"/>
      <c r="W132" s="122"/>
    </row>
    <row r="133" spans="1:23" ht="12" customHeight="1">
      <c r="A133" s="122"/>
      <c r="B133" s="176"/>
      <c r="C133" s="177"/>
      <c r="D133" s="176"/>
      <c r="E133" s="177"/>
      <c r="F133" s="176"/>
      <c r="G133" s="177"/>
      <c r="H133" s="176"/>
      <c r="I133" s="177"/>
      <c r="J133" s="176"/>
      <c r="K133" s="177"/>
      <c r="L133" s="176"/>
      <c r="M133" s="177"/>
      <c r="N133" s="176"/>
      <c r="O133" s="177"/>
      <c r="P133" s="176"/>
      <c r="Q133" s="177"/>
      <c r="R133" s="176"/>
      <c r="S133" s="177"/>
      <c r="T133" s="176"/>
      <c r="U133" s="177"/>
      <c r="V133" s="122"/>
      <c r="W133" s="122"/>
    </row>
    <row r="134" spans="1:23" ht="12" customHeight="1" thickBot="1">
      <c r="A134" s="141">
        <v>24</v>
      </c>
      <c r="B134" s="179"/>
      <c r="C134" s="178"/>
      <c r="D134" s="179"/>
      <c r="E134" s="178"/>
      <c r="F134" s="179"/>
      <c r="G134" s="178"/>
      <c r="H134" s="179"/>
      <c r="I134" s="178"/>
      <c r="J134" s="179"/>
      <c r="K134" s="178"/>
      <c r="L134" s="179"/>
      <c r="M134" s="178"/>
      <c r="N134" s="179"/>
      <c r="O134" s="178"/>
      <c r="P134" s="179"/>
      <c r="Q134" s="178"/>
      <c r="R134" s="179"/>
      <c r="S134" s="178"/>
      <c r="T134" s="179"/>
      <c r="U134" s="178"/>
      <c r="V134" s="122"/>
      <c r="W134" s="122"/>
    </row>
    <row r="135" spans="1:23" ht="12" customHeight="1">
      <c r="A135" s="122"/>
      <c r="B135" s="174"/>
      <c r="C135" s="175"/>
      <c r="D135" s="174"/>
      <c r="E135" s="175"/>
      <c r="F135" s="174"/>
      <c r="G135" s="175"/>
      <c r="H135" s="174"/>
      <c r="I135" s="175"/>
      <c r="J135" s="174"/>
      <c r="K135" s="175"/>
      <c r="L135" s="174"/>
      <c r="M135" s="175"/>
      <c r="N135" s="174"/>
      <c r="O135" s="175"/>
      <c r="P135" s="174"/>
      <c r="Q135" s="175"/>
      <c r="R135" s="174"/>
      <c r="S135" s="175"/>
      <c r="T135" s="174"/>
      <c r="U135" s="175"/>
      <c r="V135" s="122"/>
      <c r="W135" s="122"/>
    </row>
    <row r="136" spans="1:23" ht="12" customHeight="1">
      <c r="A136" s="122"/>
      <c r="B136" s="176"/>
      <c r="C136" s="177"/>
      <c r="D136" s="176"/>
      <c r="E136" s="177"/>
      <c r="F136" s="176"/>
      <c r="G136" s="177"/>
      <c r="H136" s="176"/>
      <c r="I136" s="177"/>
      <c r="J136" s="176"/>
      <c r="K136" s="177"/>
      <c r="L136" s="176"/>
      <c r="M136" s="177"/>
      <c r="N136" s="176"/>
      <c r="O136" s="177"/>
      <c r="P136" s="176"/>
      <c r="Q136" s="177"/>
      <c r="R136" s="176"/>
      <c r="S136" s="177"/>
      <c r="T136" s="176"/>
      <c r="U136" s="177"/>
      <c r="V136" s="122"/>
      <c r="W136" s="122"/>
    </row>
    <row r="137" spans="1:23" ht="12" customHeight="1">
      <c r="A137" s="122"/>
      <c r="B137" s="176"/>
      <c r="C137" s="177"/>
      <c r="D137" s="176"/>
      <c r="E137" s="177"/>
      <c r="F137" s="176"/>
      <c r="G137" s="177"/>
      <c r="H137" s="176"/>
      <c r="I137" s="177"/>
      <c r="J137" s="176"/>
      <c r="K137" s="177"/>
      <c r="L137" s="176"/>
      <c r="M137" s="177"/>
      <c r="N137" s="176"/>
      <c r="O137" s="177"/>
      <c r="P137" s="176"/>
      <c r="Q137" s="177"/>
      <c r="R137" s="176"/>
      <c r="S137" s="177"/>
      <c r="T137" s="176"/>
      <c r="U137" s="177"/>
      <c r="V137" s="122"/>
      <c r="W137" s="122"/>
    </row>
    <row r="138" spans="1:23" ht="12" customHeight="1">
      <c r="A138" s="122"/>
      <c r="B138" s="176"/>
      <c r="C138" s="177"/>
      <c r="D138" s="176"/>
      <c r="E138" s="177"/>
      <c r="F138" s="176"/>
      <c r="G138" s="177"/>
      <c r="H138" s="176"/>
      <c r="I138" s="177"/>
      <c r="J138" s="176"/>
      <c r="K138" s="177"/>
      <c r="L138" s="176"/>
      <c r="M138" s="177"/>
      <c r="N138" s="176"/>
      <c r="O138" s="177"/>
      <c r="P138" s="176"/>
      <c r="Q138" s="177"/>
      <c r="R138" s="176"/>
      <c r="S138" s="177"/>
      <c r="T138" s="176"/>
      <c r="U138" s="177"/>
      <c r="V138" s="122"/>
      <c r="W138" s="122"/>
    </row>
    <row r="139" spans="1:23" ht="12" customHeight="1" thickBot="1">
      <c r="A139" s="141">
        <v>25</v>
      </c>
      <c r="B139" s="179"/>
      <c r="C139" s="178"/>
      <c r="D139" s="179"/>
      <c r="E139" s="178"/>
      <c r="F139" s="179"/>
      <c r="G139" s="178"/>
      <c r="H139" s="179"/>
      <c r="I139" s="178"/>
      <c r="J139" s="179"/>
      <c r="K139" s="178"/>
      <c r="L139" s="179"/>
      <c r="M139" s="178"/>
      <c r="N139" s="179"/>
      <c r="O139" s="178"/>
      <c r="P139" s="179"/>
      <c r="Q139" s="178"/>
      <c r="R139" s="176"/>
      <c r="S139" s="178"/>
      <c r="T139" s="179"/>
      <c r="U139" s="178"/>
      <c r="V139" s="122"/>
      <c r="W139" s="122"/>
    </row>
    <row r="140" spans="1:23" ht="12" customHeight="1">
      <c r="A140" s="122"/>
      <c r="B140" s="174"/>
      <c r="C140" s="175"/>
      <c r="D140" s="174"/>
      <c r="E140" s="175"/>
      <c r="F140" s="174"/>
      <c r="G140" s="175"/>
      <c r="H140" s="174"/>
      <c r="I140" s="175"/>
      <c r="J140" s="174"/>
      <c r="K140" s="175"/>
      <c r="L140" s="174"/>
      <c r="M140" s="175"/>
      <c r="N140" s="174"/>
      <c r="O140" s="175"/>
      <c r="P140" s="174"/>
      <c r="Q140" s="175"/>
      <c r="R140" s="174"/>
      <c r="S140" s="175"/>
      <c r="T140" s="174"/>
      <c r="U140" s="175"/>
      <c r="V140" s="122"/>
      <c r="W140" s="122"/>
    </row>
    <row r="141" spans="1:23" ht="12" customHeight="1">
      <c r="A141" s="122"/>
      <c r="B141" s="176"/>
      <c r="C141" s="177"/>
      <c r="D141" s="176"/>
      <c r="E141" s="177"/>
      <c r="F141" s="176"/>
      <c r="G141" s="177"/>
      <c r="H141" s="176"/>
      <c r="I141" s="177"/>
      <c r="J141" s="176"/>
      <c r="K141" s="177"/>
      <c r="L141" s="176"/>
      <c r="M141" s="177"/>
      <c r="N141" s="176"/>
      <c r="O141" s="177"/>
      <c r="P141" s="176"/>
      <c r="Q141" s="177"/>
      <c r="R141" s="176"/>
      <c r="S141" s="177"/>
      <c r="T141" s="176"/>
      <c r="U141" s="177"/>
      <c r="V141" s="122"/>
      <c r="W141" s="122"/>
    </row>
    <row r="142" spans="1:23" ht="12" customHeight="1">
      <c r="A142" s="122"/>
      <c r="B142" s="176"/>
      <c r="C142" s="177"/>
      <c r="D142" s="176"/>
      <c r="E142" s="177"/>
      <c r="F142" s="176"/>
      <c r="G142" s="177"/>
      <c r="H142" s="176"/>
      <c r="I142" s="177"/>
      <c r="J142" s="176"/>
      <c r="K142" s="177"/>
      <c r="L142" s="176"/>
      <c r="M142" s="177"/>
      <c r="N142" s="176"/>
      <c r="O142" s="177"/>
      <c r="P142" s="176"/>
      <c r="Q142" s="177"/>
      <c r="R142" s="176"/>
      <c r="S142" s="177"/>
      <c r="T142" s="176"/>
      <c r="U142" s="177"/>
      <c r="V142" s="122"/>
      <c r="W142" s="122"/>
    </row>
    <row r="143" spans="1:23" ht="12" customHeight="1">
      <c r="A143" s="122"/>
      <c r="B143" s="176"/>
      <c r="C143" s="177"/>
      <c r="D143" s="176"/>
      <c r="E143" s="177"/>
      <c r="F143" s="176"/>
      <c r="G143" s="177"/>
      <c r="H143" s="176"/>
      <c r="I143" s="177"/>
      <c r="J143" s="176"/>
      <c r="K143" s="177"/>
      <c r="L143" s="176"/>
      <c r="M143" s="177"/>
      <c r="N143" s="176"/>
      <c r="O143" s="177"/>
      <c r="P143" s="176"/>
      <c r="Q143" s="177"/>
      <c r="R143" s="176"/>
      <c r="S143" s="177"/>
      <c r="T143" s="176"/>
      <c r="U143" s="177"/>
      <c r="V143" s="122"/>
      <c r="W143" s="122"/>
    </row>
    <row r="144" spans="1:23" ht="12" customHeight="1" thickBot="1">
      <c r="A144" s="141">
        <v>26</v>
      </c>
      <c r="B144" s="179"/>
      <c r="C144" s="178"/>
      <c r="D144" s="179"/>
      <c r="E144" s="178"/>
      <c r="F144" s="179"/>
      <c r="G144" s="178"/>
      <c r="H144" s="179"/>
      <c r="I144" s="178"/>
      <c r="J144" s="179"/>
      <c r="K144" s="178"/>
      <c r="L144" s="179"/>
      <c r="M144" s="178"/>
      <c r="N144" s="179"/>
      <c r="O144" s="178"/>
      <c r="P144" s="179"/>
      <c r="Q144" s="178"/>
      <c r="R144" s="179"/>
      <c r="S144" s="178"/>
      <c r="T144" s="179"/>
      <c r="U144" s="178"/>
      <c r="V144" s="122"/>
      <c r="W144" s="122"/>
    </row>
    <row r="146" spans="1:23">
      <c r="A146" s="434" t="str">
        <f>HYPERLINK("#'9월'!A1","← 9월 월간 가계부로 돌아가기")</f>
        <v>← 9월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2116000</v>
      </c>
      <c r="J149" s="433"/>
      <c r="K149" s="433"/>
      <c r="L149" s="433"/>
      <c r="M149" s="433"/>
      <c r="N149" s="365"/>
      <c r="O149" s="362" t="b">
        <f>IF('9월'!AA1,I149=('9월'!M28),"미입력")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2066000</v>
      </c>
      <c r="J150" s="433"/>
      <c r="K150" s="433"/>
      <c r="L150" s="433"/>
      <c r="M150" s="433"/>
      <c r="N150" s="365"/>
      <c r="O150" s="362" t="b">
        <f>IF('9월'!AA1,I150=('9월'!I38),"미입력")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50000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50000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2522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B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8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46296</v>
      </c>
      <c r="U1" s="109">
        <v>46314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58" t="s">
        <v>557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  <c r="V3" s="114" t="s">
        <v>215</v>
      </c>
    </row>
    <row r="4" spans="1:27" ht="29" customHeight="1">
      <c r="A4" s="31" t="s">
        <v>323</v>
      </c>
      <c r="B4" s="27"/>
      <c r="C4" s="27"/>
      <c r="D4" s="27"/>
      <c r="E4" s="98">
        <f>(18000)+SUMIFS($AB$52:$AB$61,$A$52:$A$61,"&gt;="&amp;E3,$A$52:$A$61,"&lt;"&amp;E3+1)</f>
        <v>18000</v>
      </c>
      <c r="F4" s="98">
        <f>(31000)+SUMIFS($AB$52:$AB$61,$A$52:$A$61,"&gt;="&amp;F3,$A$52:$A$61,"&lt;"&amp;F3+1)</f>
        <v>31000</v>
      </c>
      <c r="G4" s="98">
        <f>(5000)+SUMIFS($AB$52:$AB$61,$A$52:$A$61,"&gt;="&amp;G3,$A$52:$A$61,"&lt;"&amp;G3+1)</f>
        <v>5000</v>
      </c>
      <c r="H4" s="98">
        <f>(114000)+SUMIFS($AB$52:$AB$61,$A$52:$A$61,"&gt;="&amp;H3,$A$52:$A$61,"&lt;"&amp;H3+1)</f>
        <v>114000</v>
      </c>
      <c r="I4" s="45">
        <f>SUM(B4:H4)</f>
        <v>168000</v>
      </c>
      <c r="J4" s="12"/>
      <c r="K4" s="31" t="s">
        <v>73</v>
      </c>
      <c r="L4" s="31"/>
      <c r="M4" s="27" t="s">
        <v>326</v>
      </c>
      <c r="N4" s="27" t="s">
        <v>524</v>
      </c>
      <c r="O4" s="96">
        <v>391000</v>
      </c>
      <c r="P4" s="101"/>
      <c r="Q4" s="102">
        <f t="shared" ref="Q4:Q24" si="0">IF(COUNTA(O4:P4)=0,"",O4-P4)</f>
        <v>391000</v>
      </c>
      <c r="R4" s="102">
        <f t="shared" ref="R4:R24" si="1">IF(Q4="","",ROUNDUP(Q4,-3))</f>
        <v>391000</v>
      </c>
      <c r="S4" s="27"/>
      <c r="T4" s="27"/>
      <c r="U4" s="96" t="s">
        <v>558</v>
      </c>
      <c r="V4" s="115" t="s">
        <v>2523</v>
      </c>
    </row>
    <row r="5" spans="1:27" ht="29" customHeight="1">
      <c r="A5" s="31" t="s">
        <v>322</v>
      </c>
      <c r="B5" s="27"/>
      <c r="C5" s="27"/>
      <c r="D5" s="27"/>
      <c r="E5" s="98">
        <f>(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)+SUMIFS($H$52:$H$61,$A$52:$A$61,"&gt;="&amp;E3,$A$52:$A$61,"&lt;"&amp;E3+1)</f>
        <v>17300</v>
      </c>
      <c r="F5" s="98">
        <f>(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)+SUMIFS($H$52:$H$61,$A$52:$A$61,"&gt;="&amp;F3,$A$52:$A$61,"&lt;"&amp;F3+1)</f>
        <v>30500</v>
      </c>
      <c r="G5" s="98">
        <f>(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)+SUMIFS($H$52:$H$61,$A$52:$A$61,"&gt;="&amp;G3,$A$52:$A$61,"&lt;"&amp;G3+1)</f>
        <v>5000</v>
      </c>
      <c r="H5" s="98">
        <f>(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)+SUMIFS($H$52:$H$61,$A$52:$A$61,"&gt;="&amp;H3,$A$52:$A$61,"&lt;"&amp;H3+1)</f>
        <v>112890</v>
      </c>
      <c r="I5" s="45">
        <f>SUM(B5:H5)</f>
        <v>165690</v>
      </c>
      <c r="J5" s="12"/>
      <c r="K5" s="38" t="s">
        <v>328</v>
      </c>
      <c r="L5" s="38" t="s">
        <v>559</v>
      </c>
      <c r="M5" s="34" t="s">
        <v>330</v>
      </c>
      <c r="N5" s="34" t="s">
        <v>331</v>
      </c>
      <c r="O5" s="96">
        <v>170350</v>
      </c>
      <c r="P5" s="101"/>
      <c r="Q5" s="103">
        <f t="shared" si="0"/>
        <v>170350</v>
      </c>
      <c r="R5" s="103">
        <f t="shared" si="1"/>
        <v>171000</v>
      </c>
      <c r="S5" s="34"/>
      <c r="T5" s="34" t="s">
        <v>332</v>
      </c>
      <c r="U5" s="96" t="s">
        <v>558</v>
      </c>
      <c r="V5" s="116" t="s">
        <v>2523</v>
      </c>
    </row>
    <row r="6" spans="1:27" ht="29" customHeight="1">
      <c r="A6" s="31" t="s">
        <v>223</v>
      </c>
      <c r="B6" s="27"/>
      <c r="C6" s="27"/>
      <c r="D6" s="27"/>
      <c r="E6" s="27">
        <f>IF(COUNT(E4,E5)=0,"",SUM(E4)-SUM(E5))</f>
        <v>700</v>
      </c>
      <c r="F6" s="27">
        <f>IF(COUNT(F4,F5)=0,"",SUM(F4)-SUM(F5))</f>
        <v>500</v>
      </c>
      <c r="G6" s="27">
        <f>IF(COUNT(G4,G5)=0,"",SUM(G4)-SUM(G5))</f>
        <v>0</v>
      </c>
      <c r="H6" s="27">
        <f>IF(COUNT(H4,H5)=0,"",SUM(H4)-SUM(H5))</f>
        <v>1110</v>
      </c>
      <c r="I6" s="45">
        <f>SUM(B6:H6)</f>
        <v>2310</v>
      </c>
      <c r="J6" s="12"/>
      <c r="K6" s="31" t="s">
        <v>333</v>
      </c>
      <c r="L6" s="31" t="s">
        <v>559</v>
      </c>
      <c r="M6" s="27" t="s">
        <v>330</v>
      </c>
      <c r="N6" s="27" t="s">
        <v>334</v>
      </c>
      <c r="O6" s="96">
        <v>7690</v>
      </c>
      <c r="P6" s="101"/>
      <c r="Q6" s="102">
        <f t="shared" si="0"/>
        <v>7690</v>
      </c>
      <c r="R6" s="102">
        <f t="shared" si="1"/>
        <v>8000</v>
      </c>
      <c r="S6" s="27"/>
      <c r="T6" s="27" t="s">
        <v>332</v>
      </c>
      <c r="U6" s="96" t="s">
        <v>558</v>
      </c>
      <c r="V6" s="115" t="s">
        <v>2523</v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96">
        <v>143506</v>
      </c>
      <c r="P7" s="101"/>
      <c r="Q7" s="103">
        <f t="shared" si="0"/>
        <v>143506</v>
      </c>
      <c r="R7" s="103">
        <f t="shared" si="1"/>
        <v>144000</v>
      </c>
      <c r="S7" s="34"/>
      <c r="T7" s="34" t="s">
        <v>338</v>
      </c>
      <c r="U7" s="96" t="s">
        <v>558</v>
      </c>
      <c r="V7" s="116" t="s">
        <v>2523</v>
      </c>
    </row>
    <row r="8" spans="1:27" ht="29" customHeight="1">
      <c r="A8" s="39" t="s">
        <v>339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110">
        <f>RAW!G2435</f>
        <v>53620</v>
      </c>
      <c r="P8" s="101">
        <v>0</v>
      </c>
      <c r="Q8" s="102">
        <f t="shared" si="0"/>
        <v>53620</v>
      </c>
      <c r="R8" s="102">
        <f t="shared" si="1"/>
        <v>54000</v>
      </c>
      <c r="S8" s="27"/>
      <c r="T8" s="27" t="s">
        <v>332</v>
      </c>
      <c r="U8" s="96" t="s">
        <v>560</v>
      </c>
      <c r="V8" s="115" t="s">
        <v>2524</v>
      </c>
    </row>
    <row r="9" spans="1:27" ht="29" customHeight="1">
      <c r="A9" s="31" t="s">
        <v>323</v>
      </c>
      <c r="B9" s="98">
        <f>(184000)+SUMIFS($AB$52:$AB$61,$A$52:$A$61,"&gt;="&amp;B8,$A$52:$A$61,"&lt;"&amp;B8+1)</f>
        <v>184000</v>
      </c>
      <c r="C9" s="35">
        <f>(130000)+SUMIFS($AB$52:$AB$61,$A$52:$A$61,"&gt;="&amp;C8,$A$52:$A$61,"&lt;"&amp;C8+1)</f>
        <v>130000</v>
      </c>
      <c r="D9" s="35">
        <f>(128000)+SUMIFS($AB$52:$AB$61,$A$52:$A$61,"&gt;="&amp;D8,$A$52:$A$61,"&lt;"&amp;D8+1)</f>
        <v>128000</v>
      </c>
      <c r="E9" s="35">
        <f>(128000)+SUMIFS($AB$52:$AB$61,$A$52:$A$61,"&gt;="&amp;E8,$A$52:$A$61,"&lt;"&amp;E8+1)</f>
        <v>128000</v>
      </c>
      <c r="F9" s="35">
        <f>(175000)+SUMIFS($AB$52:$AB$61,$A$52:$A$61,"&gt;="&amp;F8,$A$52:$A$61,"&lt;"&amp;F8+1)</f>
        <v>175000</v>
      </c>
      <c r="G9" s="35">
        <f>(42000)+SUMIFS($AB$52:$AB$61,$A$52:$A$61,"&gt;="&amp;G8,$A$52:$A$61,"&lt;"&amp;G8+1)</f>
        <v>42000</v>
      </c>
      <c r="H9" s="35">
        <f>(38000)+SUMIFS($AB$52:$AB$61,$A$52:$A$61,"&gt;="&amp;H8,$A$52:$A$61,"&lt;"&amp;H8+1)</f>
        <v>38000</v>
      </c>
      <c r="I9" s="45">
        <f>SUM(B9:H9)</f>
        <v>825000</v>
      </c>
      <c r="J9" s="12"/>
      <c r="K9" s="38"/>
      <c r="L9" s="38" t="s">
        <v>343</v>
      </c>
      <c r="M9" s="34" t="s">
        <v>344</v>
      </c>
      <c r="N9" s="34" t="s">
        <v>345</v>
      </c>
      <c r="O9" s="96">
        <v>10</v>
      </c>
      <c r="P9" s="101"/>
      <c r="Q9" s="103">
        <f t="shared" si="0"/>
        <v>10</v>
      </c>
      <c r="R9" s="103">
        <f t="shared" si="1"/>
        <v>1000</v>
      </c>
      <c r="S9" s="34"/>
      <c r="T9" s="34" t="s">
        <v>332</v>
      </c>
      <c r="U9" s="96" t="s">
        <v>558</v>
      </c>
      <c r="V9" s="116" t="s">
        <v>2525</v>
      </c>
    </row>
    <row r="10" spans="1:27" ht="29" customHeight="1">
      <c r="A10" s="31" t="s">
        <v>322</v>
      </c>
      <c r="B10" s="98">
        <f>(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)+SUMIFS($H$52:$H$61,$A$52:$A$61,"&gt;="&amp;B8,$A$52:$A$61,"&lt;"&amp;B8+1)</f>
        <v>181550</v>
      </c>
      <c r="C10" s="35">
        <f>(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)+SUMIFS($H$52:$H$61,$A$52:$A$61,"&gt;="&amp;C8,$A$52:$A$61,"&lt;"&amp;C8+1)</f>
        <v>127860</v>
      </c>
      <c r="D10" s="35">
        <f>(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)+SUMIFS($H$52:$H$61,$A$52:$A$61,"&gt;="&amp;D8,$A$52:$A$61,"&lt;"&amp;D8+1)</f>
        <v>125870</v>
      </c>
      <c r="E10" s="35">
        <f>(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)+SUMIFS($H$52:$H$61,$A$52:$A$61,"&gt;="&amp;E8,$A$52:$A$61,"&lt;"&amp;E8+1)</f>
        <v>125800</v>
      </c>
      <c r="F10" s="35">
        <f>(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)+SUMIFS($H$52:$H$61,$A$52:$A$61,"&gt;="&amp;F8,$A$52:$A$61,"&lt;"&amp;F8+1)</f>
        <v>170550</v>
      </c>
      <c r="G10" s="35">
        <f>(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)+SUMIFS($H$52:$H$61,$A$52:$A$61,"&gt;="&amp;G8,$A$52:$A$61,"&lt;"&amp;G8+1)</f>
        <v>40800</v>
      </c>
      <c r="H10" s="35">
        <f>(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)+SUMIFS($H$52:$H$61,$A$52:$A$61,"&gt;="&amp;H8,$A$52:$A$61,"&lt;"&amp;H8+1)</f>
        <v>37700</v>
      </c>
      <c r="I10" s="45">
        <f>SUM(B10:H10)</f>
        <v>810130</v>
      </c>
      <c r="J10" s="12"/>
      <c r="K10" s="31" t="s">
        <v>346</v>
      </c>
      <c r="L10" s="31" t="s">
        <v>526</v>
      </c>
      <c r="M10" s="27" t="s">
        <v>330</v>
      </c>
      <c r="N10" s="27" t="s">
        <v>527</v>
      </c>
      <c r="O10" s="110">
        <f>RAW!G2427</f>
        <v>27610</v>
      </c>
      <c r="P10" s="101">
        <v>0</v>
      </c>
      <c r="Q10" s="102">
        <f t="shared" si="0"/>
        <v>27610</v>
      </c>
      <c r="R10" s="102">
        <f t="shared" si="1"/>
        <v>28000</v>
      </c>
      <c r="S10" s="27"/>
      <c r="T10" s="27" t="s">
        <v>332</v>
      </c>
      <c r="U10" s="96" t="s">
        <v>560</v>
      </c>
      <c r="V10" s="115" t="s">
        <v>2524</v>
      </c>
    </row>
    <row r="11" spans="1:27" ht="29" customHeight="1">
      <c r="A11" s="31" t="s">
        <v>223</v>
      </c>
      <c r="B11" s="27">
        <f t="shared" ref="B11:H11" si="2">IF(COUNT(B9,B10)=0,"",SUM(B9)-SUM(B10))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350</v>
      </c>
      <c r="L11" s="38" t="s">
        <v>514</v>
      </c>
      <c r="M11" s="34" t="s">
        <v>162</v>
      </c>
      <c r="N11" s="34" t="s">
        <v>515</v>
      </c>
      <c r="O11" s="110">
        <f>RAW!G2438</f>
        <v>136350</v>
      </c>
      <c r="P11" s="101">
        <v>0</v>
      </c>
      <c r="Q11" s="103">
        <f t="shared" si="0"/>
        <v>136350</v>
      </c>
      <c r="R11" s="103">
        <f t="shared" si="1"/>
        <v>137000</v>
      </c>
      <c r="S11" s="34"/>
      <c r="T11" s="34" t="s">
        <v>332</v>
      </c>
      <c r="U11" s="96" t="s">
        <v>560</v>
      </c>
      <c r="V11" s="116" t="s">
        <v>2524</v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362</v>
      </c>
      <c r="L12" s="31" t="s">
        <v>561</v>
      </c>
      <c r="M12" s="27" t="s">
        <v>344</v>
      </c>
      <c r="N12" s="27">
        <v>4</v>
      </c>
      <c r="O12" s="111">
        <f>RAW!G2353</f>
        <v>4900</v>
      </c>
      <c r="P12" s="98">
        <v>0</v>
      </c>
      <c r="Q12" s="99">
        <f t="shared" si="0"/>
        <v>4900</v>
      </c>
      <c r="R12" s="99">
        <f t="shared" si="1"/>
        <v>5000</v>
      </c>
      <c r="S12" s="27"/>
      <c r="T12" s="27" t="s">
        <v>371</v>
      </c>
      <c r="U12" s="99" t="s">
        <v>560</v>
      </c>
      <c r="V12" s="115" t="s">
        <v>2526</v>
      </c>
    </row>
    <row r="13" spans="1:27" ht="29" customHeight="1">
      <c r="A13" s="39" t="s">
        <v>357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531</v>
      </c>
      <c r="L13" s="38" t="s">
        <v>187</v>
      </c>
      <c r="M13" s="34" t="s">
        <v>326</v>
      </c>
      <c r="N13" s="34" t="s">
        <v>532</v>
      </c>
      <c r="O13" s="110">
        <f>RAW!G2444</f>
        <v>90410</v>
      </c>
      <c r="P13" s="101">
        <v>0</v>
      </c>
      <c r="Q13" s="103">
        <f t="shared" si="0"/>
        <v>90410</v>
      </c>
      <c r="R13" s="103">
        <f t="shared" si="1"/>
        <v>91000</v>
      </c>
      <c r="S13" s="34"/>
      <c r="T13" s="34" t="s">
        <v>332</v>
      </c>
      <c r="U13" s="96" t="s">
        <v>560</v>
      </c>
      <c r="V13" s="116" t="s">
        <v>562</v>
      </c>
    </row>
    <row r="14" spans="1:27" ht="29" customHeight="1">
      <c r="A14" s="31" t="s">
        <v>323</v>
      </c>
      <c r="B14" s="35">
        <f>(240000)+SUMIFS($AB$52:$AB$61,$A$52:$A$61,"&gt;="&amp;B13,$A$52:$A$61,"&lt;"&amp;B13+1)</f>
        <v>240000</v>
      </c>
      <c r="C14" s="35">
        <f>(CEILING(RAW!K2447,1000))+SUMIFS($AB$52:$AB$61,$A$52:$A$61,"&gt;="&amp;C13,$A$52:$A$61,"&lt;"&amp;C13+1)</f>
        <v>5000</v>
      </c>
      <c r="D14" s="35">
        <f>(SUMPRODUCT((RAW!$A$2323:$A$2493&gt;=D13)*(RAW!$A$2323:$A$2493&lt;D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D13,$A$52:$A$61,"&lt;"&amp;D13+1)</f>
        <v>63000</v>
      </c>
      <c r="E14" s="35">
        <f>(SUMPRODUCT((RAW!$A$2323:$A$2493&gt;=E13)*(RAW!$A$2323:$A$2493&lt;E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E13,$A$52:$A$61,"&lt;"&amp;E13+1)</f>
        <v>20000</v>
      </c>
      <c r="F14" s="35">
        <f>(SUMPRODUCT((RAW!$A$2323:$A$2493&gt;=F13)*(RAW!$A$2323:$A$2493&lt;F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F13,$A$52:$A$61,"&lt;"&amp;F13+1)</f>
        <v>23000</v>
      </c>
      <c r="G14" s="35">
        <f>(SUMPRODUCT((RAW!$A$2323:$A$2493&gt;=G13)*(RAW!$A$2323:$A$2493&lt;G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G13,$A$52:$A$61,"&lt;"&amp;G13+1)</f>
        <v>63000</v>
      </c>
      <c r="H14" s="35">
        <f>(SUMPRODUCT((RAW!$A$2323:$A$2493&gt;=H13)*(RAW!$A$2323:$A$2493&lt;H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H13,$A$52:$A$61,"&lt;"&amp;H13+1)</f>
        <v>181000</v>
      </c>
      <c r="I14" s="45">
        <f>SUM(B14:H14)</f>
        <v>595000</v>
      </c>
      <c r="J14" s="12"/>
      <c r="K14" s="31" t="s">
        <v>362</v>
      </c>
      <c r="L14" s="31" t="s">
        <v>563</v>
      </c>
      <c r="M14" s="27" t="s">
        <v>344</v>
      </c>
      <c r="N14" s="27">
        <v>4</v>
      </c>
      <c r="O14" s="111">
        <f>RAW!G2351</f>
        <v>45267</v>
      </c>
      <c r="P14" s="98">
        <v>0</v>
      </c>
      <c r="Q14" s="99">
        <f t="shared" si="0"/>
        <v>45267</v>
      </c>
      <c r="R14" s="99">
        <f t="shared" si="1"/>
        <v>46000</v>
      </c>
      <c r="S14" s="27"/>
      <c r="T14" s="27"/>
      <c r="U14" s="99" t="s">
        <v>560</v>
      </c>
      <c r="V14" s="115" t="s">
        <v>2527</v>
      </c>
    </row>
    <row r="15" spans="1:27" ht="29" customHeight="1">
      <c r="A15" s="31" t="s">
        <v>322</v>
      </c>
      <c r="B15" s="35">
        <f>(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)+SUMIFS($H$52:$H$61,$A$52:$A$61,"&gt;="&amp;B13,$A$52:$A$61,"&lt;"&amp;B13+1)</f>
        <v>238120</v>
      </c>
      <c r="C15" s="35">
        <f>(RAW!K2447)+SUMIFS($H$52:$H$61,$A$52:$A$61,"&gt;="&amp;C13,$A$52:$A$61,"&lt;"&amp;C13+1)</f>
        <v>4500</v>
      </c>
      <c r="D15" s="35">
        <f>(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)+SUMIFS($H$52:$H$61,$A$52:$A$61,"&gt;="&amp;D13,$A$52:$A$61,"&lt;"&amp;D13+1)</f>
        <v>62400</v>
      </c>
      <c r="E15" s="35">
        <f>(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)+SUMIFS($H$52:$H$61,$A$52:$A$61,"&gt;="&amp;E13,$A$52:$A$61,"&lt;"&amp;E13+1)</f>
        <v>18900</v>
      </c>
      <c r="F15" s="35">
        <f>(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)+SUMIFS($H$52:$H$61,$A$52:$A$61,"&gt;="&amp;F13,$A$52:$A$61,"&lt;"&amp;F13+1)</f>
        <v>22900</v>
      </c>
      <c r="G15" s="35">
        <f>(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)+SUMIFS($H$52:$H$61,$A$52:$A$61,"&gt;="&amp;G13,$A$52:$A$61,"&lt;"&amp;G13+1)</f>
        <v>61630</v>
      </c>
      <c r="H15" s="35">
        <f>(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)+SUMIFS($H$52:$H$61,$A$52:$A$61,"&gt;="&amp;H13,$A$52:$A$61,"&lt;"&amp;H13+1)</f>
        <v>179180</v>
      </c>
      <c r="I15" s="45">
        <f>SUM(B15:H15)</f>
        <v>587630</v>
      </c>
      <c r="J15" s="12"/>
      <c r="K15" s="38" t="s">
        <v>362</v>
      </c>
      <c r="L15" s="38" t="s">
        <v>547</v>
      </c>
      <c r="M15" s="34" t="s">
        <v>344</v>
      </c>
      <c r="N15" s="34" t="s">
        <v>360</v>
      </c>
      <c r="O15" s="96">
        <v>29000</v>
      </c>
      <c r="P15" s="101"/>
      <c r="Q15" s="103">
        <f t="shared" si="0"/>
        <v>29000</v>
      </c>
      <c r="R15" s="103">
        <f t="shared" si="1"/>
        <v>29000</v>
      </c>
      <c r="S15" s="34"/>
      <c r="T15" s="34"/>
      <c r="U15" s="96" t="s">
        <v>558</v>
      </c>
      <c r="V15" s="116" t="s">
        <v>2523</v>
      </c>
    </row>
    <row r="16" spans="1:27" ht="29" customHeight="1">
      <c r="A16" s="31" t="s">
        <v>223</v>
      </c>
      <c r="B16" s="27">
        <f t="shared" ref="B16:H16" si="3">IF(COUNT(B14,B15)=0,"",SUM(B14)-SUM(B15))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1820</v>
      </c>
      <c r="I16" s="45">
        <f>SUM(B16:H16)</f>
        <v>7370</v>
      </c>
      <c r="J16" s="12"/>
      <c r="K16" s="31"/>
      <c r="L16" s="31" t="s">
        <v>363</v>
      </c>
      <c r="M16" s="27" t="s">
        <v>344</v>
      </c>
      <c r="N16" s="27" t="s">
        <v>364</v>
      </c>
      <c r="O16" s="96">
        <v>7890</v>
      </c>
      <c r="P16" s="101"/>
      <c r="Q16" s="102">
        <f t="shared" si="0"/>
        <v>7890</v>
      </c>
      <c r="R16" s="102">
        <f t="shared" si="1"/>
        <v>8000</v>
      </c>
      <c r="S16" s="27"/>
      <c r="T16" s="27" t="s">
        <v>365</v>
      </c>
      <c r="U16" s="96" t="s">
        <v>558</v>
      </c>
      <c r="V16" s="115" t="s">
        <v>2523</v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96">
        <v>4890</v>
      </c>
      <c r="P17" s="101"/>
      <c r="Q17" s="103">
        <f t="shared" si="0"/>
        <v>4890</v>
      </c>
      <c r="R17" s="103">
        <f t="shared" si="1"/>
        <v>5000</v>
      </c>
      <c r="S17" s="34"/>
      <c r="T17" s="34" t="s">
        <v>367</v>
      </c>
      <c r="U17" s="96" t="s">
        <v>558</v>
      </c>
      <c r="V17" s="116" t="s">
        <v>2523</v>
      </c>
    </row>
    <row r="18" spans="1:22" ht="29" customHeight="1">
      <c r="A18" s="39" t="s">
        <v>368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564</v>
      </c>
      <c r="M18" s="27" t="s">
        <v>344</v>
      </c>
      <c r="N18" s="27">
        <v>4</v>
      </c>
      <c r="O18" s="110">
        <f>RAW!G2355</f>
        <v>8965</v>
      </c>
      <c r="P18" s="98">
        <v>0</v>
      </c>
      <c r="Q18" s="104">
        <f t="shared" si="0"/>
        <v>8965</v>
      </c>
      <c r="R18" s="104">
        <f t="shared" si="1"/>
        <v>9000</v>
      </c>
      <c r="S18" s="27"/>
      <c r="T18" s="27" t="s">
        <v>371</v>
      </c>
      <c r="U18" s="97" t="s">
        <v>560</v>
      </c>
      <c r="V18" s="115" t="s">
        <v>2526</v>
      </c>
    </row>
    <row r="19" spans="1:22" ht="29" customHeight="1">
      <c r="A19" s="31" t="s">
        <v>323</v>
      </c>
      <c r="B19" s="35">
        <f>(SUMPRODUCT((RAW!$A$2323:$A$2493&gt;=B18)*(RAW!$A$2323:$A$2493&lt;B18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B18,$A$52:$A$61,"&lt;"&amp;B18+1)</f>
        <v>130000</v>
      </c>
      <c r="C19" s="35" t="str">
        <f t="shared" ref="C19:H19" si="4">IF(COUNTIFS($A$52:$A$61,"&gt;="&amp;C18,$A$52:$A$61,"&lt;"&amp;C18+1,$D$52:$D$61,"&lt;&gt;")=0,"",SUMIFS($AB$52:$AB$61,$A$52:$A$61,"&gt;="&amp;C18,$A$52:$A$61,"&lt;"&amp;C18+1))</f>
        <v/>
      </c>
      <c r="D19" s="35" t="str">
        <f t="shared" si="4"/>
        <v/>
      </c>
      <c r="E19" s="35" t="str">
        <f t="shared" si="4"/>
        <v/>
      </c>
      <c r="F19" s="35" t="str">
        <f t="shared" si="4"/>
        <v/>
      </c>
      <c r="G19" s="35" t="str">
        <f t="shared" si="4"/>
        <v/>
      </c>
      <c r="H19" s="35" t="str">
        <f t="shared" si="4"/>
        <v/>
      </c>
      <c r="I19" s="45">
        <f>SUM(B19:H19)</f>
        <v>130000</v>
      </c>
      <c r="J19" s="12"/>
      <c r="K19" s="38"/>
      <c r="L19" s="38" t="s">
        <v>372</v>
      </c>
      <c r="M19" s="34" t="s">
        <v>344</v>
      </c>
      <c r="N19" s="34" t="s">
        <v>373</v>
      </c>
      <c r="O19" s="96">
        <v>7737</v>
      </c>
      <c r="P19" s="101"/>
      <c r="Q19" s="103">
        <f t="shared" si="0"/>
        <v>7737</v>
      </c>
      <c r="R19" s="103">
        <f t="shared" si="1"/>
        <v>8000</v>
      </c>
      <c r="S19" s="34"/>
      <c r="T19" s="34" t="s">
        <v>374</v>
      </c>
      <c r="U19" s="96" t="s">
        <v>558</v>
      </c>
      <c r="V19" s="116" t="s">
        <v>2523</v>
      </c>
    </row>
    <row r="20" spans="1:22" ht="29" customHeight="1">
      <c r="A20" s="31" t="s">
        <v>322</v>
      </c>
      <c r="B20" s="35">
        <f>(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경조·선물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일회성전자")+SUMIFS(RAW!$K$2:$K$10018,RAW!$A$2:$A$10018,"&gt;="&amp;B18,RAW!$A$2:$A$10018,"&lt;"&amp;B18+1,RAW!$H$2:$H$10018,"지출",RAW!$L$2:$L$10018,"본인",RAW!$J$2:$J$10018,"여행"))+SUMIFS($H$52:$H$61,$A$52:$A$61,"&gt;="&amp;B18,$A$52:$A$61,"&lt;"&amp;B18+1)</f>
        <v>128975</v>
      </c>
      <c r="C20" s="35" t="str">
        <f t="shared" ref="C20:H20" si="5">IF(COUNTIFS($A$52:$A$61,"&gt;="&amp;C18,$A$52:$A$61,"&lt;"&amp;C18+1,$D$52:$D$61,"&lt;&gt;")=0,"",SUMIFS($H$52:$H$61,$A$52:$A$61,"&gt;="&amp;C18,$A$52:$A$61,"&lt;"&amp;C18+1))</f>
        <v/>
      </c>
      <c r="D20" s="35" t="str">
        <f t="shared" si="5"/>
        <v/>
      </c>
      <c r="E20" s="35" t="str">
        <f t="shared" si="5"/>
        <v/>
      </c>
      <c r="F20" s="35" t="str">
        <f t="shared" si="5"/>
        <v/>
      </c>
      <c r="G20" s="35" t="str">
        <f t="shared" si="5"/>
        <v/>
      </c>
      <c r="H20" s="35" t="str">
        <f t="shared" si="5"/>
        <v/>
      </c>
      <c r="I20" s="45">
        <f>SUM(B20:H20)</f>
        <v>128975</v>
      </c>
      <c r="J20" s="12"/>
      <c r="K20" s="31"/>
      <c r="L20" s="31" t="s">
        <v>375</v>
      </c>
      <c r="M20" s="27" t="s">
        <v>344</v>
      </c>
      <c r="N20" s="27">
        <v>1</v>
      </c>
      <c r="O20" s="110">
        <f>RAW!G2328</f>
        <v>0</v>
      </c>
      <c r="P20" s="98">
        <v>0</v>
      </c>
      <c r="Q20" s="104">
        <f t="shared" si="0"/>
        <v>0</v>
      </c>
      <c r="R20" s="104">
        <f t="shared" si="1"/>
        <v>0</v>
      </c>
      <c r="S20" s="27"/>
      <c r="T20" s="27" t="s">
        <v>371</v>
      </c>
      <c r="U20" s="97" t="s">
        <v>560</v>
      </c>
      <c r="V20" s="115" t="s">
        <v>2528</v>
      </c>
    </row>
    <row r="21" spans="1:22" ht="29" customHeight="1">
      <c r="A21" s="31" t="s">
        <v>223</v>
      </c>
      <c r="B21" s="27">
        <f t="shared" ref="B21:H21" si="6">IF(COUNT(B19,B20)=0,"",SUM(B19)-SUM(B20))</f>
        <v>1025</v>
      </c>
      <c r="C21" s="27" t="str">
        <f t="shared" si="6"/>
        <v/>
      </c>
      <c r="D21" s="27" t="str">
        <f t="shared" si="6"/>
        <v/>
      </c>
      <c r="E21" s="27" t="str">
        <f t="shared" si="6"/>
        <v/>
      </c>
      <c r="F21" s="27" t="str">
        <f t="shared" si="6"/>
        <v/>
      </c>
      <c r="G21" s="27" t="str">
        <f t="shared" si="6"/>
        <v/>
      </c>
      <c r="H21" s="27" t="str">
        <f t="shared" si="6"/>
        <v/>
      </c>
      <c r="I21" s="45">
        <f>SUM(B21:H21)</f>
        <v>1025</v>
      </c>
      <c r="J21" s="12"/>
      <c r="K21" s="38"/>
      <c r="L21" s="38" t="s">
        <v>377</v>
      </c>
      <c r="M21" s="34" t="s">
        <v>344</v>
      </c>
      <c r="N21" s="34">
        <v>2</v>
      </c>
      <c r="O21" s="110">
        <f>RAW!G2329</f>
        <v>18000</v>
      </c>
      <c r="P21" s="98">
        <v>0</v>
      </c>
      <c r="Q21" s="105">
        <f t="shared" si="0"/>
        <v>18000</v>
      </c>
      <c r="R21" s="105">
        <f t="shared" si="1"/>
        <v>18000</v>
      </c>
      <c r="S21" s="34"/>
      <c r="T21" s="34" t="s">
        <v>379</v>
      </c>
      <c r="U21" s="97" t="s">
        <v>560</v>
      </c>
      <c r="V21" s="116" t="s">
        <v>2529</v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110">
        <f>RAW!G2443</f>
        <v>74700</v>
      </c>
      <c r="P22" s="101">
        <v>0</v>
      </c>
      <c r="Q22" s="102">
        <f t="shared" si="0"/>
        <v>74700</v>
      </c>
      <c r="R22" s="102">
        <f t="shared" si="1"/>
        <v>75000</v>
      </c>
      <c r="S22" s="27" t="s">
        <v>565</v>
      </c>
      <c r="T22" s="27" t="s">
        <v>383</v>
      </c>
      <c r="U22" s="96" t="s">
        <v>560</v>
      </c>
      <c r="V22" s="115" t="s">
        <v>2524</v>
      </c>
    </row>
    <row r="23" spans="1:22" ht="29" customHeight="1">
      <c r="A23" s="39" t="s">
        <v>384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496</v>
      </c>
      <c r="M23" s="34" t="s">
        <v>330</v>
      </c>
      <c r="N23" s="34">
        <v>5</v>
      </c>
      <c r="O23" s="110">
        <f>RAW!G2362</f>
        <v>10200</v>
      </c>
      <c r="P23" s="98">
        <v>0</v>
      </c>
      <c r="Q23" s="105">
        <f t="shared" si="0"/>
        <v>10200</v>
      </c>
      <c r="R23" s="105">
        <f t="shared" si="1"/>
        <v>11000</v>
      </c>
      <c r="S23" s="34" t="s">
        <v>566</v>
      </c>
      <c r="T23" s="34" t="s">
        <v>76</v>
      </c>
      <c r="U23" s="97" t="s">
        <v>560</v>
      </c>
      <c r="V23" s="116" t="s">
        <v>2530</v>
      </c>
    </row>
    <row r="24" spans="1:22" ht="29" customHeight="1">
      <c r="A24" s="31" t="s">
        <v>323</v>
      </c>
      <c r="B24" s="35" t="str">
        <f t="shared" ref="B24:G24" si="7">IF(COUNTIFS($A$52:$A$61,"&gt;="&amp;B23,$A$52:$A$61,"&lt;"&amp;B23+1,$D$52:$D$61,"&lt;&gt;")=0,"",SUMIFS($AB$52:$AB$61,$A$52:$A$61,"&gt;="&amp;B23,$A$52:$A$61,"&lt;"&amp;B23+1))</f>
        <v/>
      </c>
      <c r="C24" s="35" t="str">
        <f t="shared" si="7"/>
        <v/>
      </c>
      <c r="D24" s="35" t="str">
        <f t="shared" si="7"/>
        <v/>
      </c>
      <c r="E24" s="35" t="str">
        <f t="shared" si="7"/>
        <v/>
      </c>
      <c r="F24" s="35" t="str">
        <f t="shared" si="7"/>
        <v/>
      </c>
      <c r="G24" s="35" t="str">
        <f t="shared" si="7"/>
        <v/>
      </c>
      <c r="H24" s="27"/>
      <c r="I24" s="45">
        <f>SUM(B24:H24)</f>
        <v>0</v>
      </c>
      <c r="J24" s="12"/>
      <c r="K24" s="31"/>
      <c r="L24" s="31" t="s">
        <v>517</v>
      </c>
      <c r="M24" s="27" t="s">
        <v>330</v>
      </c>
      <c r="N24" s="27" t="s">
        <v>378</v>
      </c>
      <c r="O24" s="96">
        <v>0</v>
      </c>
      <c r="P24" s="101"/>
      <c r="Q24" s="102">
        <f t="shared" si="0"/>
        <v>0</v>
      </c>
      <c r="R24" s="102">
        <f t="shared" si="1"/>
        <v>0</v>
      </c>
      <c r="S24" s="27" t="s">
        <v>567</v>
      </c>
      <c r="T24" s="27" t="s">
        <v>76</v>
      </c>
      <c r="U24" s="96" t="s">
        <v>560</v>
      </c>
      <c r="V24" s="115" t="s">
        <v>568</v>
      </c>
    </row>
    <row r="25" spans="1:22" ht="25" customHeight="1">
      <c r="A25" s="31" t="s">
        <v>322</v>
      </c>
      <c r="B25" s="35" t="str">
        <f t="shared" ref="B25:G25" si="8">IF(COUNTIFS($A$52:$A$61,"&gt;="&amp;B23,$A$52:$A$61,"&lt;"&amp;B23+1,$D$52:$D$61,"&lt;&gt;")=0,"",SUMIFS($H$52:$H$61,$A$52:$A$61,"&gt;="&amp;B23,$A$52:$A$61,"&lt;"&amp;B23+1))</f>
        <v/>
      </c>
      <c r="C25" s="35" t="str">
        <f t="shared" si="8"/>
        <v/>
      </c>
      <c r="D25" s="35" t="str">
        <f t="shared" si="8"/>
        <v/>
      </c>
      <c r="E25" s="35" t="str">
        <f t="shared" si="8"/>
        <v/>
      </c>
      <c r="F25" s="35" t="str">
        <f t="shared" si="8"/>
        <v/>
      </c>
      <c r="G25" s="35" t="str">
        <f t="shared" si="8"/>
        <v/>
      </c>
      <c r="H25" s="27"/>
      <c r="I25" s="45">
        <f>SUM(B25:H25)</f>
        <v>0</v>
      </c>
      <c r="J25" s="12"/>
      <c r="K25" s="50" t="s">
        <v>569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223</v>
      </c>
      <c r="B26" s="27" t="str">
        <f t="shared" ref="B26:G26" si="9">IF(COUNT(B24,B25)=0,"",SUM(B24)-SUM(B25))</f>
        <v/>
      </c>
      <c r="C26" s="27" t="str">
        <f t="shared" si="9"/>
        <v/>
      </c>
      <c r="D26" s="27" t="str">
        <f t="shared" si="9"/>
        <v/>
      </c>
      <c r="E26" s="27" t="str">
        <f t="shared" si="9"/>
        <v/>
      </c>
      <c r="F26" s="27" t="str">
        <f t="shared" si="9"/>
        <v/>
      </c>
      <c r="G26" s="27" t="str">
        <f t="shared" si="9"/>
        <v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HYPERLINK("#'10월계산기'!A1","계산기 대조 · 10월계산기 열기")</f>
        <v>계산기 대조 · 10월계산기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1718000</v>
      </c>
      <c r="N28" s="365"/>
      <c r="O28" s="366" t="s">
        <v>212</v>
      </c>
      <c r="P28" s="365"/>
      <c r="Q28" s="364">
        <f>'10월계산기'!W12</f>
        <v>1718000</v>
      </c>
      <c r="R28" s="365"/>
      <c r="S28" s="366" t="s">
        <v>388</v>
      </c>
      <c r="T28" s="365"/>
      <c r="U28" s="362" t="b">
        <f>IF($AA$1,M28=Q28,"미입력")</f>
        <v>1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1718000</v>
      </c>
      <c r="N29" s="365"/>
      <c r="O29" s="366" t="s">
        <v>213</v>
      </c>
      <c r="P29" s="365"/>
      <c r="Q29" s="364">
        <f>'10월계산기'!W13</f>
        <v>1718000</v>
      </c>
      <c r="R29" s="365"/>
      <c r="S29" s="366" t="s">
        <v>388</v>
      </c>
      <c r="T29" s="365"/>
      <c r="U29" s="362" t="b">
        <f>IF($AA$1,M29=Q29,"미입력")</f>
        <v>1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25575</v>
      </c>
      <c r="N30" s="365"/>
      <c r="O30" s="366" t="s">
        <v>391</v>
      </c>
      <c r="P30" s="365"/>
      <c r="Q30" s="364">
        <f>SUM(I4,I9,I14,I19,I24,I29)-I33</f>
        <v>25575</v>
      </c>
      <c r="R30" s="365"/>
      <c r="S30" s="366" t="s">
        <v>388</v>
      </c>
      <c r="T30" s="365"/>
      <c r="U30" s="362" t="b">
        <f>IF($AA$1,M30=Q30,"미입력")</f>
        <v>1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'10월계산기'!W14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b">
        <f>IF($AA$1,M31=Q31,"미입력")</f>
        <v>1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369" t="s">
        <v>2531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2501</v>
      </c>
      <c r="B33" s="37"/>
      <c r="C33" s="37"/>
      <c r="D33" s="37"/>
      <c r="E33" s="37"/>
      <c r="F33" s="37"/>
      <c r="G33" s="37"/>
      <c r="H33" s="37"/>
      <c r="I33" s="37">
        <f>SUM(I5,I10,I15,I20,I25,I30)</f>
        <v>1692425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106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570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402</v>
      </c>
      <c r="L37" s="31" t="s">
        <v>403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2502</v>
      </c>
      <c r="F38" s="27"/>
      <c r="G38" s="27"/>
      <c r="H38" s="27">
        <f>I33-_예비비계산!AG11</f>
        <v>1692425</v>
      </c>
      <c r="I38" s="27">
        <f>SUM(I4,I9,I14,I19,I24,I29)-_예비비계산!AH11</f>
        <v>1718000</v>
      </c>
      <c r="J38" s="12"/>
      <c r="K38" s="38" t="s">
        <v>402</v>
      </c>
      <c r="L38" s="38" t="s">
        <v>404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2503</v>
      </c>
      <c r="F39" s="27"/>
      <c r="G39" s="27"/>
      <c r="H39" s="27">
        <f>I62</f>
        <v>138975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140000</v>
      </c>
      <c r="J39" s="12"/>
      <c r="K39" s="31" t="s">
        <v>402</v>
      </c>
      <c r="L39" s="31" t="s">
        <v>406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408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402</v>
      </c>
      <c r="L40" s="38" t="s">
        <v>409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509283</v>
      </c>
      <c r="D41" s="27"/>
      <c r="E41" s="49" t="s">
        <v>411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402</v>
      </c>
      <c r="L41" s="31" t="s">
        <v>412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2504</v>
      </c>
      <c r="B42" s="380"/>
      <c r="C42" s="380"/>
      <c r="D42" s="381"/>
      <c r="E42" s="49" t="s">
        <v>414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402</v>
      </c>
      <c r="L42" s="38" t="s">
        <v>415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402</v>
      </c>
      <c r="L43" s="31" t="s">
        <v>416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SUM(H37:H38,H40:H42)+H47-H43</f>
        <v>2211447</v>
      </c>
      <c r="I44" s="37">
        <f>SUM(I37:I38,I40:I42)+I47-I43</f>
        <v>2241000</v>
      </c>
      <c r="J44" s="12"/>
      <c r="K44" s="50" t="s">
        <v>418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112">
        <f>IF(AND(COUNT(B5:H5,B10:H10,B15:H15,B20:H20,B25:H25,B30:H30,N37:N43,N57:N59,D52:D61)=0,SUM(N64:N68)=0,COUNTIF(U4:U24,"확정")=0),"",C41-H44)</f>
        <v>-1702164</v>
      </c>
      <c r="I45" s="112">
        <f>IF(H45="","",C41-I44)</f>
        <v>-1731717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8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8" ht="27" customHeight="1">
      <c r="A50" s="388" t="s">
        <v>2505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8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2506</v>
      </c>
      <c r="H51" s="55" t="s">
        <v>2507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  <c r="AB51" t="s">
        <v>2508</v>
      </c>
    </row>
    <row r="52" spans="1:28" ht="44" customHeight="1">
      <c r="A52" s="95">
        <f>INT(RAW!A2334)</f>
        <v>46297</v>
      </c>
      <c r="B52" s="35" t="s">
        <v>480</v>
      </c>
      <c r="C52" s="100" t="s">
        <v>191</v>
      </c>
      <c r="D52" s="35">
        <f>RAW!K2334</f>
        <v>11900</v>
      </c>
      <c r="E52" s="35"/>
      <c r="F52" s="27">
        <f t="shared" ref="F52:F61" si="10">IF(D52="","",D52-E52)</f>
        <v>11900</v>
      </c>
      <c r="G52" s="35">
        <f>RAW!K2334</f>
        <v>11900</v>
      </c>
      <c r="H52" s="27">
        <f t="shared" ref="H52:H61" si="11">IF(D52="","",F52-G52)</f>
        <v>0</v>
      </c>
      <c r="I52" s="100" t="s">
        <v>2509</v>
      </c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 t="shared" ref="AB52:AB61" si="12">IF(D52="","",CEILING(F52,1000)-IF(G52="",0,CEILING(G52,1000)))</f>
        <v>0</v>
      </c>
    </row>
    <row r="53" spans="1:28" ht="44" customHeight="1">
      <c r="A53" s="95">
        <f>INT(RAW!A2474)</f>
        <v>46312</v>
      </c>
      <c r="B53" s="35" t="s">
        <v>2532</v>
      </c>
      <c r="C53" s="100" t="s">
        <v>2533</v>
      </c>
      <c r="D53" s="35">
        <f>RAW!K2474</f>
        <v>17000</v>
      </c>
      <c r="E53" s="35"/>
      <c r="F53" s="27">
        <f t="shared" si="10"/>
        <v>17000</v>
      </c>
      <c r="G53" s="35">
        <f>RAW!K2474</f>
        <v>17000</v>
      </c>
      <c r="H53" s="27">
        <f t="shared" si="11"/>
        <v>0</v>
      </c>
      <c r="I53" s="100" t="s">
        <v>2509</v>
      </c>
      <c r="J53" s="12"/>
      <c r="K53" s="50" t="s">
        <v>432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>
        <f t="shared" si="12"/>
        <v>0</v>
      </c>
    </row>
    <row r="54" spans="1:28" ht="44" customHeight="1">
      <c r="A54" s="95">
        <f>INT(RAW!A2493)</f>
        <v>46314</v>
      </c>
      <c r="B54" s="35" t="s">
        <v>480</v>
      </c>
      <c r="C54" s="100" t="s">
        <v>550</v>
      </c>
      <c r="D54" s="35">
        <f>RAW!K2493</f>
        <v>110075</v>
      </c>
      <c r="E54" s="35"/>
      <c r="F54" s="27">
        <f t="shared" si="10"/>
        <v>110075</v>
      </c>
      <c r="G54" s="35">
        <f>IF(AND(RAW!H2493="지출",RAW!L2493="본인",((RAW!J2493="경조·선물")+(RAW!J2493="담배")+(RAW!J2493="변동비")+(RAW!J2493="약속·만남")+(RAW!J2493="여행")+(RAW!J2493="일회성전자"))&gt;0),RAW!K2493,0)</f>
        <v>0</v>
      </c>
      <c r="H54" s="27">
        <f t="shared" si="11"/>
        <v>110075</v>
      </c>
      <c r="I54" s="100" t="s">
        <v>2509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 t="shared" si="12"/>
        <v>111000</v>
      </c>
    </row>
    <row r="55" spans="1:28" ht="27" customHeight="1">
      <c r="A55" s="95"/>
      <c r="B55" s="35"/>
      <c r="C55" s="35"/>
      <c r="D55" s="35"/>
      <c r="E55" s="35"/>
      <c r="F55" s="27" t="str">
        <f t="shared" si="10"/>
        <v/>
      </c>
      <c r="G55" s="35"/>
      <c r="H55" s="34" t="str">
        <f t="shared" si="11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  <c r="AB55" t="str">
        <f t="shared" si="12"/>
        <v/>
      </c>
    </row>
    <row r="56" spans="1:28" ht="25" customHeight="1">
      <c r="A56" s="95"/>
      <c r="B56" s="35"/>
      <c r="C56" s="35"/>
      <c r="D56" s="35"/>
      <c r="E56" s="35"/>
      <c r="F56" s="27" t="str">
        <f t="shared" si="10"/>
        <v/>
      </c>
      <c r="G56" s="35"/>
      <c r="H56" s="27" t="str">
        <f t="shared" si="11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  <c r="AB56" t="str">
        <f t="shared" si="12"/>
        <v/>
      </c>
    </row>
    <row r="57" spans="1:28" ht="22" customHeight="1">
      <c r="A57" s="95"/>
      <c r="B57" s="35"/>
      <c r="C57" s="35"/>
      <c r="D57" s="35"/>
      <c r="E57" s="35"/>
      <c r="F57" s="27" t="str">
        <f t="shared" si="10"/>
        <v/>
      </c>
      <c r="G57" s="35"/>
      <c r="H57" s="34" t="str">
        <f t="shared" si="11"/>
        <v/>
      </c>
      <c r="I57" s="35"/>
      <c r="J57" s="12"/>
      <c r="K57" s="31" t="s">
        <v>435</v>
      </c>
      <c r="L57" s="31" t="s">
        <v>190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  <c r="AB57" t="str">
        <f t="shared" si="12"/>
        <v/>
      </c>
    </row>
    <row r="58" spans="1:28" ht="22" customHeight="1">
      <c r="A58" s="95"/>
      <c r="B58" s="35"/>
      <c r="C58" s="35"/>
      <c r="D58" s="35"/>
      <c r="E58" s="35"/>
      <c r="F58" s="27" t="str">
        <f t="shared" si="10"/>
        <v/>
      </c>
      <c r="G58" s="35"/>
      <c r="H58" s="27" t="str">
        <f t="shared" si="11"/>
        <v/>
      </c>
      <c r="I58" s="35"/>
      <c r="J58" s="12"/>
      <c r="K58" s="31" t="s">
        <v>435</v>
      </c>
      <c r="L58" s="31" t="s">
        <v>138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  <c r="AB58" t="str">
        <f t="shared" si="12"/>
        <v/>
      </c>
    </row>
    <row r="59" spans="1:28" ht="22" customHeight="1">
      <c r="A59" s="95"/>
      <c r="B59" s="35"/>
      <c r="C59" s="35"/>
      <c r="D59" s="35"/>
      <c r="E59" s="35"/>
      <c r="F59" s="27" t="str">
        <f t="shared" si="10"/>
        <v/>
      </c>
      <c r="G59" s="35"/>
      <c r="H59" s="34" t="str">
        <f t="shared" si="11"/>
        <v/>
      </c>
      <c r="I59" s="35"/>
      <c r="J59" s="12"/>
      <c r="K59" s="31" t="s">
        <v>435</v>
      </c>
      <c r="L59" s="31" t="s">
        <v>436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  <c r="AB59" t="str">
        <f t="shared" si="12"/>
        <v/>
      </c>
    </row>
    <row r="60" spans="1:28" ht="25" customHeight="1">
      <c r="A60" s="95"/>
      <c r="B60" s="35"/>
      <c r="C60" s="35"/>
      <c r="D60" s="35"/>
      <c r="E60" s="35"/>
      <c r="F60" s="27" t="str">
        <f t="shared" si="10"/>
        <v/>
      </c>
      <c r="G60" s="35"/>
      <c r="H60" s="27" t="str">
        <f t="shared" si="11"/>
        <v/>
      </c>
      <c r="I60" s="35"/>
      <c r="J60" s="12"/>
      <c r="K60" s="50" t="s">
        <v>437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  <c r="AB60" t="str">
        <f t="shared" si="12"/>
        <v/>
      </c>
    </row>
    <row r="61" spans="1:28" ht="22" customHeight="1">
      <c r="A61" s="95"/>
      <c r="B61" s="35"/>
      <c r="C61" s="35"/>
      <c r="D61" s="35"/>
      <c r="E61" s="35"/>
      <c r="F61" s="27" t="str">
        <f t="shared" si="10"/>
        <v/>
      </c>
      <c r="G61" s="35"/>
      <c r="H61" s="34" t="str">
        <f t="shared" si="11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 t="str">
        <f t="shared" si="12"/>
        <v/>
      </c>
    </row>
    <row r="62" spans="1:28" ht="27" customHeight="1">
      <c r="A62" s="375" t="s">
        <v>2510</v>
      </c>
      <c r="B62" s="376"/>
      <c r="C62" s="376"/>
      <c r="D62" s="376"/>
      <c r="E62" s="376"/>
      <c r="F62" s="376"/>
      <c r="G62" s="376"/>
      <c r="H62" s="377"/>
      <c r="I62" s="37">
        <f>SUM(F52:F61)</f>
        <v>138975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8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571</v>
      </c>
      <c r="S63" s="361" t="s">
        <v>445</v>
      </c>
      <c r="T63" s="359"/>
      <c r="U63" s="360"/>
    </row>
    <row r="64" spans="1:28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358" t="s">
        <v>572</v>
      </c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378"/>
      <c r="T65" s="359"/>
      <c r="U65" s="360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239000</v>
      </c>
      <c r="N66" s="40">
        <f>_예비비계산!AD11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358" t="s">
        <v>2534</v>
      </c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368" t="s">
        <v>2535</v>
      </c>
      <c r="B70" s="350"/>
      <c r="C70" s="350"/>
      <c r="D70" s="350"/>
      <c r="E70" s="350"/>
      <c r="F70" s="350"/>
      <c r="G70" s="350"/>
      <c r="H70" s="350"/>
      <c r="I70" s="350"/>
      <c r="J70" s="350"/>
      <c r="K70" s="350"/>
      <c r="L70" s="350"/>
      <c r="M70" s="350"/>
      <c r="N70" s="350"/>
      <c r="O70" s="350"/>
      <c r="P70" s="350"/>
      <c r="Q70" s="350"/>
      <c r="R70" s="350"/>
      <c r="S70" s="350"/>
      <c r="T70" s="350"/>
    </row>
    <row r="71" spans="1:21" ht="22" customHeight="1"/>
    <row r="72" spans="1:21" ht="27" customHeight="1">
      <c r="A72" s="354" t="str">
        <f>TEXT($T$1,"m월")&amp;" 사용금액 요약"</f>
        <v>10월 사용금액 요약</v>
      </c>
      <c r="B72" s="350"/>
      <c r="C72" s="350"/>
      <c r="D72" s="350"/>
      <c r="E72" s="350"/>
      <c r="F72" s="350"/>
      <c r="G72" s="350"/>
      <c r="H72" s="350"/>
      <c r="I72" s="350"/>
      <c r="J72" s="350"/>
      <c r="K72" s="350"/>
      <c r="L72" s="350"/>
      <c r="M72" s="350"/>
      <c r="N72" s="350"/>
      <c r="O72" s="350"/>
      <c r="P72" s="350"/>
      <c r="Q72" s="350"/>
      <c r="R72" s="350"/>
      <c r="S72" s="350"/>
      <c r="T72" s="350"/>
      <c r="U72" s="350"/>
    </row>
    <row r="73" spans="1:21" ht="32" customHeight="1">
      <c r="A73" s="352" t="s">
        <v>573</v>
      </c>
      <c r="B73" s="350"/>
      <c r="C73" s="350"/>
      <c r="D73" s="350"/>
      <c r="E73" s="353">
        <v>2776050</v>
      </c>
      <c r="F73" s="350"/>
      <c r="G73" s="350"/>
      <c r="H73" s="350"/>
      <c r="J73" s="352" t="s">
        <v>2511</v>
      </c>
      <c r="K73" s="350"/>
      <c r="L73" s="350"/>
      <c r="M73" s="350"/>
      <c r="N73" s="350"/>
      <c r="O73" s="350"/>
      <c r="P73" s="350"/>
      <c r="Q73" s="350"/>
      <c r="R73" s="350"/>
      <c r="S73" s="350"/>
      <c r="T73" s="350"/>
      <c r="U73" s="350"/>
    </row>
    <row r="74" spans="1:21" ht="32" customHeight="1">
      <c r="A74" s="352" t="s">
        <v>2512</v>
      </c>
      <c r="B74" s="350"/>
      <c r="C74" s="350"/>
      <c r="D74" s="350"/>
      <c r="E74" s="353">
        <f>SUMIF($U$4:$U$24,"확정",$Q$4:$Q$24)+SUMIF($U$4:$U$24,"결제",$Q$4:$Q$24)+SUMIF($U$4:$U$24,"RAW 확인",$Q$4:$Q$24)+SUMIF($U$4:$U$24,"기존 입력",$Q$4:$Q$24)</f>
        <v>470022</v>
      </c>
      <c r="F74" s="350"/>
      <c r="G74" s="350"/>
      <c r="H74" s="350"/>
      <c r="J74" s="352" t="s">
        <v>2513</v>
      </c>
      <c r="K74" s="350"/>
      <c r="L74" s="350"/>
      <c r="M74" s="350"/>
      <c r="N74" s="350"/>
      <c r="O74" s="350"/>
      <c r="P74" s="350"/>
      <c r="Q74" s="350"/>
      <c r="R74" s="350"/>
      <c r="S74" s="350"/>
      <c r="T74" s="350"/>
      <c r="U74" s="350"/>
    </row>
    <row r="75" spans="1:21" ht="32" customHeight="1">
      <c r="A75" s="352" t="s">
        <v>2514</v>
      </c>
      <c r="B75" s="350"/>
      <c r="C75" s="350"/>
      <c r="D75" s="350"/>
      <c r="E75" s="353">
        <f>SUM(Q4:Q24)</f>
        <v>1232095</v>
      </c>
      <c r="F75" s="350"/>
      <c r="G75" s="350"/>
      <c r="H75" s="350"/>
      <c r="J75" s="352" t="str">
        <f>"실제 확정액 포함. 미결제 예정 "&amp;TEXT(E75-E74,"#,##0")&amp;"원 포함한 참고 총액이며 실제 합계에 중복 가산하지 않음."</f>
        <v>실제 확정액 포함. 미결제 예정 762,073원 포함한 참고 총액이며 실제 합계에 중복 가산하지 않음.</v>
      </c>
      <c r="K75" s="350"/>
      <c r="L75" s="350"/>
      <c r="M75" s="350"/>
      <c r="N75" s="350"/>
      <c r="O75" s="350"/>
      <c r="P75" s="350"/>
      <c r="Q75" s="350"/>
      <c r="R75" s="350"/>
      <c r="S75" s="350"/>
      <c r="T75" s="350"/>
      <c r="U75" s="350"/>
    </row>
    <row r="76" spans="1:21" ht="32" customHeight="1">
      <c r="A76" s="352" t="s">
        <v>2515</v>
      </c>
      <c r="B76" s="350"/>
      <c r="C76" s="350"/>
      <c r="D76" s="350"/>
      <c r="E76" s="353">
        <f>I33</f>
        <v>1692425</v>
      </c>
      <c r="F76" s="350"/>
      <c r="G76" s="350"/>
      <c r="H76" s="350"/>
      <c r="J76" s="352" t="s">
        <v>2516</v>
      </c>
      <c r="K76" s="350"/>
      <c r="L76" s="350"/>
      <c r="M76" s="350"/>
      <c r="N76" s="350"/>
      <c r="O76" s="350"/>
      <c r="P76" s="350"/>
      <c r="Q76" s="350"/>
      <c r="R76" s="350"/>
      <c r="S76" s="350"/>
      <c r="T76" s="350"/>
      <c r="U76" s="350"/>
    </row>
    <row r="77" spans="1:21" ht="32" customHeight="1">
      <c r="A77" s="352" t="s">
        <v>2517</v>
      </c>
      <c r="B77" s="350"/>
      <c r="C77" s="350"/>
      <c r="D77" s="350"/>
      <c r="E77" s="353">
        <f>SUM(I4,I9,I14,I19,I24,I29)</f>
        <v>1718000</v>
      </c>
      <c r="F77" s="350"/>
      <c r="G77" s="350"/>
      <c r="H77" s="350"/>
      <c r="J77" s="352" t="s">
        <v>2518</v>
      </c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</row>
    <row r="78" spans="1:21" ht="32" customHeight="1">
      <c r="A78" s="349" t="s">
        <v>2519</v>
      </c>
      <c r="B78" s="350"/>
      <c r="C78" s="350"/>
      <c r="D78" s="350"/>
      <c r="E78" s="35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2266047</v>
      </c>
      <c r="F78" s="350"/>
      <c r="G78" s="350"/>
      <c r="H78" s="350"/>
      <c r="J78" s="352" t="str">
        <f>"고정비 실제 확정 + 가계부 달력 + 대리·미리결제 "&amp;TEXT(E78-E74-E76,"#,##0")&amp;"원. 대납 포함 결제 총액이며 본인 소비와 구분."</f>
        <v>고정비 실제 확정 + 가계부 달력 + 대리·미리결제 103,600원. 대납 포함 결제 총액이며 본인 소비와 구분.</v>
      </c>
      <c r="K78" s="350"/>
      <c r="L78" s="350"/>
      <c r="M78" s="350"/>
      <c r="N78" s="350"/>
      <c r="O78" s="350"/>
      <c r="P78" s="350"/>
      <c r="Q78" s="350"/>
      <c r="R78" s="350"/>
      <c r="S78" s="350"/>
      <c r="T78" s="350"/>
      <c r="U78" s="350"/>
    </row>
    <row r="79" spans="1:21" ht="32" customHeight="1">
      <c r="A79" s="349" t="s">
        <v>2520</v>
      </c>
      <c r="B79" s="350"/>
      <c r="C79" s="350"/>
      <c r="D79" s="350"/>
      <c r="E79" s="351">
        <f>E78</f>
        <v>2266047</v>
      </c>
      <c r="F79" s="350"/>
      <c r="G79" s="350"/>
      <c r="H79" s="350"/>
      <c r="J79" s="352" t="s">
        <v>2521</v>
      </c>
      <c r="K79" s="350"/>
      <c r="L79" s="350"/>
      <c r="M79" s="350"/>
      <c r="N79" s="350"/>
      <c r="O79" s="350"/>
      <c r="P79" s="350"/>
      <c r="Q79" s="350"/>
      <c r="R79" s="350"/>
      <c r="S79" s="350"/>
      <c r="T79" s="350"/>
      <c r="U79" s="350"/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9">
    <mergeCell ref="A47:D47"/>
    <mergeCell ref="S31:T31"/>
    <mergeCell ref="S65:U65"/>
    <mergeCell ref="O28:P28"/>
    <mergeCell ref="S66:U66"/>
    <mergeCell ref="Q28:R28"/>
    <mergeCell ref="U30:V30"/>
    <mergeCell ref="O30:P30"/>
    <mergeCell ref="S29:T29"/>
    <mergeCell ref="U29:V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A42:D46"/>
    <mergeCell ref="S68:U68"/>
    <mergeCell ref="K31:L31"/>
    <mergeCell ref="M31:N31"/>
    <mergeCell ref="O29:P29"/>
    <mergeCell ref="A50:I50"/>
    <mergeCell ref="K27:V27"/>
    <mergeCell ref="S64:U64"/>
    <mergeCell ref="S63:U63"/>
    <mergeCell ref="U28:V28"/>
    <mergeCell ref="Q30:R30"/>
    <mergeCell ref="S30:T30"/>
    <mergeCell ref="K28:L28"/>
    <mergeCell ref="U31:V31"/>
    <mergeCell ref="S28:T28"/>
    <mergeCell ref="K29:L29"/>
    <mergeCell ref="M28:N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9:D79"/>
    <mergeCell ref="E79:H79"/>
    <mergeCell ref="J79:U79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99" priority="1" operator="lessThan">
      <formula>0</formula>
    </cfRule>
  </conditionalFormatting>
  <conditionalFormatting sqref="C12">
    <cfRule type="expression" dxfId="98" priority="2">
      <formula>$C$12="SUCCESS"</formula>
    </cfRule>
    <cfRule type="expression" dxfId="97" priority="3">
      <formula>$C$12="FALSE"</formula>
    </cfRule>
    <cfRule type="expression" dxfId="96" priority="5">
      <formula>$C$12="미입력"</formula>
    </cfRule>
  </conditionalFormatting>
  <conditionalFormatting sqref="C14">
    <cfRule type="expression" dxfId="95" priority="7">
      <formula>C14="FALSE"</formula>
    </cfRule>
  </conditionalFormatting>
  <conditionalFormatting sqref="H45:I45">
    <cfRule type="cellIs" dxfId="94" priority="9" operator="lessThan">
      <formula>0</formula>
    </cfRule>
  </conditionalFormatting>
  <conditionalFormatting sqref="H46:I46">
    <cfRule type="expression" dxfId="93" priority="10">
      <formula>H46="FALSE"</formula>
    </cfRule>
  </conditionalFormatting>
  <conditionalFormatting sqref="I5">
    <cfRule type="cellIs" dxfId="92" priority="8" operator="lessThan">
      <formula>0</formula>
    </cfRule>
  </conditionalFormatting>
  <conditionalFormatting sqref="O4:R24">
    <cfRule type="expression" dxfId="91" priority="11">
      <formula>$U4="예상"</formula>
    </cfRule>
    <cfRule type="expression" dxfId="90" priority="11">
      <formula>$U4="미확인"</formula>
    </cfRule>
    <cfRule type="expression" dxfId="89" priority="11">
      <formula>$U4="확정"</formula>
    </cfRule>
  </conditionalFormatting>
  <conditionalFormatting sqref="U4:U24">
    <cfRule type="expression" dxfId="88" priority="12">
      <formula>$U4="예상"</formula>
    </cfRule>
    <cfRule type="expression" dxfId="87" priority="13">
      <formula>$U4="미확인"</formula>
    </cfRule>
    <cfRule type="expression" dxfId="86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5" bestFit="1" customWidth="1"/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574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s="105" customFormat="1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</row>
    <row r="3" spans="1:27" s="105" customFormat="1" ht="18" customHeight="1">
      <c r="A3" s="117" t="s">
        <v>452</v>
      </c>
      <c r="B3" s="118"/>
      <c r="C3" s="119">
        <f>IFERROR(colorfunction(B3,$B$15:$U$144,FALSE),$AA$3)</f>
        <v>345</v>
      </c>
      <c r="D3" s="120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345000</v>
      </c>
      <c r="AA3">
        <v>345</v>
      </c>
    </row>
    <row r="4" spans="1:27" s="105" customFormat="1" ht="18" customHeight="1">
      <c r="A4" s="117" t="s">
        <v>453</v>
      </c>
      <c r="B4" s="125"/>
      <c r="C4" s="119">
        <f>IFERROR(colorfunction(B4,$B$15:$U$144,FALSE),$AA$4)</f>
        <v>191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191000</v>
      </c>
      <c r="AA4">
        <v>191</v>
      </c>
    </row>
    <row r="5" spans="1:27" s="105" customFormat="1" ht="18" customHeight="1">
      <c r="A5" s="117" t="s">
        <v>454</v>
      </c>
      <c r="B5" s="127"/>
      <c r="C5" s="119">
        <f>IFERROR(colorfunction(B5,$B$15:$U$144,FALSE),$AA$5)</f>
        <v>418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418000</v>
      </c>
      <c r="AA5">
        <v>418</v>
      </c>
    </row>
    <row r="6" spans="1:27" s="105" customFormat="1" ht="18" customHeight="1">
      <c r="A6" s="117" t="s">
        <v>455</v>
      </c>
      <c r="B6" s="128"/>
      <c r="C6" s="119">
        <f>IFERROR(colorfunction(B6,$B$15:$U$144,FALSE),$AA$6)</f>
        <v>165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165000</v>
      </c>
      <c r="AA6">
        <v>165</v>
      </c>
    </row>
    <row r="7" spans="1:27" s="105" customFormat="1" ht="18" customHeight="1">
      <c r="A7" s="117" t="s">
        <v>456</v>
      </c>
      <c r="B7" s="129"/>
      <c r="C7" s="119">
        <f>IFERROR(colorfunction(B7,$B$15:$U$144,FALSE),$AA$7)</f>
        <v>149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149000</v>
      </c>
      <c r="AA7">
        <v>149</v>
      </c>
    </row>
    <row r="8" spans="1:27" s="105" customFormat="1" ht="18" customHeight="1">
      <c r="A8" s="117" t="s">
        <v>457</v>
      </c>
      <c r="B8" s="130"/>
      <c r="C8" s="119">
        <f>IFERROR(colorfunction(B8,$B$15:$U$144,FALSE),$AA$8)</f>
        <v>92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92000</v>
      </c>
      <c r="AA8">
        <v>92</v>
      </c>
    </row>
    <row r="9" spans="1:27" s="105" customFormat="1" ht="18" customHeight="1">
      <c r="A9" s="117" t="s">
        <v>458</v>
      </c>
      <c r="B9" s="131"/>
      <c r="C9" s="119">
        <f>IFERROR(colorfunction(B9,$B$15:$U$144,FALSE),$AA$9)</f>
        <v>315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315000</v>
      </c>
      <c r="AA9">
        <v>315</v>
      </c>
    </row>
    <row r="10" spans="1:27" s="105" customFormat="1" ht="18" customHeight="1">
      <c r="A10" s="117" t="s">
        <v>459</v>
      </c>
      <c r="B10" s="132"/>
      <c r="C10" s="119">
        <f>IFERROR(colorfunction(B10,$B$15:$U$144,FALSE),$AA$10)</f>
        <v>43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43000</v>
      </c>
      <c r="AA10">
        <v>43</v>
      </c>
    </row>
    <row r="11" spans="1:27" s="105" customFormat="1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s="105" customFormat="1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1718000</v>
      </c>
    </row>
    <row r="13" spans="1:27" s="105" customFormat="1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1718000</v>
      </c>
    </row>
    <row r="14" spans="1:27" s="105" customFormat="1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0+_예비비계산!AH11</f>
        <v>0</v>
      </c>
    </row>
    <row r="15" spans="1:27" s="105" customFormat="1" ht="12" customHeight="1">
      <c r="A15" s="122"/>
      <c r="B15" s="210"/>
      <c r="C15" s="201"/>
      <c r="D15" s="210"/>
      <c r="E15" s="209"/>
      <c r="F15" s="208"/>
      <c r="G15" s="201"/>
      <c r="H15" s="210"/>
      <c r="I15" s="201"/>
      <c r="J15" s="210"/>
      <c r="K15" s="201"/>
      <c r="L15" s="208"/>
      <c r="M15" s="240"/>
      <c r="N15" s="239"/>
      <c r="O15" s="240"/>
      <c r="P15" s="239"/>
      <c r="Q15" s="240"/>
      <c r="R15" s="239"/>
      <c r="S15" s="240"/>
      <c r="T15" s="239"/>
      <c r="U15" s="240"/>
      <c r="V15" s="299" t="s">
        <v>462</v>
      </c>
      <c r="W15" s="300">
        <f>AA15</f>
        <v>0</v>
      </c>
      <c r="AA15">
        <v>0</v>
      </c>
    </row>
    <row r="16" spans="1:27" s="105" customFormat="1" ht="12" customHeight="1">
      <c r="A16" s="122"/>
      <c r="B16" s="202"/>
      <c r="C16" s="203"/>
      <c r="D16" s="202"/>
      <c r="E16" s="205"/>
      <c r="F16" s="204"/>
      <c r="G16" s="203"/>
      <c r="H16" s="202"/>
      <c r="I16" s="203"/>
      <c r="J16" s="202"/>
      <c r="K16" s="203"/>
      <c r="L16" s="204"/>
      <c r="M16" s="227"/>
      <c r="N16" s="228"/>
      <c r="O16" s="227"/>
      <c r="P16" s="228"/>
      <c r="Q16" s="227"/>
      <c r="R16" s="228"/>
      <c r="S16" s="227"/>
      <c r="T16" s="228"/>
      <c r="U16" s="214"/>
      <c r="V16" s="299" t="s">
        <v>211</v>
      </c>
      <c r="W16" s="300">
        <f>SUM(W3:W10)</f>
        <v>1718000</v>
      </c>
    </row>
    <row r="17" spans="1:27" s="105" customFormat="1" ht="12" customHeight="1">
      <c r="A17" s="122"/>
      <c r="B17" s="202"/>
      <c r="C17" s="203"/>
      <c r="D17" s="204"/>
      <c r="E17" s="205"/>
      <c r="F17" s="202"/>
      <c r="G17" s="203"/>
      <c r="H17" s="202"/>
      <c r="I17" s="203"/>
      <c r="J17" s="202"/>
      <c r="K17" s="203"/>
      <c r="L17" s="204"/>
      <c r="M17" s="227"/>
      <c r="N17" s="228"/>
      <c r="O17" s="227"/>
      <c r="P17" s="228"/>
      <c r="Q17" s="227"/>
      <c r="R17" s="228"/>
      <c r="S17" s="227"/>
      <c r="T17" s="228"/>
      <c r="U17" s="214"/>
      <c r="V17" s="301" t="s">
        <v>463</v>
      </c>
      <c r="W17" s="302">
        <f>AA17</f>
        <v>0</v>
      </c>
      <c r="AA17">
        <v>0</v>
      </c>
    </row>
    <row r="18" spans="1:27" s="105" customFormat="1" ht="12" customHeight="1">
      <c r="A18" s="122"/>
      <c r="B18" s="202"/>
      <c r="C18" s="203"/>
      <c r="D18" s="204"/>
      <c r="E18" s="205"/>
      <c r="F18" s="202"/>
      <c r="G18" s="203"/>
      <c r="H18" s="202"/>
      <c r="I18" s="203"/>
      <c r="J18" s="202"/>
      <c r="K18" s="205"/>
      <c r="L18" s="228"/>
      <c r="M18" s="227"/>
      <c r="N18" s="228"/>
      <c r="O18" s="227"/>
      <c r="P18" s="228"/>
      <c r="Q18" s="227"/>
      <c r="R18" s="228"/>
      <c r="S18" s="227"/>
      <c r="T18" s="228"/>
      <c r="U18" s="214"/>
      <c r="V18" s="122"/>
      <c r="W18" s="122"/>
    </row>
    <row r="19" spans="1:27" s="105" customFormat="1" ht="12" customHeight="1" thickBot="1">
      <c r="A19" s="141">
        <v>1</v>
      </c>
      <c r="B19" s="226"/>
      <c r="C19" s="225"/>
      <c r="D19" s="206"/>
      <c r="E19" s="207"/>
      <c r="F19" s="226"/>
      <c r="G19" s="225"/>
      <c r="H19" s="226"/>
      <c r="I19" s="225"/>
      <c r="J19" s="226"/>
      <c r="K19" s="207"/>
      <c r="L19" s="229"/>
      <c r="M19" s="230"/>
      <c r="N19" s="229"/>
      <c r="O19" s="230"/>
      <c r="P19" s="229"/>
      <c r="Q19" s="230"/>
      <c r="R19" s="229"/>
      <c r="S19" s="230"/>
      <c r="T19" s="229"/>
      <c r="U19" s="224"/>
      <c r="V19" s="122"/>
      <c r="W19" s="122"/>
    </row>
    <row r="20" spans="1:27" s="105" customFormat="1" ht="12" customHeight="1">
      <c r="A20" s="122"/>
      <c r="B20" s="212"/>
      <c r="C20" s="232"/>
      <c r="D20" s="231"/>
      <c r="E20" s="232"/>
      <c r="F20" s="231"/>
      <c r="G20" s="232"/>
      <c r="H20" s="231"/>
      <c r="I20" s="232"/>
      <c r="J20" s="231"/>
      <c r="K20" s="201"/>
      <c r="L20" s="231"/>
      <c r="M20" s="232"/>
      <c r="N20" s="231"/>
      <c r="O20" s="201"/>
      <c r="P20" s="231"/>
      <c r="Q20" s="232"/>
      <c r="R20" s="231"/>
      <c r="S20" s="232"/>
      <c r="T20" s="231"/>
      <c r="U20" s="232"/>
      <c r="V20" s="122"/>
      <c r="W20" s="122"/>
    </row>
    <row r="21" spans="1:27" s="105" customFormat="1" ht="12" customHeight="1">
      <c r="A21" s="122"/>
      <c r="B21" s="213"/>
      <c r="C21" s="222"/>
      <c r="D21" s="221"/>
      <c r="E21" s="222"/>
      <c r="F21" s="221"/>
      <c r="G21" s="222"/>
      <c r="H21" s="221"/>
      <c r="I21" s="222"/>
      <c r="J21" s="221"/>
      <c r="K21" s="203"/>
      <c r="L21" s="221"/>
      <c r="M21" s="222"/>
      <c r="N21" s="202"/>
      <c r="O21" s="203"/>
      <c r="P21" s="221"/>
      <c r="Q21" s="222"/>
      <c r="R21" s="221"/>
      <c r="S21" s="222"/>
      <c r="T21" s="221"/>
      <c r="U21" s="222"/>
      <c r="V21" s="122"/>
      <c r="W21" s="122"/>
    </row>
    <row r="22" spans="1:27" s="105" customFormat="1" ht="12" customHeight="1">
      <c r="A22" s="122"/>
      <c r="B22" s="221"/>
      <c r="C22" s="222"/>
      <c r="D22" s="221"/>
      <c r="E22" s="222"/>
      <c r="F22" s="221"/>
      <c r="G22" s="222"/>
      <c r="H22" s="221"/>
      <c r="I22" s="222"/>
      <c r="J22" s="202"/>
      <c r="K22" s="203"/>
      <c r="L22" s="221"/>
      <c r="M22" s="222"/>
      <c r="N22" s="202"/>
      <c r="O22" s="222"/>
      <c r="P22" s="221"/>
      <c r="Q22" s="222"/>
      <c r="R22" s="221"/>
      <c r="S22" s="222"/>
      <c r="T22" s="221"/>
      <c r="U22" s="222"/>
      <c r="V22" s="122"/>
      <c r="W22" s="122"/>
    </row>
    <row r="23" spans="1:27" s="105" customFormat="1" ht="12" customHeight="1">
      <c r="A23" s="122"/>
      <c r="B23" s="221"/>
      <c r="C23" s="222"/>
      <c r="D23" s="221"/>
      <c r="E23" s="222"/>
      <c r="F23" s="221"/>
      <c r="G23" s="222"/>
      <c r="H23" s="221"/>
      <c r="I23" s="222"/>
      <c r="J23" s="202"/>
      <c r="K23" s="203"/>
      <c r="L23" s="221"/>
      <c r="M23" s="222"/>
      <c r="N23" s="202"/>
      <c r="O23" s="222"/>
      <c r="P23" s="221"/>
      <c r="Q23" s="222"/>
      <c r="R23" s="221"/>
      <c r="S23" s="222"/>
      <c r="T23" s="221"/>
      <c r="U23" s="222"/>
      <c r="V23" s="122"/>
      <c r="W23" s="122"/>
    </row>
    <row r="24" spans="1:27" s="105" customFormat="1" ht="12" customHeight="1" thickBot="1">
      <c r="A24" s="141">
        <v>2</v>
      </c>
      <c r="B24" s="233"/>
      <c r="C24" s="234"/>
      <c r="D24" s="233"/>
      <c r="E24" s="234"/>
      <c r="F24" s="233"/>
      <c r="G24" s="234"/>
      <c r="H24" s="233"/>
      <c r="I24" s="234"/>
      <c r="J24" s="226"/>
      <c r="K24" s="234"/>
      <c r="L24" s="233"/>
      <c r="M24" s="234"/>
      <c r="N24" s="226"/>
      <c r="O24" s="234"/>
      <c r="P24" s="233"/>
      <c r="Q24" s="234"/>
      <c r="R24" s="233"/>
      <c r="S24" s="234"/>
      <c r="T24" s="233"/>
      <c r="U24" s="234"/>
      <c r="V24" s="122"/>
      <c r="W24" s="122"/>
    </row>
    <row r="25" spans="1:27" s="105" customFormat="1" ht="12" customHeight="1">
      <c r="A25" s="122"/>
      <c r="B25" s="235"/>
      <c r="C25" s="236"/>
      <c r="D25" s="235"/>
      <c r="E25" s="201"/>
      <c r="F25" s="231"/>
      <c r="G25" s="232"/>
      <c r="H25" s="231"/>
      <c r="I25" s="232"/>
      <c r="J25" s="231"/>
      <c r="K25" s="232"/>
      <c r="L25" s="231"/>
      <c r="M25" s="232"/>
      <c r="N25" s="231"/>
      <c r="O25" s="232"/>
      <c r="P25" s="231"/>
      <c r="Q25" s="232"/>
      <c r="R25" s="231"/>
      <c r="S25" s="232"/>
      <c r="T25" s="210"/>
      <c r="U25" s="201"/>
      <c r="V25" s="122"/>
      <c r="W25" s="122"/>
    </row>
    <row r="26" spans="1:27" s="105" customFormat="1" ht="12" customHeight="1">
      <c r="A26" s="122"/>
      <c r="B26" s="237"/>
      <c r="C26" s="238"/>
      <c r="D26" s="237"/>
      <c r="E26" s="203"/>
      <c r="F26" s="221"/>
      <c r="G26" s="222"/>
      <c r="H26" s="221"/>
      <c r="I26" s="222"/>
      <c r="J26" s="221"/>
      <c r="K26" s="222"/>
      <c r="L26" s="221"/>
      <c r="M26" s="222"/>
      <c r="N26" s="221"/>
      <c r="O26" s="222"/>
      <c r="P26" s="221"/>
      <c r="Q26" s="222"/>
      <c r="R26" s="221"/>
      <c r="S26" s="222"/>
      <c r="T26" s="202"/>
      <c r="U26" s="203"/>
      <c r="V26" s="122"/>
      <c r="W26" s="122"/>
    </row>
    <row r="27" spans="1:27" s="105" customFormat="1" ht="12" customHeight="1">
      <c r="A27" s="122"/>
      <c r="B27" s="237"/>
      <c r="C27" s="238"/>
      <c r="D27" s="237"/>
      <c r="E27" s="203"/>
      <c r="F27" s="221"/>
      <c r="G27" s="222"/>
      <c r="H27" s="221"/>
      <c r="I27" s="222"/>
      <c r="J27" s="221"/>
      <c r="K27" s="222"/>
      <c r="L27" s="221"/>
      <c r="M27" s="222"/>
      <c r="N27" s="221"/>
      <c r="O27" s="222"/>
      <c r="P27" s="221"/>
      <c r="Q27" s="222"/>
      <c r="R27" s="221"/>
      <c r="S27" s="222"/>
      <c r="T27" s="202"/>
      <c r="U27" s="203"/>
      <c r="V27" s="122"/>
      <c r="W27" s="122"/>
    </row>
    <row r="28" spans="1:27" s="105" customFormat="1" ht="12" customHeight="1">
      <c r="A28" s="122"/>
      <c r="B28" s="237"/>
      <c r="C28" s="238"/>
      <c r="D28" s="202"/>
      <c r="E28" s="222"/>
      <c r="F28" s="221"/>
      <c r="G28" s="222"/>
      <c r="H28" s="221"/>
      <c r="I28" s="222"/>
      <c r="J28" s="221"/>
      <c r="K28" s="222"/>
      <c r="L28" s="221"/>
      <c r="M28" s="222"/>
      <c r="N28" s="221"/>
      <c r="O28" s="222"/>
      <c r="P28" s="221"/>
      <c r="Q28" s="222"/>
      <c r="R28" s="221"/>
      <c r="S28" s="222"/>
      <c r="T28" s="202"/>
      <c r="U28" s="203"/>
      <c r="V28" s="122"/>
      <c r="W28" s="122"/>
    </row>
    <row r="29" spans="1:27" s="105" customFormat="1" ht="12" customHeight="1" thickBot="1">
      <c r="A29" s="141">
        <v>3</v>
      </c>
      <c r="B29" s="293"/>
      <c r="C29" s="294"/>
      <c r="D29" s="226"/>
      <c r="E29" s="234"/>
      <c r="F29" s="233"/>
      <c r="G29" s="234"/>
      <c r="H29" s="233"/>
      <c r="I29" s="234"/>
      <c r="J29" s="233"/>
      <c r="K29" s="234"/>
      <c r="L29" s="233"/>
      <c r="M29" s="234"/>
      <c r="N29" s="233"/>
      <c r="O29" s="234"/>
      <c r="P29" s="233"/>
      <c r="Q29" s="234"/>
      <c r="R29" s="233"/>
      <c r="S29" s="234"/>
      <c r="T29" s="226"/>
      <c r="U29" s="225"/>
      <c r="V29" s="122"/>
      <c r="W29" s="122"/>
    </row>
    <row r="30" spans="1:27" s="105" customFormat="1" ht="12" customHeight="1">
      <c r="A30" s="122"/>
      <c r="B30" s="210"/>
      <c r="C30" s="201"/>
      <c r="D30" s="210"/>
      <c r="E30" s="201"/>
      <c r="F30" s="210"/>
      <c r="G30" s="201"/>
      <c r="H30" s="210"/>
      <c r="I30" s="201"/>
      <c r="J30" s="210"/>
      <c r="K30" s="201"/>
      <c r="L30" s="210"/>
      <c r="M30" s="232"/>
      <c r="N30" s="231"/>
      <c r="O30" s="232"/>
      <c r="P30" s="231"/>
      <c r="Q30" s="232"/>
      <c r="R30" s="231"/>
      <c r="S30" s="232"/>
      <c r="T30" s="231"/>
      <c r="U30" s="232"/>
      <c r="V30" s="122"/>
      <c r="W30" s="122"/>
    </row>
    <row r="31" spans="1:27" s="105" customFormat="1" ht="12" customHeight="1">
      <c r="A31" s="122"/>
      <c r="B31" s="202"/>
      <c r="C31" s="203"/>
      <c r="D31" s="202"/>
      <c r="E31" s="203"/>
      <c r="F31" s="202"/>
      <c r="G31" s="203"/>
      <c r="H31" s="202"/>
      <c r="I31" s="203"/>
      <c r="J31" s="202"/>
      <c r="K31" s="203"/>
      <c r="L31" s="221"/>
      <c r="M31" s="222"/>
      <c r="N31" s="221"/>
      <c r="O31" s="222"/>
      <c r="P31" s="221"/>
      <c r="Q31" s="222"/>
      <c r="R31" s="221"/>
      <c r="S31" s="222"/>
      <c r="T31" s="221"/>
      <c r="U31" s="222"/>
      <c r="V31" s="122"/>
      <c r="W31" s="122"/>
    </row>
    <row r="32" spans="1:27" s="105" customFormat="1" ht="12" customHeight="1">
      <c r="A32" s="122"/>
      <c r="B32" s="202"/>
      <c r="C32" s="203"/>
      <c r="D32" s="202"/>
      <c r="E32" s="203"/>
      <c r="F32" s="202"/>
      <c r="G32" s="203"/>
      <c r="H32" s="202"/>
      <c r="I32" s="203"/>
      <c r="J32" s="202"/>
      <c r="K32" s="203"/>
      <c r="L32" s="221"/>
      <c r="M32" s="222"/>
      <c r="N32" s="221"/>
      <c r="O32" s="222"/>
      <c r="P32" s="221"/>
      <c r="Q32" s="222"/>
      <c r="R32" s="221"/>
      <c r="S32" s="222"/>
      <c r="T32" s="221"/>
      <c r="U32" s="222"/>
      <c r="V32" s="122"/>
      <c r="W32" s="122"/>
    </row>
    <row r="33" spans="1:23" s="105" customFormat="1" ht="12" customHeight="1">
      <c r="A33" s="122"/>
      <c r="B33" s="202"/>
      <c r="C33" s="203"/>
      <c r="D33" s="202"/>
      <c r="E33" s="203"/>
      <c r="F33" s="202"/>
      <c r="G33" s="203"/>
      <c r="H33" s="202"/>
      <c r="I33" s="203"/>
      <c r="J33" s="202"/>
      <c r="K33" s="203"/>
      <c r="L33" s="221"/>
      <c r="M33" s="222"/>
      <c r="N33" s="221"/>
      <c r="O33" s="222"/>
      <c r="P33" s="221"/>
      <c r="Q33" s="222"/>
      <c r="R33" s="221"/>
      <c r="S33" s="222"/>
      <c r="T33" s="221"/>
      <c r="U33" s="222"/>
      <c r="V33" s="122"/>
      <c r="W33" s="122"/>
    </row>
    <row r="34" spans="1:23" s="105" customFormat="1" ht="12" customHeight="1" thickBot="1">
      <c r="A34" s="141">
        <v>4</v>
      </c>
      <c r="B34" s="226"/>
      <c r="C34" s="225"/>
      <c r="D34" s="226"/>
      <c r="E34" s="225"/>
      <c r="F34" s="226"/>
      <c r="G34" s="225"/>
      <c r="H34" s="226"/>
      <c r="I34" s="225"/>
      <c r="J34" s="226"/>
      <c r="K34" s="225"/>
      <c r="L34" s="233"/>
      <c r="M34" s="234"/>
      <c r="N34" s="233"/>
      <c r="O34" s="234"/>
      <c r="P34" s="233"/>
      <c r="Q34" s="234"/>
      <c r="R34" s="233"/>
      <c r="S34" s="234"/>
      <c r="T34" s="233"/>
      <c r="U34" s="234"/>
      <c r="V34" s="122"/>
      <c r="W34" s="122"/>
    </row>
    <row r="35" spans="1:23" s="105" customFormat="1" ht="12" customHeight="1">
      <c r="A35" s="122"/>
      <c r="B35" s="231"/>
      <c r="C35" s="236"/>
      <c r="D35" s="235"/>
      <c r="E35" s="236"/>
      <c r="F35" s="235"/>
      <c r="G35" s="236"/>
      <c r="H35" s="235"/>
      <c r="I35" s="236"/>
      <c r="J35" s="235"/>
      <c r="K35" s="209"/>
      <c r="L35" s="235"/>
      <c r="M35" s="236"/>
      <c r="N35" s="235"/>
      <c r="O35" s="236"/>
      <c r="P35" s="235"/>
      <c r="Q35" s="201"/>
      <c r="R35" s="210"/>
      <c r="S35" s="209"/>
      <c r="T35" s="239"/>
      <c r="U35" s="240"/>
      <c r="V35" s="122"/>
      <c r="W35" s="122"/>
    </row>
    <row r="36" spans="1:23" s="105" customFormat="1" ht="12" customHeight="1">
      <c r="A36" s="122"/>
      <c r="B36" s="237"/>
      <c r="C36" s="238"/>
      <c r="D36" s="237"/>
      <c r="E36" s="238"/>
      <c r="F36" s="237"/>
      <c r="G36" s="238"/>
      <c r="H36" s="237"/>
      <c r="I36" s="238"/>
      <c r="J36" s="237"/>
      <c r="K36" s="205"/>
      <c r="L36" s="237"/>
      <c r="M36" s="238"/>
      <c r="N36" s="237"/>
      <c r="O36" s="238"/>
      <c r="P36" s="237"/>
      <c r="Q36" s="203"/>
      <c r="R36" s="202"/>
      <c r="S36" s="205"/>
      <c r="T36" s="228"/>
      <c r="U36" s="227"/>
      <c r="V36" s="122"/>
      <c r="W36" s="122"/>
    </row>
    <row r="37" spans="1:23" s="105" customFormat="1" ht="12" customHeight="1">
      <c r="A37" s="122"/>
      <c r="B37" s="237"/>
      <c r="C37" s="238"/>
      <c r="D37" s="237"/>
      <c r="E37" s="238"/>
      <c r="F37" s="237"/>
      <c r="G37" s="238"/>
      <c r="H37" s="237"/>
      <c r="I37" s="238"/>
      <c r="J37" s="237"/>
      <c r="K37" s="205"/>
      <c r="L37" s="237"/>
      <c r="M37" s="238"/>
      <c r="N37" s="237"/>
      <c r="O37" s="238"/>
      <c r="P37" s="202"/>
      <c r="Q37" s="203"/>
      <c r="R37" s="204"/>
      <c r="S37" s="227"/>
      <c r="T37" s="228"/>
      <c r="U37" s="227"/>
      <c r="V37" s="122"/>
      <c r="W37" s="122"/>
    </row>
    <row r="38" spans="1:23" s="105" customFormat="1" ht="12" customHeight="1">
      <c r="A38" s="122"/>
      <c r="B38" s="237"/>
      <c r="C38" s="238"/>
      <c r="D38" s="237"/>
      <c r="E38" s="238"/>
      <c r="F38" s="237"/>
      <c r="G38" s="238"/>
      <c r="H38" s="237"/>
      <c r="I38" s="238"/>
      <c r="J38" s="204"/>
      <c r="K38" s="238"/>
      <c r="L38" s="237"/>
      <c r="M38" s="238"/>
      <c r="N38" s="237"/>
      <c r="O38" s="238"/>
      <c r="P38" s="202"/>
      <c r="Q38" s="203"/>
      <c r="R38" s="204"/>
      <c r="S38" s="227"/>
      <c r="T38" s="228"/>
      <c r="U38" s="227"/>
      <c r="V38" s="122"/>
      <c r="W38" s="122"/>
    </row>
    <row r="39" spans="1:23" s="105" customFormat="1" ht="12" customHeight="1" thickBot="1">
      <c r="A39" s="141">
        <v>5</v>
      </c>
      <c r="B39" s="293"/>
      <c r="C39" s="294"/>
      <c r="D39" s="293"/>
      <c r="E39" s="294"/>
      <c r="F39" s="293"/>
      <c r="G39" s="294"/>
      <c r="H39" s="293"/>
      <c r="I39" s="294"/>
      <c r="J39" s="206"/>
      <c r="K39" s="294"/>
      <c r="L39" s="293"/>
      <c r="M39" s="294"/>
      <c r="N39" s="293"/>
      <c r="O39" s="294"/>
      <c r="P39" s="226"/>
      <c r="Q39" s="225"/>
      <c r="R39" s="206"/>
      <c r="S39" s="230"/>
      <c r="T39" s="229"/>
      <c r="U39" s="230"/>
      <c r="V39" s="122"/>
      <c r="W39" s="122"/>
    </row>
    <row r="40" spans="1:23" s="105" customFormat="1" ht="12" customHeight="1">
      <c r="A40" s="122"/>
      <c r="B40" s="239"/>
      <c r="C40" s="240"/>
      <c r="D40" s="228"/>
      <c r="E40" s="240"/>
      <c r="F40" s="239"/>
      <c r="G40" s="240"/>
      <c r="H40" s="239"/>
      <c r="I40" s="240"/>
      <c r="J40" s="239"/>
      <c r="K40" s="240"/>
      <c r="L40" s="239"/>
      <c r="M40" s="240"/>
      <c r="N40" s="239"/>
      <c r="O40" s="201"/>
      <c r="P40" s="210"/>
      <c r="Q40" s="201"/>
      <c r="R40" s="210"/>
      <c r="S40" s="201"/>
      <c r="T40" s="210"/>
      <c r="U40" s="201"/>
      <c r="V40" s="122"/>
      <c r="W40" s="122"/>
    </row>
    <row r="41" spans="1:23" s="105" customFormat="1" ht="12" customHeight="1">
      <c r="A41" s="122"/>
      <c r="B41" s="228"/>
      <c r="C41" s="227"/>
      <c r="D41" s="127"/>
      <c r="E41" s="227"/>
      <c r="F41" s="228"/>
      <c r="G41" s="227"/>
      <c r="H41" s="228"/>
      <c r="I41" s="227"/>
      <c r="J41" s="228"/>
      <c r="K41" s="227"/>
      <c r="L41" s="228"/>
      <c r="M41" s="227"/>
      <c r="N41" s="202"/>
      <c r="O41" s="203"/>
      <c r="P41" s="202"/>
      <c r="Q41" s="203"/>
      <c r="R41" s="202"/>
      <c r="S41" s="203"/>
      <c r="T41" s="202"/>
      <c r="U41" s="203"/>
      <c r="V41" s="122"/>
      <c r="W41" s="122"/>
    </row>
    <row r="42" spans="1:23" s="105" customFormat="1" ht="12" customHeight="1">
      <c r="A42" s="122"/>
      <c r="B42" s="228"/>
      <c r="C42" s="227"/>
      <c r="D42" s="228"/>
      <c r="E42" s="227"/>
      <c r="F42" s="228"/>
      <c r="G42" s="227"/>
      <c r="H42" s="228"/>
      <c r="I42" s="227"/>
      <c r="J42" s="228"/>
      <c r="K42" s="227"/>
      <c r="L42" s="228"/>
      <c r="M42" s="227"/>
      <c r="N42" s="202"/>
      <c r="O42" s="203"/>
      <c r="P42" s="202"/>
      <c r="Q42" s="203"/>
      <c r="R42" s="202"/>
      <c r="S42" s="203"/>
      <c r="T42" s="202"/>
      <c r="U42" s="203"/>
      <c r="V42" s="122"/>
      <c r="W42" s="122"/>
    </row>
    <row r="43" spans="1:23" s="105" customFormat="1" ht="12" customHeight="1">
      <c r="A43" s="122"/>
      <c r="B43" s="228"/>
      <c r="C43" s="227"/>
      <c r="D43" s="228"/>
      <c r="E43" s="227"/>
      <c r="F43" s="228"/>
      <c r="G43" s="227"/>
      <c r="H43" s="228"/>
      <c r="I43" s="227"/>
      <c r="J43" s="228"/>
      <c r="K43" s="227"/>
      <c r="L43" s="228"/>
      <c r="M43" s="227"/>
      <c r="N43" s="202"/>
      <c r="O43" s="203"/>
      <c r="P43" s="202"/>
      <c r="Q43" s="203"/>
      <c r="R43" s="202"/>
      <c r="S43" s="203"/>
      <c r="T43" s="202"/>
      <c r="U43" s="203"/>
      <c r="V43" s="122"/>
      <c r="W43" s="122"/>
    </row>
    <row r="44" spans="1:23" s="105" customFormat="1" ht="12" customHeight="1" thickBot="1">
      <c r="A44" s="141">
        <v>6</v>
      </c>
      <c r="B44" s="229"/>
      <c r="C44" s="230"/>
      <c r="D44" s="229"/>
      <c r="E44" s="230"/>
      <c r="F44" s="229"/>
      <c r="G44" s="230"/>
      <c r="H44" s="229"/>
      <c r="I44" s="230"/>
      <c r="J44" s="229"/>
      <c r="K44" s="230"/>
      <c r="L44" s="229"/>
      <c r="M44" s="230"/>
      <c r="N44" s="226"/>
      <c r="O44" s="225"/>
      <c r="P44" s="226"/>
      <c r="Q44" s="225"/>
      <c r="R44" s="226"/>
      <c r="S44" s="225"/>
      <c r="T44" s="226"/>
      <c r="U44" s="225"/>
      <c r="V44" s="122"/>
      <c r="W44" s="122"/>
    </row>
    <row r="45" spans="1:23" s="105" customFormat="1" ht="12" customHeight="1">
      <c r="A45" s="122"/>
      <c r="B45" s="210"/>
      <c r="C45" s="209"/>
      <c r="D45" s="239"/>
      <c r="E45" s="240"/>
      <c r="F45" s="239"/>
      <c r="G45" s="240"/>
      <c r="H45" s="239"/>
      <c r="I45" s="240"/>
      <c r="J45" s="239"/>
      <c r="K45" s="240"/>
      <c r="L45" s="210"/>
      <c r="M45" s="236"/>
      <c r="N45" s="235"/>
      <c r="O45" s="236"/>
      <c r="P45" s="210"/>
      <c r="Q45" s="201"/>
      <c r="R45" s="210"/>
      <c r="S45" s="240"/>
      <c r="T45" s="239"/>
      <c r="U45" s="240"/>
      <c r="V45" s="122"/>
      <c r="W45" s="122"/>
    </row>
    <row r="46" spans="1:23" s="105" customFormat="1" ht="12" customHeight="1">
      <c r="A46" s="122"/>
      <c r="B46" s="202"/>
      <c r="C46" s="205"/>
      <c r="D46" s="228"/>
      <c r="E46" s="227"/>
      <c r="F46" s="228"/>
      <c r="G46" s="227"/>
      <c r="H46" s="228"/>
      <c r="I46" s="227"/>
      <c r="J46" s="228"/>
      <c r="K46" s="227"/>
      <c r="L46" s="202"/>
      <c r="M46" s="238"/>
      <c r="N46" s="237"/>
      <c r="O46" s="238"/>
      <c r="P46" s="202"/>
      <c r="Q46" s="203"/>
      <c r="R46" s="228"/>
      <c r="S46" s="227"/>
      <c r="T46" s="228"/>
      <c r="U46" s="227"/>
      <c r="V46" s="122"/>
      <c r="W46" s="122"/>
    </row>
    <row r="47" spans="1:23" s="105" customFormat="1" ht="12" customHeight="1">
      <c r="A47" s="122"/>
      <c r="B47" s="202"/>
      <c r="C47" s="205"/>
      <c r="D47" s="228"/>
      <c r="E47" s="227"/>
      <c r="F47" s="228"/>
      <c r="G47" s="227"/>
      <c r="H47" s="228"/>
      <c r="I47" s="227"/>
      <c r="J47" s="228"/>
      <c r="K47" s="227"/>
      <c r="L47" s="202"/>
      <c r="M47" s="238"/>
      <c r="N47" s="237"/>
      <c r="O47" s="238"/>
      <c r="P47" s="202"/>
      <c r="Q47" s="203"/>
      <c r="R47" s="228"/>
      <c r="S47" s="227"/>
      <c r="T47" s="228"/>
      <c r="U47" s="227"/>
      <c r="V47" s="122"/>
      <c r="W47" s="122"/>
    </row>
    <row r="48" spans="1:23" s="105" customFormat="1" ht="12" customHeight="1">
      <c r="A48" s="122"/>
      <c r="B48" s="202"/>
      <c r="C48" s="205"/>
      <c r="D48" s="228"/>
      <c r="E48" s="227"/>
      <c r="F48" s="228"/>
      <c r="G48" s="227"/>
      <c r="H48" s="228"/>
      <c r="I48" s="227"/>
      <c r="J48" s="228"/>
      <c r="K48" s="227"/>
      <c r="L48" s="202"/>
      <c r="M48" s="238"/>
      <c r="N48" s="237"/>
      <c r="O48" s="203"/>
      <c r="P48" s="202"/>
      <c r="Q48" s="203"/>
      <c r="R48" s="228"/>
      <c r="S48" s="227"/>
      <c r="T48" s="228"/>
      <c r="U48" s="227"/>
      <c r="V48" s="122"/>
      <c r="W48" s="122"/>
    </row>
    <row r="49" spans="1:23" s="105" customFormat="1" ht="12" customHeight="1" thickBot="1">
      <c r="A49" s="141">
        <v>7</v>
      </c>
      <c r="B49" s="226"/>
      <c r="C49" s="207"/>
      <c r="D49" s="229"/>
      <c r="E49" s="230"/>
      <c r="F49" s="229"/>
      <c r="G49" s="230"/>
      <c r="H49" s="229"/>
      <c r="I49" s="230"/>
      <c r="J49" s="229"/>
      <c r="K49" s="230"/>
      <c r="L49" s="293"/>
      <c r="M49" s="294"/>
      <c r="N49" s="293"/>
      <c r="O49" s="225"/>
      <c r="P49" s="226"/>
      <c r="Q49" s="225"/>
      <c r="R49" s="229"/>
      <c r="S49" s="230"/>
      <c r="T49" s="229"/>
      <c r="U49" s="230"/>
      <c r="V49" s="122"/>
      <c r="W49" s="122"/>
    </row>
    <row r="50" spans="1:23" s="105" customFormat="1" ht="12" customHeight="1">
      <c r="A50" s="122"/>
      <c r="B50" s="239"/>
      <c r="C50" s="240"/>
      <c r="D50" s="239"/>
      <c r="E50" s="232"/>
      <c r="F50" s="219"/>
      <c r="G50" s="244"/>
      <c r="H50" s="243"/>
      <c r="I50" s="244"/>
      <c r="J50" s="239"/>
      <c r="K50" s="240"/>
      <c r="L50" s="239"/>
      <c r="M50" s="240"/>
      <c r="N50" s="239"/>
      <c r="O50" s="240"/>
      <c r="P50" s="239"/>
      <c r="Q50" s="240"/>
      <c r="R50" s="239"/>
      <c r="S50" s="240"/>
      <c r="T50" s="228"/>
      <c r="U50" s="240"/>
      <c r="V50" s="122"/>
      <c r="W50" s="122"/>
    </row>
    <row r="51" spans="1:23" s="105" customFormat="1" ht="12" customHeight="1">
      <c r="A51" s="122"/>
      <c r="B51" s="228"/>
      <c r="C51" s="227"/>
      <c r="D51" s="228"/>
      <c r="E51" s="222"/>
      <c r="F51" s="215"/>
      <c r="G51" s="241"/>
      <c r="H51" s="242"/>
      <c r="I51" s="241"/>
      <c r="J51" s="228"/>
      <c r="K51" s="227"/>
      <c r="L51" s="228"/>
      <c r="M51" s="227"/>
      <c r="N51" s="228"/>
      <c r="O51" s="227"/>
      <c r="P51" s="228"/>
      <c r="Q51" s="227"/>
      <c r="R51" s="228"/>
      <c r="S51" s="227"/>
      <c r="T51" s="228"/>
      <c r="U51" s="227"/>
      <c r="V51" s="122"/>
      <c r="W51" s="122"/>
    </row>
    <row r="52" spans="1:23" s="105" customFormat="1" ht="12" customHeight="1">
      <c r="A52" s="122"/>
      <c r="B52" s="228"/>
      <c r="C52" s="227"/>
      <c r="D52" s="228"/>
      <c r="E52" s="222"/>
      <c r="F52" s="215"/>
      <c r="G52" s="241"/>
      <c r="H52" s="242"/>
      <c r="I52" s="241"/>
      <c r="J52" s="228"/>
      <c r="K52" s="227"/>
      <c r="L52" s="228"/>
      <c r="M52" s="227"/>
      <c r="N52" s="228"/>
      <c r="O52" s="227"/>
      <c r="P52" s="228"/>
      <c r="Q52" s="227"/>
      <c r="R52" s="228"/>
      <c r="S52" s="227"/>
      <c r="T52" s="228"/>
      <c r="U52" s="227"/>
      <c r="V52" s="122"/>
      <c r="W52" s="122"/>
    </row>
    <row r="53" spans="1:23" s="105" customFormat="1" ht="12" customHeight="1">
      <c r="A53" s="122"/>
      <c r="B53" s="228"/>
      <c r="C53" s="227"/>
      <c r="D53" s="221"/>
      <c r="E53" s="222"/>
      <c r="F53" s="242"/>
      <c r="G53" s="241"/>
      <c r="H53" s="242"/>
      <c r="I53" s="227"/>
      <c r="J53" s="228"/>
      <c r="K53" s="227"/>
      <c r="L53" s="228"/>
      <c r="M53" s="227"/>
      <c r="N53" s="228"/>
      <c r="O53" s="227"/>
      <c r="P53" s="228"/>
      <c r="Q53" s="227"/>
      <c r="R53" s="228"/>
      <c r="S53" s="227"/>
      <c r="T53" s="228"/>
      <c r="U53" s="227"/>
      <c r="V53" s="122"/>
      <c r="W53" s="122"/>
    </row>
    <row r="54" spans="1:23" s="105" customFormat="1" ht="12" customHeight="1" thickBot="1">
      <c r="A54" s="141">
        <v>8</v>
      </c>
      <c r="B54" s="229"/>
      <c r="C54" s="230"/>
      <c r="D54" s="233"/>
      <c r="E54" s="234"/>
      <c r="F54" s="245"/>
      <c r="G54" s="246"/>
      <c r="H54" s="245"/>
      <c r="I54" s="230"/>
      <c r="J54" s="229"/>
      <c r="K54" s="230"/>
      <c r="L54" s="229"/>
      <c r="M54" s="230"/>
      <c r="N54" s="229"/>
      <c r="O54" s="230"/>
      <c r="P54" s="229"/>
      <c r="Q54" s="230"/>
      <c r="R54" s="229"/>
      <c r="S54" s="230"/>
      <c r="T54" s="229"/>
      <c r="U54" s="230"/>
      <c r="V54" s="122"/>
      <c r="W54" s="122"/>
    </row>
    <row r="55" spans="1:23" s="105" customFormat="1" ht="12" customHeight="1">
      <c r="A55" s="122"/>
      <c r="B55" s="239"/>
      <c r="C55" s="240"/>
      <c r="D55" s="208"/>
      <c r="E55" s="209"/>
      <c r="F55" s="219"/>
      <c r="G55" s="201"/>
      <c r="H55" s="219"/>
      <c r="I55" s="220"/>
      <c r="J55" s="219"/>
      <c r="K55" s="220"/>
      <c r="L55" s="219"/>
      <c r="M55" s="220"/>
      <c r="N55" s="219"/>
      <c r="O55" s="220"/>
      <c r="P55" s="219"/>
      <c r="Q55" s="220"/>
      <c r="R55" s="212"/>
      <c r="S55" s="211"/>
      <c r="T55" s="212"/>
      <c r="U55" s="211"/>
      <c r="V55" s="122"/>
      <c r="W55" s="122"/>
    </row>
    <row r="56" spans="1:23" s="105" customFormat="1" ht="12" customHeight="1">
      <c r="A56" s="122"/>
      <c r="B56" s="295"/>
      <c r="C56" s="227"/>
      <c r="D56" s="204"/>
      <c r="E56" s="205"/>
      <c r="F56" s="215"/>
      <c r="G56" s="203"/>
      <c r="H56" s="215"/>
      <c r="I56" s="216"/>
      <c r="J56" s="215"/>
      <c r="K56" s="216"/>
      <c r="L56" s="215"/>
      <c r="M56" s="216"/>
      <c r="N56" s="215"/>
      <c r="O56" s="216"/>
      <c r="P56" s="215"/>
      <c r="Q56" s="214"/>
      <c r="R56" s="213"/>
      <c r="S56" s="214"/>
      <c r="T56" s="213"/>
      <c r="U56" s="214"/>
      <c r="V56" s="122"/>
      <c r="W56" s="122"/>
    </row>
    <row r="57" spans="1:23" s="105" customFormat="1" ht="12" customHeight="1">
      <c r="A57" s="122"/>
      <c r="B57" s="295"/>
      <c r="C57" s="227"/>
      <c r="D57" s="204"/>
      <c r="E57" s="205"/>
      <c r="F57" s="215"/>
      <c r="G57" s="203"/>
      <c r="H57" s="215"/>
      <c r="I57" s="216"/>
      <c r="J57" s="215"/>
      <c r="K57" s="216"/>
      <c r="L57" s="215"/>
      <c r="M57" s="216"/>
      <c r="N57" s="215"/>
      <c r="O57" s="216"/>
      <c r="P57" s="215"/>
      <c r="Q57" s="214"/>
      <c r="R57" s="213"/>
      <c r="S57" s="214"/>
      <c r="T57" s="213"/>
      <c r="U57" s="214"/>
      <c r="V57" s="122"/>
      <c r="W57" s="122"/>
    </row>
    <row r="58" spans="1:23" s="105" customFormat="1" ht="12" customHeight="1">
      <c r="A58" s="122"/>
      <c r="B58" s="295"/>
      <c r="C58" s="227"/>
      <c r="D58" s="204"/>
      <c r="E58" s="205"/>
      <c r="F58" s="202"/>
      <c r="G58" s="216"/>
      <c r="H58" s="215"/>
      <c r="I58" s="216"/>
      <c r="J58" s="215"/>
      <c r="K58" s="216"/>
      <c r="L58" s="215"/>
      <c r="M58" s="216"/>
      <c r="N58" s="215"/>
      <c r="O58" s="216"/>
      <c r="P58" s="215"/>
      <c r="Q58" s="214"/>
      <c r="R58" s="213"/>
      <c r="S58" s="214"/>
      <c r="T58" s="213"/>
      <c r="U58" s="214"/>
      <c r="V58" s="122"/>
      <c r="W58" s="122"/>
    </row>
    <row r="59" spans="1:23" s="105" customFormat="1" ht="12" customHeight="1" thickBot="1">
      <c r="A59" s="141">
        <v>9</v>
      </c>
      <c r="B59" s="296"/>
      <c r="C59" s="207"/>
      <c r="D59" s="206"/>
      <c r="E59" s="218"/>
      <c r="F59" s="226"/>
      <c r="G59" s="218"/>
      <c r="H59" s="217"/>
      <c r="I59" s="218"/>
      <c r="J59" s="217"/>
      <c r="K59" s="218"/>
      <c r="L59" s="217"/>
      <c r="M59" s="218"/>
      <c r="N59" s="217"/>
      <c r="O59" s="218"/>
      <c r="P59" s="217"/>
      <c r="Q59" s="224"/>
      <c r="R59" s="223"/>
      <c r="S59" s="224"/>
      <c r="T59" s="223"/>
      <c r="U59" s="224"/>
      <c r="V59" s="122"/>
      <c r="W59" s="122"/>
    </row>
    <row r="60" spans="1:23" s="105" customFormat="1" ht="12" customHeight="1">
      <c r="A60" s="122"/>
      <c r="B60" s="212"/>
      <c r="C60" s="211"/>
      <c r="D60" s="212"/>
      <c r="E60" s="240"/>
      <c r="F60" s="210"/>
      <c r="G60" s="201"/>
      <c r="H60" s="231"/>
      <c r="I60" s="232"/>
      <c r="J60" s="231"/>
      <c r="K60" s="232"/>
      <c r="L60" s="231"/>
      <c r="M60" s="201"/>
      <c r="N60" s="210"/>
      <c r="O60" s="209"/>
      <c r="P60" s="219"/>
      <c r="Q60" s="220"/>
      <c r="R60" s="219"/>
      <c r="S60" s="220"/>
      <c r="T60" s="219"/>
      <c r="U60" s="201"/>
      <c r="V60" s="122"/>
      <c r="W60" s="122"/>
    </row>
    <row r="61" spans="1:23" s="105" customFormat="1" ht="12" customHeight="1">
      <c r="A61" s="122"/>
      <c r="B61" s="213"/>
      <c r="C61" s="214"/>
      <c r="D61" s="213"/>
      <c r="E61" s="227"/>
      <c r="F61" s="202"/>
      <c r="G61" s="203"/>
      <c r="H61" s="221"/>
      <c r="I61" s="222"/>
      <c r="J61" s="221"/>
      <c r="K61" s="222"/>
      <c r="L61" s="221"/>
      <c r="M61" s="203"/>
      <c r="N61" s="202"/>
      <c r="O61" s="205"/>
      <c r="P61" s="215"/>
      <c r="Q61" s="216"/>
      <c r="R61" s="215"/>
      <c r="S61" s="216"/>
      <c r="T61" s="215"/>
      <c r="U61" s="203"/>
      <c r="V61" s="122"/>
      <c r="W61" s="122"/>
    </row>
    <row r="62" spans="1:23" s="105" customFormat="1" ht="12" customHeight="1">
      <c r="A62" s="122"/>
      <c r="B62" s="213"/>
      <c r="C62" s="214"/>
      <c r="D62" s="213"/>
      <c r="E62" s="227"/>
      <c r="F62" s="202"/>
      <c r="G62" s="203"/>
      <c r="H62" s="221"/>
      <c r="I62" s="222"/>
      <c r="J62" s="221"/>
      <c r="K62" s="222"/>
      <c r="L62" s="221"/>
      <c r="M62" s="203"/>
      <c r="N62" s="202"/>
      <c r="O62" s="205"/>
      <c r="P62" s="215"/>
      <c r="Q62" s="216"/>
      <c r="R62" s="215"/>
      <c r="S62" s="216"/>
      <c r="T62" s="215"/>
      <c r="U62" s="203"/>
      <c r="V62" s="122"/>
      <c r="W62" s="122"/>
    </row>
    <row r="63" spans="1:23" s="105" customFormat="1" ht="12" customHeight="1">
      <c r="A63" s="122"/>
      <c r="B63" s="213"/>
      <c r="C63" s="214"/>
      <c r="D63" s="228"/>
      <c r="E63" s="227"/>
      <c r="F63" s="202"/>
      <c r="G63" s="222"/>
      <c r="H63" s="221"/>
      <c r="I63" s="222"/>
      <c r="J63" s="221"/>
      <c r="K63" s="222"/>
      <c r="L63" s="221"/>
      <c r="M63" s="203"/>
      <c r="N63" s="204"/>
      <c r="O63" s="216"/>
      <c r="P63" s="215"/>
      <c r="Q63" s="216"/>
      <c r="R63" s="215"/>
      <c r="S63" s="216"/>
      <c r="T63" s="202"/>
      <c r="U63" s="203"/>
      <c r="V63" s="122"/>
      <c r="W63" s="122"/>
    </row>
    <row r="64" spans="1:23" s="105" customFormat="1" ht="12" customHeight="1" thickBot="1">
      <c r="A64" s="141">
        <v>10</v>
      </c>
      <c r="B64" s="223"/>
      <c r="C64" s="224"/>
      <c r="D64" s="229"/>
      <c r="E64" s="230"/>
      <c r="F64" s="226"/>
      <c r="G64" s="234"/>
      <c r="H64" s="233"/>
      <c r="I64" s="234"/>
      <c r="J64" s="233"/>
      <c r="K64" s="234"/>
      <c r="L64" s="233"/>
      <c r="M64" s="225"/>
      <c r="N64" s="206"/>
      <c r="O64" s="218"/>
      <c r="P64" s="217"/>
      <c r="Q64" s="218"/>
      <c r="R64" s="217"/>
      <c r="S64" s="218"/>
      <c r="T64" s="226"/>
      <c r="U64" s="225"/>
      <c r="V64" s="122"/>
      <c r="W64" s="122"/>
    </row>
    <row r="65" spans="1:23" s="105" customFormat="1" ht="12" customHeight="1">
      <c r="A65" s="122"/>
      <c r="B65" s="210"/>
      <c r="C65" s="240"/>
      <c r="D65" s="239"/>
      <c r="E65" s="240"/>
      <c r="F65" s="239"/>
      <c r="G65" s="240"/>
      <c r="H65" s="239"/>
      <c r="I65" s="240"/>
      <c r="J65" s="239"/>
      <c r="K65" s="209"/>
      <c r="L65" s="210"/>
      <c r="M65" s="240"/>
      <c r="N65" s="239"/>
      <c r="O65" s="240"/>
      <c r="P65" s="239"/>
      <c r="Q65" s="240"/>
      <c r="R65" s="239"/>
      <c r="S65" s="240"/>
      <c r="T65" s="239"/>
      <c r="U65" s="240"/>
      <c r="V65" s="122"/>
      <c r="W65" s="122"/>
    </row>
    <row r="66" spans="1:23" s="105" customFormat="1" ht="12" customHeight="1">
      <c r="A66" s="122"/>
      <c r="B66" s="228"/>
      <c r="C66" s="227"/>
      <c r="D66" s="228"/>
      <c r="E66" s="227"/>
      <c r="F66" s="228"/>
      <c r="G66" s="227"/>
      <c r="H66" s="228"/>
      <c r="I66" s="227"/>
      <c r="J66" s="228"/>
      <c r="K66" s="205"/>
      <c r="L66" s="202"/>
      <c r="M66" s="227"/>
      <c r="N66" s="228"/>
      <c r="O66" s="227"/>
      <c r="P66" s="228"/>
      <c r="Q66" s="227"/>
      <c r="R66" s="228"/>
      <c r="S66" s="227"/>
      <c r="T66" s="228"/>
      <c r="U66" s="227"/>
      <c r="V66" s="122"/>
      <c r="W66" s="122"/>
    </row>
    <row r="67" spans="1:23" s="105" customFormat="1" ht="12" customHeight="1">
      <c r="A67" s="122"/>
      <c r="B67" s="228"/>
      <c r="C67" s="227"/>
      <c r="D67" s="228"/>
      <c r="E67" s="227"/>
      <c r="F67" s="228"/>
      <c r="G67" s="227"/>
      <c r="H67" s="228"/>
      <c r="I67" s="227"/>
      <c r="J67" s="127"/>
      <c r="K67" s="205"/>
      <c r="L67" s="127"/>
      <c r="M67" s="227"/>
      <c r="N67" s="228"/>
      <c r="O67" s="227"/>
      <c r="P67" s="228"/>
      <c r="Q67" s="227"/>
      <c r="R67" s="228"/>
      <c r="S67" s="227"/>
      <c r="T67" s="228"/>
      <c r="U67" s="227"/>
      <c r="V67" s="122"/>
      <c r="W67" s="122"/>
    </row>
    <row r="68" spans="1:23" s="105" customFormat="1" ht="12" customHeight="1">
      <c r="A68" s="122"/>
      <c r="B68" s="228"/>
      <c r="C68" s="227"/>
      <c r="D68" s="228"/>
      <c r="E68" s="227"/>
      <c r="F68" s="228"/>
      <c r="G68" s="227"/>
      <c r="H68" s="228"/>
      <c r="I68" s="227"/>
      <c r="J68" s="228"/>
      <c r="K68" s="205"/>
      <c r="L68" s="228"/>
      <c r="M68" s="227"/>
      <c r="N68" s="228"/>
      <c r="O68" s="227"/>
      <c r="P68" s="228"/>
      <c r="Q68" s="227"/>
      <c r="R68" s="228"/>
      <c r="S68" s="227"/>
      <c r="T68" s="228"/>
      <c r="U68" s="227"/>
      <c r="V68" s="122"/>
      <c r="W68" s="122"/>
    </row>
    <row r="69" spans="1:23" s="105" customFormat="1" ht="12" customHeight="1" thickBot="1">
      <c r="A69" s="141">
        <v>11</v>
      </c>
      <c r="B69" s="229"/>
      <c r="C69" s="230"/>
      <c r="D69" s="229"/>
      <c r="E69" s="230"/>
      <c r="F69" s="229"/>
      <c r="G69" s="230"/>
      <c r="H69" s="229"/>
      <c r="I69" s="230"/>
      <c r="J69" s="204"/>
      <c r="K69" s="225"/>
      <c r="L69" s="228"/>
      <c r="M69" s="230"/>
      <c r="N69" s="229"/>
      <c r="O69" s="230"/>
      <c r="P69" s="229"/>
      <c r="Q69" s="230"/>
      <c r="R69" s="229"/>
      <c r="S69" s="230"/>
      <c r="T69" s="229"/>
      <c r="U69" s="230"/>
      <c r="V69" s="122"/>
      <c r="W69" s="122"/>
    </row>
    <row r="70" spans="1:23" s="105" customFormat="1" ht="12" customHeight="1">
      <c r="A70" s="122"/>
      <c r="B70" s="239"/>
      <c r="C70" s="240"/>
      <c r="D70" s="243"/>
      <c r="E70" s="244"/>
      <c r="F70" s="243"/>
      <c r="G70" s="244"/>
      <c r="H70" s="243"/>
      <c r="I70" s="244"/>
      <c r="J70" s="243"/>
      <c r="K70" s="244"/>
      <c r="L70" s="243"/>
      <c r="M70" s="244"/>
      <c r="N70" s="243"/>
      <c r="O70" s="244"/>
      <c r="P70" s="243"/>
      <c r="Q70" s="244"/>
      <c r="R70" s="243"/>
      <c r="S70" s="244"/>
      <c r="T70" s="243"/>
      <c r="U70" s="244"/>
      <c r="V70" s="122"/>
      <c r="W70" s="122"/>
    </row>
    <row r="71" spans="1:23" s="105" customFormat="1" ht="12" customHeight="1">
      <c r="A71" s="122"/>
      <c r="B71" s="228"/>
      <c r="C71" s="241"/>
      <c r="D71" s="242"/>
      <c r="E71" s="241"/>
      <c r="F71" s="242"/>
      <c r="G71" s="241"/>
      <c r="H71" s="242"/>
      <c r="I71" s="241"/>
      <c r="J71" s="242"/>
      <c r="K71" s="241"/>
      <c r="L71" s="242"/>
      <c r="M71" s="241"/>
      <c r="N71" s="242"/>
      <c r="O71" s="241"/>
      <c r="P71" s="242"/>
      <c r="Q71" s="241"/>
      <c r="R71" s="242"/>
      <c r="S71" s="241"/>
      <c r="T71" s="242"/>
      <c r="U71" s="241"/>
      <c r="V71" s="122"/>
      <c r="W71" s="122"/>
    </row>
    <row r="72" spans="1:23" s="105" customFormat="1" ht="12" customHeight="1">
      <c r="A72" s="122"/>
      <c r="B72" s="228"/>
      <c r="C72" s="241"/>
      <c r="D72" s="242"/>
      <c r="E72" s="241"/>
      <c r="F72" s="242"/>
      <c r="G72" s="241"/>
      <c r="H72" s="242"/>
      <c r="I72" s="241"/>
      <c r="J72" s="242"/>
      <c r="K72" s="241"/>
      <c r="L72" s="242"/>
      <c r="M72" s="241"/>
      <c r="N72" s="242"/>
      <c r="O72" s="241"/>
      <c r="P72" s="242"/>
      <c r="Q72" s="241"/>
      <c r="R72" s="242"/>
      <c r="S72" s="241"/>
      <c r="T72" s="242"/>
      <c r="U72" s="241"/>
      <c r="V72" s="122"/>
      <c r="W72" s="122"/>
    </row>
    <row r="73" spans="1:23" s="105" customFormat="1" ht="12" customHeight="1">
      <c r="A73" s="122"/>
      <c r="B73" s="228"/>
      <c r="C73" s="241"/>
      <c r="D73" s="242"/>
      <c r="E73" s="241"/>
      <c r="F73" s="242"/>
      <c r="G73" s="241"/>
      <c r="H73" s="242"/>
      <c r="I73" s="241"/>
      <c r="J73" s="242"/>
      <c r="K73" s="241"/>
      <c r="L73" s="242"/>
      <c r="M73" s="241"/>
      <c r="N73" s="242"/>
      <c r="O73" s="241"/>
      <c r="P73" s="242"/>
      <c r="Q73" s="241"/>
      <c r="R73" s="242"/>
      <c r="S73" s="241"/>
      <c r="T73" s="242"/>
      <c r="U73" s="241"/>
      <c r="V73" s="122"/>
      <c r="W73" s="122"/>
    </row>
    <row r="74" spans="1:23" s="105" customFormat="1" ht="12" customHeight="1" thickBot="1">
      <c r="A74" s="141">
        <v>12</v>
      </c>
      <c r="B74" s="229"/>
      <c r="C74" s="246"/>
      <c r="D74" s="245"/>
      <c r="E74" s="246"/>
      <c r="F74" s="245"/>
      <c r="G74" s="246"/>
      <c r="H74" s="245"/>
      <c r="I74" s="246"/>
      <c r="J74" s="245"/>
      <c r="K74" s="246"/>
      <c r="L74" s="245"/>
      <c r="M74" s="246"/>
      <c r="N74" s="245"/>
      <c r="O74" s="246"/>
      <c r="P74" s="245"/>
      <c r="Q74" s="246"/>
      <c r="R74" s="245"/>
      <c r="S74" s="246"/>
      <c r="T74" s="245"/>
      <c r="U74" s="246"/>
      <c r="V74" s="122"/>
      <c r="W74" s="122"/>
    </row>
    <row r="75" spans="1:23" s="105" customFormat="1" ht="12" customHeight="1">
      <c r="A75" s="122"/>
      <c r="B75" s="243"/>
      <c r="C75" s="244"/>
      <c r="D75" s="243"/>
      <c r="E75" s="244"/>
      <c r="F75" s="243"/>
      <c r="G75" s="220"/>
      <c r="H75" s="219"/>
      <c r="I75" s="209"/>
      <c r="J75" s="210"/>
      <c r="K75" s="201"/>
      <c r="L75" s="239"/>
      <c r="M75" s="240"/>
      <c r="N75" s="239"/>
      <c r="O75" s="240"/>
      <c r="P75" s="239"/>
      <c r="Q75" s="240"/>
      <c r="R75" s="239"/>
      <c r="S75" s="240"/>
      <c r="T75" s="239"/>
      <c r="U75" s="240"/>
      <c r="V75" s="122"/>
      <c r="W75" s="122"/>
    </row>
    <row r="76" spans="1:23" s="105" customFormat="1" ht="12" customHeight="1">
      <c r="A76" s="122"/>
      <c r="B76" s="242"/>
      <c r="C76" s="241"/>
      <c r="D76" s="242"/>
      <c r="E76" s="241"/>
      <c r="F76" s="215"/>
      <c r="G76" s="216"/>
      <c r="H76" s="215"/>
      <c r="I76" s="205"/>
      <c r="J76" s="202"/>
      <c r="K76" s="203"/>
      <c r="L76" s="228"/>
      <c r="M76" s="227"/>
      <c r="N76" s="228"/>
      <c r="O76" s="227"/>
      <c r="P76" s="228"/>
      <c r="Q76" s="227"/>
      <c r="R76" s="228"/>
      <c r="S76" s="227"/>
      <c r="T76" s="228"/>
      <c r="U76" s="227"/>
      <c r="V76" s="122"/>
      <c r="W76" s="122"/>
    </row>
    <row r="77" spans="1:23" s="105" customFormat="1" ht="12" customHeight="1">
      <c r="A77" s="122"/>
      <c r="B77" s="242"/>
      <c r="C77" s="241"/>
      <c r="D77" s="242"/>
      <c r="E77" s="241"/>
      <c r="F77" s="215"/>
      <c r="G77" s="216"/>
      <c r="H77" s="215"/>
      <c r="I77" s="205"/>
      <c r="J77" s="202"/>
      <c r="K77" s="227"/>
      <c r="L77" s="228"/>
      <c r="M77" s="227"/>
      <c r="N77" s="228"/>
      <c r="O77" s="227"/>
      <c r="P77" s="228"/>
      <c r="Q77" s="227"/>
      <c r="R77" s="228"/>
      <c r="S77" s="227"/>
      <c r="T77" s="228"/>
      <c r="U77" s="227"/>
      <c r="V77" s="122"/>
      <c r="W77" s="122"/>
    </row>
    <row r="78" spans="1:23" s="105" customFormat="1" ht="12" customHeight="1">
      <c r="A78" s="122"/>
      <c r="B78" s="242"/>
      <c r="C78" s="241"/>
      <c r="D78" s="242"/>
      <c r="E78" s="241"/>
      <c r="F78" s="215"/>
      <c r="G78" s="216"/>
      <c r="H78" s="204"/>
      <c r="I78" s="203"/>
      <c r="J78" s="202"/>
      <c r="K78" s="227"/>
      <c r="L78" s="228"/>
      <c r="M78" s="227"/>
      <c r="N78" s="228"/>
      <c r="O78" s="227"/>
      <c r="P78" s="228"/>
      <c r="Q78" s="227"/>
      <c r="R78" s="228"/>
      <c r="S78" s="227"/>
      <c r="T78" s="228"/>
      <c r="U78" s="227"/>
      <c r="V78" s="122"/>
      <c r="W78" s="122"/>
    </row>
    <row r="79" spans="1:23" s="105" customFormat="1" ht="12" customHeight="1" thickBot="1">
      <c r="A79" s="141">
        <v>13</v>
      </c>
      <c r="B79" s="245"/>
      <c r="C79" s="246"/>
      <c r="D79" s="245"/>
      <c r="E79" s="246"/>
      <c r="F79" s="217"/>
      <c r="G79" s="218"/>
      <c r="H79" s="206"/>
      <c r="I79" s="225"/>
      <c r="J79" s="226"/>
      <c r="K79" s="230"/>
      <c r="L79" s="229"/>
      <c r="M79" s="230"/>
      <c r="N79" s="229"/>
      <c r="O79" s="230"/>
      <c r="P79" s="229"/>
      <c r="Q79" s="230"/>
      <c r="R79" s="229"/>
      <c r="S79" s="230"/>
      <c r="T79" s="229"/>
      <c r="U79" s="230"/>
      <c r="V79" s="122"/>
      <c r="W79" s="122"/>
    </row>
    <row r="80" spans="1:23" s="105" customFormat="1" ht="12" customHeight="1">
      <c r="A80" s="122"/>
      <c r="B80" s="239"/>
      <c r="C80" s="201"/>
      <c r="D80" s="208"/>
      <c r="E80" s="201"/>
      <c r="F80" s="210"/>
      <c r="G80" s="201"/>
      <c r="H80" s="210"/>
      <c r="I80" s="209"/>
      <c r="J80" s="210"/>
      <c r="K80" s="201"/>
      <c r="L80" s="243"/>
      <c r="M80" s="209"/>
      <c r="N80" s="235"/>
      <c r="O80" s="236"/>
      <c r="P80" s="235"/>
      <c r="Q80" s="201"/>
      <c r="R80" s="210"/>
      <c r="S80" s="201"/>
      <c r="T80" s="210"/>
      <c r="U80" s="201"/>
      <c r="V80" s="122"/>
      <c r="W80" s="122"/>
    </row>
    <row r="81" spans="1:23" s="105" customFormat="1" ht="12" customHeight="1">
      <c r="A81" s="122"/>
      <c r="B81" s="202"/>
      <c r="C81" s="203"/>
      <c r="D81" s="204"/>
      <c r="E81" s="203"/>
      <c r="F81" s="202"/>
      <c r="G81" s="203"/>
      <c r="H81" s="202"/>
      <c r="I81" s="205"/>
      <c r="J81" s="202"/>
      <c r="K81" s="203"/>
      <c r="L81" s="242"/>
      <c r="M81" s="205"/>
      <c r="N81" s="237"/>
      <c r="O81" s="238"/>
      <c r="P81" s="202"/>
      <c r="Q81" s="203"/>
      <c r="R81" s="202"/>
      <c r="S81" s="203"/>
      <c r="T81" s="202"/>
      <c r="U81" s="203"/>
      <c r="V81" s="122"/>
      <c r="W81" s="122"/>
    </row>
    <row r="82" spans="1:23" s="105" customFormat="1" ht="12" customHeight="1">
      <c r="A82" s="122"/>
      <c r="B82" s="202"/>
      <c r="C82" s="203"/>
      <c r="D82" s="204"/>
      <c r="E82" s="203"/>
      <c r="F82" s="202"/>
      <c r="G82" s="203"/>
      <c r="H82" s="204"/>
      <c r="I82" s="203"/>
      <c r="J82" s="202"/>
      <c r="K82" s="203"/>
      <c r="L82" s="242"/>
      <c r="M82" s="205"/>
      <c r="N82" s="237"/>
      <c r="O82" s="238"/>
      <c r="P82" s="202"/>
      <c r="Q82" s="203"/>
      <c r="R82" s="202"/>
      <c r="S82" s="203"/>
      <c r="T82" s="202"/>
      <c r="U82" s="203"/>
      <c r="V82" s="122"/>
      <c r="W82" s="122"/>
    </row>
    <row r="83" spans="1:23" s="105" customFormat="1" ht="12" customHeight="1">
      <c r="A83" s="122"/>
      <c r="B83" s="202"/>
      <c r="C83" s="203"/>
      <c r="D83" s="204"/>
      <c r="E83" s="203"/>
      <c r="F83" s="202"/>
      <c r="G83" s="203"/>
      <c r="H83" s="204"/>
      <c r="I83" s="203"/>
      <c r="J83" s="202"/>
      <c r="K83" s="241"/>
      <c r="L83" s="204"/>
      <c r="M83" s="238"/>
      <c r="N83" s="237"/>
      <c r="O83" s="238"/>
      <c r="P83" s="202"/>
      <c r="Q83" s="203"/>
      <c r="R83" s="202"/>
      <c r="S83" s="203"/>
      <c r="T83" s="202"/>
      <c r="U83" s="203"/>
      <c r="V83" s="122"/>
      <c r="W83" s="122"/>
    </row>
    <row r="84" spans="1:23" s="105" customFormat="1" ht="12" customHeight="1" thickBot="1">
      <c r="A84" s="141">
        <v>14</v>
      </c>
      <c r="B84" s="226"/>
      <c r="C84" s="207"/>
      <c r="D84" s="226"/>
      <c r="E84" s="225"/>
      <c r="F84" s="226"/>
      <c r="G84" s="225"/>
      <c r="H84" s="206"/>
      <c r="I84" s="225"/>
      <c r="J84" s="226"/>
      <c r="K84" s="246"/>
      <c r="L84" s="206"/>
      <c r="M84" s="294"/>
      <c r="N84" s="293"/>
      <c r="O84" s="294"/>
      <c r="P84" s="226"/>
      <c r="Q84" s="225"/>
      <c r="R84" s="202"/>
      <c r="S84" s="225"/>
      <c r="T84" s="226"/>
      <c r="U84" s="225"/>
      <c r="V84" s="122"/>
      <c r="W84" s="122"/>
    </row>
    <row r="85" spans="1:23" s="105" customFormat="1" ht="12" customHeight="1">
      <c r="A85" s="122"/>
      <c r="B85" s="210"/>
      <c r="C85" s="201"/>
      <c r="D85" s="243"/>
      <c r="E85" s="244"/>
      <c r="F85" s="210"/>
      <c r="G85" s="201"/>
      <c r="H85" s="210"/>
      <c r="I85" s="236"/>
      <c r="J85" s="235"/>
      <c r="K85" s="236"/>
      <c r="L85" s="235"/>
      <c r="M85" s="209"/>
      <c r="N85" s="231"/>
      <c r="O85" s="232"/>
      <c r="P85" s="231"/>
      <c r="Q85" s="232"/>
      <c r="R85" s="231"/>
      <c r="S85" s="232"/>
      <c r="T85" s="231"/>
      <c r="U85" s="232"/>
      <c r="V85" s="122"/>
      <c r="W85" s="122"/>
    </row>
    <row r="86" spans="1:23" s="105" customFormat="1" ht="12" customHeight="1">
      <c r="A86" s="122"/>
      <c r="B86" s="202"/>
      <c r="C86" s="203"/>
      <c r="D86" s="242"/>
      <c r="E86" s="241"/>
      <c r="F86" s="202"/>
      <c r="G86" s="203"/>
      <c r="H86" s="202"/>
      <c r="I86" s="238"/>
      <c r="J86" s="237"/>
      <c r="K86" s="238"/>
      <c r="L86" s="237"/>
      <c r="M86" s="205"/>
      <c r="N86" s="221"/>
      <c r="O86" s="222"/>
      <c r="P86" s="221"/>
      <c r="Q86" s="222"/>
      <c r="R86" s="221"/>
      <c r="S86" s="222"/>
      <c r="T86" s="221"/>
      <c r="U86" s="203"/>
      <c r="V86" s="122"/>
      <c r="W86" s="122"/>
    </row>
    <row r="87" spans="1:23" s="105" customFormat="1" ht="12" customHeight="1">
      <c r="A87" s="122"/>
      <c r="B87" s="202"/>
      <c r="C87" s="241"/>
      <c r="D87" s="242"/>
      <c r="E87" s="241"/>
      <c r="F87" s="202"/>
      <c r="G87" s="203"/>
      <c r="H87" s="237"/>
      <c r="I87" s="238"/>
      <c r="J87" s="237"/>
      <c r="K87" s="238"/>
      <c r="L87" s="204"/>
      <c r="M87" s="203"/>
      <c r="N87" s="221"/>
      <c r="O87" s="222"/>
      <c r="P87" s="221"/>
      <c r="Q87" s="222"/>
      <c r="R87" s="221"/>
      <c r="S87" s="222"/>
      <c r="T87" s="221"/>
      <c r="U87" s="203"/>
      <c r="V87" s="122"/>
      <c r="W87" s="122"/>
    </row>
    <row r="88" spans="1:23" s="105" customFormat="1" ht="12" customHeight="1">
      <c r="A88" s="122"/>
      <c r="B88" s="202"/>
      <c r="C88" s="241"/>
      <c r="D88" s="242"/>
      <c r="E88" s="241"/>
      <c r="F88" s="202"/>
      <c r="G88" s="203"/>
      <c r="H88" s="237"/>
      <c r="I88" s="238"/>
      <c r="J88" s="237"/>
      <c r="K88" s="238"/>
      <c r="L88" s="204"/>
      <c r="M88" s="203"/>
      <c r="N88" s="221"/>
      <c r="O88" s="222"/>
      <c r="P88" s="221"/>
      <c r="Q88" s="222"/>
      <c r="R88" s="221"/>
      <c r="S88" s="222"/>
      <c r="T88" s="221"/>
      <c r="U88" s="203"/>
      <c r="V88" s="122"/>
      <c r="W88" s="122"/>
    </row>
    <row r="89" spans="1:23" s="105" customFormat="1" ht="12" customHeight="1" thickBot="1">
      <c r="A89" s="141">
        <v>15</v>
      </c>
      <c r="B89" s="226"/>
      <c r="C89" s="246"/>
      <c r="D89" s="245"/>
      <c r="E89" s="225"/>
      <c r="F89" s="226"/>
      <c r="G89" s="225"/>
      <c r="H89" s="293"/>
      <c r="I89" s="294"/>
      <c r="J89" s="293"/>
      <c r="K89" s="294"/>
      <c r="L89" s="206"/>
      <c r="M89" s="225"/>
      <c r="N89" s="233"/>
      <c r="O89" s="234"/>
      <c r="P89" s="233"/>
      <c r="Q89" s="234"/>
      <c r="R89" s="233"/>
      <c r="S89" s="234"/>
      <c r="T89" s="233"/>
      <c r="U89" s="225"/>
      <c r="V89" s="122"/>
      <c r="W89" s="122"/>
    </row>
    <row r="90" spans="1:23" s="105" customFormat="1" ht="12" customHeight="1">
      <c r="A90" s="122"/>
      <c r="B90" s="210"/>
      <c r="C90" s="232"/>
      <c r="D90" s="231"/>
      <c r="E90" s="232"/>
      <c r="F90" s="231"/>
      <c r="G90" s="232"/>
      <c r="H90" s="231"/>
      <c r="I90" s="232"/>
      <c r="J90" s="235"/>
      <c r="K90" s="236"/>
      <c r="L90" s="235"/>
      <c r="M90" s="236"/>
      <c r="N90" s="235"/>
      <c r="O90" s="236"/>
      <c r="P90" s="235"/>
      <c r="Q90" s="236"/>
      <c r="R90" s="210"/>
      <c r="S90" s="201"/>
      <c r="T90" s="208"/>
      <c r="U90" s="201"/>
      <c r="V90" s="122"/>
      <c r="W90" s="122"/>
    </row>
    <row r="91" spans="1:23" s="105" customFormat="1" ht="12" customHeight="1">
      <c r="A91" s="122"/>
      <c r="B91" s="221"/>
      <c r="C91" s="222"/>
      <c r="D91" s="221"/>
      <c r="E91" s="222"/>
      <c r="F91" s="221"/>
      <c r="G91" s="222"/>
      <c r="H91" s="221"/>
      <c r="I91" s="222"/>
      <c r="J91" s="237"/>
      <c r="K91" s="238"/>
      <c r="L91" s="237"/>
      <c r="M91" s="238"/>
      <c r="N91" s="237"/>
      <c r="O91" s="238"/>
      <c r="P91" s="237"/>
      <c r="Q91" s="238"/>
      <c r="R91" s="202"/>
      <c r="S91" s="203"/>
      <c r="T91" s="204"/>
      <c r="U91" s="203"/>
      <c r="V91" s="122"/>
      <c r="W91" s="122"/>
    </row>
    <row r="92" spans="1:23" s="105" customFormat="1" ht="12" customHeight="1">
      <c r="A92" s="122"/>
      <c r="B92" s="221"/>
      <c r="C92" s="222"/>
      <c r="D92" s="221"/>
      <c r="E92" s="222"/>
      <c r="F92" s="221"/>
      <c r="G92" s="222"/>
      <c r="H92" s="221"/>
      <c r="I92" s="222"/>
      <c r="J92" s="128"/>
      <c r="K92" s="238"/>
      <c r="L92" s="128"/>
      <c r="M92" s="238"/>
      <c r="N92" s="237"/>
      <c r="O92" s="238"/>
      <c r="P92" s="237"/>
      <c r="Q92" s="238"/>
      <c r="R92" s="202"/>
      <c r="S92" s="203"/>
      <c r="T92" s="204"/>
      <c r="U92" s="203"/>
      <c r="V92" s="122"/>
      <c r="W92" s="122"/>
    </row>
    <row r="93" spans="1:23" s="105" customFormat="1" ht="12" customHeight="1">
      <c r="A93" s="122"/>
      <c r="B93" s="221"/>
      <c r="C93" s="222"/>
      <c r="D93" s="221"/>
      <c r="E93" s="222"/>
      <c r="F93" s="221"/>
      <c r="G93" s="222"/>
      <c r="H93" s="221"/>
      <c r="I93" s="222"/>
      <c r="J93" s="237"/>
      <c r="K93" s="238"/>
      <c r="L93" s="237"/>
      <c r="M93" s="238"/>
      <c r="N93" s="237"/>
      <c r="O93" s="238"/>
      <c r="P93" s="237"/>
      <c r="Q93" s="203"/>
      <c r="R93" s="202"/>
      <c r="S93" s="205"/>
      <c r="T93" s="242"/>
      <c r="U93" s="203"/>
      <c r="V93" s="122"/>
      <c r="W93" s="122"/>
    </row>
    <row r="94" spans="1:23" s="105" customFormat="1" ht="12" customHeight="1" thickBot="1">
      <c r="A94" s="141">
        <v>16</v>
      </c>
      <c r="B94" s="233"/>
      <c r="C94" s="234"/>
      <c r="D94" s="233"/>
      <c r="E94" s="234"/>
      <c r="F94" s="233"/>
      <c r="G94" s="234"/>
      <c r="H94" s="233"/>
      <c r="I94" s="294"/>
      <c r="J94" s="237"/>
      <c r="K94" s="294"/>
      <c r="L94" s="237"/>
      <c r="M94" s="294"/>
      <c r="N94" s="293"/>
      <c r="O94" s="294"/>
      <c r="P94" s="293"/>
      <c r="Q94" s="225"/>
      <c r="R94" s="226"/>
      <c r="S94" s="207"/>
      <c r="T94" s="245"/>
      <c r="U94" s="225"/>
      <c r="V94" s="122"/>
      <c r="W94" s="122"/>
    </row>
    <row r="95" spans="1:23" s="105" customFormat="1" ht="12" customHeight="1">
      <c r="A95" s="122"/>
      <c r="B95" s="210"/>
      <c r="C95" s="201"/>
      <c r="D95" s="208"/>
      <c r="E95" s="209"/>
      <c r="F95" s="208"/>
      <c r="G95" s="209"/>
      <c r="H95" s="208"/>
      <c r="I95" s="209"/>
      <c r="J95" s="208"/>
      <c r="K95" s="209"/>
      <c r="L95" s="208"/>
      <c r="M95" s="209"/>
      <c r="N95" s="208"/>
      <c r="O95" s="209"/>
      <c r="P95" s="208"/>
      <c r="Q95" s="209"/>
      <c r="R95" s="208"/>
      <c r="S95" s="209"/>
      <c r="T95" s="208"/>
      <c r="U95" s="209"/>
      <c r="V95" s="122"/>
      <c r="W95" s="122"/>
    </row>
    <row r="96" spans="1:23" s="105" customFormat="1" ht="12" customHeight="1">
      <c r="A96" s="122"/>
      <c r="B96" s="202"/>
      <c r="C96" s="203"/>
      <c r="D96" s="204"/>
      <c r="E96" s="205"/>
      <c r="F96" s="204"/>
      <c r="G96" s="205"/>
      <c r="H96" s="204"/>
      <c r="I96" s="205"/>
      <c r="J96" s="204"/>
      <c r="K96" s="205"/>
      <c r="L96" s="204"/>
      <c r="M96" s="205"/>
      <c r="N96" s="204"/>
      <c r="O96" s="205"/>
      <c r="P96" s="204"/>
      <c r="Q96" s="205"/>
      <c r="R96" s="204"/>
      <c r="S96" s="205"/>
      <c r="T96" s="204"/>
      <c r="U96" s="205"/>
      <c r="V96" s="122"/>
      <c r="W96" s="122"/>
    </row>
    <row r="97" spans="1:23" s="105" customFormat="1" ht="12" customHeight="1">
      <c r="A97" s="122"/>
      <c r="B97" s="202"/>
      <c r="C97" s="205"/>
      <c r="D97" s="204"/>
      <c r="E97" s="205"/>
      <c r="F97" s="204"/>
      <c r="G97" s="205"/>
      <c r="H97" s="204"/>
      <c r="I97" s="205"/>
      <c r="J97" s="204"/>
      <c r="K97" s="205"/>
      <c r="L97" s="204"/>
      <c r="M97" s="205"/>
      <c r="N97" s="204"/>
      <c r="O97" s="205"/>
      <c r="P97" s="204"/>
      <c r="Q97" s="205"/>
      <c r="R97" s="204"/>
      <c r="S97" s="205"/>
      <c r="T97" s="204"/>
      <c r="U97" s="205"/>
      <c r="V97" s="122"/>
      <c r="W97" s="122"/>
    </row>
    <row r="98" spans="1:23" s="105" customFormat="1" ht="12" customHeight="1">
      <c r="A98" s="122"/>
      <c r="B98" s="202"/>
      <c r="C98" s="205"/>
      <c r="D98" s="204"/>
      <c r="E98" s="205"/>
      <c r="F98" s="204"/>
      <c r="G98" s="205"/>
      <c r="H98" s="204"/>
      <c r="I98" s="205"/>
      <c r="J98" s="204"/>
      <c r="K98" s="205"/>
      <c r="L98" s="204"/>
      <c r="M98" s="205"/>
      <c r="N98" s="204"/>
      <c r="O98" s="205"/>
      <c r="P98" s="204"/>
      <c r="Q98" s="205"/>
      <c r="R98" s="204"/>
      <c r="S98" s="205"/>
      <c r="T98" s="204"/>
      <c r="U98" s="205"/>
      <c r="V98" s="122"/>
      <c r="W98" s="122"/>
    </row>
    <row r="99" spans="1:23" s="105" customFormat="1" ht="12" customHeight="1" thickBot="1">
      <c r="A99" s="141">
        <v>17</v>
      </c>
      <c r="B99" s="226"/>
      <c r="C99" s="207"/>
      <c r="D99" s="206"/>
      <c r="E99" s="207"/>
      <c r="F99" s="206"/>
      <c r="G99" s="207"/>
      <c r="H99" s="206"/>
      <c r="I99" s="207"/>
      <c r="J99" s="206"/>
      <c r="K99" s="207"/>
      <c r="L99" s="206"/>
      <c r="M99" s="207"/>
      <c r="N99" s="206"/>
      <c r="O99" s="207"/>
      <c r="P99" s="206"/>
      <c r="Q99" s="207"/>
      <c r="R99" s="206"/>
      <c r="S99" s="207"/>
      <c r="T99" s="206"/>
      <c r="U99" s="207"/>
      <c r="V99" s="122"/>
      <c r="W99" s="122"/>
    </row>
    <row r="100" spans="1:23" s="105" customFormat="1" ht="12" customHeight="1">
      <c r="A100" s="122"/>
      <c r="B100" s="208"/>
      <c r="C100" s="209"/>
      <c r="D100" s="208"/>
      <c r="E100" s="209"/>
      <c r="F100" s="174"/>
      <c r="G100" s="175"/>
      <c r="H100" s="174"/>
      <c r="I100" s="175"/>
      <c r="J100" s="174"/>
      <c r="K100" s="175"/>
      <c r="L100" s="174"/>
      <c r="M100" s="175"/>
      <c r="N100" s="174"/>
      <c r="O100" s="175"/>
      <c r="P100" s="174"/>
      <c r="Q100" s="175"/>
      <c r="R100" s="174"/>
      <c r="S100" s="175"/>
      <c r="T100" s="174"/>
      <c r="U100" s="175"/>
      <c r="V100" s="122"/>
      <c r="W100" s="122"/>
    </row>
    <row r="101" spans="1:23" s="105" customFormat="1" ht="12" customHeight="1">
      <c r="A101" s="122"/>
      <c r="B101" s="204"/>
      <c r="C101" s="205"/>
      <c r="D101" s="204"/>
      <c r="E101" s="205"/>
      <c r="F101" s="176"/>
      <c r="G101" s="177"/>
      <c r="H101" s="176"/>
      <c r="I101" s="177"/>
      <c r="J101" s="176"/>
      <c r="K101" s="177"/>
      <c r="L101" s="176"/>
      <c r="M101" s="177"/>
      <c r="N101" s="176"/>
      <c r="O101" s="177"/>
      <c r="P101" s="176"/>
      <c r="Q101" s="177"/>
      <c r="R101" s="176"/>
      <c r="S101" s="177"/>
      <c r="T101" s="176"/>
      <c r="U101" s="177"/>
      <c r="V101" s="122"/>
      <c r="W101" s="122"/>
    </row>
    <row r="102" spans="1:23" s="105" customFormat="1" ht="12" customHeight="1">
      <c r="A102" s="122"/>
      <c r="B102" s="204"/>
      <c r="C102" s="205"/>
      <c r="D102" s="204"/>
      <c r="E102" s="205"/>
      <c r="F102" s="176"/>
      <c r="G102" s="177"/>
      <c r="H102" s="176"/>
      <c r="I102" s="177"/>
      <c r="J102" s="176"/>
      <c r="K102" s="177"/>
      <c r="L102" s="176"/>
      <c r="M102" s="177"/>
      <c r="N102" s="176"/>
      <c r="O102" s="177"/>
      <c r="P102" s="176"/>
      <c r="Q102" s="177"/>
      <c r="R102" s="176"/>
      <c r="S102" s="177"/>
      <c r="T102" s="176"/>
      <c r="U102" s="177"/>
      <c r="V102" s="122"/>
      <c r="W102" s="122"/>
    </row>
    <row r="103" spans="1:23" s="105" customFormat="1" ht="12" customHeight="1">
      <c r="A103" s="122"/>
      <c r="B103" s="204"/>
      <c r="C103" s="205"/>
      <c r="D103" s="204"/>
      <c r="E103" s="177"/>
      <c r="F103" s="176"/>
      <c r="G103" s="177"/>
      <c r="H103" s="176"/>
      <c r="I103" s="177"/>
      <c r="J103" s="176"/>
      <c r="K103" s="177"/>
      <c r="L103" s="176"/>
      <c r="M103" s="177"/>
      <c r="N103" s="176"/>
      <c r="O103" s="177"/>
      <c r="P103" s="176"/>
      <c r="Q103" s="177"/>
      <c r="R103" s="176"/>
      <c r="S103" s="177"/>
      <c r="T103" s="176"/>
      <c r="U103" s="177"/>
      <c r="V103" s="122"/>
      <c r="W103" s="122"/>
    </row>
    <row r="104" spans="1:23" s="105" customFormat="1" ht="12" customHeight="1" thickBot="1">
      <c r="A104" s="141">
        <v>18</v>
      </c>
      <c r="B104" s="206"/>
      <c r="C104" s="207"/>
      <c r="D104" s="206"/>
      <c r="E104" s="178"/>
      <c r="F104" s="179"/>
      <c r="G104" s="178"/>
      <c r="H104" s="179"/>
      <c r="I104" s="178"/>
      <c r="J104" s="179"/>
      <c r="K104" s="178"/>
      <c r="L104" s="179"/>
      <c r="M104" s="178"/>
      <c r="N104" s="179"/>
      <c r="O104" s="178"/>
      <c r="P104" s="179"/>
      <c r="Q104" s="178"/>
      <c r="R104" s="179"/>
      <c r="S104" s="178"/>
      <c r="T104" s="179"/>
      <c r="U104" s="178"/>
      <c r="V104" s="122"/>
      <c r="W104" s="122"/>
    </row>
    <row r="105" spans="1:23" s="105" customFormat="1" ht="12" customHeight="1">
      <c r="A105" s="122"/>
      <c r="B105" s="174"/>
      <c r="C105" s="175"/>
      <c r="D105" s="174"/>
      <c r="E105" s="175"/>
      <c r="F105" s="174"/>
      <c r="G105" s="175"/>
      <c r="H105" s="174"/>
      <c r="I105" s="175"/>
      <c r="J105" s="174"/>
      <c r="K105" s="175"/>
      <c r="L105" s="174"/>
      <c r="M105" s="175"/>
      <c r="N105" s="174"/>
      <c r="O105" s="175"/>
      <c r="P105" s="174"/>
      <c r="Q105" s="175"/>
      <c r="R105" s="174"/>
      <c r="S105" s="175"/>
      <c r="T105" s="174"/>
      <c r="U105" s="175"/>
      <c r="V105" s="122"/>
      <c r="W105" s="122"/>
    </row>
    <row r="106" spans="1:23" s="105" customFormat="1" ht="12" customHeight="1">
      <c r="A106" s="122"/>
      <c r="B106" s="176"/>
      <c r="C106" s="177"/>
      <c r="D106" s="176"/>
      <c r="E106" s="177"/>
      <c r="F106" s="176"/>
      <c r="G106" s="177"/>
      <c r="H106" s="176"/>
      <c r="I106" s="177"/>
      <c r="J106" s="176"/>
      <c r="K106" s="177"/>
      <c r="L106" s="176"/>
      <c r="M106" s="177"/>
      <c r="N106" s="176"/>
      <c r="O106" s="177"/>
      <c r="P106" s="176"/>
      <c r="Q106" s="177"/>
      <c r="R106" s="176"/>
      <c r="S106" s="177"/>
      <c r="T106" s="176"/>
      <c r="U106" s="177"/>
      <c r="V106" s="122"/>
      <c r="W106" s="122"/>
    </row>
    <row r="107" spans="1:23" s="105" customFormat="1" ht="12" customHeight="1">
      <c r="A107" s="122"/>
      <c r="B107" s="176"/>
      <c r="C107" s="177"/>
      <c r="D107" s="176"/>
      <c r="E107" s="177"/>
      <c r="F107" s="176"/>
      <c r="G107" s="177"/>
      <c r="H107" s="176"/>
      <c r="I107" s="177"/>
      <c r="J107" s="176"/>
      <c r="K107" s="177"/>
      <c r="L107" s="176"/>
      <c r="M107" s="177"/>
      <c r="N107" s="176"/>
      <c r="O107" s="177"/>
      <c r="P107" s="176"/>
      <c r="Q107" s="177"/>
      <c r="R107" s="176"/>
      <c r="S107" s="177"/>
      <c r="T107" s="176"/>
      <c r="U107" s="177"/>
      <c r="V107" s="122"/>
      <c r="W107" s="122"/>
    </row>
    <row r="108" spans="1:23" s="105" customFormat="1" ht="12" customHeight="1">
      <c r="A108" s="122"/>
      <c r="B108" s="176"/>
      <c r="C108" s="177"/>
      <c r="D108" s="176"/>
      <c r="E108" s="177"/>
      <c r="F108" s="176"/>
      <c r="G108" s="177"/>
      <c r="H108" s="176"/>
      <c r="I108" s="177"/>
      <c r="J108" s="176"/>
      <c r="K108" s="177"/>
      <c r="L108" s="176"/>
      <c r="M108" s="177"/>
      <c r="N108" s="176"/>
      <c r="O108" s="177"/>
      <c r="P108" s="176"/>
      <c r="Q108" s="177"/>
      <c r="R108" s="176"/>
      <c r="S108" s="177"/>
      <c r="T108" s="176"/>
      <c r="U108" s="177"/>
      <c r="V108" s="122"/>
      <c r="W108" s="122"/>
    </row>
    <row r="109" spans="1:23" s="105" customFormat="1" ht="12" customHeight="1" thickBot="1">
      <c r="A109" s="141">
        <v>19</v>
      </c>
      <c r="B109" s="179"/>
      <c r="C109" s="178"/>
      <c r="D109" s="179"/>
      <c r="E109" s="178"/>
      <c r="F109" s="179"/>
      <c r="G109" s="178"/>
      <c r="H109" s="179"/>
      <c r="I109" s="178"/>
      <c r="J109" s="179"/>
      <c r="K109" s="178"/>
      <c r="L109" s="179"/>
      <c r="M109" s="178"/>
      <c r="N109" s="179"/>
      <c r="O109" s="178"/>
      <c r="P109" s="179"/>
      <c r="Q109" s="178"/>
      <c r="R109" s="176"/>
      <c r="S109" s="178"/>
      <c r="T109" s="179"/>
      <c r="U109" s="178"/>
      <c r="V109" s="122"/>
      <c r="W109" s="122"/>
    </row>
    <row r="110" spans="1:23" s="105" customFormat="1" ht="12" customHeight="1">
      <c r="A110" s="122"/>
      <c r="B110" s="174"/>
      <c r="C110" s="175"/>
      <c r="D110" s="174"/>
      <c r="E110" s="175"/>
      <c r="F110" s="174"/>
      <c r="G110" s="175"/>
      <c r="H110" s="174"/>
      <c r="I110" s="175"/>
      <c r="J110" s="174"/>
      <c r="K110" s="175"/>
      <c r="L110" s="174"/>
      <c r="M110" s="175"/>
      <c r="N110" s="174"/>
      <c r="O110" s="175"/>
      <c r="P110" s="174"/>
      <c r="Q110" s="175"/>
      <c r="R110" s="174"/>
      <c r="S110" s="175"/>
      <c r="T110" s="174"/>
      <c r="U110" s="175"/>
      <c r="V110" s="122"/>
      <c r="W110" s="122"/>
    </row>
    <row r="111" spans="1:23" s="105" customFormat="1" ht="12" customHeight="1">
      <c r="A111" s="122"/>
      <c r="B111" s="176"/>
      <c r="C111" s="177"/>
      <c r="D111" s="176"/>
      <c r="E111" s="177"/>
      <c r="F111" s="176"/>
      <c r="G111" s="177"/>
      <c r="H111" s="176"/>
      <c r="I111" s="177"/>
      <c r="J111" s="176"/>
      <c r="K111" s="177"/>
      <c r="L111" s="176"/>
      <c r="M111" s="177"/>
      <c r="N111" s="176"/>
      <c r="O111" s="177"/>
      <c r="P111" s="176"/>
      <c r="Q111" s="177"/>
      <c r="R111" s="176"/>
      <c r="S111" s="177"/>
      <c r="T111" s="176"/>
      <c r="U111" s="177"/>
      <c r="V111" s="122"/>
      <c r="W111" s="122"/>
    </row>
    <row r="112" spans="1:23" s="105" customFormat="1" ht="12" customHeight="1">
      <c r="A112" s="122"/>
      <c r="B112" s="176"/>
      <c r="C112" s="177"/>
      <c r="D112" s="176"/>
      <c r="E112" s="177"/>
      <c r="F112" s="176"/>
      <c r="G112" s="177"/>
      <c r="H112" s="176"/>
      <c r="I112" s="177"/>
      <c r="J112" s="176"/>
      <c r="K112" s="177"/>
      <c r="L112" s="176"/>
      <c r="M112" s="177"/>
      <c r="N112" s="176"/>
      <c r="O112" s="177"/>
      <c r="P112" s="176"/>
      <c r="Q112" s="177"/>
      <c r="R112" s="176"/>
      <c r="S112" s="177"/>
      <c r="T112" s="176"/>
      <c r="U112" s="177"/>
      <c r="V112" s="122"/>
      <c r="W112" s="122"/>
    </row>
    <row r="113" spans="1:23" s="105" customFormat="1" ht="12" customHeight="1">
      <c r="A113" s="122"/>
      <c r="B113" s="176"/>
      <c r="C113" s="177"/>
      <c r="D113" s="176"/>
      <c r="E113" s="177"/>
      <c r="F113" s="176"/>
      <c r="G113" s="177"/>
      <c r="H113" s="176"/>
      <c r="I113" s="177"/>
      <c r="J113" s="176"/>
      <c r="K113" s="177"/>
      <c r="L113" s="176"/>
      <c r="M113" s="177"/>
      <c r="N113" s="176"/>
      <c r="O113" s="177"/>
      <c r="P113" s="176"/>
      <c r="Q113" s="177"/>
      <c r="R113" s="176"/>
      <c r="S113" s="177"/>
      <c r="T113" s="176"/>
      <c r="U113" s="177"/>
      <c r="V113" s="122"/>
      <c r="W113" s="122"/>
    </row>
    <row r="114" spans="1:23" s="105" customFormat="1" ht="12" customHeight="1" thickBot="1">
      <c r="A114" s="141">
        <v>20</v>
      </c>
      <c r="B114" s="179"/>
      <c r="C114" s="178"/>
      <c r="D114" s="179"/>
      <c r="E114" s="178"/>
      <c r="F114" s="179"/>
      <c r="G114" s="178"/>
      <c r="H114" s="179"/>
      <c r="I114" s="178"/>
      <c r="J114" s="179"/>
      <c r="K114" s="178"/>
      <c r="L114" s="179"/>
      <c r="M114" s="178"/>
      <c r="N114" s="179"/>
      <c r="O114" s="178"/>
      <c r="P114" s="179"/>
      <c r="Q114" s="178"/>
      <c r="R114" s="179"/>
      <c r="S114" s="178"/>
      <c r="T114" s="179"/>
      <c r="U114" s="178"/>
      <c r="V114" s="122"/>
      <c r="W114" s="122"/>
    </row>
    <row r="115" spans="1:23" s="105" customFormat="1" ht="12" customHeight="1">
      <c r="A115" s="122"/>
      <c r="B115" s="174"/>
      <c r="C115" s="175"/>
      <c r="D115" s="174"/>
      <c r="E115" s="175"/>
      <c r="F115" s="174"/>
      <c r="G115" s="175"/>
      <c r="H115" s="174"/>
      <c r="I115" s="175"/>
      <c r="J115" s="174"/>
      <c r="K115" s="175"/>
      <c r="L115" s="174"/>
      <c r="M115" s="175"/>
      <c r="N115" s="174"/>
      <c r="O115" s="175"/>
      <c r="P115" s="174"/>
      <c r="Q115" s="175"/>
      <c r="R115" s="174"/>
      <c r="S115" s="175"/>
      <c r="T115" s="174"/>
      <c r="U115" s="175"/>
      <c r="V115" s="122"/>
      <c r="W115" s="122"/>
    </row>
    <row r="116" spans="1:23" s="105" customFormat="1" ht="12" customHeight="1">
      <c r="A116" s="122"/>
      <c r="B116" s="176"/>
      <c r="C116" s="177"/>
      <c r="D116" s="176"/>
      <c r="E116" s="177"/>
      <c r="F116" s="176"/>
      <c r="G116" s="177"/>
      <c r="H116" s="176"/>
      <c r="I116" s="177"/>
      <c r="J116" s="176"/>
      <c r="K116" s="177"/>
      <c r="L116" s="176"/>
      <c r="M116" s="177"/>
      <c r="N116" s="176"/>
      <c r="O116" s="177"/>
      <c r="P116" s="176"/>
      <c r="Q116" s="177"/>
      <c r="R116" s="176"/>
      <c r="S116" s="177"/>
      <c r="T116" s="176"/>
      <c r="U116" s="177"/>
      <c r="V116" s="122"/>
      <c r="W116" s="122"/>
    </row>
    <row r="117" spans="1:23" s="105" customFormat="1" ht="12" customHeight="1">
      <c r="A117" s="122"/>
      <c r="B117" s="176"/>
      <c r="C117" s="177"/>
      <c r="D117" s="176"/>
      <c r="E117" s="177"/>
      <c r="F117" s="176"/>
      <c r="G117" s="177"/>
      <c r="H117" s="176"/>
      <c r="I117" s="177"/>
      <c r="J117" s="176"/>
      <c r="K117" s="177"/>
      <c r="L117" s="176"/>
      <c r="M117" s="177"/>
      <c r="N117" s="176"/>
      <c r="O117" s="177"/>
      <c r="P117" s="176"/>
      <c r="Q117" s="177"/>
      <c r="R117" s="176"/>
      <c r="S117" s="177"/>
      <c r="T117" s="176"/>
      <c r="U117" s="177"/>
      <c r="V117" s="122"/>
      <c r="W117" s="122"/>
    </row>
    <row r="118" spans="1:23" s="105" customFormat="1" ht="12" customHeight="1">
      <c r="A118" s="122"/>
      <c r="B118" s="176"/>
      <c r="C118" s="177"/>
      <c r="D118" s="176"/>
      <c r="E118" s="177"/>
      <c r="F118" s="176"/>
      <c r="G118" s="177"/>
      <c r="H118" s="176"/>
      <c r="I118" s="177"/>
      <c r="J118" s="176"/>
      <c r="K118" s="177"/>
      <c r="L118" s="176"/>
      <c r="M118" s="177"/>
      <c r="N118" s="176"/>
      <c r="O118" s="177"/>
      <c r="P118" s="176"/>
      <c r="Q118" s="177"/>
      <c r="R118" s="176"/>
      <c r="S118" s="177"/>
      <c r="T118" s="176"/>
      <c r="U118" s="177"/>
      <c r="V118" s="122"/>
      <c r="W118" s="122"/>
    </row>
    <row r="119" spans="1:23" s="105" customFormat="1" ht="12" customHeight="1" thickBot="1">
      <c r="A119" s="141">
        <v>21</v>
      </c>
      <c r="B119" s="179"/>
      <c r="C119" s="178"/>
      <c r="D119" s="179"/>
      <c r="E119" s="178"/>
      <c r="F119" s="179"/>
      <c r="G119" s="178"/>
      <c r="H119" s="179"/>
      <c r="I119" s="178"/>
      <c r="J119" s="179"/>
      <c r="K119" s="178"/>
      <c r="L119" s="179"/>
      <c r="M119" s="178"/>
      <c r="N119" s="179"/>
      <c r="O119" s="178"/>
      <c r="P119" s="179"/>
      <c r="Q119" s="178"/>
      <c r="R119" s="179"/>
      <c r="S119" s="178"/>
      <c r="T119" s="179"/>
      <c r="U119" s="178"/>
      <c r="V119" s="122"/>
      <c r="W119" s="122"/>
    </row>
    <row r="120" spans="1:23" s="105" customFormat="1" ht="12" customHeight="1">
      <c r="A120" s="122"/>
      <c r="B120" s="174"/>
      <c r="C120" s="175"/>
      <c r="D120" s="174"/>
      <c r="E120" s="175"/>
      <c r="F120" s="174"/>
      <c r="G120" s="175"/>
      <c r="H120" s="174"/>
      <c r="I120" s="175"/>
      <c r="J120" s="174"/>
      <c r="K120" s="175"/>
      <c r="L120" s="174"/>
      <c r="M120" s="175"/>
      <c r="N120" s="174"/>
      <c r="O120" s="175"/>
      <c r="P120" s="174"/>
      <c r="Q120" s="175"/>
      <c r="R120" s="174"/>
      <c r="S120" s="175"/>
      <c r="T120" s="174"/>
      <c r="U120" s="175"/>
      <c r="V120" s="122"/>
      <c r="W120" s="122"/>
    </row>
    <row r="121" spans="1:23" s="105" customFormat="1" ht="12" customHeight="1">
      <c r="A121" s="122"/>
      <c r="B121" s="176"/>
      <c r="C121" s="177"/>
      <c r="D121" s="176"/>
      <c r="E121" s="177"/>
      <c r="F121" s="176"/>
      <c r="G121" s="177"/>
      <c r="H121" s="176"/>
      <c r="I121" s="177"/>
      <c r="J121" s="176"/>
      <c r="K121" s="177"/>
      <c r="L121" s="176"/>
      <c r="M121" s="177"/>
      <c r="N121" s="176"/>
      <c r="O121" s="177"/>
      <c r="P121" s="176"/>
      <c r="Q121" s="177"/>
      <c r="R121" s="176"/>
      <c r="S121" s="177"/>
      <c r="T121" s="176"/>
      <c r="U121" s="177"/>
      <c r="V121" s="122"/>
      <c r="W121" s="122"/>
    </row>
    <row r="122" spans="1:23" s="105" customFormat="1" ht="12" customHeight="1">
      <c r="A122" s="122"/>
      <c r="B122" s="176"/>
      <c r="C122" s="177"/>
      <c r="D122" s="176"/>
      <c r="E122" s="177"/>
      <c r="F122" s="176"/>
      <c r="G122" s="177"/>
      <c r="H122" s="176"/>
      <c r="I122" s="177"/>
      <c r="J122" s="122"/>
      <c r="K122" s="177"/>
      <c r="L122" s="122"/>
      <c r="M122" s="177"/>
      <c r="N122" s="176"/>
      <c r="O122" s="177"/>
      <c r="P122" s="176"/>
      <c r="Q122" s="177"/>
      <c r="R122" s="176"/>
      <c r="S122" s="177"/>
      <c r="T122" s="176"/>
      <c r="U122" s="177"/>
      <c r="V122" s="122"/>
      <c r="W122" s="122"/>
    </row>
    <row r="123" spans="1:23" s="105" customFormat="1" ht="12" customHeight="1">
      <c r="A123" s="122"/>
      <c r="B123" s="176"/>
      <c r="C123" s="177"/>
      <c r="D123" s="176"/>
      <c r="E123" s="177"/>
      <c r="F123" s="176"/>
      <c r="G123" s="177"/>
      <c r="H123" s="176"/>
      <c r="I123" s="177"/>
      <c r="J123" s="176"/>
      <c r="K123" s="177"/>
      <c r="L123" s="176"/>
      <c r="M123" s="177"/>
      <c r="N123" s="176"/>
      <c r="O123" s="177"/>
      <c r="P123" s="176"/>
      <c r="Q123" s="177"/>
      <c r="R123" s="176"/>
      <c r="S123" s="177"/>
      <c r="T123" s="176"/>
      <c r="U123" s="177"/>
      <c r="V123" s="122"/>
      <c r="W123" s="122"/>
    </row>
    <row r="124" spans="1:23" s="105" customFormat="1" ht="12" customHeight="1" thickBot="1">
      <c r="A124" s="141">
        <v>22</v>
      </c>
      <c r="B124" s="179"/>
      <c r="C124" s="178"/>
      <c r="D124" s="179"/>
      <c r="E124" s="178"/>
      <c r="F124" s="179"/>
      <c r="G124" s="178"/>
      <c r="H124" s="179"/>
      <c r="I124" s="178"/>
      <c r="J124" s="176"/>
      <c r="K124" s="178"/>
      <c r="L124" s="176"/>
      <c r="M124" s="178"/>
      <c r="N124" s="179"/>
      <c r="O124" s="178"/>
      <c r="P124" s="179"/>
      <c r="Q124" s="178"/>
      <c r="R124" s="179"/>
      <c r="S124" s="178"/>
      <c r="T124" s="179"/>
      <c r="U124" s="178"/>
      <c r="V124" s="122"/>
      <c r="W124" s="122"/>
    </row>
    <row r="125" spans="1:23" s="105" customFormat="1" ht="12" customHeight="1">
      <c r="A125" s="122"/>
      <c r="B125" s="174"/>
      <c r="C125" s="175"/>
      <c r="D125" s="174"/>
      <c r="E125" s="175"/>
      <c r="F125" s="174"/>
      <c r="G125" s="175"/>
      <c r="H125" s="174"/>
      <c r="I125" s="175"/>
      <c r="J125" s="174"/>
      <c r="K125" s="175"/>
      <c r="L125" s="174"/>
      <c r="M125" s="175"/>
      <c r="N125" s="174"/>
      <c r="O125" s="175"/>
      <c r="P125" s="174"/>
      <c r="Q125" s="175"/>
      <c r="R125" s="174"/>
      <c r="S125" s="175"/>
      <c r="T125" s="174"/>
      <c r="U125" s="175"/>
      <c r="V125" s="122"/>
      <c r="W125" s="122"/>
    </row>
    <row r="126" spans="1:23" s="105" customFormat="1" ht="12" customHeight="1">
      <c r="A126" s="122"/>
      <c r="B126" s="176"/>
      <c r="C126" s="177"/>
      <c r="D126" s="176"/>
      <c r="E126" s="177"/>
      <c r="F126" s="176"/>
      <c r="G126" s="177"/>
      <c r="H126" s="176"/>
      <c r="I126" s="177"/>
      <c r="J126" s="176"/>
      <c r="K126" s="177"/>
      <c r="L126" s="176"/>
      <c r="M126" s="177"/>
      <c r="N126" s="176"/>
      <c r="O126" s="177"/>
      <c r="P126" s="176"/>
      <c r="Q126" s="177"/>
      <c r="R126" s="176"/>
      <c r="S126" s="177"/>
      <c r="T126" s="176"/>
      <c r="U126" s="177"/>
      <c r="V126" s="122"/>
      <c r="W126" s="122"/>
    </row>
    <row r="127" spans="1:23" s="105" customFormat="1" ht="12" customHeight="1">
      <c r="A127" s="122"/>
      <c r="B127" s="176"/>
      <c r="C127" s="177"/>
      <c r="D127" s="176"/>
      <c r="E127" s="177"/>
      <c r="F127" s="176"/>
      <c r="G127" s="177"/>
      <c r="H127" s="176"/>
      <c r="I127" s="177"/>
      <c r="J127" s="176"/>
      <c r="K127" s="177"/>
      <c r="L127" s="176"/>
      <c r="M127" s="177"/>
      <c r="N127" s="176"/>
      <c r="O127" s="177"/>
      <c r="P127" s="176"/>
      <c r="Q127" s="177"/>
      <c r="R127" s="176"/>
      <c r="S127" s="177"/>
      <c r="T127" s="176"/>
      <c r="U127" s="177"/>
      <c r="V127" s="122"/>
      <c r="W127" s="122"/>
    </row>
    <row r="128" spans="1:23" s="105" customFormat="1" ht="12" customHeight="1">
      <c r="A128" s="122"/>
      <c r="B128" s="176"/>
      <c r="C128" s="177"/>
      <c r="D128" s="176"/>
      <c r="E128" s="177"/>
      <c r="F128" s="176"/>
      <c r="G128" s="177"/>
      <c r="H128" s="176"/>
      <c r="I128" s="177"/>
      <c r="J128" s="176"/>
      <c r="K128" s="177"/>
      <c r="L128" s="176"/>
      <c r="M128" s="177"/>
      <c r="N128" s="176"/>
      <c r="O128" s="177"/>
      <c r="P128" s="176"/>
      <c r="Q128" s="177"/>
      <c r="R128" s="176"/>
      <c r="S128" s="177"/>
      <c r="T128" s="176"/>
      <c r="U128" s="177"/>
      <c r="V128" s="122"/>
      <c r="W128" s="122"/>
    </row>
    <row r="129" spans="1:23" s="105" customFormat="1" ht="12" customHeight="1" thickBot="1">
      <c r="A129" s="141">
        <v>23</v>
      </c>
      <c r="B129" s="179"/>
      <c r="C129" s="178"/>
      <c r="D129" s="179"/>
      <c r="E129" s="178"/>
      <c r="F129" s="179"/>
      <c r="G129" s="178"/>
      <c r="H129" s="179"/>
      <c r="I129" s="178"/>
      <c r="J129" s="179"/>
      <c r="K129" s="178"/>
      <c r="L129" s="179"/>
      <c r="M129" s="178"/>
      <c r="N129" s="179"/>
      <c r="O129" s="178"/>
      <c r="P129" s="179"/>
      <c r="Q129" s="178"/>
      <c r="R129" s="179"/>
      <c r="S129" s="178"/>
      <c r="T129" s="179"/>
      <c r="U129" s="178"/>
      <c r="V129" s="122"/>
      <c r="W129" s="122"/>
    </row>
    <row r="130" spans="1:23" s="105" customFormat="1" ht="12" customHeight="1">
      <c r="A130" s="122"/>
      <c r="B130" s="174"/>
      <c r="C130" s="175"/>
      <c r="D130" s="174"/>
      <c r="E130" s="175"/>
      <c r="F130" s="174"/>
      <c r="G130" s="175"/>
      <c r="H130" s="174"/>
      <c r="I130" s="175"/>
      <c r="J130" s="174"/>
      <c r="K130" s="175"/>
      <c r="L130" s="174"/>
      <c r="M130" s="175"/>
      <c r="N130" s="174"/>
      <c r="O130" s="175"/>
      <c r="P130" s="174"/>
      <c r="Q130" s="175"/>
      <c r="R130" s="174"/>
      <c r="S130" s="175"/>
      <c r="T130" s="174"/>
      <c r="U130" s="175"/>
      <c r="V130" s="122"/>
      <c r="W130" s="122"/>
    </row>
    <row r="131" spans="1:23" s="105" customFormat="1" ht="12" customHeight="1">
      <c r="A131" s="122"/>
      <c r="B131" s="176"/>
      <c r="C131" s="177"/>
      <c r="D131" s="176"/>
      <c r="E131" s="177"/>
      <c r="F131" s="176"/>
      <c r="G131" s="177"/>
      <c r="H131" s="176"/>
      <c r="I131" s="177"/>
      <c r="J131" s="176"/>
      <c r="K131" s="177"/>
      <c r="L131" s="176"/>
      <c r="M131" s="177"/>
      <c r="N131" s="176"/>
      <c r="O131" s="177"/>
      <c r="P131" s="176"/>
      <c r="Q131" s="177"/>
      <c r="R131" s="176"/>
      <c r="S131" s="177"/>
      <c r="T131" s="176"/>
      <c r="U131" s="177"/>
      <c r="V131" s="122"/>
      <c r="W131" s="122"/>
    </row>
    <row r="132" spans="1:23" s="105" customFormat="1" ht="12" customHeight="1">
      <c r="A132" s="122"/>
      <c r="B132" s="176"/>
      <c r="C132" s="177"/>
      <c r="D132" s="176"/>
      <c r="E132" s="177"/>
      <c r="F132" s="176"/>
      <c r="G132" s="177"/>
      <c r="H132" s="176"/>
      <c r="I132" s="177"/>
      <c r="J132" s="176"/>
      <c r="K132" s="177"/>
      <c r="L132" s="176"/>
      <c r="M132" s="177"/>
      <c r="N132" s="176"/>
      <c r="O132" s="177"/>
      <c r="P132" s="176"/>
      <c r="Q132" s="177"/>
      <c r="R132" s="176"/>
      <c r="S132" s="177"/>
      <c r="T132" s="176"/>
      <c r="U132" s="177"/>
      <c r="V132" s="122"/>
      <c r="W132" s="122"/>
    </row>
    <row r="133" spans="1:23" s="105" customFormat="1" ht="12" customHeight="1">
      <c r="A133" s="122"/>
      <c r="B133" s="176"/>
      <c r="C133" s="177"/>
      <c r="D133" s="176"/>
      <c r="E133" s="177"/>
      <c r="F133" s="176"/>
      <c r="G133" s="177"/>
      <c r="H133" s="176"/>
      <c r="I133" s="177"/>
      <c r="J133" s="176"/>
      <c r="K133" s="177"/>
      <c r="L133" s="176"/>
      <c r="M133" s="177"/>
      <c r="N133" s="176"/>
      <c r="O133" s="177"/>
      <c r="P133" s="176"/>
      <c r="Q133" s="177"/>
      <c r="R133" s="176"/>
      <c r="S133" s="177"/>
      <c r="T133" s="176"/>
      <c r="U133" s="177"/>
      <c r="V133" s="122"/>
      <c r="W133" s="122"/>
    </row>
    <row r="134" spans="1:23" s="105" customFormat="1" ht="12" customHeight="1" thickBot="1">
      <c r="A134" s="141">
        <v>24</v>
      </c>
      <c r="B134" s="179"/>
      <c r="C134" s="178"/>
      <c r="D134" s="179"/>
      <c r="E134" s="178"/>
      <c r="F134" s="179"/>
      <c r="G134" s="178"/>
      <c r="H134" s="179"/>
      <c r="I134" s="178"/>
      <c r="J134" s="179"/>
      <c r="K134" s="178"/>
      <c r="L134" s="179"/>
      <c r="M134" s="178"/>
      <c r="N134" s="179"/>
      <c r="O134" s="178"/>
      <c r="P134" s="179"/>
      <c r="Q134" s="178"/>
      <c r="R134" s="179"/>
      <c r="S134" s="178"/>
      <c r="T134" s="179"/>
      <c r="U134" s="178"/>
      <c r="V134" s="122"/>
      <c r="W134" s="122"/>
    </row>
    <row r="135" spans="1:23" s="105" customFormat="1" ht="12" customHeight="1">
      <c r="A135" s="122"/>
      <c r="B135" s="174"/>
      <c r="C135" s="175"/>
      <c r="D135" s="174"/>
      <c r="E135" s="175"/>
      <c r="F135" s="174"/>
      <c r="G135" s="175"/>
      <c r="H135" s="174"/>
      <c r="I135" s="175"/>
      <c r="J135" s="174"/>
      <c r="K135" s="175"/>
      <c r="L135" s="174"/>
      <c r="M135" s="175"/>
      <c r="N135" s="174"/>
      <c r="O135" s="175"/>
      <c r="P135" s="174"/>
      <c r="Q135" s="175"/>
      <c r="R135" s="174"/>
      <c r="S135" s="175"/>
      <c r="T135" s="174"/>
      <c r="U135" s="175"/>
      <c r="V135" s="122"/>
      <c r="W135" s="122"/>
    </row>
    <row r="136" spans="1:23" s="105" customFormat="1" ht="12" customHeight="1">
      <c r="A136" s="122"/>
      <c r="B136" s="176"/>
      <c r="C136" s="177"/>
      <c r="D136" s="176"/>
      <c r="E136" s="177"/>
      <c r="F136" s="176"/>
      <c r="G136" s="177"/>
      <c r="H136" s="176"/>
      <c r="I136" s="177"/>
      <c r="J136" s="176"/>
      <c r="K136" s="177"/>
      <c r="L136" s="176"/>
      <c r="M136" s="177"/>
      <c r="N136" s="176"/>
      <c r="O136" s="177"/>
      <c r="P136" s="176"/>
      <c r="Q136" s="177"/>
      <c r="R136" s="176"/>
      <c r="S136" s="177"/>
      <c r="T136" s="176"/>
      <c r="U136" s="177"/>
      <c r="V136" s="122"/>
      <c r="W136" s="122"/>
    </row>
    <row r="137" spans="1:23" s="105" customFormat="1" ht="12" customHeight="1">
      <c r="A137" s="122"/>
      <c r="B137" s="176"/>
      <c r="C137" s="177"/>
      <c r="D137" s="176"/>
      <c r="E137" s="177"/>
      <c r="F137" s="176"/>
      <c r="G137" s="177"/>
      <c r="H137" s="176"/>
      <c r="I137" s="177"/>
      <c r="J137" s="176"/>
      <c r="K137" s="177"/>
      <c r="L137" s="176"/>
      <c r="M137" s="177"/>
      <c r="N137" s="176"/>
      <c r="O137" s="177"/>
      <c r="P137" s="176"/>
      <c r="Q137" s="177"/>
      <c r="R137" s="176"/>
      <c r="S137" s="177"/>
      <c r="T137" s="176"/>
      <c r="U137" s="177"/>
      <c r="V137" s="122"/>
      <c r="W137" s="122"/>
    </row>
    <row r="138" spans="1:23" s="105" customFormat="1" ht="12" customHeight="1">
      <c r="A138" s="122"/>
      <c r="B138" s="176"/>
      <c r="C138" s="177"/>
      <c r="D138" s="176"/>
      <c r="E138" s="177"/>
      <c r="F138" s="176"/>
      <c r="G138" s="177"/>
      <c r="H138" s="176"/>
      <c r="I138" s="177"/>
      <c r="J138" s="176"/>
      <c r="K138" s="177"/>
      <c r="L138" s="176"/>
      <c r="M138" s="177"/>
      <c r="N138" s="176"/>
      <c r="O138" s="177"/>
      <c r="P138" s="176"/>
      <c r="Q138" s="177"/>
      <c r="R138" s="176"/>
      <c r="S138" s="177"/>
      <c r="T138" s="176"/>
      <c r="U138" s="177"/>
      <c r="V138" s="122"/>
      <c r="W138" s="122"/>
    </row>
    <row r="139" spans="1:23" s="105" customFormat="1" ht="12" customHeight="1" thickBot="1">
      <c r="A139" s="141">
        <v>25</v>
      </c>
      <c r="B139" s="179"/>
      <c r="C139" s="178"/>
      <c r="D139" s="179"/>
      <c r="E139" s="178"/>
      <c r="F139" s="179"/>
      <c r="G139" s="178"/>
      <c r="H139" s="179"/>
      <c r="I139" s="178"/>
      <c r="J139" s="179"/>
      <c r="K139" s="178"/>
      <c r="L139" s="179"/>
      <c r="M139" s="178"/>
      <c r="N139" s="179"/>
      <c r="O139" s="178"/>
      <c r="P139" s="179"/>
      <c r="Q139" s="178"/>
      <c r="R139" s="176"/>
      <c r="S139" s="178"/>
      <c r="T139" s="179"/>
      <c r="U139" s="178"/>
      <c r="V139" s="122"/>
      <c r="W139" s="122"/>
    </row>
    <row r="140" spans="1:23" s="105" customFormat="1" ht="12" customHeight="1">
      <c r="A140" s="122"/>
      <c r="B140" s="174"/>
      <c r="C140" s="175"/>
      <c r="D140" s="174"/>
      <c r="E140" s="175"/>
      <c r="F140" s="174"/>
      <c r="G140" s="175"/>
      <c r="H140" s="174"/>
      <c r="I140" s="175"/>
      <c r="J140" s="174"/>
      <c r="K140" s="175"/>
      <c r="L140" s="174"/>
      <c r="M140" s="175"/>
      <c r="N140" s="174"/>
      <c r="O140" s="175"/>
      <c r="P140" s="174"/>
      <c r="Q140" s="175"/>
      <c r="R140" s="174"/>
      <c r="S140" s="175"/>
      <c r="T140" s="174"/>
      <c r="U140" s="175"/>
      <c r="V140" s="122"/>
      <c r="W140" s="122"/>
    </row>
    <row r="141" spans="1:23" s="105" customFormat="1" ht="12" customHeight="1">
      <c r="A141" s="122"/>
      <c r="B141" s="176"/>
      <c r="C141" s="177"/>
      <c r="D141" s="176"/>
      <c r="E141" s="177"/>
      <c r="F141" s="176"/>
      <c r="G141" s="177"/>
      <c r="H141" s="176"/>
      <c r="I141" s="177"/>
      <c r="J141" s="176"/>
      <c r="K141" s="177"/>
      <c r="L141" s="176"/>
      <c r="M141" s="177"/>
      <c r="N141" s="176"/>
      <c r="O141" s="177"/>
      <c r="P141" s="176"/>
      <c r="Q141" s="177"/>
      <c r="R141" s="176"/>
      <c r="S141" s="177"/>
      <c r="T141" s="176"/>
      <c r="U141" s="177"/>
      <c r="V141" s="122"/>
      <c r="W141" s="122"/>
    </row>
    <row r="142" spans="1:23" s="105" customFormat="1" ht="12" customHeight="1">
      <c r="A142" s="122"/>
      <c r="B142" s="176"/>
      <c r="C142" s="177"/>
      <c r="D142" s="176"/>
      <c r="E142" s="177"/>
      <c r="F142" s="176"/>
      <c r="G142" s="177"/>
      <c r="H142" s="176"/>
      <c r="I142" s="177"/>
      <c r="J142" s="176"/>
      <c r="K142" s="177"/>
      <c r="L142" s="176"/>
      <c r="M142" s="177"/>
      <c r="N142" s="176"/>
      <c r="O142" s="177"/>
      <c r="P142" s="176"/>
      <c r="Q142" s="177"/>
      <c r="R142" s="176"/>
      <c r="S142" s="177"/>
      <c r="T142" s="176"/>
      <c r="U142" s="177"/>
      <c r="V142" s="122"/>
      <c r="W142" s="122"/>
    </row>
    <row r="143" spans="1:23" s="105" customFormat="1" ht="12" customHeight="1">
      <c r="A143" s="122"/>
      <c r="B143" s="176"/>
      <c r="C143" s="177"/>
      <c r="D143" s="176"/>
      <c r="E143" s="177"/>
      <c r="F143" s="176"/>
      <c r="G143" s="177"/>
      <c r="H143" s="176"/>
      <c r="I143" s="177"/>
      <c r="J143" s="176"/>
      <c r="K143" s="177"/>
      <c r="L143" s="176"/>
      <c r="M143" s="177"/>
      <c r="N143" s="176"/>
      <c r="O143" s="177"/>
      <c r="P143" s="176"/>
      <c r="Q143" s="177"/>
      <c r="R143" s="176"/>
      <c r="S143" s="177"/>
      <c r="T143" s="176"/>
      <c r="U143" s="177"/>
      <c r="V143" s="122"/>
      <c r="W143" s="122"/>
    </row>
    <row r="144" spans="1:23" s="105" customFormat="1" ht="12" customHeight="1" thickBot="1">
      <c r="A144" s="141">
        <v>26</v>
      </c>
      <c r="B144" s="179"/>
      <c r="C144" s="178"/>
      <c r="D144" s="179"/>
      <c r="E144" s="178"/>
      <c r="F144" s="179"/>
      <c r="G144" s="178"/>
      <c r="H144" s="179"/>
      <c r="I144" s="178"/>
      <c r="J144" s="179"/>
      <c r="K144" s="178"/>
      <c r="L144" s="179"/>
      <c r="M144" s="178"/>
      <c r="N144" s="179"/>
      <c r="O144" s="178"/>
      <c r="P144" s="179"/>
      <c r="Q144" s="178"/>
      <c r="R144" s="179"/>
      <c r="S144" s="178"/>
      <c r="T144" s="179"/>
      <c r="U144" s="178"/>
      <c r="V144" s="122"/>
      <c r="W144" s="122"/>
    </row>
    <row r="146" spans="1:23">
      <c r="A146" s="434" t="str">
        <f>HYPERLINK("#'10월'!A1","← 10월 월간 가계부로 돌아가기")</f>
        <v>← 10월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1718000</v>
      </c>
      <c r="J149" s="433"/>
      <c r="K149" s="433"/>
      <c r="L149" s="433"/>
      <c r="M149" s="433"/>
      <c r="N149" s="365"/>
      <c r="O149" s="362" t="b">
        <f>IF('10월'!AA1,I149=('10월'!M28),"미입력")</f>
        <v>1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1718000</v>
      </c>
      <c r="J150" s="433"/>
      <c r="K150" s="433"/>
      <c r="L150" s="433"/>
      <c r="M150" s="433"/>
      <c r="N150" s="365"/>
      <c r="O150" s="362" t="b">
        <f>IF('10월'!AA1,I150=('10월'!I38),"미입력")</f>
        <v>1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52" t="s">
        <v>2536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52:H152"/>
    <mergeCell ref="A1:W1"/>
    <mergeCell ref="I150:N150"/>
    <mergeCell ref="A146:W146"/>
    <mergeCell ref="I151:N151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B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8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58" t="s">
        <v>557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27"/>
      <c r="D4" s="27"/>
      <c r="E4" s="27"/>
      <c r="F4" s="27"/>
      <c r="G4" s="27"/>
      <c r="H4" s="35" t="str">
        <f>IF(COUNTIFS($A$52:$A$61,"&gt;="&amp;H3,$A$52:$A$61,"&lt;"&amp;H3+1,$D$52:$D$61,"&lt;&gt;")=0,"",SUMIFS($AB$52:$AB$61,$A$52:$A$61,"&gt;="&amp;H3,$A$52:$A$61,"&lt;"&amp;H3+1))</f>
        <v/>
      </c>
      <c r="I4" s="45">
        <f>SUM(B4:H4)</f>
        <v>0</v>
      </c>
      <c r="J4" s="12"/>
      <c r="K4" s="31" t="s">
        <v>73</v>
      </c>
      <c r="L4" s="31"/>
      <c r="M4" s="27" t="s">
        <v>326</v>
      </c>
      <c r="N4" s="27" t="s">
        <v>524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575</v>
      </c>
    </row>
    <row r="5" spans="1:27" ht="22" customHeight="1">
      <c r="A5" s="31" t="s">
        <v>322</v>
      </c>
      <c r="B5" s="27"/>
      <c r="C5" s="27"/>
      <c r="D5" s="27"/>
      <c r="E5" s="27"/>
      <c r="F5" s="27"/>
      <c r="G5" s="27"/>
      <c r="H5" s="35" t="str">
        <f>IF(COUNTIFS($A$52:$A$61,"&gt;="&amp;H3,$A$52:$A$61,"&lt;"&amp;H3+1,$D$52:$D$61,"&lt;&gt;")=0,"",SUMIFS($H$52:$H$61,$A$52:$A$61,"&gt;="&amp;H3,$A$52:$A$61,"&lt;"&amp;H3+1))</f>
        <v/>
      </c>
      <c r="I5" s="45">
        <f>SUM(B5:H5)</f>
        <v>0</v>
      </c>
      <c r="J5" s="12"/>
      <c r="K5" s="38" t="s">
        <v>328</v>
      </c>
      <c r="L5" s="38" t="s">
        <v>576</v>
      </c>
      <c r="M5" s="34" t="s">
        <v>330</v>
      </c>
      <c r="N5" s="34" t="s">
        <v>331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332</v>
      </c>
      <c r="U5" s="57" t="s">
        <v>575</v>
      </c>
    </row>
    <row r="6" spans="1:27" ht="22" customHeight="1">
      <c r="A6" s="31" t="s">
        <v>223</v>
      </c>
      <c r="B6" s="27"/>
      <c r="C6" s="27"/>
      <c r="D6" s="27"/>
      <c r="E6" s="27"/>
      <c r="F6" s="27"/>
      <c r="G6" s="27"/>
      <c r="H6" s="27" t="str">
        <f>IF(COUNT(H4,H5)=0,"",SUM(H4)-SUM(H5))</f>
        <v/>
      </c>
      <c r="I6" s="45">
        <f>SUM(B6:H6)</f>
        <v>0</v>
      </c>
      <c r="J6" s="12"/>
      <c r="K6" s="31" t="s">
        <v>333</v>
      </c>
      <c r="L6" s="31" t="s">
        <v>576</v>
      </c>
      <c r="M6" s="27" t="s">
        <v>330</v>
      </c>
      <c r="N6" s="27" t="s">
        <v>334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332</v>
      </c>
      <c r="U6" s="57" t="s">
        <v>575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338</v>
      </c>
      <c r="U7" s="57" t="s">
        <v>575</v>
      </c>
    </row>
    <row r="8" spans="1:27" ht="22" customHeight="1">
      <c r="A8" s="39" t="s">
        <v>339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332</v>
      </c>
      <c r="U8" s="57" t="s">
        <v>575</v>
      </c>
    </row>
    <row r="9" spans="1:27" ht="22" customHeight="1">
      <c r="A9" s="31" t="s">
        <v>323</v>
      </c>
      <c r="B9" s="35" t="str">
        <f t="shared" ref="B9:H9" si="2">IF(COUNTIFS($A$52:$A$61,"&gt;="&amp;B8,$A$52:$A$61,"&lt;"&amp;B8+1,$D$52:$D$61,"&lt;&gt;")=0,"",SUMIFS($AB$52:$AB$61,$A$52:$A$61,"&gt;="&amp;B8,$A$52:$A$61,"&lt;"&amp;B8+1))</f>
        <v/>
      </c>
      <c r="C9" s="35" t="str">
        <f t="shared" si="2"/>
        <v/>
      </c>
      <c r="D9" s="35" t="str">
        <f t="shared" si="2"/>
        <v/>
      </c>
      <c r="E9" s="35" t="str">
        <f t="shared" si="2"/>
        <v/>
      </c>
      <c r="F9" s="35" t="str">
        <f t="shared" si="2"/>
        <v/>
      </c>
      <c r="G9" s="35" t="str">
        <f t="shared" si="2"/>
        <v/>
      </c>
      <c r="H9" s="35" t="str">
        <f t="shared" si="2"/>
        <v/>
      </c>
      <c r="I9" s="45">
        <f>SUM(B9:H9)</f>
        <v>0</v>
      </c>
      <c r="J9" s="12"/>
      <c r="K9" s="38"/>
      <c r="L9" s="38" t="s">
        <v>343</v>
      </c>
      <c r="M9" s="34" t="s">
        <v>344</v>
      </c>
      <c r="N9" s="34" t="s">
        <v>345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332</v>
      </c>
      <c r="U9" s="57" t="s">
        <v>575</v>
      </c>
    </row>
    <row r="10" spans="1:27" ht="22" customHeight="1">
      <c r="A10" s="31" t="s">
        <v>322</v>
      </c>
      <c r="B10" s="35" t="str">
        <f t="shared" ref="B10:H10" si="3">IF(COUNTIFS($A$52:$A$61,"&gt;="&amp;B8,$A$52:$A$61,"&lt;"&amp;B8+1,$D$52:$D$61,"&lt;&gt;")=0,"",SUMIFS($H$52:$H$61,$A$52:$A$61,"&gt;="&amp;B8,$A$52:$A$61,"&lt;"&amp;B8+1))</f>
        <v/>
      </c>
      <c r="C10" s="35" t="str">
        <f t="shared" si="3"/>
        <v/>
      </c>
      <c r="D10" s="35" t="str">
        <f t="shared" si="3"/>
        <v/>
      </c>
      <c r="E10" s="35" t="str">
        <f t="shared" si="3"/>
        <v/>
      </c>
      <c r="F10" s="35" t="str">
        <f t="shared" si="3"/>
        <v/>
      </c>
      <c r="G10" s="35" t="str">
        <f t="shared" si="3"/>
        <v/>
      </c>
      <c r="H10" s="35" t="str">
        <f t="shared" si="3"/>
        <v/>
      </c>
      <c r="I10" s="45">
        <f>SUM(B10:H10)</f>
        <v>0</v>
      </c>
      <c r="J10" s="12"/>
      <c r="K10" s="31" t="s">
        <v>346</v>
      </c>
      <c r="L10" s="31" t="s">
        <v>526</v>
      </c>
      <c r="M10" s="27" t="s">
        <v>330</v>
      </c>
      <c r="N10" s="27" t="s">
        <v>527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332</v>
      </c>
      <c r="U10" s="57" t="s">
        <v>575</v>
      </c>
    </row>
    <row r="11" spans="1:27" ht="22" customHeight="1">
      <c r="A11" s="31" t="s">
        <v>223</v>
      </c>
      <c r="B11" s="27" t="str">
        <f t="shared" ref="B11:H11" si="4">IF(COUNT(B9,B10)=0,"",SUM(B9)-SUM(B10))</f>
        <v/>
      </c>
      <c r="C11" s="27" t="str">
        <f t="shared" si="4"/>
        <v/>
      </c>
      <c r="D11" s="27" t="str">
        <f t="shared" si="4"/>
        <v/>
      </c>
      <c r="E11" s="27" t="str">
        <f t="shared" si="4"/>
        <v/>
      </c>
      <c r="F11" s="27" t="str">
        <f t="shared" si="4"/>
        <v/>
      </c>
      <c r="G11" s="27" t="str">
        <f t="shared" si="4"/>
        <v/>
      </c>
      <c r="H11" s="27" t="str">
        <f t="shared" si="4"/>
        <v/>
      </c>
      <c r="I11" s="45">
        <f>SUM(B11:H11)</f>
        <v>0</v>
      </c>
      <c r="J11" s="12"/>
      <c r="K11" s="38" t="s">
        <v>350</v>
      </c>
      <c r="L11" s="38" t="s">
        <v>514</v>
      </c>
      <c r="M11" s="34" t="s">
        <v>162</v>
      </c>
      <c r="N11" s="34" t="s">
        <v>515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332</v>
      </c>
      <c r="U11" s="57" t="s">
        <v>575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 t="str">
        <f t="shared" si="0"/>
        <v/>
      </c>
      <c r="R12" s="27" t="str">
        <f t="shared" si="1"/>
        <v/>
      </c>
      <c r="S12" s="27"/>
      <c r="T12" s="27"/>
      <c r="U12" s="27"/>
    </row>
    <row r="13" spans="1:27" ht="22" customHeight="1">
      <c r="A13" s="39" t="s">
        <v>357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531</v>
      </c>
      <c r="L13" s="38" t="s">
        <v>187</v>
      </c>
      <c r="M13" s="34" t="s">
        <v>326</v>
      </c>
      <c r="N13" s="34" t="s">
        <v>532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332</v>
      </c>
      <c r="U13" s="57" t="s">
        <v>575</v>
      </c>
    </row>
    <row r="14" spans="1:27" ht="22" customHeight="1">
      <c r="A14" s="31" t="s">
        <v>323</v>
      </c>
      <c r="B14" s="35" t="str">
        <f t="shared" ref="B14:H14" si="5">IF(COUNTIFS($A$52:$A$61,"&gt;="&amp;B13,$A$52:$A$61,"&lt;"&amp;B13+1,$D$52:$D$61,"&lt;&gt;")=0,"",SUMIFS($AB$52:$AB$61,$A$52:$A$61,"&gt;="&amp;B13,$A$52:$A$61,"&lt;"&amp;B13+1))</f>
        <v/>
      </c>
      <c r="C14" s="35" t="str">
        <f t="shared" si="5"/>
        <v/>
      </c>
      <c r="D14" s="35" t="str">
        <f t="shared" si="5"/>
        <v/>
      </c>
      <c r="E14" s="35" t="str">
        <f t="shared" si="5"/>
        <v/>
      </c>
      <c r="F14" s="35" t="str">
        <f t="shared" si="5"/>
        <v/>
      </c>
      <c r="G14" s="35" t="str">
        <f t="shared" si="5"/>
        <v/>
      </c>
      <c r="H14" s="35" t="str">
        <f t="shared" si="5"/>
        <v/>
      </c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322</v>
      </c>
      <c r="B15" s="35" t="str">
        <f t="shared" ref="B15:H15" si="6">IF(COUNTIFS($A$52:$A$61,"&gt;="&amp;B13,$A$52:$A$61,"&lt;"&amp;B13+1,$D$52:$D$61,"&lt;&gt;")=0,"",SUMIFS($H$52:$H$61,$A$52:$A$61,"&gt;="&amp;B13,$A$52:$A$61,"&lt;"&amp;B13+1))</f>
        <v/>
      </c>
      <c r="C15" s="35" t="str">
        <f t="shared" si="6"/>
        <v/>
      </c>
      <c r="D15" s="35" t="str">
        <f t="shared" si="6"/>
        <v/>
      </c>
      <c r="E15" s="35" t="str">
        <f t="shared" si="6"/>
        <v/>
      </c>
      <c r="F15" s="35" t="str">
        <f t="shared" si="6"/>
        <v/>
      </c>
      <c r="G15" s="35" t="str">
        <f t="shared" si="6"/>
        <v/>
      </c>
      <c r="H15" s="35" t="str">
        <f t="shared" si="6"/>
        <v/>
      </c>
      <c r="I15" s="45">
        <f>SUM(B15:H15)</f>
        <v>0</v>
      </c>
      <c r="J15" s="12"/>
      <c r="K15" s="38" t="s">
        <v>362</v>
      </c>
      <c r="L15" s="38" t="s">
        <v>547</v>
      </c>
      <c r="M15" s="34" t="s">
        <v>344</v>
      </c>
      <c r="N15" s="34" t="s">
        <v>360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575</v>
      </c>
    </row>
    <row r="16" spans="1:27" ht="22" customHeight="1">
      <c r="A16" s="31" t="s">
        <v>223</v>
      </c>
      <c r="B16" s="27" t="str">
        <f t="shared" ref="B16:H16" si="7">IF(COUNT(B14,B15)=0,"",SUM(B14)-SUM(B15))</f>
        <v/>
      </c>
      <c r="C16" s="27" t="str">
        <f t="shared" si="7"/>
        <v/>
      </c>
      <c r="D16" s="27" t="str">
        <f t="shared" si="7"/>
        <v/>
      </c>
      <c r="E16" s="27" t="str">
        <f t="shared" si="7"/>
        <v/>
      </c>
      <c r="F16" s="27" t="str">
        <f t="shared" si="7"/>
        <v/>
      </c>
      <c r="G16" s="27" t="str">
        <f t="shared" si="7"/>
        <v/>
      </c>
      <c r="H16" s="27" t="str">
        <f t="shared" si="7"/>
        <v/>
      </c>
      <c r="I16" s="45">
        <f>SUM(B16:H16)</f>
        <v>0</v>
      </c>
      <c r="J16" s="12"/>
      <c r="K16" s="31"/>
      <c r="L16" s="31" t="s">
        <v>363</v>
      </c>
      <c r="M16" s="27" t="s">
        <v>344</v>
      </c>
      <c r="N16" s="27" t="s">
        <v>364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365</v>
      </c>
      <c r="U16" s="57" t="s">
        <v>575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367</v>
      </c>
      <c r="U17" s="57" t="s">
        <v>575</v>
      </c>
    </row>
    <row r="18" spans="1:22" ht="22" customHeight="1">
      <c r="A18" s="39" t="s">
        <v>368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371</v>
      </c>
      <c r="U18" s="57" t="s">
        <v>575</v>
      </c>
    </row>
    <row r="19" spans="1:22" ht="22" customHeight="1">
      <c r="A19" s="31" t="s">
        <v>323</v>
      </c>
      <c r="B19" s="35" t="str">
        <f t="shared" ref="B19:H19" si="8">IF(COUNTIFS($A$52:$A$61,"&gt;="&amp;B18,$A$52:$A$61,"&lt;"&amp;B18+1,$D$52:$D$61,"&lt;&gt;")=0,"",SUMIFS($AB$52:$AB$61,$A$52:$A$61,"&gt;="&amp;B18,$A$52:$A$61,"&lt;"&amp;B18+1))</f>
        <v/>
      </c>
      <c r="C19" s="35" t="str">
        <f t="shared" si="8"/>
        <v/>
      </c>
      <c r="D19" s="35" t="str">
        <f t="shared" si="8"/>
        <v/>
      </c>
      <c r="E19" s="35" t="str">
        <f t="shared" si="8"/>
        <v/>
      </c>
      <c r="F19" s="35" t="str">
        <f t="shared" si="8"/>
        <v/>
      </c>
      <c r="G19" s="35" t="str">
        <f t="shared" si="8"/>
        <v/>
      </c>
      <c r="H19" s="35" t="str">
        <f t="shared" si="8"/>
        <v/>
      </c>
      <c r="I19" s="45">
        <f>SUM(B19:H19)</f>
        <v>0</v>
      </c>
      <c r="J19" s="12"/>
      <c r="K19" s="38"/>
      <c r="L19" s="38" t="s">
        <v>372</v>
      </c>
      <c r="M19" s="34" t="s">
        <v>344</v>
      </c>
      <c r="N19" s="34" t="s">
        <v>373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374</v>
      </c>
      <c r="U19" s="57" t="s">
        <v>575</v>
      </c>
    </row>
    <row r="20" spans="1:22" ht="22" customHeight="1">
      <c r="A20" s="31" t="s">
        <v>322</v>
      </c>
      <c r="B20" s="35" t="str">
        <f t="shared" ref="B20:H20" si="9">IF(COUNTIFS($A$52:$A$61,"&gt;="&amp;B18,$A$52:$A$61,"&lt;"&amp;B18+1,$D$52:$D$61,"&lt;&gt;")=0,"",SUMIFS($H$52:$H$61,$A$52:$A$61,"&gt;="&amp;B18,$A$52:$A$61,"&lt;"&amp;B18+1))</f>
        <v/>
      </c>
      <c r="C20" s="35" t="str">
        <f t="shared" si="9"/>
        <v/>
      </c>
      <c r="D20" s="35" t="str">
        <f t="shared" si="9"/>
        <v/>
      </c>
      <c r="E20" s="35" t="str">
        <f t="shared" si="9"/>
        <v/>
      </c>
      <c r="F20" s="35" t="str">
        <f t="shared" si="9"/>
        <v/>
      </c>
      <c r="G20" s="35" t="str">
        <f t="shared" si="9"/>
        <v/>
      </c>
      <c r="H20" s="35" t="str">
        <f t="shared" si="9"/>
        <v/>
      </c>
      <c r="I20" s="45">
        <f>SUM(B20:H20)</f>
        <v>0</v>
      </c>
      <c r="J20" s="12"/>
      <c r="K20" s="31"/>
      <c r="L20" s="31" t="s">
        <v>375</v>
      </c>
      <c r="M20" s="27" t="s">
        <v>344</v>
      </c>
      <c r="N20" s="27" t="s">
        <v>376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371</v>
      </c>
      <c r="U20" s="57" t="s">
        <v>575</v>
      </c>
    </row>
    <row r="21" spans="1:22" ht="22" customHeight="1">
      <c r="A21" s="31" t="s">
        <v>223</v>
      </c>
      <c r="B21" s="27" t="str">
        <f t="shared" ref="B21:H21" si="10">IF(COUNT(B19,B20)=0,"",SUM(B19)-SUM(B20))</f>
        <v/>
      </c>
      <c r="C21" s="27" t="str">
        <f t="shared" si="10"/>
        <v/>
      </c>
      <c r="D21" s="27" t="str">
        <f t="shared" si="10"/>
        <v/>
      </c>
      <c r="E21" s="27" t="str">
        <f t="shared" si="10"/>
        <v/>
      </c>
      <c r="F21" s="27" t="str">
        <f t="shared" si="10"/>
        <v/>
      </c>
      <c r="G21" s="27" t="str">
        <f t="shared" si="10"/>
        <v/>
      </c>
      <c r="H21" s="27" t="str">
        <f t="shared" si="10"/>
        <v/>
      </c>
      <c r="I21" s="45">
        <f>SUM(B21:H21)</f>
        <v>0</v>
      </c>
      <c r="J21" s="12"/>
      <c r="K21" s="38"/>
      <c r="L21" s="38" t="s">
        <v>377</v>
      </c>
      <c r="M21" s="34" t="s">
        <v>344</v>
      </c>
      <c r="N21" s="34" t="s">
        <v>378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379</v>
      </c>
      <c r="U21" s="57" t="s">
        <v>575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577</v>
      </c>
      <c r="T22" s="27" t="s">
        <v>383</v>
      </c>
      <c r="U22" s="57" t="s">
        <v>575</v>
      </c>
    </row>
    <row r="23" spans="1:22" ht="22" customHeight="1">
      <c r="A23" s="39" t="s">
        <v>384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478</v>
      </c>
      <c r="T23" s="34" t="s">
        <v>76</v>
      </c>
      <c r="U23" s="57" t="s">
        <v>575</v>
      </c>
    </row>
    <row r="24" spans="1:22" ht="22" customHeight="1">
      <c r="A24" s="31" t="s">
        <v>323</v>
      </c>
      <c r="B24" s="35" t="str">
        <f t="shared" ref="B24:H24" si="11">IF(COUNTIFS($A$52:$A$61,"&gt;="&amp;B23,$A$52:$A$61,"&lt;"&amp;B23+1,$D$52:$D$61,"&lt;&gt;")=0,"",SUMIFS($AB$52:$AB$61,$A$52:$A$61,"&gt;="&amp;B23,$A$52:$A$61,"&lt;"&amp;B23+1))</f>
        <v/>
      </c>
      <c r="C24" s="35" t="str">
        <f t="shared" si="11"/>
        <v/>
      </c>
      <c r="D24" s="35" t="str">
        <f t="shared" si="11"/>
        <v/>
      </c>
      <c r="E24" s="35" t="str">
        <f t="shared" si="11"/>
        <v/>
      </c>
      <c r="F24" s="35" t="str">
        <f t="shared" si="11"/>
        <v/>
      </c>
      <c r="G24" s="35" t="str">
        <f t="shared" si="11"/>
        <v/>
      </c>
      <c r="H24" s="35" t="str">
        <f t="shared" si="11"/>
        <v/>
      </c>
      <c r="I24" s="45">
        <f>SUM(B24:H24)</f>
        <v>0</v>
      </c>
      <c r="J24" s="12"/>
      <c r="K24" s="31"/>
      <c r="L24" s="31" t="s">
        <v>517</v>
      </c>
      <c r="M24" s="27" t="s">
        <v>330</v>
      </c>
      <c r="N24" s="27" t="s">
        <v>378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382</v>
      </c>
      <c r="T24" s="27" t="s">
        <v>76</v>
      </c>
      <c r="U24" s="57" t="s">
        <v>575</v>
      </c>
    </row>
    <row r="25" spans="1:22" ht="25" customHeight="1">
      <c r="A25" s="31" t="s">
        <v>322</v>
      </c>
      <c r="B25" s="35" t="str">
        <f t="shared" ref="B25:H25" si="12">IF(COUNTIFS($A$52:$A$61,"&gt;="&amp;B23,$A$52:$A$61,"&lt;"&amp;B23+1,$D$52:$D$61,"&lt;&gt;")=0,"",SUMIFS($H$52:$H$61,$A$52:$A$61,"&gt;="&amp;B23,$A$52:$A$61,"&lt;"&amp;B23+1))</f>
        <v/>
      </c>
      <c r="C25" s="35" t="str">
        <f t="shared" si="12"/>
        <v/>
      </c>
      <c r="D25" s="35" t="str">
        <f t="shared" si="12"/>
        <v/>
      </c>
      <c r="E25" s="35" t="str">
        <f t="shared" si="12"/>
        <v/>
      </c>
      <c r="F25" s="35" t="str">
        <f t="shared" si="12"/>
        <v/>
      </c>
      <c r="G25" s="35" t="str">
        <f t="shared" si="12"/>
        <v/>
      </c>
      <c r="H25" s="35" t="str">
        <f t="shared" si="12"/>
        <v/>
      </c>
      <c r="I25" s="45">
        <f>SUM(B25:H25)</f>
        <v>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223</v>
      </c>
      <c r="B26" s="27" t="str">
        <f t="shared" ref="B26:H26" si="13">IF(COUNT(B24,B25)=0,"",SUM(B24)-SUM(B25))</f>
        <v/>
      </c>
      <c r="C26" s="27" t="str">
        <f t="shared" si="13"/>
        <v/>
      </c>
      <c r="D26" s="27" t="str">
        <f t="shared" si="13"/>
        <v/>
      </c>
      <c r="E26" s="27" t="str">
        <f t="shared" si="13"/>
        <v/>
      </c>
      <c r="F26" s="27" t="str">
        <f t="shared" si="13"/>
        <v/>
      </c>
      <c r="G26" s="27" t="str">
        <f t="shared" si="13"/>
        <v/>
      </c>
      <c r="H26" s="27" t="str">
        <f t="shared" si="13"/>
        <v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HYPERLINK("#'11월계산기'!A1","계산기 대조 · 11월계산기 열기")</f>
        <v>계산기 대조 · 11월계산기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9" t="s">
        <v>479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367" t="s">
        <v>210</v>
      </c>
      <c r="L28" s="365"/>
      <c r="M28" s="364">
        <f>SUM(I4,I9,I14,I19,I24,I29)</f>
        <v>0</v>
      </c>
      <c r="N28" s="365"/>
      <c r="O28" s="366" t="s">
        <v>212</v>
      </c>
      <c r="P28" s="365"/>
      <c r="Q28" s="364">
        <f>'11월계산기'!W12</f>
        <v>0</v>
      </c>
      <c r="R28" s="365"/>
      <c r="S28" s="366" t="s">
        <v>388</v>
      </c>
      <c r="T28" s="365"/>
      <c r="U28" s="362" t="str">
        <f>IF($AA$1,M28=Q28,"미입력")</f>
        <v>미입력</v>
      </c>
      <c r="V28" s="363"/>
    </row>
    <row r="29" spans="1:22" ht="24" customHeight="1">
      <c r="A29" s="31" t="s">
        <v>323</v>
      </c>
      <c r="B29" s="35" t="str">
        <f>IF(COUNTIFS($A$52:$A$61,"&gt;="&amp;B28,$A$52:$A$61,"&lt;"&amp;B28+1,$D$52:$D$61,"&lt;&gt;")=0,"",SUMIFS($AB$52:$AB$61,$A$52:$A$61,"&gt;="&amp;B28,$A$52:$A$61,"&lt;"&amp;B28+1))</f>
        <v/>
      </c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367" t="s">
        <v>389</v>
      </c>
      <c r="L29" s="365"/>
      <c r="M29" s="364">
        <f>I38</f>
        <v>0</v>
      </c>
      <c r="N29" s="365"/>
      <c r="O29" s="366" t="s">
        <v>213</v>
      </c>
      <c r="P29" s="365"/>
      <c r="Q29" s="364">
        <f>'11월계산기'!W13</f>
        <v>0</v>
      </c>
      <c r="R29" s="365"/>
      <c r="S29" s="366" t="s">
        <v>388</v>
      </c>
      <c r="T29" s="365"/>
      <c r="U29" s="362" t="str">
        <f>IF($AA$1,M29=Q29,"미입력")</f>
        <v>미입력</v>
      </c>
      <c r="V29" s="363"/>
    </row>
    <row r="30" spans="1:22" ht="24" customHeight="1">
      <c r="A30" s="31" t="s">
        <v>322</v>
      </c>
      <c r="B30" s="35" t="str">
        <f>IF(COUNTIFS($A$52:$A$61,"&gt;="&amp;B28,$A$52:$A$61,"&lt;"&amp;B28+1,$D$52:$D$61,"&lt;&gt;")=0,"",SUMIFS($H$52:$H$61,$A$52:$A$61,"&gt;="&amp;B28,$A$52:$A$61,"&lt;"&amp;B28+1))</f>
        <v/>
      </c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367" t="s">
        <v>390</v>
      </c>
      <c r="L30" s="365"/>
      <c r="M30" s="364">
        <f>SUM(I6,I11,I16,I21,I26,I31)</f>
        <v>0</v>
      </c>
      <c r="N30" s="365"/>
      <c r="O30" s="366" t="s">
        <v>391</v>
      </c>
      <c r="P30" s="365"/>
      <c r="Q30" s="364">
        <f>SUM(I4,I9,I14,I19,I24,I29)-I33</f>
        <v>0</v>
      </c>
      <c r="R30" s="365"/>
      <c r="S30" s="366" t="s">
        <v>388</v>
      </c>
      <c r="T30" s="365"/>
      <c r="U30" s="362" t="str">
        <f>IF($AA$1,M30=Q30,"미입력")</f>
        <v>미입력</v>
      </c>
      <c r="V30" s="363"/>
    </row>
    <row r="31" spans="1:22" ht="24" customHeight="1">
      <c r="A31" s="31" t="s">
        <v>223</v>
      </c>
      <c r="B31" s="27" t="str">
        <f>IF(COUNT(B29,B30)=0,"",SUM(B29)-SUM(B30))</f>
        <v/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367" t="s">
        <v>214</v>
      </c>
      <c r="L31" s="365"/>
      <c r="M31" s="364">
        <f>'11월계산기'!W14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str">
        <f>IF($AA$1,M31=Q31,"미입력")</f>
        <v>미입력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578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2501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2776050</v>
      </c>
      <c r="D37" s="27"/>
      <c r="E37" s="27" t="s">
        <v>306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402</v>
      </c>
      <c r="L37" s="31" t="s">
        <v>403</v>
      </c>
      <c r="M37" s="35">
        <v>150000</v>
      </c>
      <c r="N37" s="35"/>
      <c r="O37" s="27" t="str">
        <f>IF(N37="","",N37-M37)</f>
        <v/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/>
      <c r="D38" s="27"/>
      <c r="E38" s="27" t="s">
        <v>2502</v>
      </c>
      <c r="F38" s="27"/>
      <c r="G38" s="27"/>
      <c r="H38" s="27">
        <f>I33-_예비비계산!AG12</f>
        <v>0</v>
      </c>
      <c r="I38" s="27">
        <f>SUM(I4,I9,I14,I19,I24,I29)-_예비비계산!AH12</f>
        <v>0</v>
      </c>
      <c r="J38" s="12"/>
      <c r="K38" s="38" t="s">
        <v>402</v>
      </c>
      <c r="L38" s="38" t="s">
        <v>404</v>
      </c>
      <c r="M38" s="35">
        <v>20000</v>
      </c>
      <c r="N38" s="35"/>
      <c r="O38" s="34" t="str">
        <f>IF(N38="","",N38-M38)</f>
        <v/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/>
      <c r="D39" s="27"/>
      <c r="E39" s="49" t="s">
        <v>2503</v>
      </c>
      <c r="F39" s="27"/>
      <c r="G39" s="27"/>
      <c r="H39" s="27">
        <f>I62</f>
        <v>0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0</v>
      </c>
      <c r="J39" s="12"/>
      <c r="K39" s="31" t="s">
        <v>402</v>
      </c>
      <c r="L39" s="31" t="s">
        <v>406</v>
      </c>
      <c r="M39" s="35">
        <v>120000</v>
      </c>
      <c r="N39" s="35"/>
      <c r="O39" s="27" t="str">
        <f>IF(N39="","",N39-M39)</f>
        <v/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402</v>
      </c>
      <c r="L40" s="38" t="s">
        <v>409</v>
      </c>
      <c r="M40" s="35"/>
      <c r="N40" s="35"/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2776050</v>
      </c>
      <c r="D41" s="27"/>
      <c r="E41" s="49" t="s">
        <v>411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402</v>
      </c>
      <c r="L41" s="31" t="s">
        <v>412</v>
      </c>
      <c r="M41" s="35"/>
      <c r="N41" s="35"/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2504</v>
      </c>
      <c r="B42" s="380"/>
      <c r="C42" s="380"/>
      <c r="D42" s="381"/>
      <c r="E42" s="49" t="s">
        <v>414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402</v>
      </c>
      <c r="L42" s="38" t="s">
        <v>415</v>
      </c>
      <c r="M42" s="35"/>
      <c r="N42" s="35"/>
      <c r="O42" s="34" t="str">
        <f>IF(N42="","",N42-M42)</f>
        <v/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/>
      <c r="I43" s="27">
        <f>H43</f>
        <v>0</v>
      </c>
      <c r="J43" s="12"/>
      <c r="K43" s="31" t="s">
        <v>402</v>
      </c>
      <c r="L43" s="31" t="s">
        <v>416</v>
      </c>
      <c r="M43" s="35">
        <v>0</v>
      </c>
      <c r="N43" s="35"/>
      <c r="O43" s="27" t="str">
        <f>IF(N43="","",N43-M43)</f>
        <v/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SUM(H37:H38,H40:H42)+H47-H43</f>
        <v>1234406</v>
      </c>
      <c r="I44" s="37">
        <f>SUM(I37:I38,I40:I42)+I47-I43</f>
        <v>1241000</v>
      </c>
      <c r="J44" s="12"/>
      <c r="K44" s="50" t="s">
        <v>418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 t="str">
        <f>IF(AND(COUNT(B5:H5,B10:H10,B15:H15,B20:H20,B25:H25,B30:H30,N37:N43,N57:N59,D52:D61)=0,SUM(N64:N68)=0,COUNTIF(U4:U24,"확정")=0),"",C41-H44)</f>
        <v/>
      </c>
      <c r="I45" s="53" t="str">
        <f>IF(H45="","",C41-I44)</f>
        <v/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8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8" ht="27" customHeight="1">
      <c r="A50" s="388" t="s">
        <v>2505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8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2506</v>
      </c>
      <c r="H51" s="55" t="s">
        <v>2507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  <c r="AB51" t="s">
        <v>2508</v>
      </c>
    </row>
    <row r="52" spans="1:28" ht="22" customHeight="1">
      <c r="A52" s="95"/>
      <c r="B52" s="35"/>
      <c r="C52" s="35"/>
      <c r="D52" s="35"/>
      <c r="E52" s="35"/>
      <c r="F52" s="27" t="str">
        <f t="shared" ref="F52:F61" si="14">IF(D52="","",D52-E52)</f>
        <v/>
      </c>
      <c r="G52" s="35"/>
      <c r="H52" s="27" t="str">
        <f t="shared" ref="H52:H61" si="15">IF(D52="","",F52-G52)</f>
        <v/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 t="str">
        <f t="shared" ref="AB52:AB61" si="16">IF(D52="","",CEILING(F52,1000)-IF(G52="",0,CEILING(G52,1000)))</f>
        <v/>
      </c>
    </row>
    <row r="53" spans="1:28" ht="25" customHeight="1">
      <c r="A53" s="95"/>
      <c r="B53" s="35"/>
      <c r="C53" s="35"/>
      <c r="D53" s="35"/>
      <c r="E53" s="35"/>
      <c r="F53" s="27" t="str">
        <f t="shared" si="14"/>
        <v/>
      </c>
      <c r="G53" s="35"/>
      <c r="H53" s="34" t="str">
        <f t="shared" si="15"/>
        <v/>
      </c>
      <c r="I53" s="35"/>
      <c r="J53" s="12"/>
      <c r="K53" s="50" t="s">
        <v>432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 t="str">
        <f t="shared" si="16"/>
        <v/>
      </c>
    </row>
    <row r="54" spans="1:28" ht="22" customHeight="1">
      <c r="A54" s="95"/>
      <c r="B54" s="35"/>
      <c r="C54" s="35"/>
      <c r="D54" s="35"/>
      <c r="E54" s="35"/>
      <c r="F54" s="27" t="str">
        <f t="shared" si="14"/>
        <v/>
      </c>
      <c r="G54" s="35"/>
      <c r="H54" s="27" t="str">
        <f t="shared" si="15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 t="str">
        <f t="shared" si="16"/>
        <v/>
      </c>
    </row>
    <row r="55" spans="1:28" ht="27" customHeight="1">
      <c r="A55" s="95"/>
      <c r="B55" s="35"/>
      <c r="C55" s="35"/>
      <c r="D55" s="35"/>
      <c r="E55" s="35"/>
      <c r="F55" s="27" t="str">
        <f t="shared" si="14"/>
        <v/>
      </c>
      <c r="G55" s="35"/>
      <c r="H55" s="34" t="str">
        <f t="shared" si="15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  <c r="AB55" t="str">
        <f t="shared" si="16"/>
        <v/>
      </c>
    </row>
    <row r="56" spans="1:28" ht="25" customHeight="1">
      <c r="A56" s="95"/>
      <c r="B56" s="35"/>
      <c r="C56" s="35"/>
      <c r="D56" s="35"/>
      <c r="E56" s="35"/>
      <c r="F56" s="27" t="str">
        <f t="shared" si="14"/>
        <v/>
      </c>
      <c r="G56" s="35"/>
      <c r="H56" s="27" t="str">
        <f t="shared" si="15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  <c r="AB56" t="str">
        <f t="shared" si="16"/>
        <v/>
      </c>
    </row>
    <row r="57" spans="1:28" ht="22" customHeight="1">
      <c r="A57" s="95"/>
      <c r="B57" s="35"/>
      <c r="C57" s="35"/>
      <c r="D57" s="35"/>
      <c r="E57" s="35"/>
      <c r="F57" s="27" t="str">
        <f t="shared" si="14"/>
        <v/>
      </c>
      <c r="G57" s="35"/>
      <c r="H57" s="34" t="str">
        <f t="shared" si="15"/>
        <v/>
      </c>
      <c r="I57" s="35"/>
      <c r="J57" s="12"/>
      <c r="K57" s="31" t="s">
        <v>435</v>
      </c>
      <c r="L57" s="31" t="s">
        <v>190</v>
      </c>
      <c r="M57" s="35">
        <v>200000</v>
      </c>
      <c r="N57" s="35"/>
      <c r="O57" s="27" t="str">
        <f>IF(N57="","",N57-M57)</f>
        <v/>
      </c>
      <c r="P57" s="13"/>
      <c r="Q57" s="13"/>
      <c r="R57" s="13"/>
      <c r="S57" s="13"/>
      <c r="T57" s="13"/>
      <c r="AB57" t="str">
        <f t="shared" si="16"/>
        <v/>
      </c>
    </row>
    <row r="58" spans="1:28" ht="22" customHeight="1">
      <c r="A58" s="95"/>
      <c r="B58" s="35"/>
      <c r="C58" s="35"/>
      <c r="D58" s="35"/>
      <c r="E58" s="35"/>
      <c r="F58" s="27" t="str">
        <f t="shared" si="14"/>
        <v/>
      </c>
      <c r="G58" s="35"/>
      <c r="H58" s="27" t="str">
        <f t="shared" si="15"/>
        <v/>
      </c>
      <c r="I58" s="35"/>
      <c r="J58" s="12"/>
      <c r="K58" s="31" t="s">
        <v>435</v>
      </c>
      <c r="L58" s="31" t="s">
        <v>138</v>
      </c>
      <c r="M58" s="35">
        <v>200000</v>
      </c>
      <c r="N58" s="35"/>
      <c r="O58" s="27" t="str">
        <f>IF(N58="","",N58-M58)</f>
        <v/>
      </c>
      <c r="P58" s="13"/>
      <c r="Q58" s="13"/>
      <c r="R58" s="13"/>
      <c r="S58" s="13"/>
      <c r="T58" s="13"/>
      <c r="AB58" t="str">
        <f t="shared" si="16"/>
        <v/>
      </c>
    </row>
    <row r="59" spans="1:28" ht="22" customHeight="1">
      <c r="A59" s="95"/>
      <c r="B59" s="35"/>
      <c r="C59" s="35"/>
      <c r="D59" s="35"/>
      <c r="E59" s="35"/>
      <c r="F59" s="27" t="str">
        <f t="shared" si="14"/>
        <v/>
      </c>
      <c r="G59" s="35"/>
      <c r="H59" s="34" t="str">
        <f t="shared" si="15"/>
        <v/>
      </c>
      <c r="I59" s="35"/>
      <c r="J59" s="12"/>
      <c r="K59" s="31" t="s">
        <v>435</v>
      </c>
      <c r="L59" s="31" t="s">
        <v>436</v>
      </c>
      <c r="M59" s="35">
        <v>20000</v>
      </c>
      <c r="N59" s="35"/>
      <c r="O59" s="27" t="str">
        <f>IF(N59="","",N59-M59)</f>
        <v/>
      </c>
      <c r="P59" s="13"/>
      <c r="Q59" s="13"/>
      <c r="R59" s="13"/>
      <c r="S59" s="13"/>
      <c r="T59" s="13"/>
      <c r="AB59" t="str">
        <f t="shared" si="16"/>
        <v/>
      </c>
    </row>
    <row r="60" spans="1:28" ht="25" customHeight="1">
      <c r="A60" s="95"/>
      <c r="B60" s="35"/>
      <c r="C60" s="35"/>
      <c r="D60" s="35"/>
      <c r="E60" s="35"/>
      <c r="F60" s="27" t="str">
        <f t="shared" si="14"/>
        <v/>
      </c>
      <c r="G60" s="35"/>
      <c r="H60" s="27" t="str">
        <f t="shared" si="15"/>
        <v/>
      </c>
      <c r="I60" s="35"/>
      <c r="J60" s="12"/>
      <c r="K60" s="50" t="s">
        <v>437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  <c r="AB60" t="str">
        <f t="shared" si="16"/>
        <v/>
      </c>
    </row>
    <row r="61" spans="1:28" ht="22" customHeight="1">
      <c r="A61" s="95"/>
      <c r="B61" s="35"/>
      <c r="C61" s="35"/>
      <c r="D61" s="35"/>
      <c r="E61" s="35"/>
      <c r="F61" s="27" t="str">
        <f t="shared" si="14"/>
        <v/>
      </c>
      <c r="G61" s="35"/>
      <c r="H61" s="34" t="str">
        <f t="shared" si="15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 t="str">
        <f t="shared" si="16"/>
        <v/>
      </c>
    </row>
    <row r="62" spans="1:28" ht="27" customHeight="1">
      <c r="A62" s="375" t="s">
        <v>2510</v>
      </c>
      <c r="B62" s="376"/>
      <c r="C62" s="376"/>
      <c r="D62" s="376"/>
      <c r="E62" s="376"/>
      <c r="F62" s="376"/>
      <c r="G62" s="376"/>
      <c r="H62" s="377"/>
      <c r="I62" s="37">
        <f>SUM(F52:F61)</f>
        <v>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8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8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7" customHeight="1">
      <c r="A72" s="354" t="str">
        <f>TEXT($T$1,"m월")&amp;" 사용금액 요약"</f>
        <v>11월 사용금액 요약</v>
      </c>
      <c r="B72" s="350"/>
      <c r="C72" s="350"/>
      <c r="D72" s="350"/>
      <c r="E72" s="350"/>
      <c r="F72" s="350"/>
      <c r="G72" s="350"/>
      <c r="H72" s="350"/>
      <c r="I72" s="350"/>
      <c r="J72" s="350"/>
      <c r="K72" s="350"/>
      <c r="L72" s="350"/>
      <c r="M72" s="350"/>
      <c r="N72" s="350"/>
      <c r="O72" s="350"/>
      <c r="P72" s="350"/>
      <c r="Q72" s="350"/>
      <c r="R72" s="350"/>
      <c r="S72" s="350"/>
      <c r="T72" s="350"/>
      <c r="U72" s="350"/>
    </row>
    <row r="73" spans="1:21" ht="32" customHeight="1">
      <c r="A73" s="352" t="s">
        <v>573</v>
      </c>
      <c r="B73" s="350"/>
      <c r="C73" s="350"/>
      <c r="D73" s="350"/>
      <c r="E73" s="353">
        <v>2776050</v>
      </c>
      <c r="F73" s="350"/>
      <c r="G73" s="350"/>
      <c r="H73" s="350"/>
      <c r="J73" s="352" t="s">
        <v>2511</v>
      </c>
      <c r="K73" s="350"/>
      <c r="L73" s="350"/>
      <c r="M73" s="350"/>
      <c r="N73" s="350"/>
      <c r="O73" s="350"/>
      <c r="P73" s="350"/>
      <c r="Q73" s="350"/>
      <c r="R73" s="350"/>
      <c r="S73" s="350"/>
      <c r="T73" s="350"/>
      <c r="U73" s="350"/>
    </row>
    <row r="74" spans="1:21" ht="32" customHeight="1">
      <c r="A74" s="352" t="s">
        <v>2512</v>
      </c>
      <c r="B74" s="350"/>
      <c r="C74" s="350"/>
      <c r="D74" s="350"/>
      <c r="E74" s="353">
        <f>SUMIF($U$4:$U$24,"확정",$Q$4:$Q$24)+SUMIF($U$4:$U$24,"결제",$Q$4:$Q$24)+SUMIF($U$4:$U$24,"RAW 확인",$Q$4:$Q$24)+SUMIF($U$4:$U$24,"기존 입력",$Q$4:$Q$24)</f>
        <v>0</v>
      </c>
      <c r="F74" s="350"/>
      <c r="G74" s="350"/>
      <c r="H74" s="350"/>
      <c r="J74" s="352" t="s">
        <v>2513</v>
      </c>
      <c r="K74" s="350"/>
      <c r="L74" s="350"/>
      <c r="M74" s="350"/>
      <c r="N74" s="350"/>
      <c r="O74" s="350"/>
      <c r="P74" s="350"/>
      <c r="Q74" s="350"/>
      <c r="R74" s="350"/>
      <c r="S74" s="350"/>
      <c r="T74" s="350"/>
      <c r="U74" s="350"/>
    </row>
    <row r="75" spans="1:21" ht="32" customHeight="1">
      <c r="A75" s="352" t="s">
        <v>2514</v>
      </c>
      <c r="B75" s="350"/>
      <c r="C75" s="350"/>
      <c r="D75" s="350"/>
      <c r="E75" s="353">
        <f>SUM(Q4:Q24)</f>
        <v>1234406</v>
      </c>
      <c r="F75" s="350"/>
      <c r="G75" s="350"/>
      <c r="H75" s="350"/>
      <c r="J75" s="35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  <c r="K75" s="350"/>
      <c r="L75" s="350"/>
      <c r="M75" s="350"/>
      <c r="N75" s="350"/>
      <c r="O75" s="350"/>
      <c r="P75" s="350"/>
      <c r="Q75" s="350"/>
      <c r="R75" s="350"/>
      <c r="S75" s="350"/>
      <c r="T75" s="350"/>
      <c r="U75" s="350"/>
    </row>
    <row r="76" spans="1:21" ht="32" customHeight="1">
      <c r="A76" s="352" t="s">
        <v>2515</v>
      </c>
      <c r="B76" s="350"/>
      <c r="C76" s="350"/>
      <c r="D76" s="350"/>
      <c r="E76" s="353">
        <f>I33</f>
        <v>0</v>
      </c>
      <c r="F76" s="350"/>
      <c r="G76" s="350"/>
      <c r="H76" s="350"/>
      <c r="J76" s="352" t="s">
        <v>2516</v>
      </c>
      <c r="K76" s="350"/>
      <c r="L76" s="350"/>
      <c r="M76" s="350"/>
      <c r="N76" s="350"/>
      <c r="O76" s="350"/>
      <c r="P76" s="350"/>
      <c r="Q76" s="350"/>
      <c r="R76" s="350"/>
      <c r="S76" s="350"/>
      <c r="T76" s="350"/>
      <c r="U76" s="350"/>
    </row>
    <row r="77" spans="1:21" ht="32" customHeight="1">
      <c r="A77" s="352" t="s">
        <v>2517</v>
      </c>
      <c r="B77" s="350"/>
      <c r="C77" s="350"/>
      <c r="D77" s="350"/>
      <c r="E77" s="353">
        <f>SUM(I4,I9,I14,I19,I24,I29)</f>
        <v>0</v>
      </c>
      <c r="F77" s="350"/>
      <c r="G77" s="350"/>
      <c r="H77" s="350"/>
      <c r="J77" s="352" t="s">
        <v>2518</v>
      </c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</row>
    <row r="78" spans="1:21" ht="32" customHeight="1">
      <c r="A78" s="349" t="s">
        <v>2519</v>
      </c>
      <c r="B78" s="350"/>
      <c r="C78" s="350"/>
      <c r="D78" s="350"/>
      <c r="E78" s="35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F78" s="350"/>
      <c r="G78" s="350"/>
      <c r="H78" s="350"/>
      <c r="J78" s="35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  <c r="K78" s="350"/>
      <c r="L78" s="350"/>
      <c r="M78" s="350"/>
      <c r="N78" s="350"/>
      <c r="O78" s="350"/>
      <c r="P78" s="350"/>
      <c r="Q78" s="350"/>
      <c r="R78" s="350"/>
      <c r="S78" s="350"/>
      <c r="T78" s="350"/>
      <c r="U78" s="350"/>
    </row>
    <row r="79" spans="1:21" ht="32" customHeight="1">
      <c r="A79" s="349" t="s">
        <v>2520</v>
      </c>
      <c r="B79" s="350"/>
      <c r="C79" s="350"/>
      <c r="D79" s="350"/>
      <c r="E79" s="351">
        <f>E78</f>
        <v>0</v>
      </c>
      <c r="F79" s="350"/>
      <c r="G79" s="350"/>
      <c r="H79" s="350"/>
      <c r="J79" s="352" t="s">
        <v>2521</v>
      </c>
      <c r="K79" s="350"/>
      <c r="L79" s="350"/>
      <c r="M79" s="350"/>
      <c r="N79" s="350"/>
      <c r="O79" s="350"/>
      <c r="P79" s="350"/>
      <c r="Q79" s="350"/>
      <c r="R79" s="350"/>
      <c r="S79" s="350"/>
      <c r="T79" s="350"/>
      <c r="U79" s="350"/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9:D79"/>
    <mergeCell ref="E79:H79"/>
    <mergeCell ref="J79:U79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579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0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0</v>
      </c>
      <c r="AA3">
        <v>0</v>
      </c>
    </row>
    <row r="4" spans="1:27" ht="18" customHeight="1">
      <c r="A4" s="117" t="s">
        <v>453</v>
      </c>
      <c r="B4" s="125"/>
      <c r="C4" s="119">
        <f>IFERROR(colorfunction(B4,$B$15:$U$144,FALSE),$AA$4)</f>
        <v>0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0</v>
      </c>
      <c r="AA4">
        <v>0</v>
      </c>
    </row>
    <row r="5" spans="1:27" ht="18" customHeight="1">
      <c r="A5" s="117" t="s">
        <v>454</v>
      </c>
      <c r="B5" s="127"/>
      <c r="C5" s="119">
        <f>IFERROR(colorfunction(B5,$B$15:$U$144,FALSE),$AA$5)</f>
        <v>0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0</v>
      </c>
      <c r="AA5">
        <v>0</v>
      </c>
    </row>
    <row r="6" spans="1:27" ht="18" customHeight="1">
      <c r="A6" s="117" t="s">
        <v>455</v>
      </c>
      <c r="B6" s="128"/>
      <c r="C6" s="119">
        <f>IFERROR(colorfunction(B6,$B$15:$U$144,FALSE),$AA$6)</f>
        <v>0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0</v>
      </c>
      <c r="AA6">
        <v>0</v>
      </c>
    </row>
    <row r="7" spans="1:27" ht="18" customHeight="1">
      <c r="A7" s="117" t="s">
        <v>456</v>
      </c>
      <c r="B7" s="129"/>
      <c r="C7" s="119">
        <f>IFERROR(colorfunction(B7,$B$15:$U$144,FALSE),$AA$7)</f>
        <v>0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0</v>
      </c>
      <c r="AA7">
        <v>0</v>
      </c>
    </row>
    <row r="8" spans="1:27" ht="18" customHeight="1">
      <c r="A8" s="117" t="s">
        <v>457</v>
      </c>
      <c r="B8" s="130"/>
      <c r="C8" s="119">
        <f>IFERROR(colorfunction(B8,$B$15:$U$144,FALSE),$AA$8)</f>
        <v>0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0</v>
      </c>
      <c r="AA8">
        <v>0</v>
      </c>
    </row>
    <row r="9" spans="1:27" ht="18" customHeight="1">
      <c r="A9" s="117" t="s">
        <v>458</v>
      </c>
      <c r="B9" s="131"/>
      <c r="C9" s="119">
        <f>IFERROR(colorfunction(B9,$B$15:$U$144,FALSE),$AA$9)</f>
        <v>0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0</v>
      </c>
      <c r="AA9">
        <v>0</v>
      </c>
    </row>
    <row r="10" spans="1:27" ht="18" customHeight="1">
      <c r="A10" s="117" t="s">
        <v>459</v>
      </c>
      <c r="B10" s="132"/>
      <c r="C10" s="119">
        <f>IFERROR(colorfunction(B10,$B$15:$U$144,FALSE),$AA$10)</f>
        <v>0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0</v>
      </c>
      <c r="AA10">
        <v>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0+_예비비계산!AH12</f>
        <v>0</v>
      </c>
    </row>
    <row r="15" spans="1:27" ht="12" customHeight="1">
      <c r="A15" s="122"/>
      <c r="B15" s="247"/>
      <c r="C15" s="248"/>
      <c r="D15" s="247"/>
      <c r="E15" s="248"/>
      <c r="F15" s="247"/>
      <c r="G15" s="248"/>
      <c r="H15" s="247"/>
      <c r="I15" s="248"/>
      <c r="J15" s="247"/>
      <c r="K15" s="248"/>
      <c r="L15" s="247"/>
      <c r="M15" s="248"/>
      <c r="N15" s="247"/>
      <c r="O15" s="248"/>
      <c r="P15" s="247"/>
      <c r="Q15" s="248"/>
      <c r="R15" s="247"/>
      <c r="S15" s="248"/>
      <c r="T15" s="247"/>
      <c r="U15" s="248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249"/>
      <c r="C16" s="250"/>
      <c r="D16" s="249"/>
      <c r="E16" s="250"/>
      <c r="F16" s="249"/>
      <c r="G16" s="250"/>
      <c r="H16" s="249"/>
      <c r="I16" s="250"/>
      <c r="J16" s="249"/>
      <c r="K16" s="250"/>
      <c r="L16" s="249"/>
      <c r="M16" s="250"/>
      <c r="N16" s="249"/>
      <c r="O16" s="250"/>
      <c r="P16" s="249"/>
      <c r="Q16" s="250"/>
      <c r="R16" s="249"/>
      <c r="S16" s="250"/>
      <c r="T16" s="249"/>
      <c r="U16" s="250"/>
      <c r="V16" s="299" t="s">
        <v>211</v>
      </c>
      <c r="W16" s="300">
        <f>SUM(W3:W10)</f>
        <v>0</v>
      </c>
    </row>
    <row r="17" spans="1:27" ht="12" customHeight="1">
      <c r="A17" s="122"/>
      <c r="B17" s="249"/>
      <c r="C17" s="250"/>
      <c r="D17" s="249"/>
      <c r="E17" s="250"/>
      <c r="F17" s="249"/>
      <c r="G17" s="250"/>
      <c r="H17" s="249"/>
      <c r="I17" s="250"/>
      <c r="J17" s="249"/>
      <c r="K17" s="250"/>
      <c r="L17" s="249"/>
      <c r="M17" s="250"/>
      <c r="N17" s="249"/>
      <c r="O17" s="250"/>
      <c r="P17" s="249"/>
      <c r="Q17" s="250"/>
      <c r="R17" s="249"/>
      <c r="S17" s="250"/>
      <c r="T17" s="249"/>
      <c r="U17" s="250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249"/>
      <c r="C18" s="250"/>
      <c r="D18" s="249"/>
      <c r="E18" s="250"/>
      <c r="F18" s="249"/>
      <c r="G18" s="250"/>
      <c r="H18" s="249"/>
      <c r="I18" s="250"/>
      <c r="J18" s="249"/>
      <c r="K18" s="250"/>
      <c r="L18" s="249"/>
      <c r="M18" s="250"/>
      <c r="N18" s="249"/>
      <c r="O18" s="250"/>
      <c r="P18" s="249"/>
      <c r="Q18" s="250"/>
      <c r="R18" s="249"/>
      <c r="S18" s="250"/>
      <c r="T18" s="249"/>
      <c r="U18" s="250"/>
      <c r="V18" s="122"/>
      <c r="W18" s="122"/>
    </row>
    <row r="19" spans="1:27" ht="12" customHeight="1" thickBot="1">
      <c r="A19" s="141">
        <v>1</v>
      </c>
      <c r="B19" s="251"/>
      <c r="C19" s="252"/>
      <c r="D19" s="251"/>
      <c r="E19" s="252"/>
      <c r="F19" s="251"/>
      <c r="G19" s="252"/>
      <c r="H19" s="251"/>
      <c r="I19" s="252"/>
      <c r="J19" s="251"/>
      <c r="K19" s="252"/>
      <c r="L19" s="251"/>
      <c r="M19" s="252"/>
      <c r="N19" s="251"/>
      <c r="O19" s="252"/>
      <c r="P19" s="251"/>
      <c r="Q19" s="252"/>
      <c r="R19" s="251"/>
      <c r="S19" s="252"/>
      <c r="T19" s="251"/>
      <c r="U19" s="252"/>
      <c r="V19" s="122"/>
      <c r="W19" s="122"/>
    </row>
    <row r="20" spans="1:27" ht="12" customHeight="1">
      <c r="A20" s="122"/>
      <c r="B20" s="247"/>
      <c r="C20" s="248"/>
      <c r="D20" s="247"/>
      <c r="E20" s="248"/>
      <c r="F20" s="247"/>
      <c r="G20" s="248"/>
      <c r="H20" s="247"/>
      <c r="I20" s="248"/>
      <c r="J20" s="247"/>
      <c r="K20" s="248"/>
      <c r="L20" s="247"/>
      <c r="M20" s="248"/>
      <c r="N20" s="247"/>
      <c r="O20" s="248"/>
      <c r="P20" s="247"/>
      <c r="Q20" s="248"/>
      <c r="R20" s="247"/>
      <c r="S20" s="248"/>
      <c r="T20" s="247"/>
      <c r="U20" s="248"/>
      <c r="V20" s="122"/>
      <c r="W20" s="122"/>
    </row>
    <row r="21" spans="1:27" ht="12" customHeight="1">
      <c r="A21" s="122"/>
      <c r="B21" s="249"/>
      <c r="C21" s="250"/>
      <c r="D21" s="249"/>
      <c r="E21" s="250"/>
      <c r="F21" s="249"/>
      <c r="G21" s="250"/>
      <c r="H21" s="249"/>
      <c r="I21" s="250"/>
      <c r="J21" s="249"/>
      <c r="K21" s="250"/>
      <c r="L21" s="249"/>
      <c r="M21" s="250"/>
      <c r="N21" s="249"/>
      <c r="O21" s="250"/>
      <c r="P21" s="249"/>
      <c r="Q21" s="250"/>
      <c r="R21" s="249"/>
      <c r="S21" s="250"/>
      <c r="T21" s="249"/>
      <c r="U21" s="250"/>
      <c r="V21" s="122"/>
      <c r="W21" s="122"/>
    </row>
    <row r="22" spans="1:27" ht="12" customHeight="1">
      <c r="A22" s="122"/>
      <c r="B22" s="249"/>
      <c r="C22" s="250"/>
      <c r="D22" s="249"/>
      <c r="E22" s="250"/>
      <c r="F22" s="249"/>
      <c r="G22" s="250"/>
      <c r="H22" s="249"/>
      <c r="I22" s="250"/>
      <c r="J22" s="249"/>
      <c r="K22" s="250"/>
      <c r="L22" s="249"/>
      <c r="M22" s="250"/>
      <c r="N22" s="249"/>
      <c r="O22" s="250"/>
      <c r="P22" s="249"/>
      <c r="Q22" s="250"/>
      <c r="R22" s="249"/>
      <c r="S22" s="250"/>
      <c r="T22" s="249"/>
      <c r="U22" s="250"/>
      <c r="V22" s="122"/>
      <c r="W22" s="122"/>
    </row>
    <row r="23" spans="1:27" ht="12" customHeight="1">
      <c r="A23" s="122"/>
      <c r="B23" s="249"/>
      <c r="C23" s="250"/>
      <c r="D23" s="249"/>
      <c r="E23" s="250"/>
      <c r="F23" s="249"/>
      <c r="G23" s="250"/>
      <c r="H23" s="249"/>
      <c r="I23" s="250"/>
      <c r="J23" s="249"/>
      <c r="K23" s="250"/>
      <c r="L23" s="249"/>
      <c r="M23" s="250"/>
      <c r="N23" s="249"/>
      <c r="O23" s="250"/>
      <c r="P23" s="249"/>
      <c r="Q23" s="250"/>
      <c r="R23" s="249"/>
      <c r="S23" s="250"/>
      <c r="T23" s="249"/>
      <c r="U23" s="250"/>
      <c r="V23" s="122"/>
      <c r="W23" s="122"/>
    </row>
    <row r="24" spans="1:27" ht="12" customHeight="1" thickBot="1">
      <c r="A24" s="141">
        <v>2</v>
      </c>
      <c r="B24" s="251"/>
      <c r="C24" s="252"/>
      <c r="D24" s="251"/>
      <c r="E24" s="252"/>
      <c r="F24" s="251"/>
      <c r="G24" s="252"/>
      <c r="H24" s="251"/>
      <c r="I24" s="252"/>
      <c r="J24" s="251"/>
      <c r="K24" s="252"/>
      <c r="L24" s="251"/>
      <c r="M24" s="252"/>
      <c r="N24" s="251"/>
      <c r="O24" s="252"/>
      <c r="P24" s="251"/>
      <c r="Q24" s="252"/>
      <c r="R24" s="251"/>
      <c r="S24" s="252"/>
      <c r="T24" s="251"/>
      <c r="U24" s="252"/>
      <c r="V24" s="122"/>
      <c r="W24" s="122"/>
    </row>
    <row r="25" spans="1:27" ht="12" customHeight="1">
      <c r="A25" s="122"/>
      <c r="B25" s="247"/>
      <c r="C25" s="248"/>
      <c r="D25" s="247"/>
      <c r="E25" s="248"/>
      <c r="F25" s="247"/>
      <c r="G25" s="248"/>
      <c r="H25" s="247"/>
      <c r="I25" s="248"/>
      <c r="J25" s="247"/>
      <c r="K25" s="248"/>
      <c r="L25" s="247"/>
      <c r="M25" s="248"/>
      <c r="N25" s="247"/>
      <c r="O25" s="248"/>
      <c r="P25" s="247"/>
      <c r="Q25" s="248"/>
      <c r="R25" s="247"/>
      <c r="S25" s="248"/>
      <c r="T25" s="247"/>
      <c r="U25" s="248"/>
      <c r="V25" s="122"/>
      <c r="W25" s="122"/>
    </row>
    <row r="26" spans="1:27" ht="12" customHeight="1">
      <c r="A26" s="122"/>
      <c r="B26" s="249"/>
      <c r="C26" s="250"/>
      <c r="D26" s="249"/>
      <c r="E26" s="250"/>
      <c r="F26" s="249"/>
      <c r="G26" s="250"/>
      <c r="H26" s="249"/>
      <c r="I26" s="250"/>
      <c r="J26" s="249"/>
      <c r="K26" s="250"/>
      <c r="L26" s="249"/>
      <c r="M26" s="250"/>
      <c r="N26" s="249"/>
      <c r="O26" s="250"/>
      <c r="P26" s="249"/>
      <c r="Q26" s="250"/>
      <c r="R26" s="249"/>
      <c r="S26" s="250"/>
      <c r="T26" s="249"/>
      <c r="U26" s="250"/>
      <c r="V26" s="122"/>
      <c r="W26" s="122"/>
    </row>
    <row r="27" spans="1:27" ht="12" customHeight="1">
      <c r="A27" s="122"/>
      <c r="B27" s="249"/>
      <c r="C27" s="250"/>
      <c r="D27" s="249"/>
      <c r="E27" s="250"/>
      <c r="F27" s="249"/>
      <c r="G27" s="250"/>
      <c r="H27" s="249"/>
      <c r="I27" s="250"/>
      <c r="J27" s="249"/>
      <c r="K27" s="250"/>
      <c r="L27" s="249"/>
      <c r="M27" s="250"/>
      <c r="N27" s="249"/>
      <c r="O27" s="250"/>
      <c r="P27" s="249"/>
      <c r="Q27" s="250"/>
      <c r="R27" s="249"/>
      <c r="S27" s="250"/>
      <c r="T27" s="249"/>
      <c r="U27" s="250"/>
      <c r="V27" s="122"/>
      <c r="W27" s="122"/>
    </row>
    <row r="28" spans="1:27" ht="12" customHeight="1">
      <c r="A28" s="122"/>
      <c r="B28" s="249"/>
      <c r="C28" s="250"/>
      <c r="D28" s="249"/>
      <c r="E28" s="250"/>
      <c r="F28" s="249"/>
      <c r="G28" s="250"/>
      <c r="H28" s="249"/>
      <c r="I28" s="250"/>
      <c r="J28" s="249"/>
      <c r="K28" s="250"/>
      <c r="L28" s="249"/>
      <c r="M28" s="250"/>
      <c r="N28" s="249"/>
      <c r="O28" s="250"/>
      <c r="P28" s="249"/>
      <c r="Q28" s="250"/>
      <c r="R28" s="249"/>
      <c r="S28" s="250"/>
      <c r="T28" s="249"/>
      <c r="U28" s="250"/>
      <c r="V28" s="122"/>
      <c r="W28" s="122"/>
    </row>
    <row r="29" spans="1:27" ht="12" customHeight="1" thickBot="1">
      <c r="A29" s="141">
        <v>3</v>
      </c>
      <c r="B29" s="251"/>
      <c r="C29" s="252"/>
      <c r="D29" s="251"/>
      <c r="E29" s="252"/>
      <c r="F29" s="251"/>
      <c r="G29" s="252"/>
      <c r="H29" s="251"/>
      <c r="I29" s="252"/>
      <c r="J29" s="251"/>
      <c r="K29" s="252"/>
      <c r="L29" s="251"/>
      <c r="M29" s="252"/>
      <c r="N29" s="251"/>
      <c r="O29" s="252"/>
      <c r="P29" s="251"/>
      <c r="Q29" s="252"/>
      <c r="R29" s="251"/>
      <c r="S29" s="252"/>
      <c r="T29" s="251"/>
      <c r="U29" s="252"/>
      <c r="V29" s="122"/>
      <c r="W29" s="122"/>
    </row>
    <row r="30" spans="1:27" ht="12" customHeight="1">
      <c r="A30" s="122"/>
      <c r="B30" s="247"/>
      <c r="C30" s="248"/>
      <c r="D30" s="247"/>
      <c r="E30" s="248"/>
      <c r="F30" s="247"/>
      <c r="G30" s="248"/>
      <c r="H30" s="247"/>
      <c r="I30" s="248"/>
      <c r="J30" s="247"/>
      <c r="K30" s="248"/>
      <c r="L30" s="247"/>
      <c r="M30" s="248"/>
      <c r="N30" s="247"/>
      <c r="O30" s="248"/>
      <c r="P30" s="247"/>
      <c r="Q30" s="248"/>
      <c r="R30" s="247"/>
      <c r="S30" s="248"/>
      <c r="T30" s="247"/>
      <c r="U30" s="248"/>
      <c r="V30" s="122"/>
      <c r="W30" s="122"/>
    </row>
    <row r="31" spans="1:27" ht="12" customHeight="1">
      <c r="A31" s="122"/>
      <c r="B31" s="249"/>
      <c r="C31" s="250"/>
      <c r="D31" s="249"/>
      <c r="E31" s="250"/>
      <c r="F31" s="249"/>
      <c r="G31" s="250"/>
      <c r="H31" s="249"/>
      <c r="I31" s="250"/>
      <c r="J31" s="249"/>
      <c r="K31" s="250"/>
      <c r="L31" s="249"/>
      <c r="M31" s="250"/>
      <c r="N31" s="249"/>
      <c r="O31" s="250"/>
      <c r="P31" s="249"/>
      <c r="Q31" s="250"/>
      <c r="R31" s="249"/>
      <c r="S31" s="250"/>
      <c r="T31" s="249"/>
      <c r="U31" s="250"/>
      <c r="V31" s="122"/>
      <c r="W31" s="122"/>
    </row>
    <row r="32" spans="1:27" ht="12" customHeight="1">
      <c r="A32" s="122"/>
      <c r="B32" s="249"/>
      <c r="C32" s="250"/>
      <c r="D32" s="249"/>
      <c r="E32" s="250"/>
      <c r="F32" s="249"/>
      <c r="G32" s="250"/>
      <c r="H32" s="249"/>
      <c r="I32" s="250"/>
      <c r="J32" s="249"/>
      <c r="K32" s="250"/>
      <c r="L32" s="249"/>
      <c r="M32" s="250"/>
      <c r="N32" s="249"/>
      <c r="O32" s="250"/>
      <c r="P32" s="249"/>
      <c r="Q32" s="250"/>
      <c r="R32" s="249"/>
      <c r="S32" s="250"/>
      <c r="T32" s="249"/>
      <c r="U32" s="250"/>
      <c r="V32" s="122"/>
      <c r="W32" s="122"/>
    </row>
    <row r="33" spans="1:23" ht="12" customHeight="1">
      <c r="A33" s="122"/>
      <c r="B33" s="249"/>
      <c r="C33" s="250"/>
      <c r="D33" s="249"/>
      <c r="E33" s="250"/>
      <c r="F33" s="249"/>
      <c r="G33" s="250"/>
      <c r="H33" s="249"/>
      <c r="I33" s="250"/>
      <c r="J33" s="249"/>
      <c r="K33" s="250"/>
      <c r="L33" s="249"/>
      <c r="M33" s="250"/>
      <c r="N33" s="249"/>
      <c r="O33" s="250"/>
      <c r="P33" s="249"/>
      <c r="Q33" s="250"/>
      <c r="R33" s="249"/>
      <c r="S33" s="250"/>
      <c r="T33" s="249"/>
      <c r="U33" s="250"/>
      <c r="V33" s="122"/>
      <c r="W33" s="122"/>
    </row>
    <row r="34" spans="1:23" ht="12" customHeight="1" thickBot="1">
      <c r="A34" s="141">
        <v>4</v>
      </c>
      <c r="B34" s="251"/>
      <c r="C34" s="252"/>
      <c r="D34" s="251"/>
      <c r="E34" s="252"/>
      <c r="F34" s="251"/>
      <c r="G34" s="252"/>
      <c r="H34" s="251"/>
      <c r="I34" s="252"/>
      <c r="J34" s="251"/>
      <c r="K34" s="252"/>
      <c r="L34" s="251"/>
      <c r="M34" s="252"/>
      <c r="N34" s="251"/>
      <c r="O34" s="252"/>
      <c r="P34" s="251"/>
      <c r="Q34" s="252"/>
      <c r="R34" s="251"/>
      <c r="S34" s="252"/>
      <c r="T34" s="251"/>
      <c r="U34" s="252"/>
      <c r="V34" s="122"/>
      <c r="W34" s="122"/>
    </row>
    <row r="35" spans="1:23" ht="12" customHeight="1">
      <c r="A35" s="122"/>
      <c r="B35" s="247"/>
      <c r="C35" s="248"/>
      <c r="D35" s="247"/>
      <c r="E35" s="248"/>
      <c r="F35" s="247"/>
      <c r="G35" s="248"/>
      <c r="H35" s="247"/>
      <c r="I35" s="248"/>
      <c r="J35" s="247"/>
      <c r="K35" s="248"/>
      <c r="L35" s="247"/>
      <c r="M35" s="248"/>
      <c r="N35" s="247"/>
      <c r="O35" s="248"/>
      <c r="P35" s="247"/>
      <c r="Q35" s="248"/>
      <c r="R35" s="247"/>
      <c r="S35" s="248"/>
      <c r="T35" s="247"/>
      <c r="U35" s="248"/>
      <c r="V35" s="122"/>
      <c r="W35" s="122"/>
    </row>
    <row r="36" spans="1:23" ht="12" customHeight="1">
      <c r="A36" s="122"/>
      <c r="B36" s="249"/>
      <c r="C36" s="250"/>
      <c r="D36" s="249"/>
      <c r="E36" s="250"/>
      <c r="F36" s="249"/>
      <c r="G36" s="250"/>
      <c r="H36" s="249"/>
      <c r="I36" s="250"/>
      <c r="J36" s="249"/>
      <c r="K36" s="250"/>
      <c r="L36" s="249"/>
      <c r="M36" s="250"/>
      <c r="N36" s="249"/>
      <c r="O36" s="250"/>
      <c r="P36" s="249"/>
      <c r="Q36" s="250"/>
      <c r="R36" s="249"/>
      <c r="S36" s="250"/>
      <c r="T36" s="249"/>
      <c r="U36" s="250"/>
      <c r="V36" s="122"/>
      <c r="W36" s="122"/>
    </row>
    <row r="37" spans="1:23" ht="12" customHeight="1">
      <c r="A37" s="122"/>
      <c r="B37" s="249"/>
      <c r="C37" s="250"/>
      <c r="D37" s="249"/>
      <c r="E37" s="250"/>
      <c r="F37" s="249"/>
      <c r="G37" s="250"/>
      <c r="H37" s="249"/>
      <c r="I37" s="250"/>
      <c r="J37" s="249"/>
      <c r="K37" s="250"/>
      <c r="L37" s="249"/>
      <c r="M37" s="250"/>
      <c r="N37" s="249"/>
      <c r="O37" s="250"/>
      <c r="P37" s="249"/>
      <c r="Q37" s="250"/>
      <c r="R37" s="249"/>
      <c r="S37" s="250"/>
      <c r="T37" s="249"/>
      <c r="U37" s="250"/>
      <c r="V37" s="122"/>
      <c r="W37" s="122"/>
    </row>
    <row r="38" spans="1:23" ht="12" customHeight="1">
      <c r="A38" s="122"/>
      <c r="B38" s="249"/>
      <c r="C38" s="250"/>
      <c r="D38" s="249"/>
      <c r="E38" s="250"/>
      <c r="F38" s="249"/>
      <c r="G38" s="250"/>
      <c r="H38" s="249"/>
      <c r="I38" s="250"/>
      <c r="J38" s="249"/>
      <c r="K38" s="250"/>
      <c r="L38" s="249"/>
      <c r="M38" s="250"/>
      <c r="N38" s="249"/>
      <c r="O38" s="250"/>
      <c r="P38" s="249"/>
      <c r="Q38" s="250"/>
      <c r="R38" s="249"/>
      <c r="S38" s="250"/>
      <c r="T38" s="249"/>
      <c r="U38" s="250"/>
      <c r="V38" s="122"/>
      <c r="W38" s="122"/>
    </row>
    <row r="39" spans="1:23" ht="12" customHeight="1" thickBot="1">
      <c r="A39" s="141">
        <v>5</v>
      </c>
      <c r="B39" s="251"/>
      <c r="C39" s="252"/>
      <c r="D39" s="251"/>
      <c r="E39" s="252"/>
      <c r="F39" s="251"/>
      <c r="G39" s="252"/>
      <c r="H39" s="251"/>
      <c r="I39" s="252"/>
      <c r="J39" s="251"/>
      <c r="K39" s="252"/>
      <c r="L39" s="251"/>
      <c r="M39" s="252"/>
      <c r="N39" s="251"/>
      <c r="O39" s="252"/>
      <c r="P39" s="251"/>
      <c r="Q39" s="252"/>
      <c r="R39" s="251"/>
      <c r="S39" s="252"/>
      <c r="T39" s="251"/>
      <c r="U39" s="252"/>
      <c r="V39" s="122"/>
      <c r="W39" s="122"/>
    </row>
    <row r="40" spans="1:23" ht="12" customHeight="1">
      <c r="A40" s="122"/>
      <c r="B40" s="247"/>
      <c r="C40" s="248"/>
      <c r="D40" s="247"/>
      <c r="E40" s="248"/>
      <c r="F40" s="247"/>
      <c r="G40" s="248"/>
      <c r="H40" s="247"/>
      <c r="I40" s="248"/>
      <c r="J40" s="247"/>
      <c r="K40" s="248"/>
      <c r="L40" s="247"/>
      <c r="M40" s="248"/>
      <c r="N40" s="247"/>
      <c r="O40" s="248"/>
      <c r="P40" s="247"/>
      <c r="Q40" s="248"/>
      <c r="R40" s="247"/>
      <c r="S40" s="248"/>
      <c r="T40" s="247"/>
      <c r="U40" s="248"/>
      <c r="V40" s="122"/>
      <c r="W40" s="122"/>
    </row>
    <row r="41" spans="1:23" ht="12" customHeight="1">
      <c r="A41" s="122"/>
      <c r="B41" s="249"/>
      <c r="C41" s="250"/>
      <c r="D41" s="249"/>
      <c r="E41" s="250"/>
      <c r="F41" s="249"/>
      <c r="G41" s="250"/>
      <c r="H41" s="249"/>
      <c r="I41" s="250"/>
      <c r="J41" s="249"/>
      <c r="K41" s="250"/>
      <c r="L41" s="249"/>
      <c r="M41" s="250"/>
      <c r="N41" s="249"/>
      <c r="O41" s="250"/>
      <c r="P41" s="249"/>
      <c r="Q41" s="250"/>
      <c r="R41" s="249"/>
      <c r="S41" s="250"/>
      <c r="T41" s="249"/>
      <c r="U41" s="250"/>
      <c r="V41" s="122"/>
      <c r="W41" s="122"/>
    </row>
    <row r="42" spans="1:23" ht="12" customHeight="1">
      <c r="A42" s="122"/>
      <c r="B42" s="249"/>
      <c r="C42" s="250"/>
      <c r="D42" s="249"/>
      <c r="E42" s="250"/>
      <c r="F42" s="249"/>
      <c r="G42" s="250"/>
      <c r="H42" s="249"/>
      <c r="I42" s="250"/>
      <c r="J42" s="249"/>
      <c r="K42" s="250"/>
      <c r="L42" s="249"/>
      <c r="M42" s="250"/>
      <c r="N42" s="249"/>
      <c r="O42" s="250"/>
      <c r="P42" s="249"/>
      <c r="Q42" s="250"/>
      <c r="R42" s="249"/>
      <c r="S42" s="250"/>
      <c r="T42" s="249"/>
      <c r="U42" s="250"/>
      <c r="V42" s="122"/>
      <c r="W42" s="122"/>
    </row>
    <row r="43" spans="1:23" ht="12" customHeight="1">
      <c r="A43" s="122"/>
      <c r="B43" s="249"/>
      <c r="C43" s="250"/>
      <c r="D43" s="249"/>
      <c r="E43" s="250"/>
      <c r="F43" s="249"/>
      <c r="G43" s="250"/>
      <c r="H43" s="249"/>
      <c r="I43" s="250"/>
      <c r="J43" s="249"/>
      <c r="K43" s="250"/>
      <c r="L43" s="249"/>
      <c r="M43" s="250"/>
      <c r="N43" s="249"/>
      <c r="O43" s="250"/>
      <c r="P43" s="249"/>
      <c r="Q43" s="250"/>
      <c r="R43" s="249"/>
      <c r="S43" s="250"/>
      <c r="T43" s="249"/>
      <c r="U43" s="250"/>
      <c r="V43" s="122"/>
      <c r="W43" s="122"/>
    </row>
    <row r="44" spans="1:23" ht="12" customHeight="1" thickBot="1">
      <c r="A44" s="141">
        <v>6</v>
      </c>
      <c r="B44" s="251"/>
      <c r="C44" s="252"/>
      <c r="D44" s="251"/>
      <c r="E44" s="252"/>
      <c r="F44" s="251"/>
      <c r="G44" s="252"/>
      <c r="H44" s="251"/>
      <c r="I44" s="252"/>
      <c r="J44" s="251"/>
      <c r="K44" s="252"/>
      <c r="L44" s="251"/>
      <c r="M44" s="252"/>
      <c r="N44" s="251"/>
      <c r="O44" s="252"/>
      <c r="P44" s="251"/>
      <c r="Q44" s="252"/>
      <c r="R44" s="251"/>
      <c r="S44" s="252"/>
      <c r="T44" s="251"/>
      <c r="U44" s="252"/>
      <c r="V44" s="122"/>
      <c r="W44" s="122"/>
    </row>
    <row r="45" spans="1:23" ht="12" customHeight="1">
      <c r="A45" s="122"/>
      <c r="B45" s="247"/>
      <c r="C45" s="248"/>
      <c r="D45" s="247"/>
      <c r="E45" s="248"/>
      <c r="F45" s="247"/>
      <c r="G45" s="248"/>
      <c r="H45" s="247"/>
      <c r="I45" s="248"/>
      <c r="J45" s="247"/>
      <c r="K45" s="248"/>
      <c r="L45" s="247"/>
      <c r="M45" s="248"/>
      <c r="N45" s="247"/>
      <c r="O45" s="248"/>
      <c r="P45" s="247"/>
      <c r="Q45" s="248"/>
      <c r="R45" s="247"/>
      <c r="S45" s="248"/>
      <c r="T45" s="247"/>
      <c r="U45" s="248"/>
      <c r="V45" s="122"/>
      <c r="W45" s="122"/>
    </row>
    <row r="46" spans="1:23" ht="12" customHeight="1">
      <c r="A46" s="122"/>
      <c r="B46" s="249"/>
      <c r="C46" s="250"/>
      <c r="D46" s="249"/>
      <c r="E46" s="250"/>
      <c r="F46" s="249"/>
      <c r="G46" s="250"/>
      <c r="H46" s="249"/>
      <c r="I46" s="250"/>
      <c r="J46" s="249"/>
      <c r="K46" s="250"/>
      <c r="L46" s="249"/>
      <c r="M46" s="250"/>
      <c r="N46" s="249"/>
      <c r="O46" s="250"/>
      <c r="P46" s="249"/>
      <c r="Q46" s="250"/>
      <c r="R46" s="249"/>
      <c r="S46" s="250"/>
      <c r="T46" s="249"/>
      <c r="U46" s="250"/>
      <c r="V46" s="122"/>
      <c r="W46" s="122"/>
    </row>
    <row r="47" spans="1:23" ht="12" customHeight="1">
      <c r="A47" s="122"/>
      <c r="B47" s="249"/>
      <c r="C47" s="250"/>
      <c r="D47" s="249"/>
      <c r="E47" s="250"/>
      <c r="F47" s="249"/>
      <c r="G47" s="250"/>
      <c r="H47" s="249"/>
      <c r="I47" s="250"/>
      <c r="J47" s="249"/>
      <c r="K47" s="250"/>
      <c r="L47" s="249"/>
      <c r="M47" s="250"/>
      <c r="N47" s="249"/>
      <c r="O47" s="250"/>
      <c r="P47" s="249"/>
      <c r="Q47" s="250"/>
      <c r="R47" s="249"/>
      <c r="S47" s="250"/>
      <c r="T47" s="249"/>
      <c r="U47" s="250"/>
      <c r="V47" s="122"/>
      <c r="W47" s="122"/>
    </row>
    <row r="48" spans="1:23" ht="12" customHeight="1">
      <c r="A48" s="122"/>
      <c r="B48" s="249"/>
      <c r="C48" s="250"/>
      <c r="D48" s="249"/>
      <c r="E48" s="250"/>
      <c r="F48" s="249"/>
      <c r="G48" s="250"/>
      <c r="H48" s="249"/>
      <c r="I48" s="250"/>
      <c r="J48" s="249"/>
      <c r="K48" s="250"/>
      <c r="L48" s="249"/>
      <c r="M48" s="250"/>
      <c r="N48" s="249"/>
      <c r="O48" s="250"/>
      <c r="P48" s="249"/>
      <c r="Q48" s="250"/>
      <c r="R48" s="249"/>
      <c r="S48" s="250"/>
      <c r="T48" s="249"/>
      <c r="U48" s="250"/>
      <c r="V48" s="122"/>
      <c r="W48" s="122"/>
    </row>
    <row r="49" spans="1:23" ht="12" customHeight="1" thickBot="1">
      <c r="A49" s="141">
        <v>7</v>
      </c>
      <c r="B49" s="251"/>
      <c r="C49" s="252"/>
      <c r="D49" s="251"/>
      <c r="E49" s="252"/>
      <c r="F49" s="251"/>
      <c r="G49" s="252"/>
      <c r="H49" s="251"/>
      <c r="I49" s="252"/>
      <c r="J49" s="251"/>
      <c r="K49" s="252"/>
      <c r="L49" s="251"/>
      <c r="M49" s="252"/>
      <c r="N49" s="251"/>
      <c r="O49" s="252"/>
      <c r="P49" s="251"/>
      <c r="Q49" s="252"/>
      <c r="R49" s="251"/>
      <c r="S49" s="252"/>
      <c r="T49" s="251"/>
      <c r="U49" s="252"/>
      <c r="V49" s="122"/>
      <c r="W49" s="122"/>
    </row>
    <row r="50" spans="1:23" ht="12" customHeight="1">
      <c r="A50" s="122"/>
      <c r="B50" s="247"/>
      <c r="C50" s="248"/>
      <c r="D50" s="247"/>
      <c r="E50" s="248"/>
      <c r="F50" s="247"/>
      <c r="G50" s="248"/>
      <c r="H50" s="247"/>
      <c r="I50" s="248"/>
      <c r="J50" s="247"/>
      <c r="K50" s="248"/>
      <c r="L50" s="247"/>
      <c r="M50" s="248"/>
      <c r="N50" s="247"/>
      <c r="O50" s="248"/>
      <c r="P50" s="247"/>
      <c r="Q50" s="248"/>
      <c r="R50" s="247"/>
      <c r="S50" s="248"/>
      <c r="T50" s="247"/>
      <c r="U50" s="248"/>
      <c r="V50" s="122"/>
      <c r="W50" s="122"/>
    </row>
    <row r="51" spans="1:23" ht="12" customHeight="1">
      <c r="A51" s="122"/>
      <c r="B51" s="249"/>
      <c r="C51" s="250"/>
      <c r="D51" s="249"/>
      <c r="E51" s="250"/>
      <c r="F51" s="249"/>
      <c r="G51" s="250"/>
      <c r="H51" s="249"/>
      <c r="I51" s="250"/>
      <c r="J51" s="249"/>
      <c r="K51" s="250"/>
      <c r="L51" s="249"/>
      <c r="M51" s="250"/>
      <c r="N51" s="249"/>
      <c r="O51" s="250"/>
      <c r="P51" s="249"/>
      <c r="Q51" s="250"/>
      <c r="R51" s="249"/>
      <c r="S51" s="250"/>
      <c r="T51" s="249"/>
      <c r="U51" s="250"/>
      <c r="V51" s="122"/>
      <c r="W51" s="122"/>
    </row>
    <row r="52" spans="1:23" ht="12" customHeight="1">
      <c r="A52" s="122"/>
      <c r="B52" s="249"/>
      <c r="C52" s="250"/>
      <c r="D52" s="249"/>
      <c r="E52" s="250"/>
      <c r="F52" s="249"/>
      <c r="G52" s="250"/>
      <c r="H52" s="249"/>
      <c r="I52" s="250"/>
      <c r="J52" s="249"/>
      <c r="K52" s="250"/>
      <c r="L52" s="249"/>
      <c r="M52" s="250"/>
      <c r="N52" s="249"/>
      <c r="O52" s="250"/>
      <c r="P52" s="249"/>
      <c r="Q52" s="250"/>
      <c r="R52" s="249"/>
      <c r="S52" s="250"/>
      <c r="T52" s="249"/>
      <c r="U52" s="250"/>
      <c r="V52" s="122"/>
      <c r="W52" s="122"/>
    </row>
    <row r="53" spans="1:23" ht="12" customHeight="1">
      <c r="A53" s="122"/>
      <c r="B53" s="249"/>
      <c r="C53" s="250"/>
      <c r="D53" s="249"/>
      <c r="E53" s="250"/>
      <c r="F53" s="249"/>
      <c r="G53" s="250"/>
      <c r="H53" s="249"/>
      <c r="I53" s="250"/>
      <c r="J53" s="249"/>
      <c r="K53" s="250"/>
      <c r="L53" s="249"/>
      <c r="M53" s="250"/>
      <c r="N53" s="249"/>
      <c r="O53" s="250"/>
      <c r="P53" s="249"/>
      <c r="Q53" s="250"/>
      <c r="R53" s="249"/>
      <c r="S53" s="250"/>
      <c r="T53" s="249"/>
      <c r="U53" s="250"/>
      <c r="V53" s="122"/>
      <c r="W53" s="122"/>
    </row>
    <row r="54" spans="1:23" ht="12" customHeight="1" thickBot="1">
      <c r="A54" s="141">
        <v>8</v>
      </c>
      <c r="B54" s="251"/>
      <c r="C54" s="252"/>
      <c r="D54" s="251"/>
      <c r="E54" s="252"/>
      <c r="F54" s="251"/>
      <c r="G54" s="252"/>
      <c r="H54" s="251"/>
      <c r="I54" s="252"/>
      <c r="J54" s="251"/>
      <c r="K54" s="252"/>
      <c r="L54" s="251"/>
      <c r="M54" s="252"/>
      <c r="N54" s="251"/>
      <c r="O54" s="252"/>
      <c r="P54" s="251"/>
      <c r="Q54" s="252"/>
      <c r="R54" s="251"/>
      <c r="S54" s="252"/>
      <c r="T54" s="251"/>
      <c r="U54" s="252"/>
      <c r="V54" s="122"/>
      <c r="W54" s="122"/>
    </row>
    <row r="55" spans="1:23" ht="12" customHeight="1">
      <c r="A55" s="122"/>
      <c r="B55" s="247"/>
      <c r="C55" s="248"/>
      <c r="D55" s="247"/>
      <c r="E55" s="248"/>
      <c r="F55" s="247"/>
      <c r="G55" s="248"/>
      <c r="H55" s="247"/>
      <c r="I55" s="248"/>
      <c r="J55" s="247"/>
      <c r="K55" s="248"/>
      <c r="L55" s="247"/>
      <c r="M55" s="248"/>
      <c r="N55" s="247"/>
      <c r="O55" s="248"/>
      <c r="P55" s="247"/>
      <c r="Q55" s="248"/>
      <c r="R55" s="247"/>
      <c r="S55" s="248"/>
      <c r="T55" s="247"/>
      <c r="U55" s="248"/>
      <c r="V55" s="122"/>
      <c r="W55" s="122"/>
    </row>
    <row r="56" spans="1:23" ht="12" customHeight="1">
      <c r="A56" s="122"/>
      <c r="B56" s="249"/>
      <c r="C56" s="250"/>
      <c r="D56" s="249"/>
      <c r="E56" s="250"/>
      <c r="F56" s="249"/>
      <c r="G56" s="250"/>
      <c r="H56" s="249"/>
      <c r="I56" s="250"/>
      <c r="J56" s="249"/>
      <c r="K56" s="250"/>
      <c r="L56" s="249"/>
      <c r="M56" s="250"/>
      <c r="N56" s="249"/>
      <c r="O56" s="250"/>
      <c r="P56" s="249"/>
      <c r="Q56" s="250"/>
      <c r="R56" s="249"/>
      <c r="S56" s="250"/>
      <c r="T56" s="249"/>
      <c r="U56" s="250"/>
      <c r="V56" s="122"/>
      <c r="W56" s="122"/>
    </row>
    <row r="57" spans="1:23" ht="12" customHeight="1">
      <c r="A57" s="122"/>
      <c r="B57" s="249"/>
      <c r="C57" s="250"/>
      <c r="D57" s="249"/>
      <c r="E57" s="250"/>
      <c r="F57" s="249"/>
      <c r="G57" s="250"/>
      <c r="H57" s="249"/>
      <c r="I57" s="250"/>
      <c r="J57" s="249"/>
      <c r="K57" s="250"/>
      <c r="L57" s="249"/>
      <c r="M57" s="250"/>
      <c r="N57" s="249"/>
      <c r="O57" s="250"/>
      <c r="P57" s="249"/>
      <c r="Q57" s="250"/>
      <c r="R57" s="249"/>
      <c r="S57" s="250"/>
      <c r="T57" s="249"/>
      <c r="U57" s="250"/>
      <c r="V57" s="122"/>
      <c r="W57" s="122"/>
    </row>
    <row r="58" spans="1:23" ht="12" customHeight="1">
      <c r="A58" s="122"/>
      <c r="B58" s="249"/>
      <c r="C58" s="250"/>
      <c r="D58" s="249"/>
      <c r="E58" s="250"/>
      <c r="F58" s="249"/>
      <c r="G58" s="250"/>
      <c r="H58" s="249"/>
      <c r="I58" s="250"/>
      <c r="J58" s="249"/>
      <c r="K58" s="250"/>
      <c r="L58" s="249"/>
      <c r="M58" s="250"/>
      <c r="N58" s="249"/>
      <c r="O58" s="250"/>
      <c r="P58" s="249"/>
      <c r="Q58" s="250"/>
      <c r="R58" s="249"/>
      <c r="S58" s="250"/>
      <c r="T58" s="249"/>
      <c r="U58" s="250"/>
      <c r="V58" s="122"/>
      <c r="W58" s="122"/>
    </row>
    <row r="59" spans="1:23" ht="12" customHeight="1" thickBot="1">
      <c r="A59" s="141">
        <v>9</v>
      </c>
      <c r="B59" s="251"/>
      <c r="C59" s="252"/>
      <c r="D59" s="251"/>
      <c r="E59" s="252"/>
      <c r="F59" s="251"/>
      <c r="G59" s="252"/>
      <c r="H59" s="251"/>
      <c r="I59" s="252"/>
      <c r="J59" s="251"/>
      <c r="K59" s="252"/>
      <c r="L59" s="251"/>
      <c r="M59" s="252"/>
      <c r="N59" s="251"/>
      <c r="O59" s="252"/>
      <c r="P59" s="251"/>
      <c r="Q59" s="252"/>
      <c r="R59" s="251"/>
      <c r="S59" s="252"/>
      <c r="T59" s="251"/>
      <c r="U59" s="252"/>
      <c r="V59" s="122"/>
      <c r="W59" s="122"/>
    </row>
    <row r="60" spans="1:23" ht="12" customHeight="1">
      <c r="A60" s="122"/>
      <c r="B60" s="247"/>
      <c r="C60" s="248"/>
      <c r="D60" s="247"/>
      <c r="E60" s="248"/>
      <c r="F60" s="247"/>
      <c r="G60" s="248"/>
      <c r="H60" s="247"/>
      <c r="I60" s="248"/>
      <c r="J60" s="247"/>
      <c r="K60" s="248"/>
      <c r="L60" s="247"/>
      <c r="M60" s="248"/>
      <c r="N60" s="247"/>
      <c r="O60" s="248"/>
      <c r="P60" s="247"/>
      <c r="Q60" s="248"/>
      <c r="R60" s="247"/>
      <c r="S60" s="248"/>
      <c r="T60" s="247"/>
      <c r="U60" s="248"/>
      <c r="V60" s="122"/>
      <c r="W60" s="122"/>
    </row>
    <row r="61" spans="1:23" ht="12" customHeight="1">
      <c r="A61" s="122"/>
      <c r="B61" s="249"/>
      <c r="C61" s="250"/>
      <c r="D61" s="249"/>
      <c r="E61" s="250"/>
      <c r="F61" s="249"/>
      <c r="G61" s="250"/>
      <c r="H61" s="249"/>
      <c r="I61" s="250"/>
      <c r="J61" s="249"/>
      <c r="K61" s="250"/>
      <c r="L61" s="249"/>
      <c r="M61" s="250"/>
      <c r="N61" s="249"/>
      <c r="O61" s="250"/>
      <c r="P61" s="249"/>
      <c r="Q61" s="250"/>
      <c r="R61" s="249"/>
      <c r="S61" s="250"/>
      <c r="T61" s="249"/>
      <c r="U61" s="250"/>
      <c r="V61" s="122"/>
      <c r="W61" s="122"/>
    </row>
    <row r="62" spans="1:23" ht="12" customHeight="1">
      <c r="A62" s="122"/>
      <c r="B62" s="249"/>
      <c r="C62" s="250"/>
      <c r="D62" s="249"/>
      <c r="E62" s="250"/>
      <c r="F62" s="249"/>
      <c r="G62" s="250"/>
      <c r="H62" s="249"/>
      <c r="I62" s="250"/>
      <c r="J62" s="249"/>
      <c r="K62" s="250"/>
      <c r="L62" s="249"/>
      <c r="M62" s="250"/>
      <c r="N62" s="249"/>
      <c r="O62" s="250"/>
      <c r="P62" s="249"/>
      <c r="Q62" s="250"/>
      <c r="R62" s="249"/>
      <c r="S62" s="250"/>
      <c r="T62" s="249"/>
      <c r="U62" s="250"/>
      <c r="V62" s="122"/>
      <c r="W62" s="122"/>
    </row>
    <row r="63" spans="1:23" ht="12" customHeight="1">
      <c r="A63" s="122"/>
      <c r="B63" s="249"/>
      <c r="C63" s="250"/>
      <c r="D63" s="249"/>
      <c r="E63" s="250"/>
      <c r="F63" s="249"/>
      <c r="G63" s="250"/>
      <c r="H63" s="249"/>
      <c r="I63" s="250"/>
      <c r="J63" s="249"/>
      <c r="K63" s="250"/>
      <c r="L63" s="249"/>
      <c r="M63" s="250"/>
      <c r="N63" s="249"/>
      <c r="O63" s="250"/>
      <c r="P63" s="249"/>
      <c r="Q63" s="250"/>
      <c r="R63" s="249"/>
      <c r="S63" s="250"/>
      <c r="T63" s="249"/>
      <c r="U63" s="250"/>
      <c r="V63" s="122"/>
      <c r="W63" s="122"/>
    </row>
    <row r="64" spans="1:23" ht="12" customHeight="1" thickBot="1">
      <c r="A64" s="141">
        <v>10</v>
      </c>
      <c r="B64" s="251"/>
      <c r="C64" s="252"/>
      <c r="D64" s="251"/>
      <c r="E64" s="252"/>
      <c r="F64" s="251"/>
      <c r="G64" s="252"/>
      <c r="H64" s="251"/>
      <c r="I64" s="252"/>
      <c r="J64" s="251"/>
      <c r="K64" s="252"/>
      <c r="L64" s="251"/>
      <c r="M64" s="252"/>
      <c r="N64" s="251"/>
      <c r="O64" s="252"/>
      <c r="P64" s="251"/>
      <c r="Q64" s="252"/>
      <c r="R64" s="251"/>
      <c r="S64" s="252"/>
      <c r="T64" s="251"/>
      <c r="U64" s="252"/>
      <c r="V64" s="122"/>
      <c r="W64" s="122"/>
    </row>
    <row r="65" spans="1:21" ht="12" customHeight="1">
      <c r="B65" s="253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</row>
    <row r="66" spans="1:21" ht="12" customHeight="1">
      <c r="B66" s="253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</row>
    <row r="67" spans="1:21" ht="12" customHeight="1"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</row>
    <row r="68" spans="1:21" ht="12" customHeight="1">
      <c r="B68" s="253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</row>
    <row r="69" spans="1:21" ht="12" customHeight="1">
      <c r="A69" s="180">
        <v>11</v>
      </c>
      <c r="B69" s="253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</row>
    <row r="70" spans="1:21" ht="12" customHeight="1">
      <c r="B70" s="253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</row>
    <row r="71" spans="1:21" ht="12" customHeight="1">
      <c r="B71" s="253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</row>
    <row r="72" spans="1:21" ht="12" customHeight="1">
      <c r="B72" s="253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</row>
    <row r="73" spans="1:21" ht="12" customHeight="1">
      <c r="B73" s="253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253"/>
      <c r="P73" s="253"/>
      <c r="Q73" s="253"/>
      <c r="R73" s="253"/>
      <c r="S73" s="253"/>
      <c r="T73" s="253"/>
      <c r="U73" s="253"/>
    </row>
    <row r="74" spans="1:21" ht="12" customHeight="1">
      <c r="A74" s="180">
        <v>12</v>
      </c>
      <c r="B74" s="253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253"/>
      <c r="P74" s="253"/>
      <c r="Q74" s="253"/>
      <c r="R74" s="253"/>
      <c r="S74" s="253"/>
      <c r="T74" s="253"/>
      <c r="U74" s="253"/>
    </row>
    <row r="75" spans="1:21" ht="12" customHeight="1">
      <c r="B75" s="253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</row>
    <row r="76" spans="1:21" ht="12" customHeight="1">
      <c r="B76" s="253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253"/>
      <c r="P76" s="253"/>
      <c r="Q76" s="253"/>
      <c r="R76" s="253"/>
      <c r="S76" s="253"/>
      <c r="T76" s="253"/>
      <c r="U76" s="253"/>
    </row>
    <row r="77" spans="1:21" ht="12" customHeight="1">
      <c r="B77" s="253"/>
      <c r="C77" s="253"/>
      <c r="D77" s="253"/>
      <c r="E77" s="253"/>
      <c r="F77" s="253"/>
      <c r="G77" s="253"/>
      <c r="H77" s="253"/>
      <c r="I77" s="253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</row>
    <row r="78" spans="1:21" ht="12" customHeight="1">
      <c r="B78" s="253"/>
      <c r="C78" s="253"/>
      <c r="D78" s="253"/>
      <c r="E78" s="253"/>
      <c r="F78" s="253"/>
      <c r="G78" s="253"/>
      <c r="H78" s="253"/>
      <c r="I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</row>
    <row r="79" spans="1:21" ht="12" customHeight="1">
      <c r="A79" s="180">
        <v>13</v>
      </c>
      <c r="B79" s="253"/>
      <c r="C79" s="253"/>
      <c r="D79" s="253"/>
      <c r="E79" s="253"/>
      <c r="F79" s="253"/>
      <c r="G79" s="253"/>
      <c r="H79" s="253"/>
      <c r="I79" s="253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</row>
    <row r="80" spans="1:21" ht="12" customHeight="1">
      <c r="B80" s="253"/>
      <c r="C80" s="253"/>
      <c r="D80" s="253"/>
      <c r="E80" s="253"/>
      <c r="F80" s="253"/>
      <c r="G80" s="253"/>
      <c r="H80" s="253"/>
      <c r="I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</row>
    <row r="81" spans="1:21" ht="12" customHeight="1">
      <c r="B81" s="253"/>
      <c r="C81" s="253"/>
      <c r="D81" s="253"/>
      <c r="E81" s="253"/>
      <c r="F81" s="253"/>
      <c r="G81" s="253"/>
      <c r="H81" s="253"/>
      <c r="I81" s="253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</row>
    <row r="82" spans="1:21" ht="12" customHeight="1">
      <c r="B82" s="253"/>
      <c r="C82" s="253"/>
      <c r="D82" s="253"/>
      <c r="E82" s="253"/>
      <c r="F82" s="253"/>
      <c r="G82" s="253"/>
      <c r="H82" s="253"/>
      <c r="I82" s="253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</row>
    <row r="83" spans="1:21" ht="12" customHeight="1">
      <c r="B83" s="253"/>
      <c r="C83" s="253"/>
      <c r="D83" s="253"/>
      <c r="E83" s="253"/>
      <c r="F83" s="253"/>
      <c r="G83" s="253"/>
      <c r="H83" s="253"/>
      <c r="I83" s="253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</row>
    <row r="84" spans="1:21" ht="12" customHeight="1">
      <c r="A84" s="180">
        <v>14</v>
      </c>
      <c r="B84" s="253"/>
      <c r="C84" s="253"/>
      <c r="D84" s="253"/>
      <c r="E84" s="253"/>
      <c r="F84" s="253"/>
      <c r="G84" s="253"/>
      <c r="H84" s="253"/>
      <c r="I84" s="253"/>
      <c r="J84" s="253"/>
      <c r="K84" s="253"/>
      <c r="L84" s="253"/>
      <c r="M84" s="253"/>
      <c r="N84" s="253"/>
      <c r="O84" s="253"/>
      <c r="P84" s="253"/>
      <c r="Q84" s="253"/>
      <c r="R84" s="253"/>
      <c r="S84" s="253"/>
      <c r="T84" s="253"/>
      <c r="U84" s="253"/>
    </row>
    <row r="85" spans="1:21" ht="12" customHeight="1">
      <c r="B85" s="253"/>
      <c r="C85" s="253"/>
      <c r="D85" s="253"/>
      <c r="E85" s="253"/>
      <c r="F85" s="253"/>
      <c r="G85" s="253"/>
      <c r="H85" s="253"/>
      <c r="I85" s="253"/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  <c r="U85" s="253"/>
    </row>
    <row r="86" spans="1:21" ht="12" customHeight="1">
      <c r="B86" s="253"/>
      <c r="C86" s="253"/>
      <c r="D86" s="253"/>
      <c r="E86" s="253"/>
      <c r="F86" s="253"/>
      <c r="G86" s="253"/>
      <c r="H86" s="253"/>
      <c r="I86" s="253"/>
      <c r="J86" s="253"/>
      <c r="K86" s="253"/>
      <c r="L86" s="253"/>
      <c r="M86" s="253"/>
      <c r="N86" s="253"/>
      <c r="O86" s="253"/>
      <c r="P86" s="253"/>
      <c r="Q86" s="253"/>
      <c r="R86" s="253"/>
      <c r="S86" s="253"/>
      <c r="T86" s="253"/>
      <c r="U86" s="253"/>
    </row>
    <row r="87" spans="1:21" ht="12" customHeight="1">
      <c r="B87" s="253"/>
      <c r="C87" s="253"/>
      <c r="D87" s="253"/>
      <c r="E87" s="253"/>
      <c r="F87" s="253"/>
      <c r="G87" s="253"/>
      <c r="H87" s="253"/>
      <c r="I87" s="253"/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  <c r="U87" s="253"/>
    </row>
    <row r="88" spans="1:21" ht="12" customHeight="1">
      <c r="B88" s="253"/>
      <c r="C88" s="253"/>
      <c r="D88" s="253"/>
      <c r="E88" s="253"/>
      <c r="F88" s="253"/>
      <c r="G88" s="253"/>
      <c r="H88" s="253"/>
      <c r="I88" s="253"/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  <c r="U88" s="253"/>
    </row>
    <row r="89" spans="1:21" ht="12" customHeight="1">
      <c r="A89" s="180">
        <v>15</v>
      </c>
      <c r="B89" s="253"/>
      <c r="C89" s="253"/>
      <c r="D89" s="253"/>
      <c r="E89" s="253"/>
      <c r="F89" s="253"/>
      <c r="G89" s="253"/>
      <c r="H89" s="253"/>
      <c r="I89" s="253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</row>
    <row r="90" spans="1:21" ht="12" customHeight="1">
      <c r="B90" s="253"/>
      <c r="C90" s="253"/>
      <c r="D90" s="253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</row>
    <row r="91" spans="1:21" ht="12" customHeight="1">
      <c r="B91" s="253"/>
      <c r="C91" s="25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</row>
    <row r="92" spans="1:21" ht="12" customHeight="1">
      <c r="B92" s="253"/>
      <c r="C92" s="253"/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</row>
    <row r="93" spans="1:21" ht="12" customHeight="1">
      <c r="B93" s="253"/>
      <c r="C93" s="25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</row>
    <row r="94" spans="1:21" ht="12" customHeight="1">
      <c r="A94" s="180">
        <v>16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</row>
    <row r="95" spans="1:21" ht="12" customHeight="1">
      <c r="B95" s="253"/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</row>
    <row r="96" spans="1:21" ht="12" customHeight="1">
      <c r="B96" s="253"/>
      <c r="C96" s="253"/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</row>
    <row r="97" spans="1:21" ht="12" customHeight="1">
      <c r="B97" s="253"/>
      <c r="C97" s="25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</row>
    <row r="98" spans="1:21" ht="12" customHeight="1">
      <c r="B98" s="253"/>
      <c r="C98" s="253"/>
      <c r="D98" s="253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</row>
    <row r="99" spans="1:21" ht="12" customHeight="1">
      <c r="A99" s="180">
        <v>17</v>
      </c>
      <c r="B99" s="253"/>
      <c r="C99" s="253"/>
      <c r="D99" s="253"/>
      <c r="E99" s="253"/>
      <c r="F99" s="253"/>
      <c r="G99" s="253"/>
      <c r="H99" s="253"/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1:21" ht="12" customHeight="1">
      <c r="B100" s="253"/>
      <c r="C100" s="253"/>
      <c r="D100" s="253"/>
      <c r="E100" s="253"/>
      <c r="F100" s="253"/>
      <c r="G100" s="253"/>
      <c r="H100" s="253"/>
      <c r="I100" s="253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</row>
    <row r="101" spans="1:21" ht="12" customHeight="1">
      <c r="B101" s="253"/>
      <c r="C101" s="253"/>
      <c r="D101" s="253"/>
      <c r="E101" s="253"/>
      <c r="F101" s="253"/>
      <c r="G101" s="253"/>
      <c r="H101" s="253"/>
      <c r="I101" s="253"/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1:21" ht="12" customHeight="1">
      <c r="B102" s="253"/>
      <c r="C102" s="253"/>
      <c r="D102" s="253"/>
      <c r="E102" s="253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</row>
    <row r="103" spans="1:21" ht="12" customHeight="1">
      <c r="B103" s="253"/>
      <c r="C103" s="253"/>
      <c r="D103" s="253"/>
      <c r="E103" s="253"/>
      <c r="F103" s="253"/>
      <c r="G103" s="253"/>
      <c r="H103" s="253"/>
      <c r="I103" s="253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1:21" ht="12" customHeight="1">
      <c r="A104" s="180">
        <v>18</v>
      </c>
      <c r="B104" s="253"/>
      <c r="C104" s="253"/>
      <c r="D104" s="253"/>
      <c r="E104" s="253"/>
      <c r="F104" s="253"/>
      <c r="G104" s="253"/>
      <c r="H104" s="253"/>
      <c r="I104" s="253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</row>
    <row r="105" spans="1:21" ht="12" customHeight="1">
      <c r="B105" s="253"/>
      <c r="C105" s="253"/>
      <c r="D105" s="253"/>
      <c r="E105" s="253"/>
      <c r="F105" s="253"/>
      <c r="G105" s="253"/>
      <c r="H105" s="253"/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1:21" ht="12" customHeight="1">
      <c r="B106" s="253"/>
      <c r="C106" s="253"/>
      <c r="D106" s="253"/>
      <c r="E106" s="253"/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1:21" ht="12" customHeight="1">
      <c r="B107" s="253"/>
      <c r="C107" s="253"/>
      <c r="D107" s="253"/>
      <c r="E107" s="253"/>
      <c r="F107" s="253"/>
      <c r="G107" s="253"/>
      <c r="H107" s="253"/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1:21" ht="12" customHeight="1">
      <c r="B108" s="253"/>
      <c r="C108" s="253"/>
      <c r="D108" s="253"/>
      <c r="E108" s="253"/>
      <c r="F108" s="253"/>
      <c r="G108" s="253"/>
      <c r="H108" s="253"/>
      <c r="I108" s="253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</row>
    <row r="109" spans="1:21" ht="12" customHeight="1">
      <c r="A109" s="180">
        <v>19</v>
      </c>
      <c r="B109" s="253"/>
      <c r="C109" s="253"/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</row>
    <row r="110" spans="1:21" ht="12" customHeight="1">
      <c r="B110" s="253"/>
      <c r="C110" s="253"/>
      <c r="D110" s="253"/>
      <c r="E110" s="253"/>
      <c r="F110" s="253"/>
      <c r="G110" s="253"/>
      <c r="H110" s="253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</row>
    <row r="111" spans="1:21" ht="12" customHeight="1">
      <c r="B111" s="253"/>
      <c r="C111" s="253"/>
      <c r="D111" s="253"/>
      <c r="E111" s="253"/>
      <c r="F111" s="253"/>
      <c r="G111" s="253"/>
      <c r="H111" s="253"/>
      <c r="I111" s="253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</row>
    <row r="112" spans="1:21" ht="12" customHeight="1">
      <c r="B112" s="253"/>
      <c r="C112" s="253"/>
      <c r="D112" s="253"/>
      <c r="E112" s="253"/>
      <c r="F112" s="253"/>
      <c r="G112" s="253"/>
      <c r="H112" s="253"/>
      <c r="I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</row>
    <row r="113" spans="1:21" ht="12" customHeight="1">
      <c r="B113" s="253"/>
      <c r="C113" s="253"/>
      <c r="D113" s="253"/>
      <c r="E113" s="253"/>
      <c r="F113" s="253"/>
      <c r="G113" s="253"/>
      <c r="H113" s="253"/>
      <c r="I113" s="253"/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</row>
    <row r="114" spans="1:21" ht="12" customHeight="1">
      <c r="A114" s="180">
        <v>20</v>
      </c>
      <c r="B114" s="253"/>
      <c r="C114" s="253"/>
      <c r="D114" s="253"/>
      <c r="E114" s="253"/>
      <c r="F114" s="253"/>
      <c r="G114" s="253"/>
      <c r="H114" s="253"/>
      <c r="I114" s="253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</row>
    <row r="115" spans="1:21" ht="12" customHeight="1">
      <c r="B115" s="25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</row>
    <row r="116" spans="1:21" ht="12" customHeight="1">
      <c r="B116" s="253"/>
      <c r="C116" s="253"/>
      <c r="D116" s="253"/>
      <c r="E116" s="253"/>
      <c r="F116" s="253"/>
      <c r="G116" s="253"/>
      <c r="H116" s="253"/>
      <c r="I116" s="253"/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</row>
    <row r="117" spans="1:21" ht="12" customHeight="1">
      <c r="B117" s="253"/>
      <c r="C117" s="253"/>
      <c r="D117" s="253"/>
      <c r="E117" s="253"/>
      <c r="F117" s="253"/>
      <c r="G117" s="253"/>
      <c r="H117" s="253"/>
      <c r="I117" s="253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</row>
    <row r="118" spans="1:21" ht="12" customHeight="1">
      <c r="B118" s="253"/>
      <c r="C118" s="253"/>
      <c r="D118" s="253"/>
      <c r="E118" s="253"/>
      <c r="F118" s="253"/>
      <c r="G118" s="253"/>
      <c r="H118" s="253"/>
      <c r="I118" s="253"/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</row>
    <row r="119" spans="1:21" ht="12" customHeight="1">
      <c r="A119" s="180">
        <v>21</v>
      </c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</row>
    <row r="120" spans="1:21" ht="12" customHeight="1">
      <c r="B120" s="253"/>
      <c r="C120" s="253"/>
      <c r="D120" s="253"/>
      <c r="E120" s="253"/>
      <c r="F120" s="253"/>
      <c r="G120" s="253"/>
      <c r="H120" s="253"/>
      <c r="I120" s="253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</row>
    <row r="121" spans="1:21" ht="12" customHeight="1"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  <c r="U121" s="253"/>
    </row>
    <row r="122" spans="1:21" ht="12" customHeight="1">
      <c r="B122" s="253"/>
      <c r="C122" s="253"/>
      <c r="D122" s="253"/>
      <c r="E122" s="253"/>
      <c r="F122" s="253"/>
      <c r="G122" s="253"/>
      <c r="H122" s="253"/>
      <c r="I122" s="253"/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</row>
    <row r="123" spans="1:21" ht="12" customHeight="1">
      <c r="B123" s="253"/>
      <c r="C123" s="253"/>
      <c r="D123" s="253"/>
      <c r="E123" s="253"/>
      <c r="F123" s="253"/>
      <c r="G123" s="253"/>
      <c r="H123" s="253"/>
      <c r="I123" s="253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</row>
    <row r="124" spans="1:21" ht="12" customHeight="1">
      <c r="A124" s="180">
        <v>22</v>
      </c>
      <c r="B124" s="253"/>
      <c r="C124" s="253"/>
      <c r="D124" s="253"/>
      <c r="E124" s="253"/>
      <c r="F124" s="253"/>
      <c r="G124" s="253"/>
      <c r="H124" s="253"/>
      <c r="I124" s="253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</row>
    <row r="125" spans="1:21" ht="12" customHeight="1">
      <c r="B125" s="253"/>
      <c r="C125" s="253"/>
      <c r="D125" s="253"/>
      <c r="E125" s="253"/>
      <c r="F125" s="253"/>
      <c r="G125" s="253"/>
      <c r="H125" s="253"/>
      <c r="I125" s="253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</row>
    <row r="126" spans="1:21" ht="12" customHeight="1">
      <c r="B126" s="253"/>
      <c r="C126" s="253"/>
      <c r="D126" s="253"/>
      <c r="E126" s="253"/>
      <c r="F126" s="253"/>
      <c r="G126" s="253"/>
      <c r="H126" s="253"/>
      <c r="I126" s="253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</row>
    <row r="127" spans="1:21" ht="12" customHeight="1">
      <c r="B127" s="253"/>
      <c r="C127" s="253"/>
      <c r="D127" s="253"/>
      <c r="E127" s="253"/>
      <c r="F127" s="253"/>
      <c r="G127" s="253"/>
      <c r="H127" s="253"/>
      <c r="I127" s="253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</row>
    <row r="128" spans="1:21" ht="12" customHeight="1">
      <c r="B128" s="253"/>
      <c r="C128" s="253"/>
      <c r="D128" s="253"/>
      <c r="E128" s="253"/>
      <c r="F128" s="253"/>
      <c r="G128" s="253"/>
      <c r="H128" s="253"/>
      <c r="I128" s="253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</row>
    <row r="129" spans="1:21" ht="12" customHeight="1">
      <c r="A129" s="180">
        <v>23</v>
      </c>
      <c r="B129" s="253"/>
      <c r="C129" s="253"/>
      <c r="D129" s="253"/>
      <c r="E129" s="253"/>
      <c r="F129" s="253"/>
      <c r="G129" s="253"/>
      <c r="H129" s="253"/>
      <c r="I129" s="253"/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</row>
    <row r="130" spans="1:21" ht="12" customHeight="1">
      <c r="B130" s="253"/>
      <c r="C130" s="253"/>
      <c r="D130" s="253"/>
      <c r="E130" s="253"/>
      <c r="F130" s="253"/>
      <c r="G130" s="253"/>
      <c r="H130" s="253"/>
      <c r="I130" s="253"/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  <c r="U130" s="253"/>
    </row>
    <row r="131" spans="1:21" ht="12" customHeight="1">
      <c r="B131" s="253"/>
      <c r="C131" s="253"/>
      <c r="D131" s="253"/>
      <c r="E131" s="253"/>
      <c r="F131" s="253"/>
      <c r="G131" s="253"/>
      <c r="H131" s="253"/>
      <c r="I131" s="253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</row>
    <row r="132" spans="1:21" ht="12" customHeight="1">
      <c r="B132" s="253"/>
      <c r="C132" s="253"/>
      <c r="D132" s="253"/>
      <c r="E132" s="253"/>
      <c r="F132" s="253"/>
      <c r="G132" s="253"/>
      <c r="H132" s="253"/>
      <c r="I132" s="253"/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  <c r="U132" s="253"/>
    </row>
    <row r="133" spans="1:21" ht="12" customHeight="1">
      <c r="B133" s="25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</row>
    <row r="134" spans="1:21" ht="12" customHeight="1">
      <c r="A134" s="180">
        <v>24</v>
      </c>
      <c r="B134" s="253"/>
      <c r="C134" s="253"/>
      <c r="D134" s="253"/>
      <c r="E134" s="253"/>
      <c r="F134" s="253"/>
      <c r="G134" s="253"/>
      <c r="H134" s="253"/>
      <c r="I134" s="253"/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</row>
    <row r="135" spans="1:21" ht="12" customHeight="1">
      <c r="B135" s="253"/>
      <c r="C135" s="253"/>
      <c r="D135" s="253"/>
      <c r="E135" s="253"/>
      <c r="F135" s="253"/>
      <c r="G135" s="253"/>
      <c r="H135" s="253"/>
      <c r="I135" s="253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</row>
    <row r="136" spans="1:21" ht="12" customHeight="1">
      <c r="B136" s="253"/>
      <c r="C136" s="253"/>
      <c r="D136" s="253"/>
      <c r="E136" s="253"/>
      <c r="F136" s="253"/>
      <c r="G136" s="253"/>
      <c r="H136" s="253"/>
      <c r="I136" s="253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</row>
    <row r="137" spans="1:21" ht="12" customHeight="1">
      <c r="B137" s="253"/>
      <c r="C137" s="253"/>
      <c r="D137" s="253"/>
      <c r="E137" s="253"/>
      <c r="F137" s="253"/>
      <c r="G137" s="253"/>
      <c r="H137" s="253"/>
      <c r="I137" s="253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</row>
    <row r="138" spans="1:21" ht="12" customHeight="1">
      <c r="B138" s="253"/>
      <c r="C138" s="253"/>
      <c r="D138" s="253"/>
      <c r="E138" s="253"/>
      <c r="F138" s="253"/>
      <c r="G138" s="253"/>
      <c r="H138" s="253"/>
      <c r="I138" s="253"/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</row>
    <row r="139" spans="1:21" ht="12" customHeight="1">
      <c r="A139" s="180">
        <v>25</v>
      </c>
      <c r="B139" s="253"/>
      <c r="C139" s="253"/>
      <c r="D139" s="253"/>
      <c r="E139" s="253"/>
      <c r="F139" s="253"/>
      <c r="G139" s="253"/>
      <c r="H139" s="253"/>
      <c r="I139" s="253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</row>
    <row r="140" spans="1:21" ht="12" customHeight="1">
      <c r="B140" s="253"/>
      <c r="C140" s="253"/>
      <c r="D140" s="253"/>
      <c r="E140" s="253"/>
      <c r="F140" s="253"/>
      <c r="G140" s="253"/>
      <c r="H140" s="253"/>
      <c r="I140" s="253"/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</row>
    <row r="141" spans="1:21" ht="12" customHeight="1">
      <c r="B141" s="253"/>
      <c r="C141" s="253"/>
      <c r="D141" s="253"/>
      <c r="E141" s="253"/>
      <c r="F141" s="253"/>
      <c r="G141" s="253"/>
      <c r="H141" s="253"/>
      <c r="I141" s="253"/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</row>
    <row r="142" spans="1:21" ht="12" customHeight="1">
      <c r="B142" s="253"/>
      <c r="C142" s="253"/>
      <c r="D142" s="253"/>
      <c r="E142" s="253"/>
      <c r="F142" s="253"/>
      <c r="G142" s="253"/>
      <c r="H142" s="253"/>
      <c r="I142" s="253"/>
      <c r="J142" s="253"/>
      <c r="K142" s="253"/>
      <c r="L142" s="253"/>
      <c r="M142" s="253"/>
      <c r="N142" s="253"/>
      <c r="O142" s="253"/>
      <c r="P142" s="253"/>
      <c r="Q142" s="253"/>
      <c r="R142" s="253"/>
      <c r="S142" s="253"/>
      <c r="T142" s="253"/>
      <c r="U142" s="253"/>
    </row>
    <row r="143" spans="1:21" ht="12" customHeight="1">
      <c r="B143" s="253"/>
      <c r="C143" s="253"/>
      <c r="D143" s="253"/>
      <c r="E143" s="253"/>
      <c r="F143" s="253"/>
      <c r="G143" s="253"/>
      <c r="H143" s="253"/>
      <c r="I143" s="253"/>
      <c r="J143" s="253"/>
      <c r="K143" s="253"/>
      <c r="L143" s="253"/>
      <c r="M143" s="253"/>
      <c r="N143" s="253"/>
      <c r="O143" s="253"/>
      <c r="P143" s="253"/>
      <c r="Q143" s="253"/>
      <c r="R143" s="253"/>
      <c r="S143" s="253"/>
      <c r="T143" s="253"/>
      <c r="U143" s="253"/>
    </row>
    <row r="144" spans="1:21" ht="12" customHeight="1">
      <c r="A144" s="180">
        <v>26</v>
      </c>
      <c r="B144" s="253"/>
      <c r="C144" s="253"/>
      <c r="D144" s="253"/>
      <c r="E144" s="253"/>
      <c r="F144" s="253"/>
      <c r="G144" s="253"/>
      <c r="H144" s="253"/>
      <c r="I144" s="253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</row>
    <row r="146" spans="1:23">
      <c r="A146" s="434" t="str">
        <f>HYPERLINK("#'11월'!A1","← 11월 월간 가계부로 돌아가기")</f>
        <v>← 11월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0</v>
      </c>
      <c r="J149" s="433"/>
      <c r="K149" s="433"/>
      <c r="L149" s="433"/>
      <c r="M149" s="433"/>
      <c r="N149" s="365"/>
      <c r="O149" s="362" t="str">
        <f>IF('11월'!AA1,I149=('11월'!M28),"미입력")</f>
        <v>미입력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0</v>
      </c>
      <c r="J150" s="433"/>
      <c r="K150" s="433"/>
      <c r="L150" s="433"/>
      <c r="M150" s="433"/>
      <c r="N150" s="365"/>
      <c r="O150" s="362" t="str">
        <f>IF('11월'!AA1,I150=('11월'!I38),"미입력")</f>
        <v>미입력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580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B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8" width="13" hidden="1" customWidth="1"/>
  </cols>
  <sheetData>
    <row r="1" spans="1:27" ht="31" customHeight="1">
      <c r="A1" s="21" t="s">
        <v>305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306</v>
      </c>
      <c r="L1" s="15"/>
      <c r="M1" s="22"/>
      <c r="N1" s="22"/>
      <c r="O1" s="22"/>
      <c r="P1" s="22"/>
      <c r="Q1" s="22"/>
      <c r="R1" s="22"/>
      <c r="S1" s="22" t="s">
        <v>307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38</v>
      </c>
      <c r="C2" s="36" t="s">
        <v>308</v>
      </c>
      <c r="D2" s="36" t="s">
        <v>309</v>
      </c>
      <c r="E2" s="36" t="s">
        <v>310</v>
      </c>
      <c r="F2" s="36" t="s">
        <v>311</v>
      </c>
      <c r="G2" s="36" t="s">
        <v>312</v>
      </c>
      <c r="H2" s="36" t="s">
        <v>313</v>
      </c>
      <c r="I2" s="36" t="s">
        <v>314</v>
      </c>
      <c r="J2" s="12"/>
      <c r="K2" s="58" t="s">
        <v>557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315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316</v>
      </c>
      <c r="L3" s="48" t="s">
        <v>317</v>
      </c>
      <c r="M3" s="36" t="s">
        <v>318</v>
      </c>
      <c r="N3" s="36" t="s">
        <v>319</v>
      </c>
      <c r="O3" s="36" t="s">
        <v>320</v>
      </c>
      <c r="P3" s="36" t="s">
        <v>321</v>
      </c>
      <c r="Q3" s="36" t="s">
        <v>322</v>
      </c>
      <c r="R3" s="36" t="s">
        <v>323</v>
      </c>
      <c r="S3" s="36" t="s">
        <v>324</v>
      </c>
      <c r="T3" s="36" t="s">
        <v>325</v>
      </c>
      <c r="U3" s="36" t="s">
        <v>235</v>
      </c>
    </row>
    <row r="4" spans="1:27" ht="22" customHeight="1">
      <c r="A4" s="31" t="s">
        <v>323</v>
      </c>
      <c r="B4" s="27"/>
      <c r="C4" s="35" t="str">
        <f t="shared" ref="C4:H4" si="0">IF(COUNTIFS($A$52:$A$61,"&gt;="&amp;C3,$A$52:$A$61,"&lt;"&amp;C3+1,$D$52:$D$61,"&lt;&gt;")=0,"",SUMIFS($AB$52:$AB$61,$A$52:$A$61,"&gt;="&amp;C3,$A$52:$A$61,"&lt;"&amp;C3+1))</f>
        <v/>
      </c>
      <c r="D4" s="35" t="str">
        <f t="shared" si="0"/>
        <v/>
      </c>
      <c r="E4" s="35" t="str">
        <f t="shared" si="0"/>
        <v/>
      </c>
      <c r="F4" s="35" t="str">
        <f t="shared" si="0"/>
        <v/>
      </c>
      <c r="G4" s="35" t="str">
        <f t="shared" si="0"/>
        <v/>
      </c>
      <c r="H4" s="35" t="str">
        <f t="shared" si="0"/>
        <v/>
      </c>
      <c r="I4" s="45">
        <f>SUM(B4:H4)</f>
        <v>0</v>
      </c>
      <c r="J4" s="12"/>
      <c r="K4" s="31" t="s">
        <v>73</v>
      </c>
      <c r="L4" s="31"/>
      <c r="M4" s="27" t="s">
        <v>326</v>
      </c>
      <c r="N4" s="27" t="s">
        <v>524</v>
      </c>
      <c r="O4" s="57">
        <v>391000</v>
      </c>
      <c r="P4" s="35"/>
      <c r="Q4" s="27">
        <f t="shared" ref="Q4:Q24" si="1">IF(COUNTA(O4:P4)=0,"",O4-P4)</f>
        <v>391000</v>
      </c>
      <c r="R4" s="27">
        <f t="shared" ref="R4:R24" si="2">IF(Q4="","",ROUNDUP(Q4,-3))</f>
        <v>391000</v>
      </c>
      <c r="S4" s="27"/>
      <c r="T4" s="27"/>
      <c r="U4" s="57" t="s">
        <v>575</v>
      </c>
    </row>
    <row r="5" spans="1:27" ht="22" customHeight="1">
      <c r="A5" s="31" t="s">
        <v>322</v>
      </c>
      <c r="B5" s="27"/>
      <c r="C5" s="35" t="str">
        <f t="shared" ref="C5:H5" si="3">IF(COUNTIFS($A$52:$A$61,"&gt;="&amp;C3,$A$52:$A$61,"&lt;"&amp;C3+1,$D$52:$D$61,"&lt;&gt;")=0,"",SUMIFS($H$52:$H$61,$A$52:$A$61,"&gt;="&amp;C3,$A$52:$A$61,"&lt;"&amp;C3+1))</f>
        <v/>
      </c>
      <c r="D5" s="35" t="str">
        <f t="shared" si="3"/>
        <v/>
      </c>
      <c r="E5" s="35" t="str">
        <f t="shared" si="3"/>
        <v/>
      </c>
      <c r="F5" s="35" t="str">
        <f t="shared" si="3"/>
        <v/>
      </c>
      <c r="G5" s="35" t="str">
        <f t="shared" si="3"/>
        <v/>
      </c>
      <c r="H5" s="35" t="str">
        <f t="shared" si="3"/>
        <v/>
      </c>
      <c r="I5" s="45">
        <f>SUM(B5:H5)</f>
        <v>0</v>
      </c>
      <c r="J5" s="12"/>
      <c r="K5" s="38" t="s">
        <v>328</v>
      </c>
      <c r="L5" s="38" t="s">
        <v>581</v>
      </c>
      <c r="M5" s="34" t="s">
        <v>330</v>
      </c>
      <c r="N5" s="34" t="s">
        <v>331</v>
      </c>
      <c r="O5" s="57">
        <v>170350</v>
      </c>
      <c r="P5" s="35"/>
      <c r="Q5" s="34">
        <f t="shared" si="1"/>
        <v>170350</v>
      </c>
      <c r="R5" s="34">
        <f t="shared" si="2"/>
        <v>171000</v>
      </c>
      <c r="S5" s="34"/>
      <c r="T5" s="34" t="s">
        <v>332</v>
      </c>
      <c r="U5" s="57" t="s">
        <v>575</v>
      </c>
    </row>
    <row r="6" spans="1:27" ht="22" customHeight="1">
      <c r="A6" s="31" t="s">
        <v>223</v>
      </c>
      <c r="B6" s="27"/>
      <c r="C6" s="27" t="str">
        <f t="shared" ref="C6:H6" si="4">IF(COUNT(C4,C5)=0,"",SUM(C4)-SUM(C5))</f>
        <v/>
      </c>
      <c r="D6" s="27" t="str">
        <f t="shared" si="4"/>
        <v/>
      </c>
      <c r="E6" s="27" t="str">
        <f t="shared" si="4"/>
        <v/>
      </c>
      <c r="F6" s="27" t="str">
        <f t="shared" si="4"/>
        <v/>
      </c>
      <c r="G6" s="27" t="str">
        <f t="shared" si="4"/>
        <v/>
      </c>
      <c r="H6" s="27" t="str">
        <f t="shared" si="4"/>
        <v/>
      </c>
      <c r="I6" s="45">
        <f>SUM(B6:H6)</f>
        <v>0</v>
      </c>
      <c r="J6" s="12"/>
      <c r="K6" s="31" t="s">
        <v>333</v>
      </c>
      <c r="L6" s="31" t="s">
        <v>581</v>
      </c>
      <c r="M6" s="27" t="s">
        <v>330</v>
      </c>
      <c r="N6" s="27" t="s">
        <v>334</v>
      </c>
      <c r="O6" s="57">
        <v>7690</v>
      </c>
      <c r="P6" s="35"/>
      <c r="Q6" s="27">
        <f t="shared" si="1"/>
        <v>7690</v>
      </c>
      <c r="R6" s="27">
        <f t="shared" si="2"/>
        <v>8000</v>
      </c>
      <c r="S6" s="27"/>
      <c r="T6" s="27" t="s">
        <v>332</v>
      </c>
      <c r="U6" s="57" t="s">
        <v>575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335</v>
      </c>
      <c r="L7" s="38" t="s">
        <v>336</v>
      </c>
      <c r="M7" s="34" t="s">
        <v>330</v>
      </c>
      <c r="N7" s="34" t="s">
        <v>337</v>
      </c>
      <c r="O7" s="57">
        <v>143506</v>
      </c>
      <c r="P7" s="35"/>
      <c r="Q7" s="34">
        <f t="shared" si="1"/>
        <v>143506</v>
      </c>
      <c r="R7" s="34">
        <f t="shared" si="2"/>
        <v>144000</v>
      </c>
      <c r="S7" s="34"/>
      <c r="T7" s="34" t="s">
        <v>338</v>
      </c>
      <c r="U7" s="57" t="s">
        <v>575</v>
      </c>
    </row>
    <row r="8" spans="1:27" ht="22" customHeight="1">
      <c r="A8" s="39" t="s">
        <v>339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340</v>
      </c>
      <c r="L8" s="31" t="s">
        <v>341</v>
      </c>
      <c r="M8" s="27" t="s">
        <v>330</v>
      </c>
      <c r="N8" s="27" t="s">
        <v>342</v>
      </c>
      <c r="O8" s="57">
        <v>53620</v>
      </c>
      <c r="P8" s="35"/>
      <c r="Q8" s="27">
        <f t="shared" si="1"/>
        <v>53620</v>
      </c>
      <c r="R8" s="27">
        <f t="shared" si="2"/>
        <v>54000</v>
      </c>
      <c r="S8" s="27"/>
      <c r="T8" s="27" t="s">
        <v>332</v>
      </c>
      <c r="U8" s="57" t="s">
        <v>575</v>
      </c>
    </row>
    <row r="9" spans="1:27" ht="22" customHeight="1">
      <c r="A9" s="31" t="s">
        <v>323</v>
      </c>
      <c r="B9" s="35" t="str">
        <f t="shared" ref="B9:H9" si="5">IF(COUNTIFS($A$52:$A$61,"&gt;="&amp;B8,$A$52:$A$61,"&lt;"&amp;B8+1,$D$52:$D$61,"&lt;&gt;")=0,"",SUMIFS($AB$52:$AB$61,$A$52:$A$61,"&gt;="&amp;B8,$A$52:$A$61,"&lt;"&amp;B8+1))</f>
        <v/>
      </c>
      <c r="C9" s="35" t="str">
        <f t="shared" si="5"/>
        <v/>
      </c>
      <c r="D9" s="35" t="str">
        <f t="shared" si="5"/>
        <v/>
      </c>
      <c r="E9" s="35" t="str">
        <f t="shared" si="5"/>
        <v/>
      </c>
      <c r="F9" s="35" t="str">
        <f t="shared" si="5"/>
        <v/>
      </c>
      <c r="G9" s="35" t="str">
        <f t="shared" si="5"/>
        <v/>
      </c>
      <c r="H9" s="35" t="str">
        <f t="shared" si="5"/>
        <v/>
      </c>
      <c r="I9" s="45">
        <f>SUM(B9:H9)</f>
        <v>0</v>
      </c>
      <c r="J9" s="12"/>
      <c r="K9" s="38"/>
      <c r="L9" s="38" t="s">
        <v>343</v>
      </c>
      <c r="M9" s="34" t="s">
        <v>344</v>
      </c>
      <c r="N9" s="34" t="s">
        <v>345</v>
      </c>
      <c r="O9" s="57">
        <v>12400</v>
      </c>
      <c r="P9" s="35"/>
      <c r="Q9" s="34">
        <f t="shared" si="1"/>
        <v>12400</v>
      </c>
      <c r="R9" s="34">
        <f t="shared" si="2"/>
        <v>13000</v>
      </c>
      <c r="S9" s="34"/>
      <c r="T9" s="34" t="s">
        <v>332</v>
      </c>
      <c r="U9" s="57" t="s">
        <v>575</v>
      </c>
    </row>
    <row r="10" spans="1:27" ht="22" customHeight="1">
      <c r="A10" s="31" t="s">
        <v>322</v>
      </c>
      <c r="B10" s="35" t="str">
        <f t="shared" ref="B10:H10" si="6">IF(COUNTIFS($A$52:$A$61,"&gt;="&amp;B8,$A$52:$A$61,"&lt;"&amp;B8+1,$D$52:$D$61,"&lt;&gt;")=0,"",SUMIFS($H$52:$H$61,$A$52:$A$61,"&gt;="&amp;B8,$A$52:$A$61,"&lt;"&amp;B8+1))</f>
        <v/>
      </c>
      <c r="C10" s="35" t="str">
        <f t="shared" si="6"/>
        <v/>
      </c>
      <c r="D10" s="35" t="str">
        <f t="shared" si="6"/>
        <v/>
      </c>
      <c r="E10" s="35" t="str">
        <f t="shared" si="6"/>
        <v/>
      </c>
      <c r="F10" s="35" t="str">
        <f t="shared" si="6"/>
        <v/>
      </c>
      <c r="G10" s="35" t="str">
        <f t="shared" si="6"/>
        <v/>
      </c>
      <c r="H10" s="35" t="str">
        <f t="shared" si="6"/>
        <v/>
      </c>
      <c r="I10" s="45">
        <f>SUM(B10:H10)</f>
        <v>0</v>
      </c>
      <c r="J10" s="12"/>
      <c r="K10" s="31" t="s">
        <v>346</v>
      </c>
      <c r="L10" s="31" t="s">
        <v>526</v>
      </c>
      <c r="M10" s="27" t="s">
        <v>330</v>
      </c>
      <c r="N10" s="27" t="s">
        <v>527</v>
      </c>
      <c r="O10" s="57">
        <v>27610</v>
      </c>
      <c r="P10" s="35"/>
      <c r="Q10" s="27">
        <f t="shared" si="1"/>
        <v>27610</v>
      </c>
      <c r="R10" s="27">
        <f t="shared" si="2"/>
        <v>28000</v>
      </c>
      <c r="S10" s="27"/>
      <c r="T10" s="27" t="s">
        <v>332</v>
      </c>
      <c r="U10" s="57" t="s">
        <v>575</v>
      </c>
    </row>
    <row r="11" spans="1:27" ht="22" customHeight="1">
      <c r="A11" s="31" t="s">
        <v>223</v>
      </c>
      <c r="B11" s="27" t="str">
        <f t="shared" ref="B11:H11" si="7">IF(COUNT(B9,B10)=0,"",SUM(B9)-SUM(B10))</f>
        <v/>
      </c>
      <c r="C11" s="27" t="str">
        <f t="shared" si="7"/>
        <v/>
      </c>
      <c r="D11" s="27" t="str">
        <f t="shared" si="7"/>
        <v/>
      </c>
      <c r="E11" s="27" t="str">
        <f t="shared" si="7"/>
        <v/>
      </c>
      <c r="F11" s="27" t="str">
        <f t="shared" si="7"/>
        <v/>
      </c>
      <c r="G11" s="27" t="str">
        <f t="shared" si="7"/>
        <v/>
      </c>
      <c r="H11" s="27" t="str">
        <f t="shared" si="7"/>
        <v/>
      </c>
      <c r="I11" s="45">
        <f>SUM(B11:H11)</f>
        <v>0</v>
      </c>
      <c r="J11" s="12"/>
      <c r="K11" s="38" t="s">
        <v>350</v>
      </c>
      <c r="L11" s="38" t="s">
        <v>514</v>
      </c>
      <c r="M11" s="34" t="s">
        <v>162</v>
      </c>
      <c r="N11" s="34" t="s">
        <v>515</v>
      </c>
      <c r="O11" s="57">
        <v>149300</v>
      </c>
      <c r="P11" s="35"/>
      <c r="Q11" s="34">
        <f t="shared" si="1"/>
        <v>149300</v>
      </c>
      <c r="R11" s="34">
        <f t="shared" si="2"/>
        <v>150000</v>
      </c>
      <c r="S11" s="34"/>
      <c r="T11" s="34" t="s">
        <v>332</v>
      </c>
      <c r="U11" s="57" t="s">
        <v>575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 t="str">
        <f t="shared" si="1"/>
        <v/>
      </c>
      <c r="R12" s="27" t="str">
        <f t="shared" si="2"/>
        <v/>
      </c>
      <c r="S12" s="27"/>
      <c r="T12" s="27"/>
      <c r="U12" s="27"/>
    </row>
    <row r="13" spans="1:27" ht="22" customHeight="1">
      <c r="A13" s="39" t="s">
        <v>357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531</v>
      </c>
      <c r="L13" s="38" t="s">
        <v>187</v>
      </c>
      <c r="M13" s="34" t="s">
        <v>326</v>
      </c>
      <c r="N13" s="34" t="s">
        <v>532</v>
      </c>
      <c r="O13" s="57">
        <v>93420</v>
      </c>
      <c r="P13" s="35"/>
      <c r="Q13" s="34">
        <f t="shared" si="1"/>
        <v>93420</v>
      </c>
      <c r="R13" s="34">
        <f t="shared" si="2"/>
        <v>94000</v>
      </c>
      <c r="S13" s="34"/>
      <c r="T13" s="34" t="s">
        <v>332</v>
      </c>
      <c r="U13" s="57" t="s">
        <v>575</v>
      </c>
    </row>
    <row r="14" spans="1:27" ht="22" customHeight="1">
      <c r="A14" s="31" t="s">
        <v>323</v>
      </c>
      <c r="B14" s="35" t="str">
        <f t="shared" ref="B14:H14" si="8">IF(COUNTIFS($A$52:$A$61,"&gt;="&amp;B13,$A$52:$A$61,"&lt;"&amp;B13+1,$D$52:$D$61,"&lt;&gt;")=0,"",SUMIFS($AB$52:$AB$61,$A$52:$A$61,"&gt;="&amp;B13,$A$52:$A$61,"&lt;"&amp;B13+1))</f>
        <v/>
      </c>
      <c r="C14" s="35" t="str">
        <f t="shared" si="8"/>
        <v/>
      </c>
      <c r="D14" s="35" t="str">
        <f t="shared" si="8"/>
        <v/>
      </c>
      <c r="E14" s="35" t="str">
        <f t="shared" si="8"/>
        <v/>
      </c>
      <c r="F14" s="35" t="str">
        <f t="shared" si="8"/>
        <v/>
      </c>
      <c r="G14" s="35" t="str">
        <f t="shared" si="8"/>
        <v/>
      </c>
      <c r="H14" s="35" t="str">
        <f t="shared" si="8"/>
        <v/>
      </c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 t="str">
        <f t="shared" si="1"/>
        <v/>
      </c>
      <c r="R14" s="27" t="str">
        <f t="shared" si="2"/>
        <v/>
      </c>
      <c r="S14" s="27"/>
      <c r="T14" s="27"/>
      <c r="U14" s="27"/>
    </row>
    <row r="15" spans="1:27" ht="22" customHeight="1">
      <c r="A15" s="31" t="s">
        <v>322</v>
      </c>
      <c r="B15" s="35" t="str">
        <f t="shared" ref="B15:H15" si="9">IF(COUNTIFS($A$52:$A$61,"&gt;="&amp;B13,$A$52:$A$61,"&lt;"&amp;B13+1,$D$52:$D$61,"&lt;&gt;")=0,"",SUMIFS($H$52:$H$61,$A$52:$A$61,"&gt;="&amp;B13,$A$52:$A$61,"&lt;"&amp;B13+1))</f>
        <v/>
      </c>
      <c r="C15" s="35" t="str">
        <f t="shared" si="9"/>
        <v/>
      </c>
      <c r="D15" s="35" t="str">
        <f t="shared" si="9"/>
        <v/>
      </c>
      <c r="E15" s="35" t="str">
        <f t="shared" si="9"/>
        <v/>
      </c>
      <c r="F15" s="35" t="str">
        <f t="shared" si="9"/>
        <v/>
      </c>
      <c r="G15" s="35" t="str">
        <f t="shared" si="9"/>
        <v/>
      </c>
      <c r="H15" s="35" t="str">
        <f t="shared" si="9"/>
        <v/>
      </c>
      <c r="I15" s="45">
        <f>SUM(B15:H15)</f>
        <v>0</v>
      </c>
      <c r="J15" s="12"/>
      <c r="K15" s="38" t="s">
        <v>362</v>
      </c>
      <c r="L15" s="38" t="s">
        <v>547</v>
      </c>
      <c r="M15" s="34" t="s">
        <v>344</v>
      </c>
      <c r="N15" s="34" t="s">
        <v>360</v>
      </c>
      <c r="O15" s="57">
        <v>29000</v>
      </c>
      <c r="P15" s="35"/>
      <c r="Q15" s="34">
        <f t="shared" si="1"/>
        <v>29000</v>
      </c>
      <c r="R15" s="34">
        <f t="shared" si="2"/>
        <v>29000</v>
      </c>
      <c r="S15" s="34"/>
      <c r="T15" s="34"/>
      <c r="U15" s="57" t="s">
        <v>575</v>
      </c>
    </row>
    <row r="16" spans="1:27" ht="22" customHeight="1">
      <c r="A16" s="31" t="s">
        <v>223</v>
      </c>
      <c r="B16" s="27" t="str">
        <f t="shared" ref="B16:H16" si="10">IF(COUNT(B14,B15)=0,"",SUM(B14)-SUM(B15))</f>
        <v/>
      </c>
      <c r="C16" s="27" t="str">
        <f t="shared" si="10"/>
        <v/>
      </c>
      <c r="D16" s="27" t="str">
        <f t="shared" si="10"/>
        <v/>
      </c>
      <c r="E16" s="27" t="str">
        <f t="shared" si="10"/>
        <v/>
      </c>
      <c r="F16" s="27" t="str">
        <f t="shared" si="10"/>
        <v/>
      </c>
      <c r="G16" s="27" t="str">
        <f t="shared" si="10"/>
        <v/>
      </c>
      <c r="H16" s="27" t="str">
        <f t="shared" si="10"/>
        <v/>
      </c>
      <c r="I16" s="45">
        <f>SUM(B16:H16)</f>
        <v>0</v>
      </c>
      <c r="J16" s="12"/>
      <c r="K16" s="31"/>
      <c r="L16" s="31" t="s">
        <v>363</v>
      </c>
      <c r="M16" s="27" t="s">
        <v>344</v>
      </c>
      <c r="N16" s="27" t="s">
        <v>364</v>
      </c>
      <c r="O16" s="57">
        <v>7890</v>
      </c>
      <c r="P16" s="35"/>
      <c r="Q16" s="27">
        <f t="shared" si="1"/>
        <v>7890</v>
      </c>
      <c r="R16" s="27">
        <f t="shared" si="2"/>
        <v>8000</v>
      </c>
      <c r="S16" s="27"/>
      <c r="T16" s="27" t="s">
        <v>365</v>
      </c>
      <c r="U16" s="57" t="s">
        <v>575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366</v>
      </c>
      <c r="M17" s="34" t="s">
        <v>344</v>
      </c>
      <c r="N17" s="34" t="s">
        <v>360</v>
      </c>
      <c r="O17" s="57">
        <v>4890</v>
      </c>
      <c r="P17" s="35"/>
      <c r="Q17" s="34">
        <f t="shared" si="1"/>
        <v>4890</v>
      </c>
      <c r="R17" s="34">
        <f t="shared" si="2"/>
        <v>5000</v>
      </c>
      <c r="S17" s="34"/>
      <c r="T17" s="34" t="s">
        <v>367</v>
      </c>
      <c r="U17" s="57" t="s">
        <v>575</v>
      </c>
    </row>
    <row r="18" spans="1:22" ht="22" customHeight="1">
      <c r="A18" s="39" t="s">
        <v>368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369</v>
      </c>
      <c r="M18" s="27" t="s">
        <v>344</v>
      </c>
      <c r="N18" s="27" t="s">
        <v>370</v>
      </c>
      <c r="O18" s="57">
        <v>10795</v>
      </c>
      <c r="P18" s="35"/>
      <c r="Q18" s="27">
        <f t="shared" si="1"/>
        <v>10795</v>
      </c>
      <c r="R18" s="27">
        <f t="shared" si="2"/>
        <v>11000</v>
      </c>
      <c r="S18" s="27"/>
      <c r="T18" s="27" t="s">
        <v>371</v>
      </c>
      <c r="U18" s="57" t="s">
        <v>575</v>
      </c>
    </row>
    <row r="19" spans="1:22" ht="22" customHeight="1">
      <c r="A19" s="31" t="s">
        <v>323</v>
      </c>
      <c r="B19" s="35" t="str">
        <f t="shared" ref="B19:H19" si="11">IF(COUNTIFS($A$52:$A$61,"&gt;="&amp;B18,$A$52:$A$61,"&lt;"&amp;B18+1,$D$52:$D$61,"&lt;&gt;")=0,"",SUMIFS($AB$52:$AB$61,$A$52:$A$61,"&gt;="&amp;B18,$A$52:$A$61,"&lt;"&amp;B18+1))</f>
        <v/>
      </c>
      <c r="C19" s="35" t="str">
        <f t="shared" si="11"/>
        <v/>
      </c>
      <c r="D19" s="35" t="str">
        <f t="shared" si="11"/>
        <v/>
      </c>
      <c r="E19" s="35" t="str">
        <f t="shared" si="11"/>
        <v/>
      </c>
      <c r="F19" s="35" t="str">
        <f t="shared" si="11"/>
        <v/>
      </c>
      <c r="G19" s="35" t="str">
        <f t="shared" si="11"/>
        <v/>
      </c>
      <c r="H19" s="35" t="str">
        <f t="shared" si="11"/>
        <v/>
      </c>
      <c r="I19" s="45">
        <f>SUM(B19:H19)</f>
        <v>0</v>
      </c>
      <c r="J19" s="12"/>
      <c r="K19" s="38"/>
      <c r="L19" s="38" t="s">
        <v>372</v>
      </c>
      <c r="M19" s="34" t="s">
        <v>344</v>
      </c>
      <c r="N19" s="34" t="s">
        <v>373</v>
      </c>
      <c r="O19" s="57">
        <v>7737</v>
      </c>
      <c r="P19" s="35"/>
      <c r="Q19" s="34">
        <f t="shared" si="1"/>
        <v>7737</v>
      </c>
      <c r="R19" s="34">
        <f t="shared" si="2"/>
        <v>8000</v>
      </c>
      <c r="S19" s="34"/>
      <c r="T19" s="34" t="s">
        <v>374</v>
      </c>
      <c r="U19" s="57" t="s">
        <v>575</v>
      </c>
    </row>
    <row r="20" spans="1:22" ht="22" customHeight="1">
      <c r="A20" s="31" t="s">
        <v>322</v>
      </c>
      <c r="B20" s="35" t="str">
        <f t="shared" ref="B20:H20" si="12">IF(COUNTIFS($A$52:$A$61,"&gt;="&amp;B18,$A$52:$A$61,"&lt;"&amp;B18+1,$D$52:$D$61,"&lt;&gt;")=0,"",SUMIFS($H$52:$H$61,$A$52:$A$61,"&gt;="&amp;B18,$A$52:$A$61,"&lt;"&amp;B18+1))</f>
        <v/>
      </c>
      <c r="C20" s="35" t="str">
        <f t="shared" si="12"/>
        <v/>
      </c>
      <c r="D20" s="35" t="str">
        <f t="shared" si="12"/>
        <v/>
      </c>
      <c r="E20" s="35" t="str">
        <f t="shared" si="12"/>
        <v/>
      </c>
      <c r="F20" s="35" t="str">
        <f t="shared" si="12"/>
        <v/>
      </c>
      <c r="G20" s="35" t="str">
        <f t="shared" si="12"/>
        <v/>
      </c>
      <c r="H20" s="35" t="str">
        <f t="shared" si="12"/>
        <v/>
      </c>
      <c r="I20" s="45">
        <f>SUM(B20:H20)</f>
        <v>0</v>
      </c>
      <c r="J20" s="12"/>
      <c r="K20" s="31"/>
      <c r="L20" s="31" t="s">
        <v>375</v>
      </c>
      <c r="M20" s="27" t="s">
        <v>344</v>
      </c>
      <c r="N20" s="27" t="s">
        <v>376</v>
      </c>
      <c r="O20" s="57">
        <v>4898</v>
      </c>
      <c r="P20" s="35"/>
      <c r="Q20" s="27">
        <f t="shared" si="1"/>
        <v>4898</v>
      </c>
      <c r="R20" s="27">
        <f t="shared" si="2"/>
        <v>5000</v>
      </c>
      <c r="S20" s="27"/>
      <c r="T20" s="27" t="s">
        <v>371</v>
      </c>
      <c r="U20" s="57" t="s">
        <v>575</v>
      </c>
    </row>
    <row r="21" spans="1:22" ht="22" customHeight="1">
      <c r="A21" s="31" t="s">
        <v>223</v>
      </c>
      <c r="B21" s="27" t="str">
        <f t="shared" ref="B21:H21" si="13">IF(COUNT(B19,B20)=0,"",SUM(B19)-SUM(B20))</f>
        <v/>
      </c>
      <c r="C21" s="27" t="str">
        <f t="shared" si="13"/>
        <v/>
      </c>
      <c r="D21" s="27" t="str">
        <f t="shared" si="13"/>
        <v/>
      </c>
      <c r="E21" s="27" t="str">
        <f t="shared" si="13"/>
        <v/>
      </c>
      <c r="F21" s="27" t="str">
        <f t="shared" si="13"/>
        <v/>
      </c>
      <c r="G21" s="27" t="str">
        <f t="shared" si="13"/>
        <v/>
      </c>
      <c r="H21" s="27" t="str">
        <f t="shared" si="13"/>
        <v/>
      </c>
      <c r="I21" s="45">
        <f>SUM(B21:H21)</f>
        <v>0</v>
      </c>
      <c r="J21" s="12"/>
      <c r="K21" s="38"/>
      <c r="L21" s="38" t="s">
        <v>377</v>
      </c>
      <c r="M21" s="34" t="s">
        <v>344</v>
      </c>
      <c r="N21" s="34" t="s">
        <v>378</v>
      </c>
      <c r="O21" s="57">
        <v>9000</v>
      </c>
      <c r="P21" s="35"/>
      <c r="Q21" s="34">
        <f t="shared" si="1"/>
        <v>9000</v>
      </c>
      <c r="R21" s="34">
        <f t="shared" si="2"/>
        <v>9000</v>
      </c>
      <c r="S21" s="34"/>
      <c r="T21" s="34" t="s">
        <v>379</v>
      </c>
      <c r="U21" s="57" t="s">
        <v>575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380</v>
      </c>
      <c r="L22" s="31" t="s">
        <v>381</v>
      </c>
      <c r="M22" s="27" t="s">
        <v>330</v>
      </c>
      <c r="N22" s="27"/>
      <c r="O22" s="57">
        <v>74700</v>
      </c>
      <c r="P22" s="35"/>
      <c r="Q22" s="27">
        <f t="shared" si="1"/>
        <v>74700</v>
      </c>
      <c r="R22" s="27">
        <f t="shared" si="2"/>
        <v>75000</v>
      </c>
      <c r="S22" s="27" t="s">
        <v>582</v>
      </c>
      <c r="T22" s="27" t="s">
        <v>383</v>
      </c>
      <c r="U22" s="57" t="s">
        <v>575</v>
      </c>
    </row>
    <row r="23" spans="1:22" ht="22" customHeight="1">
      <c r="A23" s="39" t="s">
        <v>384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496</v>
      </c>
      <c r="M23" s="34" t="s">
        <v>330</v>
      </c>
      <c r="N23" s="34" t="s">
        <v>497</v>
      </c>
      <c r="O23" s="57">
        <v>10200</v>
      </c>
      <c r="P23" s="35"/>
      <c r="Q23" s="34">
        <f t="shared" si="1"/>
        <v>10200</v>
      </c>
      <c r="R23" s="34">
        <f t="shared" si="2"/>
        <v>11000</v>
      </c>
      <c r="S23" s="34" t="s">
        <v>487</v>
      </c>
      <c r="T23" s="34" t="s">
        <v>76</v>
      </c>
      <c r="U23" s="57" t="s">
        <v>575</v>
      </c>
    </row>
    <row r="24" spans="1:22" ht="22" customHeight="1">
      <c r="A24" s="31" t="s">
        <v>323</v>
      </c>
      <c r="B24" s="35" t="str">
        <f>IF(COUNTIFS($A$52:$A$61,"&gt;="&amp;B23,$A$52:$A$61,"&lt;"&amp;B23+1,$D$52:$D$61,"&lt;&gt;")=0,"",SUMIFS($AB$52:$AB$61,$A$52:$A$61,"&gt;="&amp;B23,$A$52:$A$61,"&lt;"&amp;B23+1))</f>
        <v/>
      </c>
      <c r="C24" s="35" t="str">
        <f>IF(COUNTIFS($A$52:$A$61,"&gt;="&amp;C23,$A$52:$A$61,"&lt;"&amp;C23+1,$D$52:$D$61,"&lt;&gt;")=0,"",SUMIFS($AB$52:$AB$61,$A$52:$A$61,"&gt;="&amp;C23,$A$52:$A$61,"&lt;"&amp;C23+1))</f>
        <v/>
      </c>
      <c r="D24" s="35" t="str">
        <f>IF(COUNTIFS($A$52:$A$61,"&gt;="&amp;D23,$A$52:$A$61,"&lt;"&amp;D23+1,$D$52:$D$61,"&lt;&gt;")=0,"",SUMIFS($AB$52:$AB$61,$A$52:$A$61,"&gt;="&amp;D23,$A$52:$A$61,"&lt;"&amp;D23+1))</f>
        <v/>
      </c>
      <c r="E24" s="35" t="str">
        <f>IF(COUNTIFS($A$52:$A$61,"&gt;="&amp;E23,$A$52:$A$61,"&lt;"&amp;E23+1,$D$52:$D$61,"&lt;&gt;")=0,"",SUMIFS($AB$52:$AB$61,$A$52:$A$61,"&gt;="&amp;E23,$A$52:$A$61,"&lt;"&amp;E23+1))</f>
        <v/>
      </c>
      <c r="F24" s="27"/>
      <c r="G24" s="27"/>
      <c r="H24" s="27"/>
      <c r="I24" s="45">
        <f>SUM(B24:H24)</f>
        <v>0</v>
      </c>
      <c r="J24" s="12"/>
      <c r="K24" s="31"/>
      <c r="L24" s="31" t="s">
        <v>517</v>
      </c>
      <c r="M24" s="27" t="s">
        <v>330</v>
      </c>
      <c r="N24" s="27" t="s">
        <v>378</v>
      </c>
      <c r="O24" s="57">
        <v>26400</v>
      </c>
      <c r="P24" s="35"/>
      <c r="Q24" s="27">
        <f t="shared" si="1"/>
        <v>26400</v>
      </c>
      <c r="R24" s="27">
        <f t="shared" si="2"/>
        <v>27000</v>
      </c>
      <c r="S24" s="27" t="s">
        <v>471</v>
      </c>
      <c r="T24" s="27" t="s">
        <v>76</v>
      </c>
      <c r="U24" s="57" t="s">
        <v>575</v>
      </c>
    </row>
    <row r="25" spans="1:22" ht="25" customHeight="1">
      <c r="A25" s="31" t="s">
        <v>322</v>
      </c>
      <c r="B25" s="35" t="str">
        <f>IF(COUNTIFS($A$52:$A$61,"&gt;="&amp;B23,$A$52:$A$61,"&lt;"&amp;B23+1,$D$52:$D$61,"&lt;&gt;")=0,"",SUMIFS($H$52:$H$61,$A$52:$A$61,"&gt;="&amp;B23,$A$52:$A$61,"&lt;"&amp;B23+1))</f>
        <v/>
      </c>
      <c r="C25" s="35" t="str">
        <f>IF(COUNTIFS($A$52:$A$61,"&gt;="&amp;C23,$A$52:$A$61,"&lt;"&amp;C23+1,$D$52:$D$61,"&lt;&gt;")=0,"",SUMIFS($H$52:$H$61,$A$52:$A$61,"&gt;="&amp;C23,$A$52:$A$61,"&lt;"&amp;C23+1))</f>
        <v/>
      </c>
      <c r="D25" s="35" t="str">
        <f>IF(COUNTIFS($A$52:$A$61,"&gt;="&amp;D23,$A$52:$A$61,"&lt;"&amp;D23+1,$D$52:$D$61,"&lt;&gt;")=0,"",SUMIFS($H$52:$H$61,$A$52:$A$61,"&gt;="&amp;D23,$A$52:$A$61,"&lt;"&amp;D23+1))</f>
        <v/>
      </c>
      <c r="E25" s="35" t="str">
        <f>IF(COUNTIFS($A$52:$A$61,"&gt;="&amp;E23,$A$52:$A$61,"&lt;"&amp;E23+1,$D$52:$D$61,"&lt;&gt;")=0,"",SUMIFS($H$52:$H$61,$A$52:$A$61,"&gt;="&amp;E23,$A$52:$A$61,"&lt;"&amp;E23+1))</f>
        <v/>
      </c>
      <c r="F25" s="27"/>
      <c r="G25" s="27"/>
      <c r="H25" s="27"/>
      <c r="I25" s="45">
        <f>SUM(B25:H25)</f>
        <v>0</v>
      </c>
      <c r="J25" s="12"/>
      <c r="K25" s="50" t="s">
        <v>387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223</v>
      </c>
      <c r="B26" s="27" t="str">
        <f>IF(COUNT(B24,B25)=0,"",SUM(B24)-SUM(B25))</f>
        <v/>
      </c>
      <c r="C26" s="27" t="str">
        <f>IF(COUNT(C24,C25)=0,"",SUM(C24)-SUM(C25))</f>
        <v/>
      </c>
      <c r="D26" s="27" t="str">
        <f>IF(COUNT(D24,D25)=0,"",SUM(D24)-SUM(D25))</f>
        <v/>
      </c>
      <c r="E26" s="27" t="str">
        <f>IF(COUNT(E24,E25)=0,"",SUM(E24)-SUM(E25))</f>
        <v/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355" t="str">
        <f>HYPERLINK("#'12월계산기'!A1","계산기 대조 · 12월계산기 열기")</f>
        <v>계산기 대조 · 12월계산기 열기</v>
      </c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7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367" t="s">
        <v>210</v>
      </c>
      <c r="L28" s="365"/>
      <c r="M28" s="364">
        <f>SUM(I4,I9,I14,I19,I24,I29)</f>
        <v>0</v>
      </c>
      <c r="N28" s="365"/>
      <c r="O28" s="366" t="s">
        <v>212</v>
      </c>
      <c r="P28" s="365"/>
      <c r="Q28" s="364">
        <f>'12월계산기'!W12</f>
        <v>0</v>
      </c>
      <c r="R28" s="365"/>
      <c r="S28" s="366" t="s">
        <v>388</v>
      </c>
      <c r="T28" s="365"/>
      <c r="U28" s="362" t="str">
        <f>IF($AA$1,M28=Q28,"미입력")</f>
        <v>미입력</v>
      </c>
      <c r="V28" s="363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367" t="s">
        <v>389</v>
      </c>
      <c r="L29" s="365"/>
      <c r="M29" s="364">
        <f>I38</f>
        <v>0</v>
      </c>
      <c r="N29" s="365"/>
      <c r="O29" s="366" t="s">
        <v>213</v>
      </c>
      <c r="P29" s="365"/>
      <c r="Q29" s="364">
        <f>'12월계산기'!W13</f>
        <v>0</v>
      </c>
      <c r="R29" s="365"/>
      <c r="S29" s="366" t="s">
        <v>388</v>
      </c>
      <c r="T29" s="365"/>
      <c r="U29" s="362" t="str">
        <f>IF($AA$1,M29=Q29,"미입력")</f>
        <v>미입력</v>
      </c>
      <c r="V29" s="363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367" t="s">
        <v>390</v>
      </c>
      <c r="L30" s="365"/>
      <c r="M30" s="364">
        <f>SUM(I6,I11,I16,I21,I26,I31)</f>
        <v>0</v>
      </c>
      <c r="N30" s="365"/>
      <c r="O30" s="366" t="s">
        <v>391</v>
      </c>
      <c r="P30" s="365"/>
      <c r="Q30" s="364">
        <f>SUM(I4,I9,I14,I19,I24,I29)-I33</f>
        <v>0</v>
      </c>
      <c r="R30" s="365"/>
      <c r="S30" s="366" t="s">
        <v>388</v>
      </c>
      <c r="T30" s="365"/>
      <c r="U30" s="362" t="str">
        <f>IF($AA$1,M30=Q30,"미입력")</f>
        <v>미입력</v>
      </c>
      <c r="V30" s="363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367" t="s">
        <v>214</v>
      </c>
      <c r="L31" s="365"/>
      <c r="M31" s="364">
        <f>'12월계산기'!W14</f>
        <v>0</v>
      </c>
      <c r="N31" s="365"/>
      <c r="O31" s="366" t="s">
        <v>392</v>
      </c>
      <c r="P31" s="365"/>
      <c r="Q31" s="364">
        <f>SUM(I4,I9,I14,I19,I24,I29)-I38</f>
        <v>0</v>
      </c>
      <c r="R31" s="365"/>
      <c r="S31" s="366" t="s">
        <v>388</v>
      </c>
      <c r="T31" s="365"/>
      <c r="U31" s="362" t="str">
        <f>IF($AA$1,M31=Q31,"미입력")</f>
        <v>미입력</v>
      </c>
      <c r="V31" s="363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28" t="s">
        <v>578</v>
      </c>
      <c r="L32" s="370"/>
      <c r="M32" s="370"/>
      <c r="N32" s="370"/>
      <c r="O32" s="370"/>
      <c r="P32" s="370"/>
      <c r="Q32" s="370"/>
      <c r="R32" s="370"/>
      <c r="S32" s="370"/>
      <c r="T32" s="370"/>
      <c r="U32" s="370"/>
      <c r="V32" s="371"/>
    </row>
    <row r="33" spans="1:22" ht="25" customHeight="1">
      <c r="A33" s="50" t="s">
        <v>2501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372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4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395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396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397</v>
      </c>
      <c r="B36" s="36"/>
      <c r="C36" s="36" t="s">
        <v>31</v>
      </c>
      <c r="D36" s="36"/>
      <c r="E36" s="55" t="s">
        <v>398</v>
      </c>
      <c r="F36" s="36"/>
      <c r="G36" s="36"/>
      <c r="H36" s="36" t="s">
        <v>322</v>
      </c>
      <c r="I36" s="36" t="s">
        <v>399</v>
      </c>
      <c r="J36" s="12"/>
      <c r="K36" s="48" t="s">
        <v>232</v>
      </c>
      <c r="L36" s="48" t="s">
        <v>316</v>
      </c>
      <c r="M36" s="36" t="s">
        <v>400</v>
      </c>
      <c r="N36" s="36" t="s">
        <v>401</v>
      </c>
      <c r="O36" s="36" t="s">
        <v>223</v>
      </c>
      <c r="P36" s="13"/>
      <c r="Q36" s="13"/>
      <c r="R36" s="13"/>
      <c r="S36" s="13"/>
      <c r="T36" s="13"/>
    </row>
    <row r="37" spans="1:22" ht="22" customHeight="1">
      <c r="A37" s="31" t="s">
        <v>57</v>
      </c>
      <c r="B37" s="27"/>
      <c r="C37" s="35">
        <v>2776050</v>
      </c>
      <c r="D37" s="27"/>
      <c r="E37" s="27" t="s">
        <v>306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402</v>
      </c>
      <c r="L37" s="31" t="s">
        <v>403</v>
      </c>
      <c r="M37" s="35">
        <v>150000</v>
      </c>
      <c r="N37" s="35"/>
      <c r="O37" s="27" t="str">
        <f>IF(N37="","",N37-M37)</f>
        <v/>
      </c>
      <c r="P37" s="13"/>
      <c r="Q37" s="13"/>
      <c r="R37" s="13"/>
      <c r="S37" s="13"/>
      <c r="T37" s="13"/>
    </row>
    <row r="38" spans="1:22" ht="22" customHeight="1">
      <c r="A38" s="31" t="s">
        <v>61</v>
      </c>
      <c r="B38" s="27"/>
      <c r="C38" s="35"/>
      <c r="D38" s="27"/>
      <c r="E38" s="27" t="s">
        <v>2502</v>
      </c>
      <c r="F38" s="27"/>
      <c r="G38" s="27"/>
      <c r="H38" s="27">
        <f>I33-_예비비계산!AG13</f>
        <v>0</v>
      </c>
      <c r="I38" s="27">
        <f>SUM(I4,I9,I14,I19,I24,I29)-_예비비계산!AH13</f>
        <v>0</v>
      </c>
      <c r="J38" s="12"/>
      <c r="K38" s="38" t="s">
        <v>402</v>
      </c>
      <c r="L38" s="38" t="s">
        <v>404</v>
      </c>
      <c r="M38" s="35">
        <v>20000</v>
      </c>
      <c r="N38" s="35"/>
      <c r="O38" s="34" t="str">
        <f>IF(N38="","",N38-M38)</f>
        <v/>
      </c>
      <c r="P38" s="13"/>
      <c r="Q38" s="13"/>
      <c r="R38" s="13"/>
      <c r="S38" s="13"/>
      <c r="T38" s="13"/>
    </row>
    <row r="39" spans="1:22" ht="22" customHeight="1">
      <c r="A39" s="31" t="s">
        <v>267</v>
      </c>
      <c r="B39" s="27"/>
      <c r="C39" s="35"/>
      <c r="D39" s="27"/>
      <c r="E39" s="49" t="s">
        <v>2503</v>
      </c>
      <c r="F39" s="27"/>
      <c r="G39" s="27"/>
      <c r="H39" s="27">
        <f>I62</f>
        <v>0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0</v>
      </c>
      <c r="J39" s="12"/>
      <c r="K39" s="31" t="s">
        <v>402</v>
      </c>
      <c r="L39" s="31" t="s">
        <v>406</v>
      </c>
      <c r="M39" s="35">
        <v>120000</v>
      </c>
      <c r="N39" s="35"/>
      <c r="O39" s="27" t="str">
        <f>IF(N39="","",N39-M39)</f>
        <v/>
      </c>
      <c r="P39" s="13"/>
      <c r="Q39" s="13"/>
      <c r="R39" s="13"/>
      <c r="S39" s="13"/>
      <c r="T39" s="13"/>
    </row>
    <row r="40" spans="1:22" ht="22" customHeight="1">
      <c r="A40" s="31" t="s">
        <v>407</v>
      </c>
      <c r="B40" s="27"/>
      <c r="C40" s="35"/>
      <c r="D40" s="27"/>
      <c r="E40" s="49" t="s">
        <v>408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402</v>
      </c>
      <c r="L40" s="38" t="s">
        <v>409</v>
      </c>
      <c r="M40" s="35"/>
      <c r="N40" s="35"/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410</v>
      </c>
      <c r="B41" s="37"/>
      <c r="C41" s="37">
        <f>SUM(C37:C40)</f>
        <v>2776050</v>
      </c>
      <c r="D41" s="27"/>
      <c r="E41" s="49" t="s">
        <v>411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402</v>
      </c>
      <c r="L41" s="31" t="s">
        <v>412</v>
      </c>
      <c r="M41" s="35"/>
      <c r="N41" s="35"/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379" t="s">
        <v>2504</v>
      </c>
      <c r="B42" s="380"/>
      <c r="C42" s="380"/>
      <c r="D42" s="381"/>
      <c r="E42" s="49" t="s">
        <v>414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402</v>
      </c>
      <c r="L42" s="38" t="s">
        <v>415</v>
      </c>
      <c r="M42" s="35"/>
      <c r="N42" s="35"/>
      <c r="O42" s="34" t="str">
        <f>IF(N42="","",N42-M42)</f>
        <v/>
      </c>
      <c r="P42" s="13"/>
      <c r="Q42" s="13"/>
      <c r="R42" s="13"/>
      <c r="S42" s="13"/>
      <c r="T42" s="13"/>
    </row>
    <row r="43" spans="1:22" ht="23" customHeight="1">
      <c r="A43" s="382"/>
      <c r="B43" s="383"/>
      <c r="C43" s="383"/>
      <c r="D43" s="384"/>
      <c r="E43" s="27" t="s">
        <v>321</v>
      </c>
      <c r="F43" s="27"/>
      <c r="G43" s="27"/>
      <c r="H43" s="35"/>
      <c r="I43" s="27">
        <f>H43</f>
        <v>0</v>
      </c>
      <c r="J43" s="12"/>
      <c r="K43" s="31" t="s">
        <v>402</v>
      </c>
      <c r="L43" s="31" t="s">
        <v>416</v>
      </c>
      <c r="M43" s="35">
        <v>0</v>
      </c>
      <c r="N43" s="35"/>
      <c r="O43" s="27" t="str">
        <f>IF(N43="","",N43-M43)</f>
        <v/>
      </c>
      <c r="P43" s="13"/>
      <c r="Q43" s="13"/>
      <c r="R43" s="13"/>
      <c r="S43" s="13"/>
      <c r="T43" s="13"/>
    </row>
    <row r="44" spans="1:22" ht="23" customHeight="1">
      <c r="A44" s="382"/>
      <c r="B44" s="383"/>
      <c r="C44" s="383"/>
      <c r="D44" s="384"/>
      <c r="E44" s="42" t="s">
        <v>417</v>
      </c>
      <c r="F44" s="37"/>
      <c r="G44" s="37"/>
      <c r="H44" s="37">
        <f>SUM(H37:H38,H40:H42)+H47-H43</f>
        <v>1234406</v>
      </c>
      <c r="I44" s="37">
        <f>SUM(I37:I38,I40:I42)+I47-I43</f>
        <v>1241000</v>
      </c>
      <c r="J44" s="12"/>
      <c r="K44" s="50" t="s">
        <v>418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382"/>
      <c r="B45" s="383"/>
      <c r="C45" s="383"/>
      <c r="D45" s="384"/>
      <c r="E45" s="42" t="s">
        <v>419</v>
      </c>
      <c r="F45" s="37"/>
      <c r="G45" s="37"/>
      <c r="H45" s="53" t="str">
        <f>IF(AND(COUNT(B5:H5,B10:H10,B15:H15,B20:H20,B25:H25,B30:H30,N37:N43,N57:N59,D52:D61)=0,SUM(N64:N68)=0,COUNTIF(U4:U24,"확정")=0),"",C41-H44)</f>
        <v/>
      </c>
      <c r="I45" s="53" t="str">
        <f>IF(H45="","",C41-I44)</f>
        <v/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385"/>
      <c r="B46" s="386"/>
      <c r="C46" s="386"/>
      <c r="D46" s="387"/>
      <c r="E46" s="49" t="s">
        <v>420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421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389" t="s">
        <v>422</v>
      </c>
      <c r="B47" s="376"/>
      <c r="C47" s="376"/>
      <c r="D47" s="377"/>
      <c r="E47" s="49" t="s">
        <v>423</v>
      </c>
      <c r="F47" s="27"/>
      <c r="G47" s="27"/>
      <c r="H47" s="27">
        <v>0</v>
      </c>
      <c r="I47" s="27">
        <v>0</v>
      </c>
      <c r="J47" s="12"/>
      <c r="K47" s="48" t="s">
        <v>232</v>
      </c>
      <c r="L47" s="48" t="s">
        <v>424</v>
      </c>
      <c r="M47" s="36" t="s">
        <v>400</v>
      </c>
      <c r="N47" s="36" t="s">
        <v>425</v>
      </c>
      <c r="O47" s="36" t="s">
        <v>223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17</v>
      </c>
      <c r="L48" s="31" t="s">
        <v>13</v>
      </c>
      <c r="M48" s="40">
        <f>IFERROR(INDEX(_예비비계산!$G$45:$T$45,1,MATCH($T$1,_예비비계산!$G$4:$T$4,0)),0)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8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17</v>
      </c>
      <c r="L49" s="38" t="s">
        <v>14</v>
      </c>
      <c r="M49" s="46">
        <f>IFERROR(INDEX(_예비비계산!$G$48:$T$48,1,MATCH($T$1,_예비비계산!$G$4:$T$4,0)),0)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8" ht="27" customHeight="1">
      <c r="A50" s="388" t="s">
        <v>2505</v>
      </c>
      <c r="B50" s="376"/>
      <c r="C50" s="376"/>
      <c r="D50" s="376"/>
      <c r="E50" s="376"/>
      <c r="F50" s="376"/>
      <c r="G50" s="376"/>
      <c r="H50" s="376"/>
      <c r="I50" s="377"/>
      <c r="J50" s="12"/>
      <c r="K50" s="31" t="s">
        <v>17</v>
      </c>
      <c r="L50" s="31" t="s">
        <v>15</v>
      </c>
      <c r="M50" s="40">
        <f>IFERROR(INDEX(_예비비계산!$G$51:$T$51,1,MATCH($T$1,_예비비계산!$G$4:$T$4,0)),0)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8" ht="25" customHeight="1">
      <c r="A51" s="48" t="s">
        <v>29</v>
      </c>
      <c r="B51" s="36" t="s">
        <v>426</v>
      </c>
      <c r="C51" s="36" t="s">
        <v>30</v>
      </c>
      <c r="D51" s="36" t="s">
        <v>427</v>
      </c>
      <c r="E51" s="36" t="s">
        <v>428</v>
      </c>
      <c r="F51" s="36" t="s">
        <v>322</v>
      </c>
      <c r="G51" s="36" t="s">
        <v>2506</v>
      </c>
      <c r="H51" s="55" t="s">
        <v>2507</v>
      </c>
      <c r="I51" s="36" t="s">
        <v>430</v>
      </c>
      <c r="J51" s="12"/>
      <c r="K51" s="38" t="s">
        <v>17</v>
      </c>
      <c r="L51" s="38" t="s">
        <v>16</v>
      </c>
      <c r="M51" s="46">
        <f>IFERROR(INDEX(_예비비계산!$G$54:$T$54,1,MATCH($T$1,_예비비계산!$G$4:$T$4,0)),0)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  <c r="AB51" t="s">
        <v>2508</v>
      </c>
    </row>
    <row r="52" spans="1:28" ht="22" customHeight="1">
      <c r="A52" s="95"/>
      <c r="B52" s="35"/>
      <c r="C52" s="35"/>
      <c r="D52" s="35"/>
      <c r="E52" s="35"/>
      <c r="F52" s="27" t="str">
        <f t="shared" ref="F52:F61" si="14">IF(D52="","",D52-E52)</f>
        <v/>
      </c>
      <c r="G52" s="35"/>
      <c r="H52" s="27" t="str">
        <f t="shared" ref="H52:H61" si="15">IF(D52="","",F52-G52)</f>
        <v/>
      </c>
      <c r="I52" s="35"/>
      <c r="J52" s="12"/>
      <c r="K52" s="31" t="s">
        <v>17</v>
      </c>
      <c r="L52" s="31" t="s">
        <v>17</v>
      </c>
      <c r="M52" s="40">
        <f>IFERROR(INDEX(_예비비계산!$G$57:$T$57,1,MATCH($T$1,_예비비계산!$G$4:$T$4,0)),0)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 t="str">
        <f t="shared" ref="AB52:AB61" si="16">IF(D52="","",CEILING(F52,1000)-IF(G52="",0,CEILING(G52,1000)))</f>
        <v/>
      </c>
    </row>
    <row r="53" spans="1:28" ht="25" customHeight="1">
      <c r="A53" s="95"/>
      <c r="B53" s="35"/>
      <c r="C53" s="35"/>
      <c r="D53" s="35"/>
      <c r="E53" s="35"/>
      <c r="F53" s="27" t="str">
        <f t="shared" si="14"/>
        <v/>
      </c>
      <c r="G53" s="35"/>
      <c r="H53" s="34" t="str">
        <f t="shared" si="15"/>
        <v/>
      </c>
      <c r="I53" s="35"/>
      <c r="J53" s="12"/>
      <c r="K53" s="50" t="s">
        <v>432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 t="str">
        <f t="shared" si="16"/>
        <v/>
      </c>
    </row>
    <row r="54" spans="1:28" ht="22" customHeight="1">
      <c r="A54" s="95"/>
      <c r="B54" s="35"/>
      <c r="C54" s="35"/>
      <c r="D54" s="35"/>
      <c r="E54" s="35"/>
      <c r="F54" s="27" t="str">
        <f t="shared" si="14"/>
        <v/>
      </c>
      <c r="G54" s="35"/>
      <c r="H54" s="27" t="str">
        <f t="shared" si="15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 t="str">
        <f t="shared" si="16"/>
        <v/>
      </c>
    </row>
    <row r="55" spans="1:28" ht="27" customHeight="1">
      <c r="A55" s="95"/>
      <c r="B55" s="35"/>
      <c r="C55" s="35"/>
      <c r="D55" s="35"/>
      <c r="E55" s="35"/>
      <c r="F55" s="27" t="str">
        <f t="shared" si="14"/>
        <v/>
      </c>
      <c r="G55" s="35"/>
      <c r="H55" s="34" t="str">
        <f t="shared" si="15"/>
        <v/>
      </c>
      <c r="I55" s="35"/>
      <c r="J55" s="12"/>
      <c r="K55" s="44" t="s">
        <v>433</v>
      </c>
      <c r="L55" s="44"/>
      <c r="M55" s="47"/>
      <c r="N55" s="47"/>
      <c r="O55" s="47"/>
      <c r="P55" s="24"/>
      <c r="Q55" s="24"/>
      <c r="R55" s="24"/>
      <c r="S55" s="24"/>
      <c r="T55" s="24"/>
      <c r="AB55" t="str">
        <f t="shared" si="16"/>
        <v/>
      </c>
    </row>
    <row r="56" spans="1:28" ht="25" customHeight="1">
      <c r="A56" s="95"/>
      <c r="B56" s="35"/>
      <c r="C56" s="35"/>
      <c r="D56" s="35"/>
      <c r="E56" s="35"/>
      <c r="F56" s="27" t="str">
        <f t="shared" si="14"/>
        <v/>
      </c>
      <c r="G56" s="35"/>
      <c r="H56" s="27" t="str">
        <f t="shared" si="15"/>
        <v/>
      </c>
      <c r="I56" s="35"/>
      <c r="J56" s="12"/>
      <c r="K56" s="48" t="s">
        <v>232</v>
      </c>
      <c r="L56" s="48" t="s">
        <v>434</v>
      </c>
      <c r="M56" s="36" t="s">
        <v>400</v>
      </c>
      <c r="N56" s="36" t="s">
        <v>401</v>
      </c>
      <c r="O56" s="36" t="s">
        <v>223</v>
      </c>
      <c r="P56" s="13"/>
      <c r="Q56" s="13"/>
      <c r="R56" s="13"/>
      <c r="S56" s="13"/>
      <c r="T56" s="13"/>
      <c r="AB56" t="str">
        <f t="shared" si="16"/>
        <v/>
      </c>
    </row>
    <row r="57" spans="1:28" ht="22" customHeight="1">
      <c r="A57" s="95"/>
      <c r="B57" s="35"/>
      <c r="C57" s="35"/>
      <c r="D57" s="35"/>
      <c r="E57" s="35"/>
      <c r="F57" s="27" t="str">
        <f t="shared" si="14"/>
        <v/>
      </c>
      <c r="G57" s="35"/>
      <c r="H57" s="34" t="str">
        <f t="shared" si="15"/>
        <v/>
      </c>
      <c r="I57" s="35"/>
      <c r="J57" s="12"/>
      <c r="K57" s="31" t="s">
        <v>435</v>
      </c>
      <c r="L57" s="31" t="s">
        <v>190</v>
      </c>
      <c r="M57" s="35">
        <v>200000</v>
      </c>
      <c r="N57" s="35"/>
      <c r="O57" s="27" t="str">
        <f>IF(N57="","",N57-M57)</f>
        <v/>
      </c>
      <c r="P57" s="13"/>
      <c r="Q57" s="13"/>
      <c r="R57" s="13"/>
      <c r="S57" s="13"/>
      <c r="T57" s="13"/>
      <c r="AB57" t="str">
        <f t="shared" si="16"/>
        <v/>
      </c>
    </row>
    <row r="58" spans="1:28" ht="22" customHeight="1">
      <c r="A58" s="95"/>
      <c r="B58" s="35"/>
      <c r="C58" s="35"/>
      <c r="D58" s="35"/>
      <c r="E58" s="35"/>
      <c r="F58" s="27" t="str">
        <f t="shared" si="14"/>
        <v/>
      </c>
      <c r="G58" s="35"/>
      <c r="H58" s="27" t="str">
        <f t="shared" si="15"/>
        <v/>
      </c>
      <c r="I58" s="35"/>
      <c r="J58" s="12"/>
      <c r="K58" s="31" t="s">
        <v>435</v>
      </c>
      <c r="L58" s="31" t="s">
        <v>138</v>
      </c>
      <c r="M58" s="35">
        <v>200000</v>
      </c>
      <c r="N58" s="35"/>
      <c r="O58" s="27" t="str">
        <f>IF(N58="","",N58-M58)</f>
        <v/>
      </c>
      <c r="P58" s="13"/>
      <c r="Q58" s="13"/>
      <c r="R58" s="13"/>
      <c r="S58" s="13"/>
      <c r="T58" s="13"/>
      <c r="AB58" t="str">
        <f t="shared" si="16"/>
        <v/>
      </c>
    </row>
    <row r="59" spans="1:28" ht="22" customHeight="1">
      <c r="A59" s="95"/>
      <c r="B59" s="35"/>
      <c r="C59" s="35"/>
      <c r="D59" s="35"/>
      <c r="E59" s="35"/>
      <c r="F59" s="27" t="str">
        <f t="shared" si="14"/>
        <v/>
      </c>
      <c r="G59" s="35"/>
      <c r="H59" s="34" t="str">
        <f t="shared" si="15"/>
        <v/>
      </c>
      <c r="I59" s="35"/>
      <c r="J59" s="12"/>
      <c r="K59" s="31" t="s">
        <v>435</v>
      </c>
      <c r="L59" s="31" t="s">
        <v>436</v>
      </c>
      <c r="M59" s="35">
        <v>20000</v>
      </c>
      <c r="N59" s="35"/>
      <c r="O59" s="27" t="str">
        <f>IF(N59="","",N59-M59)</f>
        <v/>
      </c>
      <c r="P59" s="13"/>
      <c r="Q59" s="13"/>
      <c r="R59" s="13"/>
      <c r="S59" s="13"/>
      <c r="T59" s="13"/>
      <c r="AB59" t="str">
        <f t="shared" si="16"/>
        <v/>
      </c>
    </row>
    <row r="60" spans="1:28" ht="25" customHeight="1">
      <c r="A60" s="95"/>
      <c r="B60" s="35"/>
      <c r="C60" s="35"/>
      <c r="D60" s="35"/>
      <c r="E60" s="35"/>
      <c r="F60" s="27" t="str">
        <f t="shared" si="14"/>
        <v/>
      </c>
      <c r="G60" s="35"/>
      <c r="H60" s="27" t="str">
        <f t="shared" si="15"/>
        <v/>
      </c>
      <c r="I60" s="35"/>
      <c r="J60" s="12"/>
      <c r="K60" s="50" t="s">
        <v>437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  <c r="AB60" t="str">
        <f t="shared" si="16"/>
        <v/>
      </c>
    </row>
    <row r="61" spans="1:28" ht="22" customHeight="1">
      <c r="A61" s="95"/>
      <c r="B61" s="35"/>
      <c r="C61" s="35"/>
      <c r="D61" s="35"/>
      <c r="E61" s="35"/>
      <c r="F61" s="27" t="str">
        <f t="shared" si="14"/>
        <v/>
      </c>
      <c r="G61" s="35"/>
      <c r="H61" s="34" t="str">
        <f t="shared" si="15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 t="str">
        <f t="shared" si="16"/>
        <v/>
      </c>
    </row>
    <row r="62" spans="1:28" ht="27" customHeight="1">
      <c r="A62" s="375" t="s">
        <v>2510</v>
      </c>
      <c r="B62" s="376"/>
      <c r="C62" s="376"/>
      <c r="D62" s="376"/>
      <c r="E62" s="376"/>
      <c r="F62" s="376"/>
      <c r="G62" s="376"/>
      <c r="H62" s="377"/>
      <c r="I62" s="37">
        <f>SUM(F52:F61)</f>
        <v>0</v>
      </c>
      <c r="J62" s="12"/>
      <c r="K62" s="51" t="s">
        <v>439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8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232</v>
      </c>
      <c r="L63" s="48" t="s">
        <v>424</v>
      </c>
      <c r="M63" s="36" t="s">
        <v>440</v>
      </c>
      <c r="N63" s="36" t="s">
        <v>441</v>
      </c>
      <c r="O63" s="36" t="s">
        <v>223</v>
      </c>
      <c r="P63" s="36" t="s">
        <v>442</v>
      </c>
      <c r="Q63" s="36" t="s">
        <v>443</v>
      </c>
      <c r="R63" s="36" t="s">
        <v>444</v>
      </c>
      <c r="S63" s="429" t="s">
        <v>445</v>
      </c>
      <c r="T63" s="359"/>
      <c r="U63" s="360"/>
    </row>
    <row r="64" spans="1:28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446</v>
      </c>
      <c r="L64" s="31" t="s">
        <v>13</v>
      </c>
      <c r="M64" s="40">
        <f>IFERROR(INDEX(_예비비계산!$G$47:$T$47,1,MATCH($T$1,_예비비계산!$G$4:$T$4,0)),0)</f>
        <v>0</v>
      </c>
      <c r="N64" s="40">
        <f>_예비비계산!AB13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378"/>
      <c r="T64" s="359"/>
      <c r="U64" s="360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446</v>
      </c>
      <c r="L65" s="38" t="s">
        <v>14</v>
      </c>
      <c r="M65" s="46">
        <f>IFERROR(INDEX(_예비비계산!$G$50:$T$50,1,MATCH($T$1,_예비비계산!$G$4:$T$4,0)),0)</f>
        <v>0</v>
      </c>
      <c r="N65" s="46">
        <f>_예비비계산!AC13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378"/>
      <c r="T65" s="359"/>
      <c r="U65" s="360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446</v>
      </c>
      <c r="L66" s="31" t="s">
        <v>15</v>
      </c>
      <c r="M66" s="40">
        <f>IFERROR(INDEX(_예비비계산!$G$53:$T$53,1,MATCH($T$1,_예비비계산!$G$4:$T$4,0)),0)</f>
        <v>0</v>
      </c>
      <c r="N66" s="40">
        <f>_예비비계산!AD13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378"/>
      <c r="T66" s="359"/>
      <c r="U66" s="360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446</v>
      </c>
      <c r="L67" s="38" t="s">
        <v>16</v>
      </c>
      <c r="M67" s="46">
        <f>IFERROR(INDEX(_예비비계산!$G$56:$T$56,1,MATCH($T$1,_예비비계산!$G$4:$T$4,0)),0)</f>
        <v>0</v>
      </c>
      <c r="N67" s="46">
        <f>_예비비계산!AE13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378"/>
      <c r="T67" s="359"/>
      <c r="U67" s="360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446</v>
      </c>
      <c r="L68" s="31" t="s">
        <v>17</v>
      </c>
      <c r="M68" s="40">
        <f>IFERROR(INDEX(_예비비계산!$G$59:$T$59,1,MATCH($T$1,_예비비계산!$G$4:$T$4,0)),0)</f>
        <v>0</v>
      </c>
      <c r="N68" s="40">
        <f>_예비비계산!AF13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378"/>
      <c r="T68" s="359"/>
      <c r="U68" s="360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448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7" customHeight="1">
      <c r="A72" s="354" t="str">
        <f>TEXT($T$1,"m월")&amp;" 사용금액 요약"</f>
        <v>12월 사용금액 요약</v>
      </c>
      <c r="B72" s="350"/>
      <c r="C72" s="350"/>
      <c r="D72" s="350"/>
      <c r="E72" s="350"/>
      <c r="F72" s="350"/>
      <c r="G72" s="350"/>
      <c r="H72" s="350"/>
      <c r="I72" s="350"/>
      <c r="J72" s="350"/>
      <c r="K72" s="350"/>
      <c r="L72" s="350"/>
      <c r="M72" s="350"/>
      <c r="N72" s="350"/>
      <c r="O72" s="350"/>
      <c r="P72" s="350"/>
      <c r="Q72" s="350"/>
      <c r="R72" s="350"/>
      <c r="S72" s="350"/>
      <c r="T72" s="350"/>
      <c r="U72" s="350"/>
    </row>
    <row r="73" spans="1:21" ht="32" customHeight="1">
      <c r="A73" s="352" t="s">
        <v>573</v>
      </c>
      <c r="B73" s="350"/>
      <c r="C73" s="350"/>
      <c r="D73" s="350"/>
      <c r="E73" s="353">
        <v>2776050</v>
      </c>
      <c r="F73" s="350"/>
      <c r="G73" s="350"/>
      <c r="H73" s="350"/>
      <c r="J73" s="352" t="s">
        <v>2511</v>
      </c>
      <c r="K73" s="350"/>
      <c r="L73" s="350"/>
      <c r="M73" s="350"/>
      <c r="N73" s="350"/>
      <c r="O73" s="350"/>
      <c r="P73" s="350"/>
      <c r="Q73" s="350"/>
      <c r="R73" s="350"/>
      <c r="S73" s="350"/>
      <c r="T73" s="350"/>
      <c r="U73" s="350"/>
    </row>
    <row r="74" spans="1:21" ht="32" customHeight="1">
      <c r="A74" s="352" t="s">
        <v>2512</v>
      </c>
      <c r="B74" s="350"/>
      <c r="C74" s="350"/>
      <c r="D74" s="350"/>
      <c r="E74" s="353">
        <f>SUMIF($U$4:$U$24,"확정",$Q$4:$Q$24)+SUMIF($U$4:$U$24,"결제",$Q$4:$Q$24)+SUMIF($U$4:$U$24,"RAW 확인",$Q$4:$Q$24)+SUMIF($U$4:$U$24,"기존 입력",$Q$4:$Q$24)</f>
        <v>0</v>
      </c>
      <c r="F74" s="350"/>
      <c r="G74" s="350"/>
      <c r="H74" s="350"/>
      <c r="J74" s="352" t="s">
        <v>2513</v>
      </c>
      <c r="K74" s="350"/>
      <c r="L74" s="350"/>
      <c r="M74" s="350"/>
      <c r="N74" s="350"/>
      <c r="O74" s="350"/>
      <c r="P74" s="350"/>
      <c r="Q74" s="350"/>
      <c r="R74" s="350"/>
      <c r="S74" s="350"/>
      <c r="T74" s="350"/>
      <c r="U74" s="350"/>
    </row>
    <row r="75" spans="1:21" ht="32" customHeight="1">
      <c r="A75" s="352" t="s">
        <v>2514</v>
      </c>
      <c r="B75" s="350"/>
      <c r="C75" s="350"/>
      <c r="D75" s="350"/>
      <c r="E75" s="353">
        <f>SUM(Q4:Q24)</f>
        <v>1234406</v>
      </c>
      <c r="F75" s="350"/>
      <c r="G75" s="350"/>
      <c r="H75" s="350"/>
      <c r="J75" s="35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  <c r="K75" s="350"/>
      <c r="L75" s="350"/>
      <c r="M75" s="350"/>
      <c r="N75" s="350"/>
      <c r="O75" s="350"/>
      <c r="P75" s="350"/>
      <c r="Q75" s="350"/>
      <c r="R75" s="350"/>
      <c r="S75" s="350"/>
      <c r="T75" s="350"/>
      <c r="U75" s="350"/>
    </row>
    <row r="76" spans="1:21" ht="32" customHeight="1">
      <c r="A76" s="352" t="s">
        <v>2515</v>
      </c>
      <c r="B76" s="350"/>
      <c r="C76" s="350"/>
      <c r="D76" s="350"/>
      <c r="E76" s="353">
        <f>I33</f>
        <v>0</v>
      </c>
      <c r="F76" s="350"/>
      <c r="G76" s="350"/>
      <c r="H76" s="350"/>
      <c r="J76" s="352" t="s">
        <v>2516</v>
      </c>
      <c r="K76" s="350"/>
      <c r="L76" s="350"/>
      <c r="M76" s="350"/>
      <c r="N76" s="350"/>
      <c r="O76" s="350"/>
      <c r="P76" s="350"/>
      <c r="Q76" s="350"/>
      <c r="R76" s="350"/>
      <c r="S76" s="350"/>
      <c r="T76" s="350"/>
      <c r="U76" s="350"/>
    </row>
    <row r="77" spans="1:21" ht="32" customHeight="1">
      <c r="A77" s="352" t="s">
        <v>2517</v>
      </c>
      <c r="B77" s="350"/>
      <c r="C77" s="350"/>
      <c r="D77" s="350"/>
      <c r="E77" s="353">
        <f>SUM(I4,I9,I14,I19,I24,I29)</f>
        <v>0</v>
      </c>
      <c r="F77" s="350"/>
      <c r="G77" s="350"/>
      <c r="H77" s="350"/>
      <c r="J77" s="352" t="s">
        <v>2518</v>
      </c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</row>
    <row r="78" spans="1:21" ht="32" customHeight="1">
      <c r="A78" s="349" t="s">
        <v>2519</v>
      </c>
      <c r="B78" s="350"/>
      <c r="C78" s="350"/>
      <c r="D78" s="350"/>
      <c r="E78" s="35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F78" s="350"/>
      <c r="G78" s="350"/>
      <c r="H78" s="350"/>
      <c r="J78" s="35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  <c r="K78" s="350"/>
      <c r="L78" s="350"/>
      <c r="M78" s="350"/>
      <c r="N78" s="350"/>
      <c r="O78" s="350"/>
      <c r="P78" s="350"/>
      <c r="Q78" s="350"/>
      <c r="R78" s="350"/>
      <c r="S78" s="350"/>
      <c r="T78" s="350"/>
      <c r="U78" s="350"/>
    </row>
    <row r="79" spans="1:21" ht="32" customHeight="1">
      <c r="A79" s="349" t="s">
        <v>2520</v>
      </c>
      <c r="B79" s="350"/>
      <c r="C79" s="350"/>
      <c r="D79" s="350"/>
      <c r="E79" s="351">
        <f>E78</f>
        <v>0</v>
      </c>
      <c r="F79" s="350"/>
      <c r="G79" s="350"/>
      <c r="H79" s="350"/>
      <c r="J79" s="352" t="s">
        <v>2521</v>
      </c>
      <c r="K79" s="350"/>
      <c r="L79" s="350"/>
      <c r="M79" s="350"/>
      <c r="N79" s="350"/>
      <c r="O79" s="350"/>
      <c r="P79" s="350"/>
      <c r="Q79" s="350"/>
      <c r="R79" s="350"/>
      <c r="S79" s="350"/>
      <c r="T79" s="350"/>
      <c r="U79" s="350"/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A42:D46"/>
    <mergeCell ref="A50:I50"/>
    <mergeCell ref="U30:V30"/>
    <mergeCell ref="O30:P30"/>
    <mergeCell ref="K29:L29"/>
    <mergeCell ref="Q30:R30"/>
    <mergeCell ref="U31:V31"/>
    <mergeCell ref="K30:L30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9:D79"/>
    <mergeCell ref="E79:H79"/>
    <mergeCell ref="J79:U79"/>
    <mergeCell ref="A77:D77"/>
    <mergeCell ref="E77:H77"/>
    <mergeCell ref="J77:U77"/>
    <mergeCell ref="A78:D78"/>
    <mergeCell ref="E78:H78"/>
    <mergeCell ref="J78:U7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5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30" t="s">
        <v>583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350"/>
      <c r="W1" s="350"/>
      <c r="AA1" t="s">
        <v>450</v>
      </c>
    </row>
    <row r="2" spans="1:27" ht="22" customHeight="1">
      <c r="A2" s="439" t="s">
        <v>451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350"/>
      <c r="W2" s="350"/>
    </row>
    <row r="3" spans="1:27" ht="18" customHeight="1">
      <c r="A3" s="117" t="s">
        <v>452</v>
      </c>
      <c r="B3" s="118"/>
      <c r="C3" s="119">
        <f>IFERROR(colorfunction(B3,$B$15:$U$144,FALSE),$AA$3)</f>
        <v>0</v>
      </c>
      <c r="D3" s="120">
        <v>1000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24">
        <f t="shared" ref="W3:W10" si="0">C3*$D$3</f>
        <v>0</v>
      </c>
      <c r="AA3">
        <v>0</v>
      </c>
    </row>
    <row r="4" spans="1:27" ht="18" customHeight="1">
      <c r="A4" s="117" t="s">
        <v>453</v>
      </c>
      <c r="B4" s="125"/>
      <c r="C4" s="119">
        <f>IFERROR(colorfunction(B4,$B$15:$U$144,FALSE),$AA$4)</f>
        <v>0</v>
      </c>
      <c r="D4" s="126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24">
        <f t="shared" si="0"/>
        <v>0</v>
      </c>
      <c r="AA4">
        <v>0</v>
      </c>
    </row>
    <row r="5" spans="1:27" ht="18" customHeight="1">
      <c r="A5" s="117" t="s">
        <v>454</v>
      </c>
      <c r="B5" s="127"/>
      <c r="C5" s="119">
        <f>IFERROR(colorfunction(B5,$B$15:$U$144,FALSE),$AA$5)</f>
        <v>0</v>
      </c>
      <c r="D5" s="126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3"/>
      <c r="W5" s="124">
        <f t="shared" si="0"/>
        <v>0</v>
      </c>
      <c r="AA5">
        <v>0</v>
      </c>
    </row>
    <row r="6" spans="1:27" ht="18" customHeight="1">
      <c r="A6" s="117" t="s">
        <v>455</v>
      </c>
      <c r="B6" s="128"/>
      <c r="C6" s="119">
        <f>IFERROR(colorfunction(B6,$B$15:$U$144,FALSE),$AA$6)</f>
        <v>0</v>
      </c>
      <c r="D6" s="126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3"/>
      <c r="W6" s="124">
        <f t="shared" si="0"/>
        <v>0</v>
      </c>
      <c r="AA6">
        <v>0</v>
      </c>
    </row>
    <row r="7" spans="1:27" ht="18" customHeight="1">
      <c r="A7" s="117" t="s">
        <v>456</v>
      </c>
      <c r="B7" s="129"/>
      <c r="C7" s="119">
        <f>IFERROR(colorfunction(B7,$B$15:$U$144,FALSE),$AA$7)</f>
        <v>0</v>
      </c>
      <c r="D7" s="126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3"/>
      <c r="W7" s="124">
        <f t="shared" si="0"/>
        <v>0</v>
      </c>
      <c r="AA7">
        <v>0</v>
      </c>
    </row>
    <row r="8" spans="1:27" ht="18" customHeight="1">
      <c r="A8" s="117" t="s">
        <v>457</v>
      </c>
      <c r="B8" s="130"/>
      <c r="C8" s="119">
        <f>IFERROR(colorfunction(B8,$B$15:$U$144,FALSE),$AA$8)</f>
        <v>0</v>
      </c>
      <c r="D8" s="126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3"/>
      <c r="W8" s="124">
        <f t="shared" si="0"/>
        <v>0</v>
      </c>
      <c r="AA8">
        <v>0</v>
      </c>
    </row>
    <row r="9" spans="1:27" ht="18" customHeight="1">
      <c r="A9" s="117" t="s">
        <v>458</v>
      </c>
      <c r="B9" s="131"/>
      <c r="C9" s="119">
        <f>IFERROR(colorfunction(B9,$B$15:$U$144,FALSE),$AA$9)</f>
        <v>0</v>
      </c>
      <c r="D9" s="126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3"/>
      <c r="W9" s="124">
        <f t="shared" si="0"/>
        <v>0</v>
      </c>
      <c r="AA9">
        <v>0</v>
      </c>
    </row>
    <row r="10" spans="1:27" ht="18" customHeight="1">
      <c r="A10" s="117" t="s">
        <v>459</v>
      </c>
      <c r="B10" s="132"/>
      <c r="C10" s="119">
        <f>IFERROR(colorfunction(B10,$B$15:$U$144,FALSE),$AA$10)</f>
        <v>0</v>
      </c>
      <c r="D10" s="126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3"/>
      <c r="W10" s="124">
        <f t="shared" si="0"/>
        <v>0</v>
      </c>
      <c r="AA10">
        <v>0</v>
      </c>
    </row>
    <row r="11" spans="1:27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3"/>
      <c r="W11" s="124"/>
    </row>
    <row r="12" spans="1:27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297" t="s">
        <v>460</v>
      </c>
      <c r="W12" s="298">
        <f>SUM(W3:W10)+W15-W17</f>
        <v>0</v>
      </c>
    </row>
    <row r="13" spans="1:27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299" t="s">
        <v>389</v>
      </c>
      <c r="W13" s="300">
        <f>W12-W14</f>
        <v>0</v>
      </c>
    </row>
    <row r="14" spans="1:27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299" t="s">
        <v>461</v>
      </c>
      <c r="W14" s="300">
        <f>0+_예비비계산!AH13</f>
        <v>0</v>
      </c>
    </row>
    <row r="15" spans="1:27" ht="12" customHeight="1">
      <c r="A15" s="122"/>
      <c r="B15" s="174"/>
      <c r="C15" s="175"/>
      <c r="D15" s="174"/>
      <c r="E15" s="175"/>
      <c r="F15" s="174"/>
      <c r="G15" s="175"/>
      <c r="H15" s="174"/>
      <c r="I15" s="175"/>
      <c r="J15" s="174"/>
      <c r="K15" s="175"/>
      <c r="L15" s="174"/>
      <c r="M15" s="175"/>
      <c r="N15" s="174"/>
      <c r="O15" s="175"/>
      <c r="P15" s="174"/>
      <c r="Q15" s="175"/>
      <c r="R15" s="174"/>
      <c r="S15" s="175"/>
      <c r="T15" s="174"/>
      <c r="U15" s="175"/>
      <c r="V15" s="299" t="s">
        <v>462</v>
      </c>
      <c r="W15" s="300">
        <f>AA15</f>
        <v>0</v>
      </c>
      <c r="AA15">
        <v>0</v>
      </c>
    </row>
    <row r="16" spans="1:27" ht="12" customHeight="1">
      <c r="A16" s="122"/>
      <c r="B16" s="176"/>
      <c r="C16" s="177"/>
      <c r="D16" s="176"/>
      <c r="E16" s="177"/>
      <c r="F16" s="176"/>
      <c r="G16" s="177"/>
      <c r="H16" s="176"/>
      <c r="I16" s="177"/>
      <c r="J16" s="176"/>
      <c r="K16" s="177"/>
      <c r="L16" s="176"/>
      <c r="M16" s="177"/>
      <c r="N16" s="176"/>
      <c r="O16" s="177"/>
      <c r="P16" s="176"/>
      <c r="Q16" s="177"/>
      <c r="R16" s="176"/>
      <c r="S16" s="177"/>
      <c r="T16" s="176"/>
      <c r="U16" s="177"/>
      <c r="V16" s="299" t="s">
        <v>211</v>
      </c>
      <c r="W16" s="300">
        <f>SUM(W3:W10)</f>
        <v>0</v>
      </c>
    </row>
    <row r="17" spans="1:27" ht="12" customHeight="1">
      <c r="A17" s="122"/>
      <c r="B17" s="176"/>
      <c r="C17" s="177"/>
      <c r="D17" s="176"/>
      <c r="E17" s="177"/>
      <c r="F17" s="176"/>
      <c r="G17" s="177"/>
      <c r="H17" s="176"/>
      <c r="I17" s="177"/>
      <c r="J17" s="176"/>
      <c r="K17" s="177"/>
      <c r="L17" s="176"/>
      <c r="M17" s="177"/>
      <c r="N17" s="176"/>
      <c r="O17" s="177"/>
      <c r="P17" s="176"/>
      <c r="Q17" s="177"/>
      <c r="R17" s="176"/>
      <c r="S17" s="177"/>
      <c r="T17" s="176"/>
      <c r="U17" s="177"/>
      <c r="V17" s="301" t="s">
        <v>463</v>
      </c>
      <c r="W17" s="302">
        <f>AA17</f>
        <v>0</v>
      </c>
      <c r="AA17">
        <v>0</v>
      </c>
    </row>
    <row r="18" spans="1:27" ht="12" customHeight="1">
      <c r="A18" s="122"/>
      <c r="B18" s="176"/>
      <c r="C18" s="177"/>
      <c r="D18" s="176"/>
      <c r="E18" s="177"/>
      <c r="F18" s="176"/>
      <c r="G18" s="177"/>
      <c r="H18" s="176"/>
      <c r="I18" s="177"/>
      <c r="J18" s="176"/>
      <c r="K18" s="177"/>
      <c r="L18" s="176"/>
      <c r="M18" s="177"/>
      <c r="N18" s="176"/>
      <c r="O18" s="177"/>
      <c r="P18" s="176"/>
      <c r="Q18" s="177"/>
      <c r="R18" s="176"/>
      <c r="S18" s="177"/>
      <c r="T18" s="176"/>
      <c r="U18" s="177"/>
      <c r="V18" s="122"/>
      <c r="W18" s="122"/>
    </row>
    <row r="19" spans="1:27" ht="12" customHeight="1" thickBot="1">
      <c r="A19" s="141">
        <v>1</v>
      </c>
      <c r="B19" s="179"/>
      <c r="C19" s="178"/>
      <c r="D19" s="179"/>
      <c r="E19" s="178"/>
      <c r="F19" s="179"/>
      <c r="G19" s="178"/>
      <c r="H19" s="179"/>
      <c r="I19" s="178"/>
      <c r="J19" s="179"/>
      <c r="K19" s="178"/>
      <c r="L19" s="179"/>
      <c r="M19" s="178"/>
      <c r="N19" s="179"/>
      <c r="O19" s="178"/>
      <c r="P19" s="179"/>
      <c r="Q19" s="178"/>
      <c r="R19" s="179"/>
      <c r="S19" s="178"/>
      <c r="T19" s="179"/>
      <c r="U19" s="178"/>
      <c r="V19" s="122"/>
      <c r="W19" s="122"/>
    </row>
    <row r="20" spans="1:27" ht="12" customHeight="1">
      <c r="A20" s="122"/>
      <c r="B20" s="174"/>
      <c r="C20" s="175"/>
      <c r="D20" s="174"/>
      <c r="E20" s="175"/>
      <c r="F20" s="174"/>
      <c r="G20" s="175"/>
      <c r="H20" s="174"/>
      <c r="I20" s="175"/>
      <c r="J20" s="174"/>
      <c r="K20" s="175"/>
      <c r="L20" s="174"/>
      <c r="M20" s="175"/>
      <c r="N20" s="174"/>
      <c r="O20" s="175"/>
      <c r="P20" s="174"/>
      <c r="Q20" s="175"/>
      <c r="R20" s="174"/>
      <c r="S20" s="175"/>
      <c r="T20" s="174"/>
      <c r="U20" s="175"/>
      <c r="V20" s="122"/>
      <c r="W20" s="122"/>
    </row>
    <row r="21" spans="1:27" ht="12" customHeight="1">
      <c r="A21" s="122"/>
      <c r="B21" s="176"/>
      <c r="C21" s="177"/>
      <c r="D21" s="176"/>
      <c r="E21" s="177"/>
      <c r="F21" s="176"/>
      <c r="G21" s="177"/>
      <c r="H21" s="176"/>
      <c r="I21" s="177"/>
      <c r="J21" s="176"/>
      <c r="K21" s="177"/>
      <c r="L21" s="176"/>
      <c r="M21" s="177"/>
      <c r="N21" s="176"/>
      <c r="O21" s="177"/>
      <c r="P21" s="176"/>
      <c r="Q21" s="177"/>
      <c r="R21" s="176"/>
      <c r="S21" s="177"/>
      <c r="T21" s="176"/>
      <c r="U21" s="177"/>
      <c r="V21" s="122"/>
      <c r="W21" s="122"/>
    </row>
    <row r="22" spans="1:27" ht="12" customHeight="1">
      <c r="A22" s="122"/>
      <c r="B22" s="176"/>
      <c r="C22" s="177"/>
      <c r="D22" s="176"/>
      <c r="E22" s="177"/>
      <c r="F22" s="176"/>
      <c r="G22" s="177"/>
      <c r="H22" s="176"/>
      <c r="I22" s="177"/>
      <c r="J22" s="176"/>
      <c r="K22" s="177"/>
      <c r="L22" s="176"/>
      <c r="M22" s="177"/>
      <c r="N22" s="176"/>
      <c r="O22" s="177"/>
      <c r="P22" s="176"/>
      <c r="Q22" s="177"/>
      <c r="R22" s="176"/>
      <c r="S22" s="177"/>
      <c r="T22" s="176"/>
      <c r="U22" s="177"/>
      <c r="V22" s="122"/>
      <c r="W22" s="122"/>
    </row>
    <row r="23" spans="1:27" ht="12" customHeight="1">
      <c r="A23" s="122"/>
      <c r="B23" s="176"/>
      <c r="C23" s="177"/>
      <c r="D23" s="176"/>
      <c r="E23" s="177"/>
      <c r="F23" s="176"/>
      <c r="G23" s="177"/>
      <c r="H23" s="176"/>
      <c r="I23" s="177"/>
      <c r="J23" s="176"/>
      <c r="K23" s="177"/>
      <c r="L23" s="176"/>
      <c r="M23" s="177"/>
      <c r="N23" s="176"/>
      <c r="O23" s="177"/>
      <c r="P23" s="176"/>
      <c r="Q23" s="177"/>
      <c r="R23" s="176"/>
      <c r="S23" s="177"/>
      <c r="T23" s="176"/>
      <c r="U23" s="177"/>
      <c r="V23" s="122"/>
      <c r="W23" s="122"/>
    </row>
    <row r="24" spans="1:27" ht="12" customHeight="1" thickBot="1">
      <c r="A24" s="141">
        <v>2</v>
      </c>
      <c r="B24" s="179"/>
      <c r="C24" s="178"/>
      <c r="D24" s="179"/>
      <c r="E24" s="178"/>
      <c r="F24" s="179"/>
      <c r="G24" s="178"/>
      <c r="H24" s="179"/>
      <c r="I24" s="178"/>
      <c r="J24" s="179"/>
      <c r="K24" s="178"/>
      <c r="L24" s="179"/>
      <c r="M24" s="178"/>
      <c r="N24" s="179"/>
      <c r="O24" s="178"/>
      <c r="P24" s="179"/>
      <c r="Q24" s="178"/>
      <c r="R24" s="179"/>
      <c r="S24" s="178"/>
      <c r="T24" s="179"/>
      <c r="U24" s="178"/>
      <c r="V24" s="122"/>
      <c r="W24" s="122"/>
    </row>
    <row r="25" spans="1:27" ht="12" customHeight="1">
      <c r="A25" s="122"/>
      <c r="B25" s="174"/>
      <c r="C25" s="175"/>
      <c r="D25" s="174"/>
      <c r="E25" s="175"/>
      <c r="F25" s="174"/>
      <c r="G25" s="175"/>
      <c r="H25" s="174"/>
      <c r="I25" s="175"/>
      <c r="J25" s="174"/>
      <c r="K25" s="175"/>
      <c r="L25" s="174"/>
      <c r="M25" s="175"/>
      <c r="N25" s="174"/>
      <c r="O25" s="175"/>
      <c r="P25" s="174"/>
      <c r="Q25" s="175"/>
      <c r="R25" s="174"/>
      <c r="S25" s="175"/>
      <c r="T25" s="174"/>
      <c r="U25" s="175"/>
      <c r="V25" s="122"/>
      <c r="W25" s="122"/>
    </row>
    <row r="26" spans="1:27" ht="12" customHeight="1">
      <c r="A26" s="122"/>
      <c r="B26" s="176"/>
      <c r="C26" s="177"/>
      <c r="D26" s="176"/>
      <c r="E26" s="177"/>
      <c r="F26" s="176"/>
      <c r="G26" s="177"/>
      <c r="H26" s="176"/>
      <c r="I26" s="177"/>
      <c r="J26" s="176"/>
      <c r="K26" s="177"/>
      <c r="L26" s="176"/>
      <c r="M26" s="177"/>
      <c r="N26" s="176"/>
      <c r="O26" s="177"/>
      <c r="P26" s="176"/>
      <c r="Q26" s="177"/>
      <c r="R26" s="176"/>
      <c r="S26" s="177"/>
      <c r="T26" s="176"/>
      <c r="U26" s="177"/>
      <c r="V26" s="122"/>
      <c r="W26" s="122"/>
    </row>
    <row r="27" spans="1:27" ht="12" customHeight="1">
      <c r="A27" s="122"/>
      <c r="B27" s="176"/>
      <c r="C27" s="177"/>
      <c r="D27" s="176"/>
      <c r="E27" s="177"/>
      <c r="F27" s="176"/>
      <c r="G27" s="177"/>
      <c r="H27" s="176"/>
      <c r="I27" s="177"/>
      <c r="J27" s="176"/>
      <c r="K27" s="177"/>
      <c r="L27" s="176"/>
      <c r="M27" s="177"/>
      <c r="N27" s="176"/>
      <c r="O27" s="177"/>
      <c r="P27" s="176"/>
      <c r="Q27" s="177"/>
      <c r="R27" s="176"/>
      <c r="S27" s="177"/>
      <c r="T27" s="176"/>
      <c r="U27" s="177"/>
      <c r="V27" s="122"/>
      <c r="W27" s="122"/>
    </row>
    <row r="28" spans="1:27" ht="12" customHeight="1">
      <c r="A28" s="122"/>
      <c r="B28" s="176"/>
      <c r="C28" s="177"/>
      <c r="D28" s="176"/>
      <c r="E28" s="177"/>
      <c r="F28" s="176"/>
      <c r="G28" s="177"/>
      <c r="H28" s="176"/>
      <c r="I28" s="177"/>
      <c r="J28" s="176"/>
      <c r="K28" s="177"/>
      <c r="L28" s="176"/>
      <c r="M28" s="177"/>
      <c r="N28" s="176"/>
      <c r="O28" s="177"/>
      <c r="P28" s="176"/>
      <c r="Q28" s="177"/>
      <c r="R28" s="176"/>
      <c r="S28" s="177"/>
      <c r="T28" s="176"/>
      <c r="U28" s="177"/>
      <c r="V28" s="122"/>
      <c r="W28" s="122"/>
    </row>
    <row r="29" spans="1:27" ht="12" customHeight="1" thickBot="1">
      <c r="A29" s="141">
        <v>3</v>
      </c>
      <c r="B29" s="179"/>
      <c r="C29" s="178"/>
      <c r="D29" s="179"/>
      <c r="E29" s="178"/>
      <c r="F29" s="179"/>
      <c r="G29" s="178"/>
      <c r="H29" s="179"/>
      <c r="I29" s="178"/>
      <c r="J29" s="179"/>
      <c r="K29" s="178"/>
      <c r="L29" s="179"/>
      <c r="M29" s="178"/>
      <c r="N29" s="179"/>
      <c r="O29" s="178"/>
      <c r="P29" s="179"/>
      <c r="Q29" s="178"/>
      <c r="R29" s="179"/>
      <c r="S29" s="178"/>
      <c r="T29" s="179"/>
      <c r="U29" s="178"/>
      <c r="V29" s="122"/>
      <c r="W29" s="122"/>
    </row>
    <row r="30" spans="1:27" ht="12" customHeight="1">
      <c r="A30" s="122"/>
      <c r="B30" s="174"/>
      <c r="C30" s="175"/>
      <c r="D30" s="174"/>
      <c r="E30" s="175"/>
      <c r="F30" s="174"/>
      <c r="G30" s="175"/>
      <c r="H30" s="174"/>
      <c r="I30" s="175"/>
      <c r="J30" s="174"/>
      <c r="K30" s="175"/>
      <c r="L30" s="174"/>
      <c r="M30" s="175"/>
      <c r="N30" s="174"/>
      <c r="O30" s="175"/>
      <c r="P30" s="174"/>
      <c r="Q30" s="175"/>
      <c r="R30" s="174"/>
      <c r="S30" s="175"/>
      <c r="T30" s="174"/>
      <c r="U30" s="175"/>
      <c r="V30" s="122"/>
      <c r="W30" s="122"/>
    </row>
    <row r="31" spans="1:27" ht="12" customHeight="1">
      <c r="A31" s="122"/>
      <c r="B31" s="176"/>
      <c r="C31" s="177"/>
      <c r="D31" s="176"/>
      <c r="E31" s="177"/>
      <c r="F31" s="176"/>
      <c r="G31" s="177"/>
      <c r="H31" s="176"/>
      <c r="I31" s="177"/>
      <c r="J31" s="176"/>
      <c r="K31" s="177"/>
      <c r="L31" s="176"/>
      <c r="M31" s="177"/>
      <c r="N31" s="176"/>
      <c r="O31" s="177"/>
      <c r="P31" s="176"/>
      <c r="Q31" s="177"/>
      <c r="R31" s="176"/>
      <c r="S31" s="177"/>
      <c r="T31" s="176"/>
      <c r="U31" s="177"/>
      <c r="V31" s="122"/>
      <c r="W31" s="122"/>
    </row>
    <row r="32" spans="1:27" ht="12" customHeight="1">
      <c r="A32" s="122"/>
      <c r="B32" s="176"/>
      <c r="C32" s="177"/>
      <c r="D32" s="176"/>
      <c r="E32" s="177"/>
      <c r="F32" s="176"/>
      <c r="G32" s="177"/>
      <c r="H32" s="176"/>
      <c r="I32" s="177"/>
      <c r="J32" s="176"/>
      <c r="K32" s="177"/>
      <c r="L32" s="176"/>
      <c r="M32" s="177"/>
      <c r="N32" s="176"/>
      <c r="O32" s="177"/>
      <c r="P32" s="176"/>
      <c r="Q32" s="177"/>
      <c r="R32" s="176"/>
      <c r="S32" s="177"/>
      <c r="T32" s="176"/>
      <c r="U32" s="177"/>
      <c r="V32" s="122"/>
      <c r="W32" s="122"/>
    </row>
    <row r="33" spans="1:23" ht="12" customHeight="1">
      <c r="A33" s="122"/>
      <c r="B33" s="176"/>
      <c r="C33" s="177"/>
      <c r="D33" s="176"/>
      <c r="E33" s="177"/>
      <c r="F33" s="176"/>
      <c r="G33" s="177"/>
      <c r="H33" s="176"/>
      <c r="I33" s="177"/>
      <c r="J33" s="176"/>
      <c r="K33" s="177"/>
      <c r="L33" s="176"/>
      <c r="M33" s="177"/>
      <c r="N33" s="176"/>
      <c r="O33" s="177"/>
      <c r="P33" s="176"/>
      <c r="Q33" s="177"/>
      <c r="R33" s="176"/>
      <c r="S33" s="177"/>
      <c r="T33" s="176"/>
      <c r="U33" s="177"/>
      <c r="V33" s="122"/>
      <c r="W33" s="122"/>
    </row>
    <row r="34" spans="1:23" ht="12" customHeight="1" thickBot="1">
      <c r="A34" s="141">
        <v>4</v>
      </c>
      <c r="B34" s="179"/>
      <c r="C34" s="178"/>
      <c r="D34" s="179"/>
      <c r="E34" s="178"/>
      <c r="F34" s="179"/>
      <c r="G34" s="178"/>
      <c r="H34" s="179"/>
      <c r="I34" s="178"/>
      <c r="J34" s="179"/>
      <c r="K34" s="178"/>
      <c r="L34" s="179"/>
      <c r="M34" s="178"/>
      <c r="N34" s="179"/>
      <c r="O34" s="178"/>
      <c r="P34" s="179"/>
      <c r="Q34" s="178"/>
      <c r="R34" s="179"/>
      <c r="S34" s="178"/>
      <c r="T34" s="179"/>
      <c r="U34" s="178"/>
      <c r="V34" s="122"/>
      <c r="W34" s="122"/>
    </row>
    <row r="35" spans="1:23" ht="12" customHeight="1">
      <c r="A35" s="122"/>
      <c r="B35" s="174"/>
      <c r="C35" s="175"/>
      <c r="D35" s="174"/>
      <c r="E35" s="175"/>
      <c r="F35" s="174"/>
      <c r="G35" s="175"/>
      <c r="H35" s="174"/>
      <c r="I35" s="175"/>
      <c r="J35" s="174"/>
      <c r="K35" s="175"/>
      <c r="L35" s="174"/>
      <c r="M35" s="175"/>
      <c r="N35" s="174"/>
      <c r="O35" s="175"/>
      <c r="P35" s="174"/>
      <c r="Q35" s="175"/>
      <c r="R35" s="174"/>
      <c r="S35" s="175"/>
      <c r="T35" s="174"/>
      <c r="U35" s="175"/>
      <c r="V35" s="122"/>
      <c r="W35" s="122"/>
    </row>
    <row r="36" spans="1:23" ht="12" customHeight="1">
      <c r="A36" s="122"/>
      <c r="B36" s="176"/>
      <c r="C36" s="177"/>
      <c r="D36" s="176"/>
      <c r="E36" s="177"/>
      <c r="F36" s="176"/>
      <c r="G36" s="177"/>
      <c r="H36" s="176"/>
      <c r="I36" s="177"/>
      <c r="J36" s="176"/>
      <c r="K36" s="177"/>
      <c r="L36" s="176"/>
      <c r="M36" s="177"/>
      <c r="N36" s="176"/>
      <c r="O36" s="177"/>
      <c r="P36" s="176"/>
      <c r="Q36" s="177"/>
      <c r="R36" s="176"/>
      <c r="S36" s="177"/>
      <c r="T36" s="176"/>
      <c r="U36" s="177"/>
      <c r="V36" s="122"/>
      <c r="W36" s="122"/>
    </row>
    <row r="37" spans="1:23" ht="12" customHeight="1">
      <c r="A37" s="122"/>
      <c r="B37" s="176"/>
      <c r="C37" s="177"/>
      <c r="D37" s="176"/>
      <c r="E37" s="177"/>
      <c r="F37" s="176"/>
      <c r="G37" s="177"/>
      <c r="H37" s="176"/>
      <c r="I37" s="177"/>
      <c r="J37" s="176"/>
      <c r="K37" s="177"/>
      <c r="L37" s="176"/>
      <c r="M37" s="177"/>
      <c r="N37" s="176"/>
      <c r="O37" s="177"/>
      <c r="P37" s="176"/>
      <c r="Q37" s="177"/>
      <c r="R37" s="176"/>
      <c r="S37" s="177"/>
      <c r="T37" s="176"/>
      <c r="U37" s="177"/>
      <c r="V37" s="122"/>
      <c r="W37" s="122"/>
    </row>
    <row r="38" spans="1:23" ht="12" customHeight="1">
      <c r="A38" s="122"/>
      <c r="B38" s="176"/>
      <c r="C38" s="177"/>
      <c r="D38" s="176"/>
      <c r="E38" s="177"/>
      <c r="F38" s="176"/>
      <c r="G38" s="177"/>
      <c r="H38" s="176"/>
      <c r="I38" s="177"/>
      <c r="J38" s="176"/>
      <c r="K38" s="177"/>
      <c r="L38" s="176"/>
      <c r="M38" s="177"/>
      <c r="N38" s="176"/>
      <c r="O38" s="177"/>
      <c r="P38" s="176"/>
      <c r="Q38" s="177"/>
      <c r="R38" s="176"/>
      <c r="S38" s="177"/>
      <c r="T38" s="176"/>
      <c r="U38" s="177"/>
      <c r="V38" s="122"/>
      <c r="W38" s="122"/>
    </row>
    <row r="39" spans="1:23" ht="12" customHeight="1" thickBot="1">
      <c r="A39" s="141">
        <v>5</v>
      </c>
      <c r="B39" s="179"/>
      <c r="C39" s="178"/>
      <c r="D39" s="179"/>
      <c r="E39" s="178"/>
      <c r="F39" s="179"/>
      <c r="G39" s="178"/>
      <c r="H39" s="179"/>
      <c r="I39" s="178"/>
      <c r="J39" s="179"/>
      <c r="K39" s="178"/>
      <c r="L39" s="179"/>
      <c r="M39" s="178"/>
      <c r="N39" s="179"/>
      <c r="O39" s="178"/>
      <c r="P39" s="179"/>
      <c r="Q39" s="178"/>
      <c r="R39" s="179"/>
      <c r="S39" s="178"/>
      <c r="T39" s="179"/>
      <c r="U39" s="178"/>
      <c r="V39" s="122"/>
      <c r="W39" s="122"/>
    </row>
    <row r="40" spans="1:23" ht="12" customHeight="1">
      <c r="A40" s="122"/>
      <c r="B40" s="174"/>
      <c r="C40" s="175"/>
      <c r="D40" s="174"/>
      <c r="E40" s="175"/>
      <c r="F40" s="174"/>
      <c r="G40" s="175"/>
      <c r="H40" s="174"/>
      <c r="I40" s="175"/>
      <c r="J40" s="174"/>
      <c r="K40" s="175"/>
      <c r="L40" s="174"/>
      <c r="M40" s="175"/>
      <c r="N40" s="174"/>
      <c r="O40" s="175"/>
      <c r="P40" s="174"/>
      <c r="Q40" s="175"/>
      <c r="R40" s="174"/>
      <c r="S40" s="175"/>
      <c r="T40" s="174"/>
      <c r="U40" s="175"/>
      <c r="V40" s="122"/>
      <c r="W40" s="122"/>
    </row>
    <row r="41" spans="1:23" ht="12" customHeight="1">
      <c r="A41" s="122"/>
      <c r="B41" s="176"/>
      <c r="C41" s="177"/>
      <c r="D41" s="176"/>
      <c r="E41" s="177"/>
      <c r="F41" s="176"/>
      <c r="G41" s="177"/>
      <c r="H41" s="176"/>
      <c r="I41" s="177"/>
      <c r="J41" s="176"/>
      <c r="K41" s="177"/>
      <c r="L41" s="176"/>
      <c r="M41" s="177"/>
      <c r="N41" s="176"/>
      <c r="O41" s="177"/>
      <c r="P41" s="176"/>
      <c r="Q41" s="177"/>
      <c r="R41" s="176"/>
      <c r="S41" s="177"/>
      <c r="T41" s="176"/>
      <c r="U41" s="177"/>
      <c r="V41" s="122"/>
      <c r="W41" s="122"/>
    </row>
    <row r="42" spans="1:23" ht="12" customHeight="1">
      <c r="A42" s="122"/>
      <c r="B42" s="176"/>
      <c r="C42" s="177"/>
      <c r="D42" s="176"/>
      <c r="E42" s="177"/>
      <c r="F42" s="176"/>
      <c r="G42" s="177"/>
      <c r="H42" s="176"/>
      <c r="I42" s="177"/>
      <c r="J42" s="176"/>
      <c r="K42" s="177"/>
      <c r="L42" s="176"/>
      <c r="M42" s="177"/>
      <c r="N42" s="176"/>
      <c r="O42" s="177"/>
      <c r="P42" s="176"/>
      <c r="Q42" s="177"/>
      <c r="R42" s="176"/>
      <c r="S42" s="177"/>
      <c r="T42" s="176"/>
      <c r="U42" s="177"/>
      <c r="V42" s="122"/>
      <c r="W42" s="122"/>
    </row>
    <row r="43" spans="1:23" ht="12" customHeight="1">
      <c r="A43" s="122"/>
      <c r="B43" s="176"/>
      <c r="C43" s="177"/>
      <c r="D43" s="176"/>
      <c r="E43" s="177"/>
      <c r="F43" s="176"/>
      <c r="G43" s="177"/>
      <c r="H43" s="176"/>
      <c r="I43" s="177"/>
      <c r="J43" s="176"/>
      <c r="K43" s="177"/>
      <c r="L43" s="176"/>
      <c r="M43" s="177"/>
      <c r="N43" s="176"/>
      <c r="O43" s="177"/>
      <c r="P43" s="176"/>
      <c r="Q43" s="177"/>
      <c r="R43" s="176"/>
      <c r="S43" s="177"/>
      <c r="T43" s="176"/>
      <c r="U43" s="177"/>
      <c r="V43" s="122"/>
      <c r="W43" s="122"/>
    </row>
    <row r="44" spans="1:23" ht="12" customHeight="1" thickBot="1">
      <c r="A44" s="141">
        <v>6</v>
      </c>
      <c r="B44" s="179"/>
      <c r="C44" s="178"/>
      <c r="D44" s="179"/>
      <c r="E44" s="178"/>
      <c r="F44" s="179"/>
      <c r="G44" s="178"/>
      <c r="H44" s="179"/>
      <c r="I44" s="178"/>
      <c r="J44" s="179"/>
      <c r="K44" s="178"/>
      <c r="L44" s="179"/>
      <c r="M44" s="178"/>
      <c r="N44" s="179"/>
      <c r="O44" s="178"/>
      <c r="P44" s="179"/>
      <c r="Q44" s="178"/>
      <c r="R44" s="179"/>
      <c r="S44" s="178"/>
      <c r="T44" s="179"/>
      <c r="U44" s="178"/>
      <c r="V44" s="122"/>
      <c r="W44" s="122"/>
    </row>
    <row r="45" spans="1:23" ht="12" customHeight="1">
      <c r="A45" s="122"/>
      <c r="B45" s="174"/>
      <c r="C45" s="175"/>
      <c r="D45" s="174"/>
      <c r="E45" s="175"/>
      <c r="F45" s="174"/>
      <c r="G45" s="175"/>
      <c r="H45" s="174"/>
      <c r="I45" s="175"/>
      <c r="J45" s="174"/>
      <c r="K45" s="175"/>
      <c r="L45" s="174"/>
      <c r="M45" s="175"/>
      <c r="N45" s="174"/>
      <c r="O45" s="175"/>
      <c r="P45" s="174"/>
      <c r="Q45" s="175"/>
      <c r="R45" s="174"/>
      <c r="S45" s="175"/>
      <c r="T45" s="174"/>
      <c r="U45" s="175"/>
      <c r="V45" s="122"/>
      <c r="W45" s="122"/>
    </row>
    <row r="46" spans="1:23" ht="12" customHeight="1">
      <c r="A46" s="122"/>
      <c r="B46" s="176"/>
      <c r="C46" s="177"/>
      <c r="D46" s="176"/>
      <c r="E46" s="177"/>
      <c r="F46" s="176"/>
      <c r="G46" s="177"/>
      <c r="H46" s="176"/>
      <c r="I46" s="177"/>
      <c r="J46" s="176"/>
      <c r="K46" s="177"/>
      <c r="L46" s="176"/>
      <c r="M46" s="177"/>
      <c r="N46" s="176"/>
      <c r="O46" s="177"/>
      <c r="P46" s="176"/>
      <c r="Q46" s="177"/>
      <c r="R46" s="176"/>
      <c r="S46" s="177"/>
      <c r="T46" s="176"/>
      <c r="U46" s="177"/>
      <c r="V46" s="122"/>
      <c r="W46" s="122"/>
    </row>
    <row r="47" spans="1:23" ht="12" customHeight="1">
      <c r="A47" s="122"/>
      <c r="B47" s="176"/>
      <c r="C47" s="177"/>
      <c r="D47" s="176"/>
      <c r="E47" s="177"/>
      <c r="F47" s="176"/>
      <c r="G47" s="177"/>
      <c r="H47" s="176"/>
      <c r="I47" s="177"/>
      <c r="J47" s="176"/>
      <c r="K47" s="177"/>
      <c r="L47" s="176"/>
      <c r="M47" s="177"/>
      <c r="N47" s="176"/>
      <c r="O47" s="177"/>
      <c r="P47" s="176"/>
      <c r="Q47" s="177"/>
      <c r="R47" s="176"/>
      <c r="S47" s="177"/>
      <c r="T47" s="176"/>
      <c r="U47" s="177"/>
      <c r="V47" s="122"/>
      <c r="W47" s="122"/>
    </row>
    <row r="48" spans="1:23" ht="12" customHeight="1">
      <c r="A48" s="122"/>
      <c r="B48" s="176"/>
      <c r="C48" s="177"/>
      <c r="D48" s="176"/>
      <c r="E48" s="177"/>
      <c r="F48" s="176"/>
      <c r="G48" s="177"/>
      <c r="H48" s="176"/>
      <c r="I48" s="177"/>
      <c r="J48" s="176"/>
      <c r="K48" s="177"/>
      <c r="L48" s="176"/>
      <c r="M48" s="177"/>
      <c r="N48" s="176"/>
      <c r="O48" s="177"/>
      <c r="P48" s="176"/>
      <c r="Q48" s="177"/>
      <c r="R48" s="176"/>
      <c r="S48" s="177"/>
      <c r="T48" s="176"/>
      <c r="U48" s="177"/>
      <c r="V48" s="122"/>
      <c r="W48" s="122"/>
    </row>
    <row r="49" spans="1:23" ht="12" customHeight="1" thickBot="1">
      <c r="A49" s="141">
        <v>7</v>
      </c>
      <c r="B49" s="179"/>
      <c r="C49" s="178"/>
      <c r="D49" s="179"/>
      <c r="E49" s="178"/>
      <c r="F49" s="179"/>
      <c r="G49" s="178"/>
      <c r="H49" s="179"/>
      <c r="I49" s="178"/>
      <c r="J49" s="179"/>
      <c r="K49" s="178"/>
      <c r="L49" s="179"/>
      <c r="M49" s="178"/>
      <c r="N49" s="179"/>
      <c r="O49" s="178"/>
      <c r="P49" s="179"/>
      <c r="Q49" s="178"/>
      <c r="R49" s="179"/>
      <c r="S49" s="178"/>
      <c r="T49" s="179"/>
      <c r="U49" s="178"/>
      <c r="V49" s="122"/>
      <c r="W49" s="122"/>
    </row>
    <row r="50" spans="1:23" ht="12" customHeight="1">
      <c r="A50" s="122"/>
      <c r="B50" s="174"/>
      <c r="C50" s="175"/>
      <c r="D50" s="174"/>
      <c r="E50" s="175"/>
      <c r="F50" s="174"/>
      <c r="G50" s="175"/>
      <c r="H50" s="174"/>
      <c r="I50" s="175"/>
      <c r="J50" s="174"/>
      <c r="K50" s="175"/>
      <c r="L50" s="174"/>
      <c r="M50" s="175"/>
      <c r="N50" s="174"/>
      <c r="O50" s="175"/>
      <c r="P50" s="174"/>
      <c r="Q50" s="175"/>
      <c r="R50" s="174"/>
      <c r="S50" s="175"/>
      <c r="T50" s="176"/>
      <c r="U50" s="175"/>
      <c r="V50" s="122"/>
      <c r="W50" s="122"/>
    </row>
    <row r="51" spans="1:23" ht="12" customHeight="1">
      <c r="A51" s="122"/>
      <c r="B51" s="176"/>
      <c r="C51" s="177"/>
      <c r="D51" s="176"/>
      <c r="E51" s="177"/>
      <c r="F51" s="176"/>
      <c r="G51" s="177"/>
      <c r="H51" s="176"/>
      <c r="I51" s="177"/>
      <c r="J51" s="176"/>
      <c r="K51" s="177"/>
      <c r="L51" s="176"/>
      <c r="M51" s="177"/>
      <c r="N51" s="176"/>
      <c r="O51" s="177"/>
      <c r="P51" s="176"/>
      <c r="Q51" s="177"/>
      <c r="R51" s="176"/>
      <c r="S51" s="177"/>
      <c r="T51" s="176"/>
      <c r="U51" s="177"/>
      <c r="V51" s="122"/>
      <c r="W51" s="122"/>
    </row>
    <row r="52" spans="1:23" ht="12" customHeight="1">
      <c r="A52" s="122"/>
      <c r="B52" s="176"/>
      <c r="C52" s="177"/>
      <c r="D52" s="176"/>
      <c r="E52" s="177"/>
      <c r="F52" s="176"/>
      <c r="G52" s="177"/>
      <c r="H52" s="176"/>
      <c r="I52" s="177"/>
      <c r="J52" s="176"/>
      <c r="K52" s="177"/>
      <c r="L52" s="176"/>
      <c r="M52" s="177"/>
      <c r="N52" s="176"/>
      <c r="O52" s="177"/>
      <c r="P52" s="176"/>
      <c r="Q52" s="177"/>
      <c r="R52" s="176"/>
      <c r="S52" s="177"/>
      <c r="T52" s="176"/>
      <c r="U52" s="177"/>
      <c r="V52" s="122"/>
      <c r="W52" s="122"/>
    </row>
    <row r="53" spans="1:23" ht="12" customHeight="1">
      <c r="A53" s="122"/>
      <c r="B53" s="176"/>
      <c r="C53" s="177"/>
      <c r="D53" s="176"/>
      <c r="E53" s="177"/>
      <c r="F53" s="176"/>
      <c r="G53" s="177"/>
      <c r="H53" s="176"/>
      <c r="I53" s="177"/>
      <c r="J53" s="176"/>
      <c r="K53" s="177"/>
      <c r="L53" s="176"/>
      <c r="M53" s="177"/>
      <c r="N53" s="176"/>
      <c r="O53" s="177"/>
      <c r="P53" s="176"/>
      <c r="Q53" s="177"/>
      <c r="R53" s="176"/>
      <c r="S53" s="177"/>
      <c r="T53" s="176"/>
      <c r="U53" s="177"/>
      <c r="V53" s="122"/>
      <c r="W53" s="122"/>
    </row>
    <row r="54" spans="1:23" ht="12" customHeight="1" thickBot="1">
      <c r="A54" s="141">
        <v>8</v>
      </c>
      <c r="B54" s="179"/>
      <c r="C54" s="178"/>
      <c r="D54" s="179"/>
      <c r="E54" s="178"/>
      <c r="F54" s="179"/>
      <c r="G54" s="178"/>
      <c r="H54" s="179"/>
      <c r="I54" s="178"/>
      <c r="J54" s="179"/>
      <c r="K54" s="178"/>
      <c r="L54" s="179"/>
      <c r="M54" s="178"/>
      <c r="N54" s="179"/>
      <c r="O54" s="178"/>
      <c r="P54" s="179"/>
      <c r="Q54" s="178"/>
      <c r="R54" s="179"/>
      <c r="S54" s="178"/>
      <c r="T54" s="179"/>
      <c r="U54" s="178"/>
      <c r="V54" s="122"/>
      <c r="W54" s="122"/>
    </row>
    <row r="55" spans="1:23" ht="12" customHeight="1">
      <c r="A55" s="122"/>
      <c r="B55" s="174"/>
      <c r="C55" s="175"/>
      <c r="D55" s="174"/>
      <c r="E55" s="175"/>
      <c r="F55" s="174"/>
      <c r="G55" s="175"/>
      <c r="H55" s="174"/>
      <c r="I55" s="175"/>
      <c r="J55" s="174"/>
      <c r="K55" s="175"/>
      <c r="L55" s="174"/>
      <c r="M55" s="175"/>
      <c r="N55" s="174"/>
      <c r="O55" s="175"/>
      <c r="P55" s="174"/>
      <c r="Q55" s="175"/>
      <c r="R55" s="174"/>
      <c r="S55" s="175"/>
      <c r="T55" s="174"/>
      <c r="U55" s="175"/>
      <c r="V55" s="122"/>
      <c r="W55" s="122"/>
    </row>
    <row r="56" spans="1:23" ht="12" customHeight="1">
      <c r="A56" s="122"/>
      <c r="B56" s="176"/>
      <c r="C56" s="177"/>
      <c r="D56" s="176"/>
      <c r="E56" s="177"/>
      <c r="F56" s="176"/>
      <c r="G56" s="177"/>
      <c r="H56" s="176"/>
      <c r="I56" s="177"/>
      <c r="J56" s="176"/>
      <c r="K56" s="177"/>
      <c r="L56" s="176"/>
      <c r="M56" s="177"/>
      <c r="N56" s="176"/>
      <c r="O56" s="177"/>
      <c r="P56" s="176"/>
      <c r="Q56" s="177"/>
      <c r="R56" s="176"/>
      <c r="S56" s="177"/>
      <c r="T56" s="176"/>
      <c r="U56" s="177"/>
      <c r="V56" s="122"/>
      <c r="W56" s="122"/>
    </row>
    <row r="57" spans="1:23" ht="12" customHeight="1">
      <c r="A57" s="122"/>
      <c r="B57" s="176"/>
      <c r="C57" s="177"/>
      <c r="D57" s="176"/>
      <c r="E57" s="177"/>
      <c r="F57" s="176"/>
      <c r="G57" s="177"/>
      <c r="H57" s="176"/>
      <c r="I57" s="177"/>
      <c r="J57" s="176"/>
      <c r="K57" s="177"/>
      <c r="L57" s="176"/>
      <c r="M57" s="177"/>
      <c r="N57" s="176"/>
      <c r="O57" s="177"/>
      <c r="P57" s="176"/>
      <c r="Q57" s="177"/>
      <c r="R57" s="176"/>
      <c r="S57" s="177"/>
      <c r="T57" s="176"/>
      <c r="U57" s="177"/>
      <c r="V57" s="122"/>
      <c r="W57" s="122"/>
    </row>
    <row r="58" spans="1:23" ht="12" customHeight="1">
      <c r="A58" s="122"/>
      <c r="B58" s="176"/>
      <c r="C58" s="177"/>
      <c r="D58" s="176"/>
      <c r="E58" s="177"/>
      <c r="F58" s="176"/>
      <c r="G58" s="177"/>
      <c r="H58" s="176"/>
      <c r="I58" s="177"/>
      <c r="J58" s="176"/>
      <c r="K58" s="177"/>
      <c r="L58" s="176"/>
      <c r="M58" s="177"/>
      <c r="N58" s="176"/>
      <c r="O58" s="177"/>
      <c r="P58" s="176"/>
      <c r="Q58" s="177"/>
      <c r="R58" s="176"/>
      <c r="S58" s="177"/>
      <c r="T58" s="176"/>
      <c r="U58" s="177"/>
      <c r="V58" s="122"/>
      <c r="W58" s="122"/>
    </row>
    <row r="59" spans="1:23" ht="12" customHeight="1" thickBot="1">
      <c r="A59" s="141">
        <v>9</v>
      </c>
      <c r="B59" s="179"/>
      <c r="C59" s="178"/>
      <c r="D59" s="179"/>
      <c r="E59" s="178"/>
      <c r="F59" s="179"/>
      <c r="G59" s="178"/>
      <c r="H59" s="179"/>
      <c r="I59" s="178"/>
      <c r="J59" s="179"/>
      <c r="K59" s="178"/>
      <c r="L59" s="179"/>
      <c r="M59" s="178"/>
      <c r="N59" s="179"/>
      <c r="O59" s="178"/>
      <c r="P59" s="179"/>
      <c r="Q59" s="178"/>
      <c r="R59" s="179"/>
      <c r="S59" s="178"/>
      <c r="T59" s="179"/>
      <c r="U59" s="178"/>
      <c r="V59" s="122"/>
      <c r="W59" s="122"/>
    </row>
    <row r="60" spans="1:23" ht="12" customHeight="1">
      <c r="A60" s="122"/>
      <c r="B60" s="174"/>
      <c r="C60" s="175"/>
      <c r="D60" s="174"/>
      <c r="E60" s="175"/>
      <c r="F60" s="174"/>
      <c r="G60" s="175"/>
      <c r="H60" s="174"/>
      <c r="I60" s="175"/>
      <c r="J60" s="174"/>
      <c r="K60" s="175"/>
      <c r="L60" s="174"/>
      <c r="M60" s="175"/>
      <c r="N60" s="174"/>
      <c r="O60" s="175"/>
      <c r="P60" s="174"/>
      <c r="Q60" s="175"/>
      <c r="R60" s="174"/>
      <c r="S60" s="175"/>
      <c r="T60" s="174"/>
      <c r="U60" s="175"/>
      <c r="V60" s="122"/>
      <c r="W60" s="122"/>
    </row>
    <row r="61" spans="1:23" ht="12" customHeight="1">
      <c r="A61" s="122"/>
      <c r="B61" s="176"/>
      <c r="C61" s="177"/>
      <c r="D61" s="176"/>
      <c r="E61" s="177"/>
      <c r="F61" s="176"/>
      <c r="G61" s="177"/>
      <c r="H61" s="176"/>
      <c r="I61" s="177"/>
      <c r="J61" s="176"/>
      <c r="K61" s="177"/>
      <c r="L61" s="176"/>
      <c r="M61" s="177"/>
      <c r="N61" s="176"/>
      <c r="O61" s="177"/>
      <c r="P61" s="176"/>
      <c r="Q61" s="177"/>
      <c r="R61" s="176"/>
      <c r="S61" s="177"/>
      <c r="T61" s="176"/>
      <c r="U61" s="177"/>
      <c r="V61" s="122"/>
      <c r="W61" s="122"/>
    </row>
    <row r="62" spans="1:23" ht="12" customHeight="1">
      <c r="A62" s="122"/>
      <c r="B62" s="176"/>
      <c r="C62" s="177"/>
      <c r="D62" s="176"/>
      <c r="E62" s="177"/>
      <c r="F62" s="176"/>
      <c r="G62" s="177"/>
      <c r="H62" s="176"/>
      <c r="I62" s="177"/>
      <c r="J62" s="176"/>
      <c r="K62" s="177"/>
      <c r="L62" s="176"/>
      <c r="M62" s="177"/>
      <c r="N62" s="176"/>
      <c r="O62" s="177"/>
      <c r="P62" s="176"/>
      <c r="Q62" s="177"/>
      <c r="R62" s="176"/>
      <c r="S62" s="177"/>
      <c r="T62" s="176"/>
      <c r="U62" s="177"/>
      <c r="V62" s="122"/>
      <c r="W62" s="122"/>
    </row>
    <row r="63" spans="1:23" ht="12" customHeight="1">
      <c r="A63" s="122"/>
      <c r="B63" s="176"/>
      <c r="C63" s="177"/>
      <c r="D63" s="176"/>
      <c r="E63" s="177"/>
      <c r="F63" s="176"/>
      <c r="G63" s="177"/>
      <c r="H63" s="176"/>
      <c r="I63" s="177"/>
      <c r="J63" s="176"/>
      <c r="K63" s="177"/>
      <c r="L63" s="176"/>
      <c r="M63" s="177"/>
      <c r="N63" s="176"/>
      <c r="O63" s="177"/>
      <c r="P63" s="176"/>
      <c r="Q63" s="177"/>
      <c r="R63" s="176"/>
      <c r="S63" s="177"/>
      <c r="T63" s="176"/>
      <c r="U63" s="177"/>
      <c r="V63" s="122"/>
      <c r="W63" s="122"/>
    </row>
    <row r="64" spans="1:23" ht="12" customHeight="1" thickBot="1">
      <c r="A64" s="141">
        <v>10</v>
      </c>
      <c r="B64" s="179"/>
      <c r="C64" s="178"/>
      <c r="D64" s="179"/>
      <c r="E64" s="178"/>
      <c r="F64" s="179"/>
      <c r="G64" s="178"/>
      <c r="H64" s="179"/>
      <c r="I64" s="178"/>
      <c r="J64" s="179"/>
      <c r="K64" s="178"/>
      <c r="L64" s="179"/>
      <c r="M64" s="178"/>
      <c r="N64" s="179"/>
      <c r="O64" s="178"/>
      <c r="P64" s="179"/>
      <c r="Q64" s="178"/>
      <c r="R64" s="179"/>
      <c r="S64" s="178"/>
      <c r="T64" s="179"/>
      <c r="U64" s="178"/>
      <c r="V64" s="122"/>
      <c r="W64" s="122"/>
    </row>
    <row r="65" spans="1:23" ht="12" customHeight="1">
      <c r="A65" s="122"/>
      <c r="B65" s="174"/>
      <c r="C65" s="175"/>
      <c r="D65" s="174"/>
      <c r="E65" s="175"/>
      <c r="F65" s="174"/>
      <c r="G65" s="175"/>
      <c r="H65" s="174"/>
      <c r="I65" s="175"/>
      <c r="J65" s="174"/>
      <c r="K65" s="175"/>
      <c r="L65" s="174"/>
      <c r="M65" s="175"/>
      <c r="N65" s="174"/>
      <c r="O65" s="175"/>
      <c r="P65" s="174"/>
      <c r="Q65" s="175"/>
      <c r="R65" s="174"/>
      <c r="S65" s="175"/>
      <c r="T65" s="174"/>
      <c r="U65" s="175"/>
      <c r="V65" s="122"/>
      <c r="W65" s="122"/>
    </row>
    <row r="66" spans="1:23" ht="12" customHeight="1">
      <c r="A66" s="122"/>
      <c r="B66" s="176"/>
      <c r="C66" s="177"/>
      <c r="D66" s="176"/>
      <c r="E66" s="177"/>
      <c r="F66" s="176"/>
      <c r="G66" s="177"/>
      <c r="H66" s="176"/>
      <c r="I66" s="177"/>
      <c r="J66" s="176"/>
      <c r="K66" s="177"/>
      <c r="L66" s="176"/>
      <c r="M66" s="177"/>
      <c r="N66" s="176"/>
      <c r="O66" s="177"/>
      <c r="P66" s="176"/>
      <c r="Q66" s="177"/>
      <c r="R66" s="176"/>
      <c r="S66" s="177"/>
      <c r="T66" s="176"/>
      <c r="U66" s="177"/>
      <c r="V66" s="122"/>
      <c r="W66" s="122"/>
    </row>
    <row r="67" spans="1:23" ht="12" customHeight="1">
      <c r="A67" s="122"/>
      <c r="B67" s="176"/>
      <c r="C67" s="177"/>
      <c r="D67" s="176"/>
      <c r="E67" s="177"/>
      <c r="F67" s="176"/>
      <c r="G67" s="177"/>
      <c r="H67" s="176"/>
      <c r="I67" s="177"/>
      <c r="J67" s="176"/>
      <c r="K67" s="177"/>
      <c r="L67" s="176"/>
      <c r="M67" s="177"/>
      <c r="N67" s="176"/>
      <c r="O67" s="177"/>
      <c r="P67" s="176"/>
      <c r="Q67" s="177"/>
      <c r="R67" s="176"/>
      <c r="S67" s="177"/>
      <c r="T67" s="176"/>
      <c r="U67" s="177"/>
      <c r="V67" s="122"/>
      <c r="W67" s="122"/>
    </row>
    <row r="68" spans="1:23" ht="12" customHeight="1">
      <c r="A68" s="122"/>
      <c r="B68" s="176"/>
      <c r="C68" s="177"/>
      <c r="D68" s="176"/>
      <c r="E68" s="177"/>
      <c r="F68" s="176"/>
      <c r="G68" s="177"/>
      <c r="H68" s="176"/>
      <c r="I68" s="177"/>
      <c r="J68" s="176"/>
      <c r="K68" s="177"/>
      <c r="L68" s="176"/>
      <c r="M68" s="177"/>
      <c r="N68" s="176"/>
      <c r="O68" s="177"/>
      <c r="P68" s="176"/>
      <c r="Q68" s="177"/>
      <c r="R68" s="176"/>
      <c r="S68" s="177"/>
      <c r="T68" s="176"/>
      <c r="U68" s="177"/>
      <c r="V68" s="122"/>
      <c r="W68" s="122"/>
    </row>
    <row r="69" spans="1:23" ht="12" customHeight="1" thickBot="1">
      <c r="A69" s="141">
        <v>11</v>
      </c>
      <c r="B69" s="179"/>
      <c r="C69" s="178"/>
      <c r="D69" s="179"/>
      <c r="E69" s="178"/>
      <c r="F69" s="179"/>
      <c r="G69" s="178"/>
      <c r="H69" s="179"/>
      <c r="I69" s="178"/>
      <c r="J69" s="179"/>
      <c r="K69" s="178"/>
      <c r="L69" s="179"/>
      <c r="M69" s="178"/>
      <c r="N69" s="179"/>
      <c r="O69" s="178"/>
      <c r="P69" s="179"/>
      <c r="Q69" s="178"/>
      <c r="R69" s="179"/>
      <c r="S69" s="178"/>
      <c r="T69" s="179"/>
      <c r="U69" s="178"/>
      <c r="V69" s="122"/>
      <c r="W69" s="122"/>
    </row>
    <row r="70" spans="1:23" ht="12" customHeight="1">
      <c r="A70" s="122"/>
      <c r="B70" s="174"/>
      <c r="C70" s="175"/>
      <c r="D70" s="174"/>
      <c r="E70" s="175"/>
      <c r="F70" s="174"/>
      <c r="G70" s="175"/>
      <c r="H70" s="174"/>
      <c r="I70" s="175"/>
      <c r="J70" s="174"/>
      <c r="K70" s="175"/>
      <c r="L70" s="174"/>
      <c r="M70" s="175"/>
      <c r="N70" s="174"/>
      <c r="O70" s="175"/>
      <c r="P70" s="174"/>
      <c r="Q70" s="175"/>
      <c r="R70" s="174"/>
      <c r="S70" s="175"/>
      <c r="T70" s="174"/>
      <c r="U70" s="175"/>
      <c r="V70" s="122"/>
      <c r="W70" s="122"/>
    </row>
    <row r="71" spans="1:23" ht="12" customHeight="1">
      <c r="A71" s="122"/>
      <c r="B71" s="176"/>
      <c r="C71" s="177"/>
      <c r="D71" s="176"/>
      <c r="E71" s="177"/>
      <c r="F71" s="176"/>
      <c r="G71" s="177"/>
      <c r="H71" s="176"/>
      <c r="I71" s="177"/>
      <c r="J71" s="176"/>
      <c r="K71" s="177"/>
      <c r="L71" s="176"/>
      <c r="M71" s="177"/>
      <c r="N71" s="176"/>
      <c r="O71" s="177"/>
      <c r="P71" s="176"/>
      <c r="Q71" s="177"/>
      <c r="R71" s="176"/>
      <c r="S71" s="177"/>
      <c r="T71" s="176"/>
      <c r="U71" s="177"/>
      <c r="V71" s="122"/>
      <c r="W71" s="122"/>
    </row>
    <row r="72" spans="1:23" ht="12" customHeight="1">
      <c r="A72" s="122"/>
      <c r="B72" s="176"/>
      <c r="C72" s="177"/>
      <c r="D72" s="176"/>
      <c r="E72" s="177"/>
      <c r="F72" s="176"/>
      <c r="G72" s="177"/>
      <c r="H72" s="176"/>
      <c r="I72" s="177"/>
      <c r="J72" s="176"/>
      <c r="K72" s="177"/>
      <c r="L72" s="176"/>
      <c r="M72" s="177"/>
      <c r="N72" s="176"/>
      <c r="O72" s="177"/>
      <c r="P72" s="176"/>
      <c r="Q72" s="177"/>
      <c r="R72" s="176"/>
      <c r="S72" s="177"/>
      <c r="T72" s="176"/>
      <c r="U72" s="177"/>
      <c r="V72" s="122"/>
      <c r="W72" s="122"/>
    </row>
    <row r="73" spans="1:23" ht="12" customHeight="1">
      <c r="A73" s="122"/>
      <c r="B73" s="176"/>
      <c r="C73" s="177"/>
      <c r="D73" s="176"/>
      <c r="E73" s="177"/>
      <c r="F73" s="176"/>
      <c r="G73" s="177"/>
      <c r="H73" s="176"/>
      <c r="I73" s="177"/>
      <c r="J73" s="176"/>
      <c r="K73" s="177"/>
      <c r="L73" s="176"/>
      <c r="M73" s="177"/>
      <c r="N73" s="176"/>
      <c r="O73" s="177"/>
      <c r="P73" s="176"/>
      <c r="Q73" s="177"/>
      <c r="R73" s="176"/>
      <c r="S73" s="177"/>
      <c r="T73" s="176"/>
      <c r="U73" s="177"/>
      <c r="V73" s="122"/>
      <c r="W73" s="122"/>
    </row>
    <row r="74" spans="1:23" ht="12" customHeight="1" thickBot="1">
      <c r="A74" s="141">
        <v>12</v>
      </c>
      <c r="B74" s="179"/>
      <c r="C74" s="178"/>
      <c r="D74" s="179"/>
      <c r="E74" s="178"/>
      <c r="F74" s="179"/>
      <c r="G74" s="178"/>
      <c r="H74" s="179"/>
      <c r="I74" s="178"/>
      <c r="J74" s="179"/>
      <c r="K74" s="178"/>
      <c r="L74" s="179"/>
      <c r="M74" s="178"/>
      <c r="N74" s="179"/>
      <c r="O74" s="178"/>
      <c r="P74" s="179"/>
      <c r="Q74" s="178"/>
      <c r="R74" s="179"/>
      <c r="S74" s="178"/>
      <c r="T74" s="179"/>
      <c r="U74" s="178"/>
      <c r="V74" s="122"/>
      <c r="W74" s="122"/>
    </row>
    <row r="75" spans="1:23" ht="12" customHeight="1">
      <c r="A75" s="122"/>
      <c r="B75" s="174"/>
      <c r="C75" s="175"/>
      <c r="D75" s="174"/>
      <c r="E75" s="175"/>
      <c r="F75" s="174"/>
      <c r="G75" s="175"/>
      <c r="H75" s="174"/>
      <c r="I75" s="175"/>
      <c r="J75" s="174"/>
      <c r="K75" s="175"/>
      <c r="L75" s="174"/>
      <c r="M75" s="175"/>
      <c r="N75" s="174"/>
      <c r="O75" s="175"/>
      <c r="P75" s="174"/>
      <c r="Q75" s="175"/>
      <c r="R75" s="174"/>
      <c r="S75" s="175"/>
      <c r="T75" s="174"/>
      <c r="U75" s="175"/>
      <c r="V75" s="122"/>
      <c r="W75" s="122"/>
    </row>
    <row r="76" spans="1:23" ht="12" customHeight="1">
      <c r="A76" s="122"/>
      <c r="B76" s="176"/>
      <c r="C76" s="177"/>
      <c r="D76" s="176"/>
      <c r="E76" s="177"/>
      <c r="F76" s="176"/>
      <c r="G76" s="177"/>
      <c r="H76" s="176"/>
      <c r="I76" s="177"/>
      <c r="J76" s="176"/>
      <c r="K76" s="177"/>
      <c r="L76" s="176"/>
      <c r="M76" s="177"/>
      <c r="N76" s="176"/>
      <c r="O76" s="177"/>
      <c r="P76" s="176"/>
      <c r="Q76" s="177"/>
      <c r="R76" s="176"/>
      <c r="S76" s="177"/>
      <c r="T76" s="176"/>
      <c r="U76" s="177"/>
      <c r="V76" s="122"/>
      <c r="W76" s="122"/>
    </row>
    <row r="77" spans="1:23" ht="12" customHeight="1">
      <c r="A77" s="122"/>
      <c r="B77" s="176"/>
      <c r="C77" s="177"/>
      <c r="D77" s="176"/>
      <c r="E77" s="177"/>
      <c r="F77" s="176"/>
      <c r="G77" s="177"/>
      <c r="H77" s="176"/>
      <c r="I77" s="177"/>
      <c r="J77" s="176"/>
      <c r="K77" s="177"/>
      <c r="L77" s="176"/>
      <c r="M77" s="177"/>
      <c r="N77" s="176"/>
      <c r="O77" s="177"/>
      <c r="P77" s="176"/>
      <c r="Q77" s="177"/>
      <c r="R77" s="176"/>
      <c r="S77" s="177"/>
      <c r="T77" s="176"/>
      <c r="U77" s="177"/>
      <c r="V77" s="122"/>
      <c r="W77" s="122"/>
    </row>
    <row r="78" spans="1:23" ht="12" customHeight="1">
      <c r="A78" s="122"/>
      <c r="B78" s="176"/>
      <c r="C78" s="177"/>
      <c r="D78" s="176"/>
      <c r="E78" s="177"/>
      <c r="F78" s="176"/>
      <c r="G78" s="177"/>
      <c r="H78" s="176"/>
      <c r="I78" s="177"/>
      <c r="J78" s="176"/>
      <c r="K78" s="177"/>
      <c r="L78" s="176"/>
      <c r="M78" s="177"/>
      <c r="N78" s="176"/>
      <c r="O78" s="177"/>
      <c r="P78" s="176"/>
      <c r="Q78" s="177"/>
      <c r="R78" s="176"/>
      <c r="S78" s="177"/>
      <c r="T78" s="176"/>
      <c r="U78" s="177"/>
      <c r="V78" s="122"/>
      <c r="W78" s="122"/>
    </row>
    <row r="79" spans="1:23" ht="12" customHeight="1" thickBot="1">
      <c r="A79" s="141">
        <v>13</v>
      </c>
      <c r="B79" s="179"/>
      <c r="C79" s="178"/>
      <c r="D79" s="179"/>
      <c r="E79" s="178"/>
      <c r="F79" s="179"/>
      <c r="G79" s="178"/>
      <c r="H79" s="179"/>
      <c r="I79" s="178"/>
      <c r="J79" s="179"/>
      <c r="K79" s="178"/>
      <c r="L79" s="179"/>
      <c r="M79" s="178"/>
      <c r="N79" s="179"/>
      <c r="O79" s="178"/>
      <c r="P79" s="179"/>
      <c r="Q79" s="178"/>
      <c r="R79" s="179"/>
      <c r="S79" s="178"/>
      <c r="T79" s="179"/>
      <c r="U79" s="178"/>
      <c r="V79" s="122"/>
      <c r="W79" s="122"/>
    </row>
    <row r="80" spans="1:23" ht="12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2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2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2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2" customHeight="1" thickBot="1">
      <c r="A84" s="141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2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2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2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2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2" customHeight="1" thickBot="1">
      <c r="A89" s="141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  <row r="90" spans="1:23" ht="12" customHeight="1">
      <c r="B90" s="253"/>
      <c r="C90" s="253"/>
      <c r="D90" s="253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</row>
    <row r="91" spans="1:23" ht="12" customHeight="1">
      <c r="B91" s="253"/>
      <c r="C91" s="25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</row>
    <row r="92" spans="1:23" ht="12" customHeight="1">
      <c r="B92" s="253"/>
      <c r="C92" s="253"/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</row>
    <row r="93" spans="1:23" ht="12" customHeight="1">
      <c r="B93" s="253"/>
      <c r="C93" s="25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</row>
    <row r="94" spans="1:23" ht="12" customHeight="1">
      <c r="A94" s="180">
        <v>16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</row>
    <row r="95" spans="1:23" ht="12" customHeight="1">
      <c r="B95" s="253"/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</row>
    <row r="96" spans="1:23" ht="12" customHeight="1">
      <c r="B96" s="253"/>
      <c r="C96" s="253"/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</row>
    <row r="97" spans="1:21" ht="12" customHeight="1">
      <c r="B97" s="253"/>
      <c r="C97" s="25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</row>
    <row r="98" spans="1:21" ht="12" customHeight="1">
      <c r="B98" s="253"/>
      <c r="C98" s="253"/>
      <c r="D98" s="253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</row>
    <row r="99" spans="1:21" ht="12" customHeight="1">
      <c r="A99" s="180">
        <v>17</v>
      </c>
      <c r="B99" s="253"/>
      <c r="C99" s="253"/>
      <c r="D99" s="253"/>
      <c r="E99" s="253"/>
      <c r="F99" s="253"/>
      <c r="G99" s="253"/>
      <c r="H99" s="253"/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1:21" ht="12" customHeight="1">
      <c r="B100" s="253"/>
      <c r="C100" s="253"/>
      <c r="D100" s="253"/>
      <c r="E100" s="253"/>
      <c r="F100" s="253"/>
      <c r="G100" s="253"/>
      <c r="H100" s="253"/>
      <c r="I100" s="253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</row>
    <row r="101" spans="1:21" ht="12" customHeight="1">
      <c r="B101" s="253"/>
      <c r="C101" s="253"/>
      <c r="D101" s="253"/>
      <c r="E101" s="253"/>
      <c r="F101" s="253"/>
      <c r="G101" s="253"/>
      <c r="H101" s="253"/>
      <c r="I101" s="253"/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1:21" ht="12" customHeight="1">
      <c r="B102" s="253"/>
      <c r="C102" s="253"/>
      <c r="D102" s="253"/>
      <c r="E102" s="253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</row>
    <row r="103" spans="1:21" ht="12" customHeight="1">
      <c r="B103" s="253"/>
      <c r="C103" s="253"/>
      <c r="D103" s="253"/>
      <c r="E103" s="253"/>
      <c r="F103" s="253"/>
      <c r="G103" s="253"/>
      <c r="H103" s="253"/>
      <c r="I103" s="253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1:21" ht="12" customHeight="1">
      <c r="A104" s="180">
        <v>18</v>
      </c>
      <c r="B104" s="253"/>
      <c r="C104" s="253"/>
      <c r="D104" s="253"/>
      <c r="E104" s="253"/>
      <c r="F104" s="253"/>
      <c r="G104" s="253"/>
      <c r="H104" s="253"/>
      <c r="I104" s="253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</row>
    <row r="105" spans="1:21" ht="12" customHeight="1">
      <c r="B105" s="253"/>
      <c r="C105" s="253"/>
      <c r="D105" s="253"/>
      <c r="E105" s="253"/>
      <c r="F105" s="253"/>
      <c r="G105" s="253"/>
      <c r="H105" s="253"/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1:21" ht="12" customHeight="1">
      <c r="B106" s="253"/>
      <c r="C106" s="253"/>
      <c r="D106" s="253"/>
      <c r="E106" s="253"/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1:21" ht="12" customHeight="1">
      <c r="B107" s="253"/>
      <c r="C107" s="253"/>
      <c r="D107" s="253"/>
      <c r="E107" s="253"/>
      <c r="F107" s="253"/>
      <c r="G107" s="253"/>
      <c r="H107" s="253"/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1:21" ht="12" customHeight="1">
      <c r="B108" s="253"/>
      <c r="C108" s="253"/>
      <c r="D108" s="253"/>
      <c r="E108" s="253"/>
      <c r="F108" s="253"/>
      <c r="G108" s="253"/>
      <c r="H108" s="253"/>
      <c r="I108" s="253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</row>
    <row r="109" spans="1:21" ht="12" customHeight="1">
      <c r="A109" s="180">
        <v>19</v>
      </c>
      <c r="B109" s="253"/>
      <c r="C109" s="253"/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</row>
    <row r="110" spans="1:21" ht="12" customHeight="1">
      <c r="B110" s="253"/>
      <c r="C110" s="253"/>
      <c r="D110" s="253"/>
      <c r="E110" s="253"/>
      <c r="F110" s="253"/>
      <c r="G110" s="253"/>
      <c r="H110" s="253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</row>
    <row r="111" spans="1:21" ht="12" customHeight="1">
      <c r="B111" s="253"/>
      <c r="C111" s="253"/>
      <c r="D111" s="253"/>
      <c r="E111" s="253"/>
      <c r="F111" s="253"/>
      <c r="G111" s="253"/>
      <c r="H111" s="253"/>
      <c r="I111" s="253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</row>
    <row r="112" spans="1:21" ht="12" customHeight="1">
      <c r="B112" s="253"/>
      <c r="C112" s="253"/>
      <c r="D112" s="253"/>
      <c r="E112" s="253"/>
      <c r="F112" s="253"/>
      <c r="G112" s="253"/>
      <c r="H112" s="253"/>
      <c r="I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</row>
    <row r="113" spans="1:21" ht="12" customHeight="1">
      <c r="B113" s="253"/>
      <c r="C113" s="253"/>
      <c r="D113" s="253"/>
      <c r="E113" s="253"/>
      <c r="F113" s="253"/>
      <c r="G113" s="253"/>
      <c r="H113" s="253"/>
      <c r="I113" s="253"/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</row>
    <row r="114" spans="1:21" ht="12" customHeight="1">
      <c r="A114" s="180">
        <v>20</v>
      </c>
      <c r="B114" s="253"/>
      <c r="C114" s="253"/>
      <c r="D114" s="253"/>
      <c r="E114" s="253"/>
      <c r="F114" s="253"/>
      <c r="G114" s="253"/>
      <c r="H114" s="253"/>
      <c r="I114" s="253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</row>
    <row r="115" spans="1:21" ht="12" customHeight="1">
      <c r="B115" s="25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</row>
    <row r="116" spans="1:21" ht="12" customHeight="1">
      <c r="B116" s="253"/>
      <c r="C116" s="253"/>
      <c r="D116" s="253"/>
      <c r="E116" s="253"/>
      <c r="F116" s="253"/>
      <c r="G116" s="253"/>
      <c r="H116" s="253"/>
      <c r="I116" s="253"/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</row>
    <row r="117" spans="1:21" ht="12" customHeight="1">
      <c r="B117" s="253"/>
      <c r="C117" s="253"/>
      <c r="D117" s="253"/>
      <c r="E117" s="253"/>
      <c r="F117" s="253"/>
      <c r="G117" s="253"/>
      <c r="H117" s="253"/>
      <c r="I117" s="253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</row>
    <row r="118" spans="1:21" ht="12" customHeight="1">
      <c r="B118" s="253"/>
      <c r="C118" s="253"/>
      <c r="D118" s="253"/>
      <c r="E118" s="253"/>
      <c r="F118" s="253"/>
      <c r="G118" s="253"/>
      <c r="H118" s="253"/>
      <c r="I118" s="253"/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</row>
    <row r="119" spans="1:21" ht="12" customHeight="1">
      <c r="A119" s="180">
        <v>21</v>
      </c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</row>
    <row r="120" spans="1:21" ht="12" customHeight="1">
      <c r="B120" s="253"/>
      <c r="C120" s="253"/>
      <c r="D120" s="253"/>
      <c r="E120" s="253"/>
      <c r="F120" s="253"/>
      <c r="G120" s="253"/>
      <c r="H120" s="253"/>
      <c r="I120" s="253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</row>
    <row r="121" spans="1:21" ht="12" customHeight="1"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  <c r="U121" s="253"/>
    </row>
    <row r="122" spans="1:21" ht="12" customHeight="1">
      <c r="B122" s="253"/>
      <c r="C122" s="253"/>
      <c r="D122" s="253"/>
      <c r="E122" s="253"/>
      <c r="F122" s="253"/>
      <c r="G122" s="253"/>
      <c r="H122" s="253"/>
      <c r="I122" s="253"/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</row>
    <row r="123" spans="1:21" ht="12" customHeight="1">
      <c r="B123" s="253"/>
      <c r="C123" s="253"/>
      <c r="D123" s="253"/>
      <c r="E123" s="253"/>
      <c r="F123" s="253"/>
      <c r="G123" s="253"/>
      <c r="H123" s="253"/>
      <c r="I123" s="253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</row>
    <row r="124" spans="1:21" ht="12" customHeight="1">
      <c r="A124" s="180">
        <v>22</v>
      </c>
      <c r="B124" s="253"/>
      <c r="C124" s="253"/>
      <c r="D124" s="253"/>
      <c r="E124" s="253"/>
      <c r="F124" s="253"/>
      <c r="G124" s="253"/>
      <c r="H124" s="253"/>
      <c r="I124" s="253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</row>
    <row r="125" spans="1:21" ht="12" customHeight="1">
      <c r="B125" s="253"/>
      <c r="C125" s="253"/>
      <c r="D125" s="253"/>
      <c r="E125" s="253"/>
      <c r="F125" s="253"/>
      <c r="G125" s="253"/>
      <c r="H125" s="253"/>
      <c r="I125" s="253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</row>
    <row r="126" spans="1:21" ht="12" customHeight="1">
      <c r="B126" s="253"/>
      <c r="C126" s="253"/>
      <c r="D126" s="253"/>
      <c r="E126" s="253"/>
      <c r="F126" s="253"/>
      <c r="G126" s="253"/>
      <c r="H126" s="253"/>
      <c r="I126" s="253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</row>
    <row r="127" spans="1:21" ht="12" customHeight="1">
      <c r="B127" s="253"/>
      <c r="C127" s="253"/>
      <c r="D127" s="253"/>
      <c r="E127" s="253"/>
      <c r="F127" s="253"/>
      <c r="G127" s="253"/>
      <c r="H127" s="253"/>
      <c r="I127" s="253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</row>
    <row r="128" spans="1:21" ht="12" customHeight="1">
      <c r="B128" s="253"/>
      <c r="C128" s="253"/>
      <c r="D128" s="253"/>
      <c r="E128" s="253"/>
      <c r="F128" s="253"/>
      <c r="G128" s="253"/>
      <c r="H128" s="253"/>
      <c r="I128" s="253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</row>
    <row r="129" spans="1:21" ht="12" customHeight="1">
      <c r="A129" s="180">
        <v>23</v>
      </c>
      <c r="B129" s="253"/>
      <c r="C129" s="253"/>
      <c r="D129" s="253"/>
      <c r="E129" s="253"/>
      <c r="F129" s="253"/>
      <c r="G129" s="253"/>
      <c r="H129" s="253"/>
      <c r="I129" s="253"/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</row>
    <row r="130" spans="1:21" ht="12" customHeight="1">
      <c r="B130" s="253"/>
      <c r="C130" s="253"/>
      <c r="D130" s="253"/>
      <c r="E130" s="253"/>
      <c r="F130" s="253"/>
      <c r="G130" s="253"/>
      <c r="H130" s="253"/>
      <c r="I130" s="253"/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  <c r="U130" s="253"/>
    </row>
    <row r="131" spans="1:21" ht="12" customHeight="1">
      <c r="B131" s="253"/>
      <c r="C131" s="253"/>
      <c r="D131" s="253"/>
      <c r="E131" s="253"/>
      <c r="F131" s="253"/>
      <c r="G131" s="253"/>
      <c r="H131" s="253"/>
      <c r="I131" s="253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</row>
    <row r="132" spans="1:21" ht="12" customHeight="1">
      <c r="B132" s="253"/>
      <c r="C132" s="253"/>
      <c r="D132" s="253"/>
      <c r="E132" s="253"/>
      <c r="F132" s="253"/>
      <c r="G132" s="253"/>
      <c r="H132" s="253"/>
      <c r="I132" s="253"/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  <c r="U132" s="253"/>
    </row>
    <row r="133" spans="1:21" ht="12" customHeight="1">
      <c r="B133" s="25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</row>
    <row r="134" spans="1:21" ht="12" customHeight="1">
      <c r="A134" s="180">
        <v>24</v>
      </c>
      <c r="B134" s="253"/>
      <c r="C134" s="253"/>
      <c r="D134" s="253"/>
      <c r="E134" s="253"/>
      <c r="F134" s="253"/>
      <c r="G134" s="253"/>
      <c r="H134" s="253"/>
      <c r="I134" s="253"/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</row>
    <row r="135" spans="1:21" ht="12" customHeight="1">
      <c r="B135" s="253"/>
      <c r="C135" s="253"/>
      <c r="D135" s="253"/>
      <c r="E135" s="253"/>
      <c r="F135" s="253"/>
      <c r="G135" s="253"/>
      <c r="H135" s="253"/>
      <c r="I135" s="253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</row>
    <row r="136" spans="1:21" ht="12" customHeight="1">
      <c r="B136" s="253"/>
      <c r="C136" s="253"/>
      <c r="D136" s="253"/>
      <c r="E136" s="253"/>
      <c r="F136" s="253"/>
      <c r="G136" s="253"/>
      <c r="H136" s="253"/>
      <c r="I136" s="253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</row>
    <row r="137" spans="1:21" ht="12" customHeight="1">
      <c r="B137" s="253"/>
      <c r="C137" s="253"/>
      <c r="D137" s="253"/>
      <c r="E137" s="253"/>
      <c r="F137" s="253"/>
      <c r="G137" s="253"/>
      <c r="H137" s="253"/>
      <c r="I137" s="253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</row>
    <row r="138" spans="1:21" ht="12" customHeight="1">
      <c r="B138" s="253"/>
      <c r="C138" s="253"/>
      <c r="D138" s="253"/>
      <c r="E138" s="253"/>
      <c r="F138" s="253"/>
      <c r="G138" s="253"/>
      <c r="H138" s="253"/>
      <c r="I138" s="253"/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</row>
    <row r="139" spans="1:21" ht="12" customHeight="1">
      <c r="A139" s="180">
        <v>25</v>
      </c>
      <c r="B139" s="253"/>
      <c r="C139" s="253"/>
      <c r="D139" s="253"/>
      <c r="E139" s="253"/>
      <c r="F139" s="253"/>
      <c r="G139" s="253"/>
      <c r="H139" s="253"/>
      <c r="I139" s="253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</row>
    <row r="140" spans="1:21" ht="12" customHeight="1">
      <c r="B140" s="253"/>
      <c r="C140" s="253"/>
      <c r="D140" s="253"/>
      <c r="E140" s="253"/>
      <c r="F140" s="253"/>
      <c r="G140" s="253"/>
      <c r="H140" s="253"/>
      <c r="I140" s="253"/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</row>
    <row r="141" spans="1:21" ht="12" customHeight="1">
      <c r="B141" s="253"/>
      <c r="C141" s="253"/>
      <c r="D141" s="253"/>
      <c r="E141" s="253"/>
      <c r="F141" s="253"/>
      <c r="G141" s="253"/>
      <c r="H141" s="253"/>
      <c r="I141" s="253"/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</row>
    <row r="142" spans="1:21" ht="12" customHeight="1">
      <c r="B142" s="253"/>
      <c r="C142" s="253"/>
      <c r="D142" s="253"/>
      <c r="E142" s="253"/>
      <c r="F142" s="253"/>
      <c r="G142" s="253"/>
      <c r="H142" s="253"/>
      <c r="I142" s="253"/>
      <c r="J142" s="253"/>
      <c r="K142" s="253"/>
      <c r="L142" s="253"/>
      <c r="M142" s="253"/>
      <c r="N142" s="253"/>
      <c r="O142" s="253"/>
      <c r="P142" s="253"/>
      <c r="Q142" s="253"/>
      <c r="R142" s="253"/>
      <c r="S142" s="253"/>
      <c r="T142" s="253"/>
      <c r="U142" s="253"/>
    </row>
    <row r="143" spans="1:21" ht="12" customHeight="1">
      <c r="B143" s="253"/>
      <c r="C143" s="253"/>
      <c r="D143" s="253"/>
      <c r="E143" s="253"/>
      <c r="F143" s="253"/>
      <c r="G143" s="253"/>
      <c r="H143" s="253"/>
      <c r="I143" s="253"/>
      <c r="J143" s="253"/>
      <c r="K143" s="253"/>
      <c r="L143" s="253"/>
      <c r="M143" s="253"/>
      <c r="N143" s="253"/>
      <c r="O143" s="253"/>
      <c r="P143" s="253"/>
      <c r="Q143" s="253"/>
      <c r="R143" s="253"/>
      <c r="S143" s="253"/>
      <c r="T143" s="253"/>
      <c r="U143" s="253"/>
    </row>
    <row r="144" spans="1:21" ht="12" customHeight="1">
      <c r="A144" s="180">
        <v>26</v>
      </c>
      <c r="B144" s="253"/>
      <c r="C144" s="253"/>
      <c r="D144" s="253"/>
      <c r="E144" s="253"/>
      <c r="F144" s="253"/>
      <c r="G144" s="253"/>
      <c r="H144" s="253"/>
      <c r="I144" s="253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</row>
    <row r="146" spans="1:23">
      <c r="A146" s="434" t="str">
        <f>HYPERLINK("#'12월'!A1","← 12월 월간 가계부로 돌아가기")</f>
        <v>← 12월 월간 가계부로 돌아가기</v>
      </c>
      <c r="B146" s="435"/>
      <c r="C146" s="435"/>
      <c r="D146" s="435"/>
      <c r="E146" s="435"/>
      <c r="F146" s="435"/>
      <c r="G146" s="435"/>
      <c r="H146" s="435"/>
      <c r="I146" s="435"/>
      <c r="J146" s="435"/>
      <c r="K146" s="435"/>
      <c r="L146" s="435"/>
      <c r="M146" s="435"/>
      <c r="N146" s="435"/>
      <c r="O146" s="435"/>
      <c r="P146" s="435"/>
      <c r="Q146" s="435"/>
      <c r="R146" s="435"/>
      <c r="S146" s="435"/>
      <c r="T146" s="435"/>
      <c r="U146" s="435"/>
      <c r="V146" s="435"/>
      <c r="W146" s="436"/>
    </row>
    <row r="148" spans="1:23">
      <c r="A148" s="443" t="s">
        <v>464</v>
      </c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7"/>
    </row>
    <row r="149" spans="1:23" ht="24" customHeight="1">
      <c r="A149" s="437" t="s">
        <v>460</v>
      </c>
      <c r="B149" s="433"/>
      <c r="C149" s="433"/>
      <c r="D149" s="433"/>
      <c r="E149" s="433"/>
      <c r="F149" s="433"/>
      <c r="G149" s="433"/>
      <c r="H149" s="365"/>
      <c r="I149" s="432">
        <f>W12</f>
        <v>0</v>
      </c>
      <c r="J149" s="433"/>
      <c r="K149" s="433"/>
      <c r="L149" s="433"/>
      <c r="M149" s="433"/>
      <c r="N149" s="365"/>
      <c r="O149" s="362" t="str">
        <f>IF('12월'!AA1,I149=('12월'!M28),"미입력")</f>
        <v>미입력</v>
      </c>
      <c r="P149" s="433"/>
      <c r="Q149" s="433"/>
      <c r="R149" s="433"/>
      <c r="S149" s="433"/>
      <c r="T149" s="433"/>
      <c r="U149" s="433"/>
      <c r="V149" s="433"/>
      <c r="W149" s="363"/>
    </row>
    <row r="150" spans="1:23" ht="24" customHeight="1">
      <c r="A150" s="437" t="s">
        <v>389</v>
      </c>
      <c r="B150" s="433"/>
      <c r="C150" s="433"/>
      <c r="D150" s="433"/>
      <c r="E150" s="433"/>
      <c r="F150" s="433"/>
      <c r="G150" s="433"/>
      <c r="H150" s="365"/>
      <c r="I150" s="432">
        <f>W13</f>
        <v>0</v>
      </c>
      <c r="J150" s="433"/>
      <c r="K150" s="433"/>
      <c r="L150" s="433"/>
      <c r="M150" s="433"/>
      <c r="N150" s="365"/>
      <c r="O150" s="362" t="str">
        <f>IF('12월'!AA1,I150=('12월'!I38),"미입력")</f>
        <v>미입력</v>
      </c>
      <c r="P150" s="433"/>
      <c r="Q150" s="433"/>
      <c r="R150" s="433"/>
      <c r="S150" s="433"/>
      <c r="T150" s="433"/>
      <c r="U150" s="433"/>
      <c r="V150" s="433"/>
      <c r="W150" s="363"/>
    </row>
    <row r="151" spans="1:23" ht="24" customHeight="1">
      <c r="A151" s="437" t="s">
        <v>465</v>
      </c>
      <c r="B151" s="433"/>
      <c r="C151" s="433"/>
      <c r="D151" s="433"/>
      <c r="E151" s="433"/>
      <c r="F151" s="433"/>
      <c r="G151" s="433"/>
      <c r="H151" s="365"/>
      <c r="I151" s="432">
        <f>W14</f>
        <v>0</v>
      </c>
      <c r="J151" s="433"/>
      <c r="K151" s="433"/>
      <c r="L151" s="433"/>
      <c r="M151" s="433"/>
      <c r="N151" s="365"/>
      <c r="O151" s="438"/>
      <c r="P151" s="433"/>
      <c r="Q151" s="433"/>
      <c r="R151" s="433"/>
      <c r="S151" s="433"/>
      <c r="T151" s="433"/>
      <c r="U151" s="433"/>
      <c r="V151" s="433"/>
      <c r="W151" s="363"/>
    </row>
    <row r="152" spans="1:23" ht="24" customHeight="1">
      <c r="A152" s="449" t="s">
        <v>466</v>
      </c>
      <c r="B152" s="445"/>
      <c r="C152" s="445"/>
      <c r="D152" s="445"/>
      <c r="E152" s="445"/>
      <c r="F152" s="445"/>
      <c r="G152" s="445"/>
      <c r="H152" s="446"/>
      <c r="I152" s="444">
        <f>W15</f>
        <v>0</v>
      </c>
      <c r="J152" s="445"/>
      <c r="K152" s="445"/>
      <c r="L152" s="445"/>
      <c r="M152" s="445"/>
      <c r="N152" s="446"/>
      <c r="O152" s="447"/>
      <c r="P152" s="445"/>
      <c r="Q152" s="445"/>
      <c r="R152" s="445"/>
      <c r="S152" s="445"/>
      <c r="T152" s="445"/>
      <c r="U152" s="445"/>
      <c r="V152" s="445"/>
      <c r="W152" s="448"/>
    </row>
    <row r="154" spans="1:23" ht="24" customHeight="1">
      <c r="A154" s="440" t="s">
        <v>580</v>
      </c>
      <c r="B154" s="441"/>
      <c r="C154" s="441"/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  <c r="U154" s="441"/>
      <c r="V154" s="441"/>
      <c r="W154" s="442"/>
    </row>
    <row r="155" spans="1:23" ht="24" customHeight="1">
      <c r="A155" s="372"/>
      <c r="B155" s="373"/>
      <c r="C155" s="373"/>
      <c r="D155" s="373"/>
      <c r="E155" s="373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4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52:H152"/>
    <mergeCell ref="A1:W1"/>
    <mergeCell ref="I150:N150"/>
    <mergeCell ref="A146:W146"/>
    <mergeCell ref="I151:N151"/>
    <mergeCell ref="A150:H150"/>
    <mergeCell ref="O151:W151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93"/>
  <sheetViews>
    <sheetView showGridLines="0" tabSelected="1" workbookViewId="0">
      <pane ySplit="1" topLeftCell="A2456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584</v>
      </c>
      <c r="B1" s="76" t="s">
        <v>38</v>
      </c>
      <c r="C1" s="76" t="s">
        <v>585</v>
      </c>
      <c r="D1" s="76" t="s">
        <v>586</v>
      </c>
      <c r="E1" s="76" t="s">
        <v>587</v>
      </c>
      <c r="F1" s="76" t="s">
        <v>30</v>
      </c>
      <c r="G1" s="76" t="s">
        <v>588</v>
      </c>
      <c r="H1" s="76" t="s">
        <v>589</v>
      </c>
      <c r="I1" s="76" t="s">
        <v>590</v>
      </c>
      <c r="J1" s="76" t="s">
        <v>591</v>
      </c>
      <c r="K1" s="76" t="s">
        <v>592</v>
      </c>
      <c r="L1" s="76" t="s">
        <v>593</v>
      </c>
      <c r="M1" s="76" t="s">
        <v>430</v>
      </c>
      <c r="N1" s="76" t="s">
        <v>594</v>
      </c>
      <c r="O1" s="76" t="s">
        <v>595</v>
      </c>
      <c r="P1" s="76"/>
      <c r="Q1" s="76" t="s">
        <v>2537</v>
      </c>
      <c r="R1" s="76" t="s">
        <v>596</v>
      </c>
      <c r="S1" s="76" t="s">
        <v>597</v>
      </c>
    </row>
    <row r="2" spans="1:19">
      <c r="A2" s="59">
        <v>46023.038194444453</v>
      </c>
      <c r="B2" s="59">
        <v>46023</v>
      </c>
      <c r="C2" s="31" t="s">
        <v>598</v>
      </c>
      <c r="D2" s="31" t="s">
        <v>362</v>
      </c>
      <c r="E2" s="31"/>
      <c r="F2" s="31" t="s">
        <v>599</v>
      </c>
      <c r="G2" s="27">
        <v>2312</v>
      </c>
      <c r="H2" s="31" t="s">
        <v>54</v>
      </c>
      <c r="I2" s="31"/>
      <c r="J2" s="26" t="s">
        <v>600</v>
      </c>
      <c r="K2" s="27">
        <v>2312</v>
      </c>
      <c r="L2" s="31" t="s">
        <v>601</v>
      </c>
      <c r="M2" s="31"/>
      <c r="N2" s="76"/>
      <c r="O2" s="76" t="s">
        <v>600</v>
      </c>
      <c r="P2" s="76"/>
      <c r="Q2" s="76" t="s">
        <v>2538</v>
      </c>
    </row>
    <row r="3" spans="1:19">
      <c r="A3" s="59">
        <v>46023.804131944453</v>
      </c>
      <c r="B3" s="59">
        <v>46023</v>
      </c>
      <c r="C3" s="31" t="s">
        <v>602</v>
      </c>
      <c r="D3" s="31" t="s">
        <v>452</v>
      </c>
      <c r="E3" s="31" t="s">
        <v>603</v>
      </c>
      <c r="F3" s="31" t="s">
        <v>604</v>
      </c>
      <c r="G3" s="27">
        <v>4600</v>
      </c>
      <c r="H3" s="31" t="s">
        <v>54</v>
      </c>
      <c r="I3" s="31" t="s">
        <v>605</v>
      </c>
      <c r="J3" s="26" t="s">
        <v>606</v>
      </c>
      <c r="K3" s="27">
        <v>4600</v>
      </c>
      <c r="L3" s="31" t="s">
        <v>601</v>
      </c>
      <c r="M3" s="31"/>
      <c r="N3" s="76"/>
      <c r="O3" s="76" t="s">
        <v>606</v>
      </c>
      <c r="P3" s="76"/>
      <c r="Q3" s="76" t="s">
        <v>607</v>
      </c>
    </row>
    <row r="4" spans="1:19">
      <c r="A4" s="59">
        <v>46024.038888888892</v>
      </c>
      <c r="B4" s="59">
        <v>46023</v>
      </c>
      <c r="C4" s="31" t="s">
        <v>598</v>
      </c>
      <c r="D4" s="31" t="s">
        <v>362</v>
      </c>
      <c r="E4" s="31"/>
      <c r="F4" s="31" t="s">
        <v>608</v>
      </c>
      <c r="G4" s="27">
        <v>9000</v>
      </c>
      <c r="H4" s="31" t="s">
        <v>54</v>
      </c>
      <c r="I4" s="31"/>
      <c r="J4" s="26" t="s">
        <v>600</v>
      </c>
      <c r="K4" s="27">
        <v>9000</v>
      </c>
      <c r="L4" s="31" t="s">
        <v>601</v>
      </c>
      <c r="M4" s="31"/>
      <c r="N4" s="76"/>
      <c r="O4" s="76" t="s">
        <v>609</v>
      </c>
      <c r="P4" s="76"/>
      <c r="Q4" s="76" t="s">
        <v>610</v>
      </c>
    </row>
    <row r="5" spans="1:19">
      <c r="A5" s="59">
        <v>46024.039050925923</v>
      </c>
      <c r="B5" s="59">
        <v>46023</v>
      </c>
      <c r="C5" s="31" t="s">
        <v>611</v>
      </c>
      <c r="D5" s="31" t="s">
        <v>452</v>
      </c>
      <c r="E5" s="31" t="s">
        <v>612</v>
      </c>
      <c r="F5" s="31" t="s">
        <v>613</v>
      </c>
      <c r="G5" s="27">
        <v>17500</v>
      </c>
      <c r="H5" s="31" t="s">
        <v>54</v>
      </c>
      <c r="I5" s="31"/>
      <c r="J5" s="26" t="s">
        <v>606</v>
      </c>
      <c r="K5" s="27">
        <v>17500</v>
      </c>
      <c r="L5" s="31" t="s">
        <v>601</v>
      </c>
      <c r="M5" s="31"/>
      <c r="N5" s="76"/>
      <c r="O5" s="76" t="s">
        <v>614</v>
      </c>
      <c r="P5" s="76"/>
      <c r="Q5" s="76" t="s">
        <v>2539</v>
      </c>
    </row>
    <row r="6" spans="1:19">
      <c r="A6" s="59">
        <v>46024.040358796286</v>
      </c>
      <c r="B6" s="59">
        <v>46023</v>
      </c>
      <c r="C6" s="31" t="s">
        <v>598</v>
      </c>
      <c r="D6" s="31" t="s">
        <v>452</v>
      </c>
      <c r="E6" s="31" t="s">
        <v>615</v>
      </c>
      <c r="F6" s="31" t="s">
        <v>365</v>
      </c>
      <c r="G6" s="27">
        <v>53390</v>
      </c>
      <c r="H6" s="31" t="s">
        <v>54</v>
      </c>
      <c r="I6" s="31" t="s">
        <v>616</v>
      </c>
      <c r="J6" s="26" t="s">
        <v>606</v>
      </c>
      <c r="K6" s="27">
        <v>53390</v>
      </c>
      <c r="L6" s="31" t="s">
        <v>601</v>
      </c>
      <c r="M6" s="31"/>
      <c r="N6" s="76"/>
      <c r="O6" s="76" t="s">
        <v>617</v>
      </c>
      <c r="P6" s="76"/>
      <c r="Q6" s="76" t="s">
        <v>2540</v>
      </c>
    </row>
    <row r="7" spans="1:19">
      <c r="A7" s="59">
        <v>46025.017627314817</v>
      </c>
      <c r="B7" s="59">
        <v>46023</v>
      </c>
      <c r="C7" s="31" t="s">
        <v>611</v>
      </c>
      <c r="D7" s="31" t="s">
        <v>453</v>
      </c>
      <c r="E7" s="31"/>
      <c r="F7" s="31" t="s">
        <v>453</v>
      </c>
      <c r="G7" s="27">
        <v>10000</v>
      </c>
      <c r="H7" s="31" t="s">
        <v>54</v>
      </c>
      <c r="I7" s="31"/>
      <c r="J7" s="26" t="s">
        <v>609</v>
      </c>
      <c r="K7" s="27">
        <v>10000</v>
      </c>
      <c r="L7" s="31" t="s">
        <v>601</v>
      </c>
      <c r="M7" s="31"/>
      <c r="N7" s="76"/>
      <c r="O7" s="76" t="s">
        <v>618</v>
      </c>
      <c r="P7" s="76"/>
      <c r="Q7" s="76" t="s">
        <v>619</v>
      </c>
    </row>
    <row r="8" spans="1:19">
      <c r="A8" s="59">
        <v>46025.017870370371</v>
      </c>
      <c r="B8" s="59">
        <v>46023</v>
      </c>
      <c r="C8" s="31" t="s">
        <v>611</v>
      </c>
      <c r="D8" s="31" t="s">
        <v>452</v>
      </c>
      <c r="E8" s="31"/>
      <c r="F8" s="31" t="s">
        <v>604</v>
      </c>
      <c r="G8" s="27">
        <v>4800</v>
      </c>
      <c r="H8" s="31" t="s">
        <v>54</v>
      </c>
      <c r="I8" s="31" t="s">
        <v>620</v>
      </c>
      <c r="J8" s="26" t="s">
        <v>606</v>
      </c>
      <c r="K8" s="27">
        <v>4800</v>
      </c>
      <c r="L8" s="31" t="s">
        <v>601</v>
      </c>
      <c r="M8" s="31"/>
      <c r="N8" s="76"/>
      <c r="O8" s="76" t="s">
        <v>59</v>
      </c>
      <c r="P8" s="76"/>
      <c r="Q8" s="76"/>
    </row>
    <row r="9" spans="1:19">
      <c r="A9" s="59">
        <v>46025.022638888891</v>
      </c>
      <c r="B9" s="59">
        <v>46023</v>
      </c>
      <c r="C9" s="31" t="s">
        <v>611</v>
      </c>
      <c r="D9" s="31" t="s">
        <v>452</v>
      </c>
      <c r="E9" s="31" t="s">
        <v>621</v>
      </c>
      <c r="F9" s="31" t="s">
        <v>622</v>
      </c>
      <c r="G9" s="27">
        <v>5890</v>
      </c>
      <c r="H9" s="31" t="s">
        <v>54</v>
      </c>
      <c r="I9" s="31" t="s">
        <v>623</v>
      </c>
      <c r="J9" s="26" t="s">
        <v>606</v>
      </c>
      <c r="K9" s="27">
        <v>5890</v>
      </c>
      <c r="L9" s="31" t="s">
        <v>601</v>
      </c>
      <c r="M9" s="31"/>
      <c r="N9" s="76"/>
      <c r="O9" s="76" t="s">
        <v>624</v>
      </c>
      <c r="P9" s="76"/>
      <c r="Q9" s="76"/>
    </row>
    <row r="10" spans="1:19">
      <c r="A10" s="59">
        <v>46025.022951388892</v>
      </c>
      <c r="B10" s="59">
        <v>46023</v>
      </c>
      <c r="C10" s="31" t="s">
        <v>611</v>
      </c>
      <c r="D10" s="31" t="s">
        <v>625</v>
      </c>
      <c r="E10" s="31"/>
      <c r="F10" s="31" t="s">
        <v>626</v>
      </c>
      <c r="G10" s="27">
        <v>30000</v>
      </c>
      <c r="H10" s="31" t="s">
        <v>54</v>
      </c>
      <c r="I10" s="31" t="s">
        <v>627</v>
      </c>
      <c r="J10" s="26" t="s">
        <v>606</v>
      </c>
      <c r="K10" s="27">
        <v>30000</v>
      </c>
      <c r="L10" s="31" t="s">
        <v>601</v>
      </c>
      <c r="M10" s="31"/>
      <c r="N10" s="76"/>
      <c r="O10" s="76" t="s">
        <v>628</v>
      </c>
      <c r="P10" s="76"/>
      <c r="Q10" s="76"/>
    </row>
    <row r="11" spans="1:19">
      <c r="A11" s="59">
        <v>46025.023541666669</v>
      </c>
      <c r="B11" s="59">
        <v>46023</v>
      </c>
      <c r="C11" s="31" t="s">
        <v>611</v>
      </c>
      <c r="D11" s="31" t="s">
        <v>452</v>
      </c>
      <c r="E11" s="31" t="s">
        <v>603</v>
      </c>
      <c r="F11" s="31" t="s">
        <v>604</v>
      </c>
      <c r="G11" s="27">
        <v>2700</v>
      </c>
      <c r="H11" s="31" t="s">
        <v>54</v>
      </c>
      <c r="I11" s="31" t="s">
        <v>629</v>
      </c>
      <c r="J11" s="26" t="s">
        <v>606</v>
      </c>
      <c r="K11" s="27">
        <v>2700</v>
      </c>
      <c r="L11" s="31" t="s">
        <v>601</v>
      </c>
      <c r="M11" s="31"/>
      <c r="N11" s="76"/>
      <c r="O11" s="76" t="s">
        <v>630</v>
      </c>
      <c r="P11" s="76"/>
      <c r="Q11" s="76"/>
    </row>
    <row r="12" spans="1:19">
      <c r="A12" s="59">
        <v>46026.474699074082</v>
      </c>
      <c r="B12" s="59">
        <v>46023</v>
      </c>
      <c r="C12" s="31" t="s">
        <v>631</v>
      </c>
      <c r="D12" s="31" t="s">
        <v>632</v>
      </c>
      <c r="E12" s="31"/>
      <c r="F12" s="31" t="s">
        <v>72</v>
      </c>
      <c r="G12" s="27">
        <v>980570</v>
      </c>
      <c r="H12" s="31" t="s">
        <v>633</v>
      </c>
      <c r="I12" s="31"/>
      <c r="J12" s="26" t="s">
        <v>634</v>
      </c>
      <c r="K12" s="27">
        <v>980570</v>
      </c>
      <c r="L12" s="31" t="s">
        <v>601</v>
      </c>
      <c r="M12" s="31"/>
      <c r="N12" s="76"/>
      <c r="O12" s="76" t="s">
        <v>635</v>
      </c>
      <c r="P12" s="76"/>
      <c r="Q12" s="76"/>
    </row>
    <row r="13" spans="1:19">
      <c r="A13" s="59">
        <v>46026.474699074082</v>
      </c>
      <c r="B13" s="59">
        <v>46023</v>
      </c>
      <c r="C13" s="31" t="s">
        <v>632</v>
      </c>
      <c r="D13" s="31" t="s">
        <v>631</v>
      </c>
      <c r="E13" s="31"/>
      <c r="F13" s="31" t="s">
        <v>72</v>
      </c>
      <c r="G13" s="27">
        <v>980570</v>
      </c>
      <c r="H13" s="31" t="s">
        <v>636</v>
      </c>
      <c r="I13" s="31"/>
      <c r="J13" s="26" t="s">
        <v>634</v>
      </c>
      <c r="K13" s="27">
        <v>980570</v>
      </c>
      <c r="L13" s="31" t="s">
        <v>601</v>
      </c>
      <c r="M13" s="31"/>
      <c r="N13" s="76"/>
      <c r="O13" s="76" t="s">
        <v>60</v>
      </c>
      <c r="P13" s="76"/>
      <c r="Q13" s="76"/>
    </row>
    <row r="14" spans="1:19">
      <c r="A14" s="59">
        <v>46026.815312500003</v>
      </c>
      <c r="B14" s="59">
        <v>46023</v>
      </c>
      <c r="C14" s="31" t="s">
        <v>598</v>
      </c>
      <c r="D14" s="31" t="s">
        <v>362</v>
      </c>
      <c r="E14" s="31"/>
      <c r="F14" s="31" t="s">
        <v>637</v>
      </c>
      <c r="G14" s="27">
        <v>13330</v>
      </c>
      <c r="H14" s="31" t="s">
        <v>54</v>
      </c>
      <c r="I14" s="31"/>
      <c r="J14" s="26" t="s">
        <v>600</v>
      </c>
      <c r="K14" s="27">
        <v>13330</v>
      </c>
      <c r="L14" s="31" t="s">
        <v>601</v>
      </c>
      <c r="M14" s="31"/>
      <c r="N14" s="76"/>
      <c r="O14" s="76" t="s">
        <v>638</v>
      </c>
      <c r="P14" s="76"/>
      <c r="Q14" s="76"/>
    </row>
    <row r="15" spans="1:19">
      <c r="A15" s="59">
        <v>46026.815358796302</v>
      </c>
      <c r="B15" s="59">
        <v>46023</v>
      </c>
      <c r="C15" s="31" t="s">
        <v>598</v>
      </c>
      <c r="D15" s="31" t="s">
        <v>362</v>
      </c>
      <c r="E15" s="31"/>
      <c r="F15" s="31" t="s">
        <v>561</v>
      </c>
      <c r="G15" s="27">
        <v>1800</v>
      </c>
      <c r="H15" s="31" t="s">
        <v>54</v>
      </c>
      <c r="I15" s="31" t="s">
        <v>639</v>
      </c>
      <c r="J15" s="26" t="s">
        <v>600</v>
      </c>
      <c r="K15" s="27">
        <v>1800</v>
      </c>
      <c r="L15" s="31" t="s">
        <v>601</v>
      </c>
      <c r="M15" s="31"/>
      <c r="N15" s="76"/>
      <c r="O15" s="76" t="s">
        <v>57</v>
      </c>
      <c r="P15" s="76"/>
      <c r="Q15" s="76"/>
    </row>
    <row r="16" spans="1:19">
      <c r="A16" s="59">
        <v>46027.868136574078</v>
      </c>
      <c r="B16" s="59">
        <v>46023</v>
      </c>
      <c r="C16" s="31" t="s">
        <v>598</v>
      </c>
      <c r="D16" s="31" t="s">
        <v>640</v>
      </c>
      <c r="E16" s="31"/>
      <c r="F16" s="31" t="s">
        <v>641</v>
      </c>
      <c r="G16" s="27">
        <v>18200</v>
      </c>
      <c r="H16" s="31" t="s">
        <v>54</v>
      </c>
      <c r="I16" s="31" t="s">
        <v>642</v>
      </c>
      <c r="J16" s="26" t="s">
        <v>600</v>
      </c>
      <c r="K16" s="27">
        <v>18200</v>
      </c>
      <c r="L16" s="31" t="s">
        <v>601</v>
      </c>
      <c r="M16" s="31"/>
      <c r="N16" s="76"/>
      <c r="O16" s="76" t="s">
        <v>267</v>
      </c>
      <c r="P16" s="76"/>
      <c r="Q16" s="76"/>
    </row>
    <row r="17" spans="1:17">
      <c r="A17" s="59">
        <v>46027.925949074073</v>
      </c>
      <c r="B17" s="59">
        <v>46023</v>
      </c>
      <c r="C17" s="31" t="s">
        <v>611</v>
      </c>
      <c r="D17" s="31" t="s">
        <v>453</v>
      </c>
      <c r="E17" s="31"/>
      <c r="F17" s="31" t="s">
        <v>453</v>
      </c>
      <c r="G17" s="27">
        <v>10000</v>
      </c>
      <c r="H17" s="31" t="s">
        <v>54</v>
      </c>
      <c r="I17" s="31"/>
      <c r="J17" s="26" t="s">
        <v>609</v>
      </c>
      <c r="K17" s="27">
        <v>10000</v>
      </c>
      <c r="L17" s="31" t="s">
        <v>601</v>
      </c>
      <c r="M17" s="31"/>
      <c r="N17" s="76"/>
      <c r="O17" s="76" t="s">
        <v>61</v>
      </c>
      <c r="P17" s="76"/>
      <c r="Q17" s="76"/>
    </row>
    <row r="18" spans="1:17">
      <c r="A18" s="59">
        <v>46027.926076388889</v>
      </c>
      <c r="B18" s="59">
        <v>46023</v>
      </c>
      <c r="C18" s="31" t="s">
        <v>611</v>
      </c>
      <c r="D18" s="31" t="s">
        <v>452</v>
      </c>
      <c r="E18" s="31" t="s">
        <v>612</v>
      </c>
      <c r="F18" s="31" t="s">
        <v>643</v>
      </c>
      <c r="G18" s="27">
        <v>11700</v>
      </c>
      <c r="H18" s="31" t="s">
        <v>54</v>
      </c>
      <c r="I18" s="31"/>
      <c r="J18" s="26" t="s">
        <v>606</v>
      </c>
      <c r="K18" s="27">
        <v>11700</v>
      </c>
      <c r="L18" s="31" t="s">
        <v>601</v>
      </c>
      <c r="M18" s="31"/>
      <c r="N18" s="76"/>
      <c r="O18" s="76" t="s">
        <v>644</v>
      </c>
      <c r="P18" s="76"/>
      <c r="Q18" s="76"/>
    </row>
    <row r="19" spans="1:17">
      <c r="A19" s="59">
        <v>46027.92633101852</v>
      </c>
      <c r="B19" s="59">
        <v>46023</v>
      </c>
      <c r="C19" s="31" t="s">
        <v>645</v>
      </c>
      <c r="D19" s="31" t="s">
        <v>646</v>
      </c>
      <c r="E19" s="31"/>
      <c r="F19" s="31" t="s">
        <v>73</v>
      </c>
      <c r="G19" s="27">
        <v>550000</v>
      </c>
      <c r="H19" s="31" t="s">
        <v>54</v>
      </c>
      <c r="I19" s="31"/>
      <c r="J19" s="26" t="s">
        <v>600</v>
      </c>
      <c r="K19" s="27">
        <v>550000</v>
      </c>
      <c r="L19" s="31" t="s">
        <v>601</v>
      </c>
      <c r="M19" s="31"/>
      <c r="N19" s="76"/>
      <c r="O19" s="76" t="s">
        <v>647</v>
      </c>
      <c r="P19" s="76"/>
      <c r="Q19" s="76"/>
    </row>
    <row r="20" spans="1:17">
      <c r="A20" s="59">
        <v>46027.934664351851</v>
      </c>
      <c r="B20" s="59">
        <v>46023</v>
      </c>
      <c r="C20" s="31" t="s">
        <v>645</v>
      </c>
      <c r="D20" s="31" t="s">
        <v>172</v>
      </c>
      <c r="E20" s="31"/>
      <c r="F20" s="31" t="s">
        <v>72</v>
      </c>
      <c r="G20" s="27">
        <v>1800</v>
      </c>
      <c r="H20" s="31" t="s">
        <v>636</v>
      </c>
      <c r="I20" s="31" t="s">
        <v>648</v>
      </c>
      <c r="J20" s="26" t="s">
        <v>634</v>
      </c>
      <c r="K20" s="27">
        <v>1800</v>
      </c>
      <c r="L20" s="31" t="s">
        <v>601</v>
      </c>
      <c r="M20" s="31"/>
      <c r="N20" s="76"/>
      <c r="O20" s="76" t="s">
        <v>649</v>
      </c>
      <c r="P20" s="76"/>
      <c r="Q20" s="76"/>
    </row>
    <row r="21" spans="1:17">
      <c r="A21" s="59">
        <v>46027.934664351851</v>
      </c>
      <c r="B21" s="59">
        <v>46023</v>
      </c>
      <c r="C21" s="31" t="s">
        <v>172</v>
      </c>
      <c r="D21" s="31" t="s">
        <v>645</v>
      </c>
      <c r="E21" s="31"/>
      <c r="F21" s="31" t="s">
        <v>72</v>
      </c>
      <c r="G21" s="27">
        <v>1800</v>
      </c>
      <c r="H21" s="31" t="s">
        <v>633</v>
      </c>
      <c r="I21" s="31" t="s">
        <v>648</v>
      </c>
      <c r="J21" s="26" t="s">
        <v>634</v>
      </c>
      <c r="K21" s="27">
        <v>1800</v>
      </c>
      <c r="L21" s="31" t="s">
        <v>601</v>
      </c>
      <c r="M21" s="31"/>
      <c r="N21" s="76"/>
      <c r="O21" s="76" t="s">
        <v>650</v>
      </c>
      <c r="P21" s="76"/>
      <c r="Q21" s="76"/>
    </row>
    <row r="22" spans="1:17">
      <c r="A22" s="59">
        <v>46028.943078703713</v>
      </c>
      <c r="B22" s="59">
        <v>46023</v>
      </c>
      <c r="C22" s="31" t="s">
        <v>631</v>
      </c>
      <c r="D22" s="31" t="s">
        <v>640</v>
      </c>
      <c r="E22" s="31"/>
      <c r="F22" s="31" t="s">
        <v>651</v>
      </c>
      <c r="G22" s="27">
        <v>100</v>
      </c>
      <c r="H22" s="31" t="s">
        <v>54</v>
      </c>
      <c r="I22" s="31" t="s">
        <v>652</v>
      </c>
      <c r="J22" s="26" t="s">
        <v>606</v>
      </c>
      <c r="K22" s="27">
        <v>100</v>
      </c>
      <c r="L22" s="31" t="s">
        <v>601</v>
      </c>
      <c r="M22" s="31"/>
      <c r="N22" s="76"/>
      <c r="O22" s="76" t="s">
        <v>653</v>
      </c>
      <c r="P22" s="76"/>
      <c r="Q22" s="76"/>
    </row>
    <row r="23" spans="1:17">
      <c r="A23" s="59">
        <v>46028.943831018521</v>
      </c>
      <c r="B23" s="59">
        <v>46023</v>
      </c>
      <c r="C23" s="31" t="s">
        <v>611</v>
      </c>
      <c r="D23" s="31" t="s">
        <v>640</v>
      </c>
      <c r="E23" s="31"/>
      <c r="F23" s="31" t="s">
        <v>654</v>
      </c>
      <c r="G23" s="27">
        <v>18900</v>
      </c>
      <c r="H23" s="31" t="s">
        <v>54</v>
      </c>
      <c r="I23" s="31" t="s">
        <v>655</v>
      </c>
      <c r="J23" s="26" t="s">
        <v>606</v>
      </c>
      <c r="K23" s="27">
        <v>18900</v>
      </c>
      <c r="L23" s="31" t="s">
        <v>601</v>
      </c>
      <c r="M23" s="31"/>
      <c r="N23" s="76"/>
      <c r="O23" s="76" t="s">
        <v>407</v>
      </c>
      <c r="P23" s="76"/>
      <c r="Q23" s="76"/>
    </row>
    <row r="24" spans="1:17">
      <c r="A24" s="59">
        <v>46028.944409722222</v>
      </c>
      <c r="B24" s="59">
        <v>46023</v>
      </c>
      <c r="C24" s="31" t="s">
        <v>172</v>
      </c>
      <c r="D24" s="31" t="s">
        <v>656</v>
      </c>
      <c r="E24" s="31"/>
      <c r="F24" s="31" t="s">
        <v>657</v>
      </c>
      <c r="G24" s="27">
        <v>1800</v>
      </c>
      <c r="H24" s="31" t="s">
        <v>636</v>
      </c>
      <c r="I24" s="31"/>
      <c r="J24" s="26" t="s">
        <v>634</v>
      </c>
      <c r="K24" s="27">
        <v>1800</v>
      </c>
      <c r="L24" s="31" t="s">
        <v>601</v>
      </c>
      <c r="M24" s="31"/>
      <c r="N24" s="76"/>
      <c r="O24" s="76" t="s">
        <v>658</v>
      </c>
      <c r="P24" s="76"/>
      <c r="Q24" s="76"/>
    </row>
    <row r="25" spans="1:17">
      <c r="A25" s="59">
        <v>46028.944409722222</v>
      </c>
      <c r="B25" s="59">
        <v>46023</v>
      </c>
      <c r="C25" s="31" t="s">
        <v>656</v>
      </c>
      <c r="D25" s="31" t="s">
        <v>172</v>
      </c>
      <c r="E25" s="31"/>
      <c r="F25" s="31" t="s">
        <v>657</v>
      </c>
      <c r="G25" s="27">
        <v>1800</v>
      </c>
      <c r="H25" s="31" t="s">
        <v>633</v>
      </c>
      <c r="I25" s="31"/>
      <c r="J25" s="26" t="s">
        <v>634</v>
      </c>
      <c r="K25" s="27">
        <v>1800</v>
      </c>
      <c r="L25" s="31" t="s">
        <v>601</v>
      </c>
      <c r="M25" s="31"/>
      <c r="N25" s="76"/>
      <c r="O25" s="76" t="s">
        <v>659</v>
      </c>
      <c r="P25" s="76"/>
      <c r="Q25" s="76"/>
    </row>
    <row r="26" spans="1:17">
      <c r="A26" s="59">
        <v>46028.951631944437</v>
      </c>
      <c r="B26" s="59">
        <v>46023</v>
      </c>
      <c r="C26" s="31" t="s">
        <v>631</v>
      </c>
      <c r="D26" s="31" t="s">
        <v>660</v>
      </c>
      <c r="E26" s="31"/>
      <c r="F26" s="31" t="s">
        <v>72</v>
      </c>
      <c r="G26" s="27">
        <v>900000</v>
      </c>
      <c r="H26" s="31" t="s">
        <v>636</v>
      </c>
      <c r="I26" s="31" t="s">
        <v>661</v>
      </c>
      <c r="J26" s="26" t="s">
        <v>634</v>
      </c>
      <c r="K26" s="27">
        <v>900000</v>
      </c>
      <c r="L26" s="31" t="s">
        <v>601</v>
      </c>
      <c r="M26" s="31"/>
      <c r="N26" s="76"/>
      <c r="O26" s="76" t="s">
        <v>662</v>
      </c>
      <c r="P26" s="76"/>
      <c r="Q26" s="76"/>
    </row>
    <row r="27" spans="1:17">
      <c r="A27" s="59">
        <v>46028.951631944437</v>
      </c>
      <c r="B27" s="59">
        <v>46023</v>
      </c>
      <c r="C27" s="31" t="s">
        <v>660</v>
      </c>
      <c r="D27" s="31" t="s">
        <v>631</v>
      </c>
      <c r="E27" s="31"/>
      <c r="F27" s="31" t="s">
        <v>72</v>
      </c>
      <c r="G27" s="27">
        <v>900000</v>
      </c>
      <c r="H27" s="31" t="s">
        <v>633</v>
      </c>
      <c r="I27" s="31" t="s">
        <v>661</v>
      </c>
      <c r="J27" s="26" t="s">
        <v>634</v>
      </c>
      <c r="K27" s="27">
        <v>900000</v>
      </c>
      <c r="L27" s="31" t="s">
        <v>601</v>
      </c>
      <c r="M27" s="31"/>
      <c r="N27" s="76"/>
      <c r="O27" s="76" t="s">
        <v>663</v>
      </c>
      <c r="P27" s="76"/>
      <c r="Q27" s="76"/>
    </row>
    <row r="28" spans="1:17">
      <c r="A28" s="59">
        <v>46029.378993055558</v>
      </c>
      <c r="B28" s="59">
        <v>46023</v>
      </c>
      <c r="C28" s="31" t="s">
        <v>631</v>
      </c>
      <c r="D28" s="31" t="s">
        <v>660</v>
      </c>
      <c r="E28" s="31"/>
      <c r="F28" s="31" t="s">
        <v>72</v>
      </c>
      <c r="G28" s="27">
        <v>857030</v>
      </c>
      <c r="H28" s="31" t="s">
        <v>636</v>
      </c>
      <c r="I28" s="31"/>
      <c r="J28" s="26" t="s">
        <v>634</v>
      </c>
      <c r="K28" s="27">
        <v>857030</v>
      </c>
      <c r="L28" s="31" t="s">
        <v>601</v>
      </c>
      <c r="M28" s="31"/>
      <c r="N28" s="76"/>
      <c r="O28" s="76" t="s">
        <v>664</v>
      </c>
      <c r="P28" s="76"/>
      <c r="Q28" s="76"/>
    </row>
    <row r="29" spans="1:17">
      <c r="A29" s="59">
        <v>46029.378993055558</v>
      </c>
      <c r="B29" s="59">
        <v>46023</v>
      </c>
      <c r="C29" s="31" t="s">
        <v>660</v>
      </c>
      <c r="D29" s="31" t="s">
        <v>631</v>
      </c>
      <c r="E29" s="31"/>
      <c r="F29" s="31" t="s">
        <v>72</v>
      </c>
      <c r="G29" s="27">
        <v>857030</v>
      </c>
      <c r="H29" s="31" t="s">
        <v>633</v>
      </c>
      <c r="I29" s="31"/>
      <c r="J29" s="26" t="s">
        <v>634</v>
      </c>
      <c r="K29" s="27">
        <v>857030</v>
      </c>
      <c r="L29" s="31" t="s">
        <v>601</v>
      </c>
      <c r="M29" s="31"/>
      <c r="N29" s="76"/>
      <c r="O29" s="76" t="s">
        <v>665</v>
      </c>
      <c r="P29" s="76"/>
      <c r="Q29" s="76"/>
    </row>
    <row r="30" spans="1:17">
      <c r="A30" s="59">
        <v>46029.379444444443</v>
      </c>
      <c r="B30" s="59">
        <v>46023</v>
      </c>
      <c r="C30" s="31" t="s">
        <v>660</v>
      </c>
      <c r="D30" s="31" t="s">
        <v>19</v>
      </c>
      <c r="E30" s="31"/>
      <c r="F30" s="31" t="s">
        <v>666</v>
      </c>
      <c r="G30" s="27">
        <v>34</v>
      </c>
      <c r="H30" s="31" t="s">
        <v>397</v>
      </c>
      <c r="I30" s="31"/>
      <c r="J30" s="26" t="s">
        <v>653</v>
      </c>
      <c r="K30" s="27">
        <v>34</v>
      </c>
      <c r="L30" s="31" t="s">
        <v>601</v>
      </c>
      <c r="M30" s="31"/>
      <c r="N30" s="76"/>
      <c r="O30" s="76" t="s">
        <v>667</v>
      </c>
      <c r="P30" s="76"/>
      <c r="Q30" s="76"/>
    </row>
    <row r="31" spans="1:17">
      <c r="A31" s="59">
        <v>46029.910057870373</v>
      </c>
      <c r="B31" s="59">
        <v>46023</v>
      </c>
      <c r="C31" s="31" t="s">
        <v>611</v>
      </c>
      <c r="D31" s="31" t="s">
        <v>453</v>
      </c>
      <c r="E31" s="31"/>
      <c r="F31" s="31" t="s">
        <v>453</v>
      </c>
      <c r="G31" s="27">
        <v>10000</v>
      </c>
      <c r="H31" s="31" t="s">
        <v>54</v>
      </c>
      <c r="I31" s="31"/>
      <c r="J31" s="26" t="s">
        <v>609</v>
      </c>
      <c r="K31" s="27">
        <v>10000</v>
      </c>
      <c r="L31" s="31" t="s">
        <v>601</v>
      </c>
      <c r="M31" s="31"/>
      <c r="N31" s="76"/>
      <c r="O31" s="76" t="s">
        <v>668</v>
      </c>
      <c r="P31" s="76"/>
      <c r="Q31" s="76"/>
    </row>
    <row r="32" spans="1:17">
      <c r="A32" s="59">
        <v>46029.910231481481</v>
      </c>
      <c r="B32" s="59">
        <v>46023</v>
      </c>
      <c r="C32" s="31" t="s">
        <v>611</v>
      </c>
      <c r="D32" s="31" t="s">
        <v>669</v>
      </c>
      <c r="E32" s="31"/>
      <c r="F32" s="31" t="s">
        <v>670</v>
      </c>
      <c r="G32" s="27">
        <v>10900</v>
      </c>
      <c r="H32" s="31" t="s">
        <v>54</v>
      </c>
      <c r="I32" s="31" t="s">
        <v>535</v>
      </c>
      <c r="J32" s="26" t="s">
        <v>617</v>
      </c>
      <c r="K32" s="27">
        <v>10900</v>
      </c>
      <c r="L32" s="31" t="s">
        <v>601</v>
      </c>
      <c r="M32" s="31"/>
      <c r="N32" s="76"/>
      <c r="O32" s="76" t="s">
        <v>671</v>
      </c>
      <c r="P32" s="76"/>
      <c r="Q32" s="76"/>
    </row>
    <row r="33" spans="1:17">
      <c r="A33" s="59">
        <v>46029.910509259258</v>
      </c>
      <c r="B33" s="59">
        <v>46023</v>
      </c>
      <c r="C33" s="31" t="s">
        <v>611</v>
      </c>
      <c r="D33" s="31" t="s">
        <v>672</v>
      </c>
      <c r="E33" s="31" t="s">
        <v>673</v>
      </c>
      <c r="F33" s="31" t="s">
        <v>674</v>
      </c>
      <c r="G33" s="27">
        <v>4000</v>
      </c>
      <c r="H33" s="31" t="s">
        <v>54</v>
      </c>
      <c r="I33" s="31"/>
      <c r="J33" s="26" t="s">
        <v>606</v>
      </c>
      <c r="K33" s="27">
        <v>4000</v>
      </c>
      <c r="L33" s="31" t="s">
        <v>601</v>
      </c>
      <c r="M33" s="31"/>
      <c r="N33" s="76"/>
      <c r="O33" s="76" t="s">
        <v>675</v>
      </c>
      <c r="P33" s="76"/>
      <c r="Q33" s="76"/>
    </row>
    <row r="34" spans="1:17">
      <c r="A34" s="59">
        <v>46029.910624999997</v>
      </c>
      <c r="B34" s="59">
        <v>46023</v>
      </c>
      <c r="C34" s="31" t="s">
        <v>611</v>
      </c>
      <c r="D34" s="31" t="s">
        <v>672</v>
      </c>
      <c r="E34" s="31" t="s">
        <v>673</v>
      </c>
      <c r="F34" s="31" t="s">
        <v>676</v>
      </c>
      <c r="G34" s="27">
        <v>35200</v>
      </c>
      <c r="H34" s="31" t="s">
        <v>54</v>
      </c>
      <c r="I34" s="31"/>
      <c r="J34" s="26" t="s">
        <v>606</v>
      </c>
      <c r="K34" s="27">
        <v>35200</v>
      </c>
      <c r="L34" s="31" t="s">
        <v>601</v>
      </c>
      <c r="M34" s="31"/>
      <c r="N34" s="76"/>
      <c r="O34" s="76" t="s">
        <v>634</v>
      </c>
      <c r="P34" s="76"/>
      <c r="Q34" s="76"/>
    </row>
    <row r="35" spans="1:17">
      <c r="A35" s="59">
        <v>46029.910821759258</v>
      </c>
      <c r="B35" s="59">
        <v>46023</v>
      </c>
      <c r="C35" s="31" t="s">
        <v>611</v>
      </c>
      <c r="D35" s="31" t="s">
        <v>452</v>
      </c>
      <c r="E35" s="31" t="s">
        <v>615</v>
      </c>
      <c r="F35" s="31" t="s">
        <v>604</v>
      </c>
      <c r="G35" s="27">
        <v>1900</v>
      </c>
      <c r="H35" s="31" t="s">
        <v>54</v>
      </c>
      <c r="I35" s="31" t="s">
        <v>677</v>
      </c>
      <c r="J35" s="26" t="s">
        <v>606</v>
      </c>
      <c r="K35" s="27">
        <v>1900</v>
      </c>
      <c r="L35" s="31" t="s">
        <v>601</v>
      </c>
      <c r="M35" s="31"/>
      <c r="N35" s="76"/>
      <c r="O35" s="76" t="s">
        <v>678</v>
      </c>
      <c r="P35" s="76"/>
      <c r="Q35" s="76"/>
    </row>
    <row r="36" spans="1:17">
      <c r="A36" s="59">
        <v>46030.749594907407</v>
      </c>
      <c r="B36" s="59">
        <v>46023</v>
      </c>
      <c r="C36" s="31" t="s">
        <v>611</v>
      </c>
      <c r="D36" s="31" t="s">
        <v>646</v>
      </c>
      <c r="E36" s="31"/>
      <c r="F36" s="31" t="s">
        <v>679</v>
      </c>
      <c r="G36" s="27">
        <v>12810</v>
      </c>
      <c r="H36" s="31" t="s">
        <v>54</v>
      </c>
      <c r="I36" s="31"/>
      <c r="J36" s="26" t="s">
        <v>600</v>
      </c>
      <c r="K36" s="27">
        <v>12810</v>
      </c>
      <c r="L36" s="31" t="s">
        <v>601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611</v>
      </c>
      <c r="D37" s="31" t="s">
        <v>452</v>
      </c>
      <c r="E37" s="31" t="s">
        <v>615</v>
      </c>
      <c r="F37" s="31" t="s">
        <v>604</v>
      </c>
      <c r="G37" s="27">
        <v>1700</v>
      </c>
      <c r="H37" s="31" t="s">
        <v>54</v>
      </c>
      <c r="I37" s="31" t="s">
        <v>680</v>
      </c>
      <c r="J37" s="26" t="s">
        <v>606</v>
      </c>
      <c r="K37" s="27">
        <v>1700</v>
      </c>
      <c r="L37" s="31" t="s">
        <v>601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660</v>
      </c>
      <c r="D38" s="31" t="s">
        <v>19</v>
      </c>
      <c r="E38" s="31"/>
      <c r="F38" s="31" t="s">
        <v>666</v>
      </c>
      <c r="G38" s="27">
        <v>67</v>
      </c>
      <c r="H38" s="31" t="s">
        <v>397</v>
      </c>
      <c r="I38" s="31"/>
      <c r="J38" s="26" t="s">
        <v>653</v>
      </c>
      <c r="K38" s="27">
        <v>67</v>
      </c>
      <c r="L38" s="31" t="s">
        <v>601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660</v>
      </c>
      <c r="D39" s="31" t="s">
        <v>19</v>
      </c>
      <c r="E39" s="31"/>
      <c r="F39" s="31" t="s">
        <v>666</v>
      </c>
      <c r="G39" s="27">
        <v>67</v>
      </c>
      <c r="H39" s="31" t="s">
        <v>397</v>
      </c>
      <c r="I39" s="31"/>
      <c r="J39" s="26" t="s">
        <v>653</v>
      </c>
      <c r="K39" s="27">
        <v>67</v>
      </c>
      <c r="L39" s="31" t="s">
        <v>601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611</v>
      </c>
      <c r="D40" s="31" t="s">
        <v>453</v>
      </c>
      <c r="E40" s="31"/>
      <c r="F40" s="31" t="s">
        <v>453</v>
      </c>
      <c r="G40" s="27">
        <v>10000</v>
      </c>
      <c r="H40" s="31" t="s">
        <v>54</v>
      </c>
      <c r="I40" s="31"/>
      <c r="J40" s="26" t="s">
        <v>609</v>
      </c>
      <c r="K40" s="27">
        <v>10000</v>
      </c>
      <c r="L40" s="31" t="s">
        <v>601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611</v>
      </c>
      <c r="D41" s="31" t="s">
        <v>452</v>
      </c>
      <c r="E41" s="31" t="s">
        <v>603</v>
      </c>
      <c r="F41" s="31" t="s">
        <v>643</v>
      </c>
      <c r="G41" s="27">
        <v>2400</v>
      </c>
      <c r="H41" s="31" t="s">
        <v>54</v>
      </c>
      <c r="I41" s="31"/>
      <c r="J41" s="26" t="s">
        <v>606</v>
      </c>
      <c r="K41" s="27">
        <v>2400</v>
      </c>
      <c r="L41" s="31" t="s">
        <v>601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681</v>
      </c>
      <c r="D42" s="31" t="s">
        <v>452</v>
      </c>
      <c r="E42" s="31" t="s">
        <v>612</v>
      </c>
      <c r="F42" s="31" t="s">
        <v>682</v>
      </c>
      <c r="G42" s="27">
        <v>14800</v>
      </c>
      <c r="H42" s="31" t="s">
        <v>54</v>
      </c>
      <c r="I42" s="31"/>
      <c r="J42" s="26" t="s">
        <v>606</v>
      </c>
      <c r="K42" s="27">
        <v>14800</v>
      </c>
      <c r="L42" s="31" t="s">
        <v>601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187</v>
      </c>
      <c r="D43" s="31" t="s">
        <v>452</v>
      </c>
      <c r="E43" s="31" t="s">
        <v>612</v>
      </c>
      <c r="F43" s="31" t="s">
        <v>683</v>
      </c>
      <c r="G43" s="27">
        <v>-8200</v>
      </c>
      <c r="H43" s="31" t="s">
        <v>54</v>
      </c>
      <c r="I43" s="31" t="s">
        <v>684</v>
      </c>
      <c r="J43" s="26" t="s">
        <v>606</v>
      </c>
      <c r="K43" s="27">
        <v>-8200</v>
      </c>
      <c r="L43" s="31" t="s">
        <v>601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611</v>
      </c>
      <c r="D44" s="31" t="s">
        <v>625</v>
      </c>
      <c r="E44" s="31"/>
      <c r="F44" s="31" t="s">
        <v>626</v>
      </c>
      <c r="G44" s="27">
        <v>10000</v>
      </c>
      <c r="H44" s="31" t="s">
        <v>54</v>
      </c>
      <c r="I44" s="31"/>
      <c r="J44" s="26" t="s">
        <v>606</v>
      </c>
      <c r="K44" s="27">
        <v>10000</v>
      </c>
      <c r="L44" s="31" t="s">
        <v>601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598</v>
      </c>
      <c r="D45" s="31" t="s">
        <v>625</v>
      </c>
      <c r="E45" s="31"/>
      <c r="F45" s="31" t="s">
        <v>365</v>
      </c>
      <c r="G45" s="27">
        <v>19940</v>
      </c>
      <c r="H45" s="31" t="s">
        <v>54</v>
      </c>
      <c r="I45" s="31" t="s">
        <v>685</v>
      </c>
      <c r="J45" s="26" t="s">
        <v>606</v>
      </c>
      <c r="K45" s="27">
        <v>19940</v>
      </c>
      <c r="L45" s="31" t="s">
        <v>601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598</v>
      </c>
      <c r="D46" s="31" t="s">
        <v>452</v>
      </c>
      <c r="E46" s="31" t="s">
        <v>621</v>
      </c>
      <c r="F46" s="31" t="s">
        <v>682</v>
      </c>
      <c r="G46" s="27">
        <v>12410</v>
      </c>
      <c r="H46" s="31" t="s">
        <v>54</v>
      </c>
      <c r="I46" s="31" t="s">
        <v>686</v>
      </c>
      <c r="J46" s="26" t="s">
        <v>606</v>
      </c>
      <c r="K46" s="27">
        <v>12410</v>
      </c>
      <c r="L46" s="31" t="s">
        <v>601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436</v>
      </c>
      <c r="D47" s="31" t="s">
        <v>650</v>
      </c>
      <c r="E47" s="31"/>
      <c r="F47" s="31" t="s">
        <v>687</v>
      </c>
      <c r="G47" s="27">
        <v>20000</v>
      </c>
      <c r="H47" s="31" t="s">
        <v>397</v>
      </c>
      <c r="I47" s="31"/>
      <c r="J47" s="26" t="s">
        <v>650</v>
      </c>
      <c r="K47" s="27">
        <v>20000</v>
      </c>
      <c r="L47" s="31" t="s">
        <v>601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611</v>
      </c>
      <c r="D48" s="31" t="s">
        <v>452</v>
      </c>
      <c r="E48" s="31" t="s">
        <v>603</v>
      </c>
      <c r="F48" s="31" t="s">
        <v>604</v>
      </c>
      <c r="G48" s="27">
        <v>6600</v>
      </c>
      <c r="H48" s="31" t="s">
        <v>54</v>
      </c>
      <c r="I48" s="31" t="s">
        <v>688</v>
      </c>
      <c r="J48" s="26" t="s">
        <v>606</v>
      </c>
      <c r="K48" s="27">
        <v>6600</v>
      </c>
      <c r="L48" s="31" t="s">
        <v>601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660</v>
      </c>
      <c r="D49" s="31" t="s">
        <v>19</v>
      </c>
      <c r="E49" s="31"/>
      <c r="F49" s="31" t="s">
        <v>666</v>
      </c>
      <c r="G49" s="27">
        <v>67</v>
      </c>
      <c r="H49" s="31" t="s">
        <v>397</v>
      </c>
      <c r="I49" s="31"/>
      <c r="J49" s="26" t="s">
        <v>653</v>
      </c>
      <c r="K49" s="27">
        <v>67</v>
      </c>
      <c r="L49" s="31" t="s">
        <v>601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689</v>
      </c>
      <c r="D50" s="31" t="s">
        <v>660</v>
      </c>
      <c r="E50" s="31"/>
      <c r="F50" s="31" t="s">
        <v>72</v>
      </c>
      <c r="G50" s="27">
        <v>100002</v>
      </c>
      <c r="H50" s="31" t="s">
        <v>633</v>
      </c>
      <c r="I50" s="31"/>
      <c r="J50" s="26" t="s">
        <v>634</v>
      </c>
      <c r="K50" s="27">
        <v>100002</v>
      </c>
      <c r="L50" s="31" t="s">
        <v>601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660</v>
      </c>
      <c r="D51" s="31" t="s">
        <v>689</v>
      </c>
      <c r="E51" s="31"/>
      <c r="F51" s="31" t="s">
        <v>72</v>
      </c>
      <c r="G51" s="27">
        <v>100002</v>
      </c>
      <c r="H51" s="31" t="s">
        <v>636</v>
      </c>
      <c r="I51" s="31"/>
      <c r="J51" s="26" t="s">
        <v>634</v>
      </c>
      <c r="K51" s="27">
        <v>100002</v>
      </c>
      <c r="L51" s="31" t="s">
        <v>601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660</v>
      </c>
      <c r="D52" s="31" t="s">
        <v>690</v>
      </c>
      <c r="E52" s="31"/>
      <c r="F52" s="31" t="s">
        <v>72</v>
      </c>
      <c r="G52" s="27">
        <v>1100000</v>
      </c>
      <c r="H52" s="31" t="s">
        <v>636</v>
      </c>
      <c r="I52" s="31"/>
      <c r="J52" s="26" t="s">
        <v>634</v>
      </c>
      <c r="K52" s="27">
        <v>1100000</v>
      </c>
      <c r="L52" s="31" t="s">
        <v>601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690</v>
      </c>
      <c r="D53" s="31" t="s">
        <v>660</v>
      </c>
      <c r="E53" s="31"/>
      <c r="F53" s="31" t="s">
        <v>72</v>
      </c>
      <c r="G53" s="27">
        <v>1100000</v>
      </c>
      <c r="H53" s="31" t="s">
        <v>633</v>
      </c>
      <c r="I53" s="31"/>
      <c r="J53" s="26" t="s">
        <v>634</v>
      </c>
      <c r="K53" s="27">
        <v>1100000</v>
      </c>
      <c r="L53" s="31" t="s">
        <v>601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660</v>
      </c>
      <c r="D54" s="31" t="s">
        <v>691</v>
      </c>
      <c r="E54" s="31"/>
      <c r="F54" s="31" t="s">
        <v>72</v>
      </c>
      <c r="G54" s="27">
        <v>50000</v>
      </c>
      <c r="H54" s="31" t="s">
        <v>636</v>
      </c>
      <c r="I54" s="31"/>
      <c r="J54" s="26" t="s">
        <v>634</v>
      </c>
      <c r="K54" s="27">
        <v>50000</v>
      </c>
      <c r="L54" s="31" t="s">
        <v>601</v>
      </c>
      <c r="M54" s="31" t="s">
        <v>692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691</v>
      </c>
      <c r="D55" s="31" t="s">
        <v>660</v>
      </c>
      <c r="E55" s="31"/>
      <c r="F55" s="31" t="s">
        <v>72</v>
      </c>
      <c r="G55" s="27">
        <v>50000</v>
      </c>
      <c r="H55" s="31" t="s">
        <v>633</v>
      </c>
      <c r="I55" s="31"/>
      <c r="J55" s="26" t="s">
        <v>634</v>
      </c>
      <c r="K55" s="27">
        <v>50000</v>
      </c>
      <c r="L55" s="31" t="s">
        <v>601</v>
      </c>
      <c r="M55" s="31" t="s">
        <v>693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660</v>
      </c>
      <c r="D56" s="31" t="s">
        <v>691</v>
      </c>
      <c r="E56" s="31"/>
      <c r="F56" s="31" t="s">
        <v>72</v>
      </c>
      <c r="G56" s="27">
        <v>50000</v>
      </c>
      <c r="H56" s="31" t="s">
        <v>636</v>
      </c>
      <c r="I56" s="31"/>
      <c r="J56" s="26" t="s">
        <v>634</v>
      </c>
      <c r="K56" s="27">
        <v>50000</v>
      </c>
      <c r="L56" s="31" t="s">
        <v>601</v>
      </c>
      <c r="M56" s="31" t="s">
        <v>692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691</v>
      </c>
      <c r="D57" s="31" t="s">
        <v>660</v>
      </c>
      <c r="E57" s="31"/>
      <c r="F57" s="31" t="s">
        <v>72</v>
      </c>
      <c r="G57" s="27">
        <v>50000</v>
      </c>
      <c r="H57" s="31" t="s">
        <v>633</v>
      </c>
      <c r="I57" s="31"/>
      <c r="J57" s="26" t="s">
        <v>634</v>
      </c>
      <c r="K57" s="27">
        <v>50000</v>
      </c>
      <c r="L57" s="31" t="s">
        <v>601</v>
      </c>
      <c r="M57" s="31" t="s">
        <v>693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660</v>
      </c>
      <c r="D58" s="31" t="s">
        <v>694</v>
      </c>
      <c r="E58" s="31"/>
      <c r="F58" s="31" t="s">
        <v>72</v>
      </c>
      <c r="G58" s="27">
        <v>50000</v>
      </c>
      <c r="H58" s="31" t="s">
        <v>636</v>
      </c>
      <c r="I58" s="31"/>
      <c r="J58" s="26" t="s">
        <v>634</v>
      </c>
      <c r="K58" s="27">
        <v>50000</v>
      </c>
      <c r="L58" s="31" t="s">
        <v>601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694</v>
      </c>
      <c r="D59" s="31" t="s">
        <v>660</v>
      </c>
      <c r="E59" s="31"/>
      <c r="F59" s="31" t="s">
        <v>72</v>
      </c>
      <c r="G59" s="27">
        <v>50000</v>
      </c>
      <c r="H59" s="31" t="s">
        <v>633</v>
      </c>
      <c r="I59" s="31"/>
      <c r="J59" s="26" t="s">
        <v>634</v>
      </c>
      <c r="K59" s="27">
        <v>50000</v>
      </c>
      <c r="L59" s="31" t="s">
        <v>601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660</v>
      </c>
      <c r="D60" s="31" t="s">
        <v>689</v>
      </c>
      <c r="E60" s="31"/>
      <c r="F60" s="31" t="s">
        <v>72</v>
      </c>
      <c r="G60" s="27">
        <v>100000</v>
      </c>
      <c r="H60" s="31" t="s">
        <v>636</v>
      </c>
      <c r="I60" s="31"/>
      <c r="J60" s="26" t="s">
        <v>634</v>
      </c>
      <c r="K60" s="27">
        <v>100000</v>
      </c>
      <c r="L60" s="31" t="s">
        <v>601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689</v>
      </c>
      <c r="D61" s="31" t="s">
        <v>660</v>
      </c>
      <c r="E61" s="31"/>
      <c r="F61" s="31" t="s">
        <v>72</v>
      </c>
      <c r="G61" s="27">
        <v>100000</v>
      </c>
      <c r="H61" s="31" t="s">
        <v>633</v>
      </c>
      <c r="I61" s="31"/>
      <c r="J61" s="26" t="s">
        <v>634</v>
      </c>
      <c r="K61" s="27">
        <v>100000</v>
      </c>
      <c r="L61" s="31" t="s">
        <v>601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660</v>
      </c>
      <c r="D62" s="31" t="s">
        <v>695</v>
      </c>
      <c r="E62" s="31"/>
      <c r="F62" s="31" t="s">
        <v>72</v>
      </c>
      <c r="G62" s="27">
        <v>275015</v>
      </c>
      <c r="H62" s="31" t="s">
        <v>636</v>
      </c>
      <c r="I62" s="31" t="s">
        <v>696</v>
      </c>
      <c r="J62" s="26" t="s">
        <v>634</v>
      </c>
      <c r="K62" s="27">
        <v>275015</v>
      </c>
      <c r="L62" s="31" t="s">
        <v>601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695</v>
      </c>
      <c r="D63" s="31" t="s">
        <v>660</v>
      </c>
      <c r="E63" s="31"/>
      <c r="F63" s="31" t="s">
        <v>72</v>
      </c>
      <c r="G63" s="27">
        <v>275015</v>
      </c>
      <c r="H63" s="31" t="s">
        <v>633</v>
      </c>
      <c r="I63" s="31" t="s">
        <v>696</v>
      </c>
      <c r="J63" s="26" t="s">
        <v>634</v>
      </c>
      <c r="K63" s="27">
        <v>275015</v>
      </c>
      <c r="L63" s="31" t="s">
        <v>601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611</v>
      </c>
      <c r="D64" s="31" t="s">
        <v>453</v>
      </c>
      <c r="E64" s="31"/>
      <c r="F64" s="31" t="s">
        <v>453</v>
      </c>
      <c r="G64" s="27">
        <v>9000</v>
      </c>
      <c r="H64" s="31" t="s">
        <v>54</v>
      </c>
      <c r="I64" s="31"/>
      <c r="J64" s="26" t="s">
        <v>609</v>
      </c>
      <c r="K64" s="27">
        <v>9000</v>
      </c>
      <c r="L64" s="31" t="s">
        <v>601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611</v>
      </c>
      <c r="D65" s="31" t="s">
        <v>452</v>
      </c>
      <c r="E65" s="31" t="s">
        <v>603</v>
      </c>
      <c r="F65" s="31" t="s">
        <v>604</v>
      </c>
      <c r="G65" s="27">
        <v>5100</v>
      </c>
      <c r="H65" s="31" t="s">
        <v>54</v>
      </c>
      <c r="I65" s="31" t="s">
        <v>697</v>
      </c>
      <c r="J65" s="26" t="s">
        <v>606</v>
      </c>
      <c r="K65" s="27">
        <v>5100</v>
      </c>
      <c r="L65" s="31" t="s">
        <v>601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611</v>
      </c>
      <c r="D66" s="31" t="s">
        <v>625</v>
      </c>
      <c r="E66" s="31"/>
      <c r="F66" s="31" t="s">
        <v>626</v>
      </c>
      <c r="G66" s="27">
        <v>27000</v>
      </c>
      <c r="H66" s="31" t="s">
        <v>54</v>
      </c>
      <c r="I66" s="31"/>
      <c r="J66" s="26" t="s">
        <v>606</v>
      </c>
      <c r="K66" s="27">
        <v>27000</v>
      </c>
      <c r="L66" s="31" t="s">
        <v>601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660</v>
      </c>
      <c r="D67" s="31" t="s">
        <v>19</v>
      </c>
      <c r="E67" s="31"/>
      <c r="F67" s="31" t="s">
        <v>666</v>
      </c>
      <c r="G67" s="27">
        <v>64</v>
      </c>
      <c r="H67" s="31" t="s">
        <v>397</v>
      </c>
      <c r="I67" s="31" t="s">
        <v>698</v>
      </c>
      <c r="J67" s="26" t="s">
        <v>653</v>
      </c>
      <c r="K67" s="27">
        <v>64</v>
      </c>
      <c r="L67" s="31" t="s">
        <v>601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598</v>
      </c>
      <c r="D68" s="31" t="s">
        <v>452</v>
      </c>
      <c r="E68" s="31" t="s">
        <v>615</v>
      </c>
      <c r="F68" s="31" t="s">
        <v>365</v>
      </c>
      <c r="G68" s="27">
        <v>43140</v>
      </c>
      <c r="H68" s="31" t="s">
        <v>54</v>
      </c>
      <c r="I68" s="31" t="s">
        <v>699</v>
      </c>
      <c r="J68" s="26" t="s">
        <v>606</v>
      </c>
      <c r="K68" s="27">
        <v>43140</v>
      </c>
      <c r="L68" s="31" t="s">
        <v>601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660</v>
      </c>
      <c r="D69" s="31" t="s">
        <v>19</v>
      </c>
      <c r="E69" s="31"/>
      <c r="F69" s="31" t="s">
        <v>666</v>
      </c>
      <c r="G69" s="27">
        <v>64</v>
      </c>
      <c r="H69" s="31" t="s">
        <v>397</v>
      </c>
      <c r="I69" s="31" t="s">
        <v>698</v>
      </c>
      <c r="J69" s="26" t="s">
        <v>653</v>
      </c>
      <c r="K69" s="27">
        <v>64</v>
      </c>
      <c r="L69" s="31" t="s">
        <v>601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598</v>
      </c>
      <c r="D70" s="31" t="s">
        <v>640</v>
      </c>
      <c r="E70" s="31"/>
      <c r="F70" s="31" t="s">
        <v>365</v>
      </c>
      <c r="G70" s="27">
        <v>9900</v>
      </c>
      <c r="H70" s="31" t="s">
        <v>54</v>
      </c>
      <c r="I70" s="31" t="s">
        <v>700</v>
      </c>
      <c r="J70" s="26" t="s">
        <v>606</v>
      </c>
      <c r="K70" s="27">
        <v>9900</v>
      </c>
      <c r="L70" s="31" t="s">
        <v>601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611</v>
      </c>
      <c r="D71" s="31" t="s">
        <v>452</v>
      </c>
      <c r="E71" s="31" t="s">
        <v>612</v>
      </c>
      <c r="F71" s="31" t="s">
        <v>701</v>
      </c>
      <c r="G71" s="27">
        <v>9000</v>
      </c>
      <c r="H71" s="31" t="s">
        <v>54</v>
      </c>
      <c r="I71" s="31"/>
      <c r="J71" s="26" t="s">
        <v>606</v>
      </c>
      <c r="K71" s="27">
        <v>9000</v>
      </c>
      <c r="L71" s="31" t="s">
        <v>601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611</v>
      </c>
      <c r="D72" s="31" t="s">
        <v>452</v>
      </c>
      <c r="E72" s="31" t="s">
        <v>603</v>
      </c>
      <c r="F72" s="31" t="s">
        <v>643</v>
      </c>
      <c r="G72" s="27">
        <v>5900</v>
      </c>
      <c r="H72" s="31" t="s">
        <v>54</v>
      </c>
      <c r="I72" s="31"/>
      <c r="J72" s="26" t="s">
        <v>606</v>
      </c>
      <c r="K72" s="27">
        <v>5900</v>
      </c>
      <c r="L72" s="31" t="s">
        <v>601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681</v>
      </c>
      <c r="D73" s="31" t="s">
        <v>625</v>
      </c>
      <c r="E73" s="31"/>
      <c r="F73" s="31" t="s">
        <v>365</v>
      </c>
      <c r="G73" s="27">
        <v>8590</v>
      </c>
      <c r="H73" s="31" t="s">
        <v>54</v>
      </c>
      <c r="I73" s="31" t="s">
        <v>702</v>
      </c>
      <c r="J73" s="26" t="s">
        <v>606</v>
      </c>
      <c r="K73" s="27">
        <v>8590</v>
      </c>
      <c r="L73" s="31" t="s">
        <v>601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187</v>
      </c>
      <c r="D74" s="31" t="s">
        <v>672</v>
      </c>
      <c r="E74" s="31" t="s">
        <v>673</v>
      </c>
      <c r="F74" s="31" t="s">
        <v>703</v>
      </c>
      <c r="G74" s="27">
        <v>-27200</v>
      </c>
      <c r="H74" s="31" t="s">
        <v>54</v>
      </c>
      <c r="I74" s="31" t="s">
        <v>704</v>
      </c>
      <c r="J74" s="26" t="s">
        <v>606</v>
      </c>
      <c r="K74" s="27">
        <v>-27200</v>
      </c>
      <c r="L74" s="31" t="s">
        <v>601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611</v>
      </c>
      <c r="D75" s="31" t="s">
        <v>705</v>
      </c>
      <c r="E75" s="31"/>
      <c r="F75" s="31" t="s">
        <v>341</v>
      </c>
      <c r="G75" s="27">
        <v>48620</v>
      </c>
      <c r="H75" s="31" t="s">
        <v>54</v>
      </c>
      <c r="I75" s="31"/>
      <c r="J75" s="26" t="s">
        <v>600</v>
      </c>
      <c r="K75" s="27">
        <v>48620</v>
      </c>
      <c r="L75" s="31" t="s">
        <v>601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611</v>
      </c>
      <c r="D76" s="31" t="s">
        <v>640</v>
      </c>
      <c r="E76" s="31"/>
      <c r="F76" s="31" t="s">
        <v>706</v>
      </c>
      <c r="G76" s="27">
        <v>74700</v>
      </c>
      <c r="H76" s="31" t="s">
        <v>54</v>
      </c>
      <c r="I76" s="31" t="s">
        <v>707</v>
      </c>
      <c r="J76" s="26" t="s">
        <v>600</v>
      </c>
      <c r="K76" s="27">
        <v>74700</v>
      </c>
      <c r="L76" s="31" t="s">
        <v>601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660</v>
      </c>
      <c r="D77" s="31" t="s">
        <v>19</v>
      </c>
      <c r="E77" s="31"/>
      <c r="F77" s="31" t="s">
        <v>666</v>
      </c>
      <c r="G77" s="27">
        <v>64</v>
      </c>
      <c r="H77" s="31" t="s">
        <v>397</v>
      </c>
      <c r="I77" s="31" t="s">
        <v>698</v>
      </c>
      <c r="J77" s="26" t="s">
        <v>653</v>
      </c>
      <c r="K77" s="27">
        <v>64</v>
      </c>
      <c r="L77" s="31" t="s">
        <v>601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611</v>
      </c>
      <c r="D78" s="31" t="s">
        <v>453</v>
      </c>
      <c r="E78" s="31"/>
      <c r="F78" s="31" t="s">
        <v>453</v>
      </c>
      <c r="G78" s="27">
        <v>10000</v>
      </c>
      <c r="H78" s="31" t="s">
        <v>54</v>
      </c>
      <c r="I78" s="31"/>
      <c r="J78" s="26" t="s">
        <v>609</v>
      </c>
      <c r="K78" s="27">
        <v>10000</v>
      </c>
      <c r="L78" s="31" t="s">
        <v>601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611</v>
      </c>
      <c r="D79" s="31" t="s">
        <v>452</v>
      </c>
      <c r="E79" s="31" t="s">
        <v>603</v>
      </c>
      <c r="F79" s="31" t="s">
        <v>708</v>
      </c>
      <c r="G79" s="27">
        <v>19800</v>
      </c>
      <c r="H79" s="31" t="s">
        <v>54</v>
      </c>
      <c r="I79" s="31"/>
      <c r="J79" s="26" t="s">
        <v>606</v>
      </c>
      <c r="K79" s="27">
        <v>19800</v>
      </c>
      <c r="L79" s="31" t="s">
        <v>601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598</v>
      </c>
      <c r="D80" s="31" t="s">
        <v>452</v>
      </c>
      <c r="E80" s="31" t="s">
        <v>612</v>
      </c>
      <c r="F80" s="31" t="s">
        <v>682</v>
      </c>
      <c r="G80" s="27">
        <v>20600</v>
      </c>
      <c r="H80" s="31" t="s">
        <v>54</v>
      </c>
      <c r="I80" s="31" t="s">
        <v>709</v>
      </c>
      <c r="J80" s="26" t="s">
        <v>606</v>
      </c>
      <c r="K80" s="27">
        <v>20600</v>
      </c>
      <c r="L80" s="31" t="s">
        <v>601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645</v>
      </c>
      <c r="D81" s="31" t="s">
        <v>602</v>
      </c>
      <c r="E81" s="31"/>
      <c r="F81" s="31" t="s">
        <v>657</v>
      </c>
      <c r="G81" s="27">
        <v>551870</v>
      </c>
      <c r="H81" s="31" t="s">
        <v>636</v>
      </c>
      <c r="I81" s="31"/>
      <c r="J81" s="26" t="s">
        <v>634</v>
      </c>
      <c r="K81" s="27">
        <v>551870</v>
      </c>
      <c r="L81" s="31" t="s">
        <v>601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602</v>
      </c>
      <c r="D82" s="31" t="s">
        <v>645</v>
      </c>
      <c r="E82" s="31"/>
      <c r="F82" s="31" t="s">
        <v>657</v>
      </c>
      <c r="G82" s="27">
        <v>551870</v>
      </c>
      <c r="H82" s="31" t="s">
        <v>633</v>
      </c>
      <c r="I82" s="31"/>
      <c r="J82" s="26" t="s">
        <v>634</v>
      </c>
      <c r="K82" s="27">
        <v>551870</v>
      </c>
      <c r="L82" s="31" t="s">
        <v>601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710</v>
      </c>
      <c r="D83" s="31" t="s">
        <v>178</v>
      </c>
      <c r="E83" s="31"/>
      <c r="F83" s="31" t="s">
        <v>72</v>
      </c>
      <c r="G83" s="27">
        <v>91500</v>
      </c>
      <c r="H83" s="31" t="s">
        <v>636</v>
      </c>
      <c r="I83" s="31"/>
      <c r="J83" s="26" t="s">
        <v>634</v>
      </c>
      <c r="K83" s="27">
        <v>91500</v>
      </c>
      <c r="L83" s="31" t="s">
        <v>601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178</v>
      </c>
      <c r="D84" s="31" t="s">
        <v>710</v>
      </c>
      <c r="E84" s="31"/>
      <c r="F84" s="31" t="s">
        <v>72</v>
      </c>
      <c r="G84" s="27">
        <v>91500</v>
      </c>
      <c r="H84" s="31" t="s">
        <v>633</v>
      </c>
      <c r="I84" s="31"/>
      <c r="J84" s="26" t="s">
        <v>634</v>
      </c>
      <c r="K84" s="27">
        <v>91500</v>
      </c>
      <c r="L84" s="31" t="s">
        <v>601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178</v>
      </c>
      <c r="D85" s="31" t="s">
        <v>645</v>
      </c>
      <c r="E85" s="31"/>
      <c r="F85" s="31" t="s">
        <v>72</v>
      </c>
      <c r="G85" s="27">
        <v>1139349</v>
      </c>
      <c r="H85" s="31" t="s">
        <v>633</v>
      </c>
      <c r="I85" s="31"/>
      <c r="J85" s="26" t="s">
        <v>634</v>
      </c>
      <c r="K85" s="27">
        <v>1139349</v>
      </c>
      <c r="L85" s="31" t="s">
        <v>601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645</v>
      </c>
      <c r="D86" s="31" t="s">
        <v>178</v>
      </c>
      <c r="E86" s="31"/>
      <c r="F86" s="31" t="s">
        <v>72</v>
      </c>
      <c r="G86" s="27">
        <v>1139349</v>
      </c>
      <c r="H86" s="31" t="s">
        <v>636</v>
      </c>
      <c r="I86" s="31"/>
      <c r="J86" s="26" t="s">
        <v>634</v>
      </c>
      <c r="K86" s="27">
        <v>1139349</v>
      </c>
      <c r="L86" s="31" t="s">
        <v>601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598</v>
      </c>
      <c r="D87" s="31" t="s">
        <v>178</v>
      </c>
      <c r="E87" s="31"/>
      <c r="F87" s="31" t="s">
        <v>657</v>
      </c>
      <c r="G87" s="27">
        <v>1230849</v>
      </c>
      <c r="H87" s="31" t="s">
        <v>633</v>
      </c>
      <c r="I87" s="31"/>
      <c r="J87" s="26" t="s">
        <v>634</v>
      </c>
      <c r="K87" s="27">
        <v>1230849</v>
      </c>
      <c r="L87" s="31" t="s">
        <v>601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178</v>
      </c>
      <c r="D88" s="31" t="s">
        <v>598</v>
      </c>
      <c r="E88" s="31"/>
      <c r="F88" s="31" t="s">
        <v>657</v>
      </c>
      <c r="G88" s="27">
        <v>1230849</v>
      </c>
      <c r="H88" s="31" t="s">
        <v>636</v>
      </c>
      <c r="I88" s="31"/>
      <c r="J88" s="26" t="s">
        <v>634</v>
      </c>
      <c r="K88" s="27">
        <v>1230849</v>
      </c>
      <c r="L88" s="31" t="s">
        <v>601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187</v>
      </c>
      <c r="D89" s="31" t="s">
        <v>452</v>
      </c>
      <c r="E89" s="31" t="s">
        <v>612</v>
      </c>
      <c r="F89" s="31" t="s">
        <v>683</v>
      </c>
      <c r="G89" s="27">
        <v>-14600</v>
      </c>
      <c r="H89" s="31" t="s">
        <v>54</v>
      </c>
      <c r="I89" s="31" t="s">
        <v>711</v>
      </c>
      <c r="J89" s="26" t="s">
        <v>606</v>
      </c>
      <c r="K89" s="27">
        <v>-14600</v>
      </c>
      <c r="L89" s="31" t="s">
        <v>601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712</v>
      </c>
      <c r="D90" s="31" t="s">
        <v>166</v>
      </c>
      <c r="E90" s="31"/>
      <c r="F90" s="31" t="s">
        <v>72</v>
      </c>
      <c r="G90" s="27">
        <v>571000</v>
      </c>
      <c r="H90" s="31" t="s">
        <v>636</v>
      </c>
      <c r="I90" s="31"/>
      <c r="J90" s="26" t="s">
        <v>634</v>
      </c>
      <c r="K90" s="27">
        <v>571000</v>
      </c>
      <c r="L90" s="31" t="s">
        <v>601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166</v>
      </c>
      <c r="D91" s="31" t="s">
        <v>712</v>
      </c>
      <c r="E91" s="31"/>
      <c r="F91" s="31" t="s">
        <v>72</v>
      </c>
      <c r="G91" s="27">
        <v>571000</v>
      </c>
      <c r="H91" s="31" t="s">
        <v>633</v>
      </c>
      <c r="I91" s="31"/>
      <c r="J91" s="26" t="s">
        <v>634</v>
      </c>
      <c r="K91" s="27">
        <v>571000</v>
      </c>
      <c r="L91" s="31" t="s">
        <v>601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695</v>
      </c>
      <c r="D92" s="31" t="s">
        <v>166</v>
      </c>
      <c r="E92" s="31"/>
      <c r="F92" s="31" t="s">
        <v>72</v>
      </c>
      <c r="G92" s="27">
        <v>275015</v>
      </c>
      <c r="H92" s="31" t="s">
        <v>636</v>
      </c>
      <c r="I92" s="31"/>
      <c r="J92" s="26" t="s">
        <v>634</v>
      </c>
      <c r="K92" s="27">
        <v>275015</v>
      </c>
      <c r="L92" s="31" t="s">
        <v>601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166</v>
      </c>
      <c r="D93" s="31" t="s">
        <v>695</v>
      </c>
      <c r="E93" s="31"/>
      <c r="F93" s="31" t="s">
        <v>72</v>
      </c>
      <c r="G93" s="27">
        <v>275015</v>
      </c>
      <c r="H93" s="31" t="s">
        <v>633</v>
      </c>
      <c r="I93" s="31"/>
      <c r="J93" s="26" t="s">
        <v>634</v>
      </c>
      <c r="K93" s="27">
        <v>275015</v>
      </c>
      <c r="L93" s="31" t="s">
        <v>601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645</v>
      </c>
      <c r="D94" s="31" t="s">
        <v>166</v>
      </c>
      <c r="E94" s="31"/>
      <c r="F94" s="31" t="s">
        <v>72</v>
      </c>
      <c r="G94" s="27">
        <v>128762</v>
      </c>
      <c r="H94" s="31" t="s">
        <v>636</v>
      </c>
      <c r="I94" s="31"/>
      <c r="J94" s="26" t="s">
        <v>634</v>
      </c>
      <c r="K94" s="27">
        <v>128762</v>
      </c>
      <c r="L94" s="31" t="s">
        <v>601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166</v>
      </c>
      <c r="D95" s="31" t="s">
        <v>645</v>
      </c>
      <c r="E95" s="31"/>
      <c r="F95" s="31" t="s">
        <v>72</v>
      </c>
      <c r="G95" s="27">
        <v>128762</v>
      </c>
      <c r="H95" s="31" t="s">
        <v>633</v>
      </c>
      <c r="I95" s="31"/>
      <c r="J95" s="26" t="s">
        <v>634</v>
      </c>
      <c r="K95" s="27">
        <v>128762</v>
      </c>
      <c r="L95" s="31" t="s">
        <v>601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166</v>
      </c>
      <c r="D96" s="31" t="s">
        <v>172</v>
      </c>
      <c r="E96" s="31"/>
      <c r="F96" s="31" t="s">
        <v>72</v>
      </c>
      <c r="G96" s="27">
        <v>262558</v>
      </c>
      <c r="H96" s="31" t="s">
        <v>636</v>
      </c>
      <c r="I96" s="31"/>
      <c r="J96" s="26" t="s">
        <v>634</v>
      </c>
      <c r="K96" s="27">
        <v>262558</v>
      </c>
      <c r="L96" s="31" t="s">
        <v>601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172</v>
      </c>
      <c r="D97" s="31" t="s">
        <v>166</v>
      </c>
      <c r="E97" s="31"/>
      <c r="F97" s="31" t="s">
        <v>72</v>
      </c>
      <c r="G97" s="27">
        <v>262558</v>
      </c>
      <c r="H97" s="31" t="s">
        <v>633</v>
      </c>
      <c r="I97" s="31"/>
      <c r="J97" s="26" t="s">
        <v>634</v>
      </c>
      <c r="K97" s="27">
        <v>262558</v>
      </c>
      <c r="L97" s="31" t="s">
        <v>601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187</v>
      </c>
      <c r="D98" s="31" t="s">
        <v>695</v>
      </c>
      <c r="E98" s="31"/>
      <c r="F98" s="31" t="s">
        <v>72</v>
      </c>
      <c r="G98" s="27">
        <v>50000</v>
      </c>
      <c r="H98" s="31" t="s">
        <v>636</v>
      </c>
      <c r="I98" s="31"/>
      <c r="J98" s="26" t="s">
        <v>634</v>
      </c>
      <c r="K98" s="27">
        <v>50000</v>
      </c>
      <c r="L98" s="31" t="s">
        <v>601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695</v>
      </c>
      <c r="D99" s="31" t="s">
        <v>187</v>
      </c>
      <c r="E99" s="31"/>
      <c r="F99" s="31" t="s">
        <v>72</v>
      </c>
      <c r="G99" s="27">
        <v>50000</v>
      </c>
      <c r="H99" s="31" t="s">
        <v>633</v>
      </c>
      <c r="I99" s="31"/>
      <c r="J99" s="26" t="s">
        <v>634</v>
      </c>
      <c r="K99" s="27">
        <v>50000</v>
      </c>
      <c r="L99" s="31" t="s">
        <v>601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660</v>
      </c>
      <c r="D100" s="31" t="s">
        <v>19</v>
      </c>
      <c r="E100" s="31"/>
      <c r="F100" s="31" t="s">
        <v>666</v>
      </c>
      <c r="G100" s="27">
        <v>55</v>
      </c>
      <c r="H100" s="31" t="s">
        <v>397</v>
      </c>
      <c r="I100" s="31" t="s">
        <v>698</v>
      </c>
      <c r="J100" s="26" t="s">
        <v>653</v>
      </c>
      <c r="K100" s="27">
        <v>55</v>
      </c>
      <c r="L100" s="31" t="s">
        <v>601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598</v>
      </c>
      <c r="D101" s="31" t="s">
        <v>452</v>
      </c>
      <c r="E101" s="31" t="s">
        <v>612</v>
      </c>
      <c r="F101" s="31" t="s">
        <v>682</v>
      </c>
      <c r="G101" s="27">
        <v>31050</v>
      </c>
      <c r="H101" s="31" t="s">
        <v>54</v>
      </c>
      <c r="I101" s="31"/>
      <c r="J101" s="26" t="s">
        <v>606</v>
      </c>
      <c r="K101" s="27">
        <v>31050</v>
      </c>
      <c r="L101" s="31" t="s">
        <v>601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187</v>
      </c>
      <c r="D102" s="31" t="s">
        <v>452</v>
      </c>
      <c r="E102" s="31" t="s">
        <v>612</v>
      </c>
      <c r="F102" s="31" t="s">
        <v>683</v>
      </c>
      <c r="G102" s="27">
        <v>-22500</v>
      </c>
      <c r="H102" s="31" t="s">
        <v>54</v>
      </c>
      <c r="I102" s="31" t="s">
        <v>711</v>
      </c>
      <c r="J102" s="26" t="s">
        <v>606</v>
      </c>
      <c r="K102" s="27">
        <v>-22500</v>
      </c>
      <c r="L102" s="31" t="s">
        <v>601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611</v>
      </c>
      <c r="D103" s="31" t="s">
        <v>452</v>
      </c>
      <c r="E103" s="31" t="s">
        <v>603</v>
      </c>
      <c r="F103" s="31" t="s">
        <v>713</v>
      </c>
      <c r="G103" s="27">
        <v>8100</v>
      </c>
      <c r="H103" s="31" t="s">
        <v>54</v>
      </c>
      <c r="I103" s="31"/>
      <c r="J103" s="26" t="s">
        <v>606</v>
      </c>
      <c r="K103" s="27">
        <v>8100</v>
      </c>
      <c r="L103" s="31" t="s">
        <v>601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598</v>
      </c>
      <c r="D104" s="31" t="s">
        <v>452</v>
      </c>
      <c r="E104" s="31" t="s">
        <v>714</v>
      </c>
      <c r="F104" s="31" t="s">
        <v>604</v>
      </c>
      <c r="G104" s="27">
        <v>3500</v>
      </c>
      <c r="H104" s="31" t="s">
        <v>54</v>
      </c>
      <c r="I104" s="31" t="s">
        <v>715</v>
      </c>
      <c r="J104" s="26" t="s">
        <v>606</v>
      </c>
      <c r="K104" s="27">
        <v>3500</v>
      </c>
      <c r="L104" s="31" t="s">
        <v>601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611</v>
      </c>
      <c r="D105" s="31" t="s">
        <v>166</v>
      </c>
      <c r="E105" s="31"/>
      <c r="F105" s="31" t="s">
        <v>657</v>
      </c>
      <c r="G105" s="27">
        <v>712226</v>
      </c>
      <c r="H105" s="31" t="s">
        <v>633</v>
      </c>
      <c r="I105" s="31"/>
      <c r="J105" s="26" t="s">
        <v>634</v>
      </c>
      <c r="K105" s="27">
        <v>712226</v>
      </c>
      <c r="L105" s="31" t="s">
        <v>601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166</v>
      </c>
      <c r="D106" s="31" t="s">
        <v>611</v>
      </c>
      <c r="E106" s="31"/>
      <c r="F106" s="31" t="s">
        <v>657</v>
      </c>
      <c r="G106" s="27">
        <v>712226</v>
      </c>
      <c r="H106" s="31" t="s">
        <v>636</v>
      </c>
      <c r="I106" s="31"/>
      <c r="J106" s="26" t="s">
        <v>634</v>
      </c>
      <c r="K106" s="27">
        <v>712226</v>
      </c>
      <c r="L106" s="31" t="s">
        <v>601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681</v>
      </c>
      <c r="D107" s="31" t="s">
        <v>172</v>
      </c>
      <c r="E107" s="31"/>
      <c r="F107" s="31" t="s">
        <v>657</v>
      </c>
      <c r="G107" s="27">
        <v>259288</v>
      </c>
      <c r="H107" s="31" t="s">
        <v>633</v>
      </c>
      <c r="I107" s="31"/>
      <c r="J107" s="26" t="s">
        <v>634</v>
      </c>
      <c r="K107" s="27">
        <v>259288</v>
      </c>
      <c r="L107" s="31" t="s">
        <v>601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172</v>
      </c>
      <c r="D108" s="31" t="s">
        <v>681</v>
      </c>
      <c r="E108" s="31"/>
      <c r="F108" s="31" t="s">
        <v>657</v>
      </c>
      <c r="G108" s="27">
        <v>259288</v>
      </c>
      <c r="H108" s="31" t="s">
        <v>636</v>
      </c>
      <c r="I108" s="31"/>
      <c r="J108" s="26" t="s">
        <v>634</v>
      </c>
      <c r="K108" s="27">
        <v>259288</v>
      </c>
      <c r="L108" s="31" t="s">
        <v>601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172</v>
      </c>
      <c r="D109" s="31" t="s">
        <v>716</v>
      </c>
      <c r="E109" s="31"/>
      <c r="F109" s="31" t="s">
        <v>657</v>
      </c>
      <c r="G109" s="27">
        <v>56770</v>
      </c>
      <c r="H109" s="31" t="s">
        <v>636</v>
      </c>
      <c r="I109" s="31"/>
      <c r="J109" s="26" t="s">
        <v>634</v>
      </c>
      <c r="K109" s="27">
        <v>56770</v>
      </c>
      <c r="L109" s="31" t="s">
        <v>601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716</v>
      </c>
      <c r="D110" s="31" t="s">
        <v>172</v>
      </c>
      <c r="E110" s="31"/>
      <c r="F110" s="31" t="s">
        <v>657</v>
      </c>
      <c r="G110" s="27">
        <v>56770</v>
      </c>
      <c r="H110" s="31" t="s">
        <v>633</v>
      </c>
      <c r="I110" s="31"/>
      <c r="J110" s="26" t="s">
        <v>634</v>
      </c>
      <c r="K110" s="27">
        <v>56770</v>
      </c>
      <c r="L110" s="31" t="s">
        <v>601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598</v>
      </c>
      <c r="D111" s="31" t="s">
        <v>453</v>
      </c>
      <c r="E111" s="31"/>
      <c r="F111" s="31" t="s">
        <v>453</v>
      </c>
      <c r="G111" s="27">
        <v>10000</v>
      </c>
      <c r="H111" s="31" t="s">
        <v>54</v>
      </c>
      <c r="I111" s="31"/>
      <c r="J111" s="26" t="s">
        <v>609</v>
      </c>
      <c r="K111" s="27">
        <v>10000</v>
      </c>
      <c r="L111" s="31" t="s">
        <v>601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598</v>
      </c>
      <c r="D112" s="31" t="s">
        <v>705</v>
      </c>
      <c r="E112" s="31"/>
      <c r="F112" s="31" t="s">
        <v>717</v>
      </c>
      <c r="G112" s="27">
        <v>12400</v>
      </c>
      <c r="H112" s="31" t="s">
        <v>54</v>
      </c>
      <c r="I112" s="31"/>
      <c r="J112" s="26" t="s">
        <v>600</v>
      </c>
      <c r="K112" s="27">
        <v>12400</v>
      </c>
      <c r="L112" s="31" t="s">
        <v>601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660</v>
      </c>
      <c r="D113" s="31" t="s">
        <v>19</v>
      </c>
      <c r="E113" s="31"/>
      <c r="F113" s="31" t="s">
        <v>666</v>
      </c>
      <c r="G113" s="27">
        <v>55</v>
      </c>
      <c r="H113" s="31" t="s">
        <v>397</v>
      </c>
      <c r="I113" s="31" t="s">
        <v>698</v>
      </c>
      <c r="J113" s="26" t="s">
        <v>653</v>
      </c>
      <c r="K113" s="27">
        <v>55</v>
      </c>
      <c r="L113" s="31" t="s">
        <v>601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598</v>
      </c>
      <c r="D114" s="31" t="s">
        <v>452</v>
      </c>
      <c r="E114" s="31" t="s">
        <v>603</v>
      </c>
      <c r="F114" s="31" t="s">
        <v>708</v>
      </c>
      <c r="G114" s="27">
        <v>21700</v>
      </c>
      <c r="H114" s="31" t="s">
        <v>54</v>
      </c>
      <c r="I114" s="31"/>
      <c r="J114" s="26" t="s">
        <v>606</v>
      </c>
      <c r="K114" s="27">
        <v>21700</v>
      </c>
      <c r="L114" s="31" t="s">
        <v>601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187</v>
      </c>
      <c r="D115" s="31" t="s">
        <v>452</v>
      </c>
      <c r="E115" s="31" t="s">
        <v>603</v>
      </c>
      <c r="F115" s="31" t="s">
        <v>718</v>
      </c>
      <c r="G115" s="27">
        <v>-11500</v>
      </c>
      <c r="H115" s="31" t="s">
        <v>54</v>
      </c>
      <c r="I115" s="31" t="s">
        <v>719</v>
      </c>
      <c r="J115" s="26" t="s">
        <v>606</v>
      </c>
      <c r="K115" s="27">
        <v>-11500</v>
      </c>
      <c r="L115" s="31" t="s">
        <v>601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598</v>
      </c>
      <c r="D116" s="31" t="s">
        <v>705</v>
      </c>
      <c r="E116" s="31"/>
      <c r="F116" s="31" t="s">
        <v>123</v>
      </c>
      <c r="G116" s="27">
        <v>16500</v>
      </c>
      <c r="H116" s="31" t="s">
        <v>54</v>
      </c>
      <c r="I116" s="31"/>
      <c r="J116" s="26" t="s">
        <v>600</v>
      </c>
      <c r="K116" s="27">
        <v>16500</v>
      </c>
      <c r="L116" s="31" t="s">
        <v>601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598</v>
      </c>
      <c r="D117" s="31" t="s">
        <v>452</v>
      </c>
      <c r="E117" s="31" t="s">
        <v>612</v>
      </c>
      <c r="F117" s="31" t="s">
        <v>720</v>
      </c>
      <c r="G117" s="27">
        <v>13350</v>
      </c>
      <c r="H117" s="31" t="s">
        <v>54</v>
      </c>
      <c r="I117" s="31"/>
      <c r="J117" s="26" t="s">
        <v>606</v>
      </c>
      <c r="K117" s="27">
        <v>13350</v>
      </c>
      <c r="L117" s="31" t="s">
        <v>601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598</v>
      </c>
      <c r="D118" s="31" t="s">
        <v>640</v>
      </c>
      <c r="E118" s="31"/>
      <c r="F118" s="31" t="s">
        <v>654</v>
      </c>
      <c r="G118" s="27">
        <v>30400</v>
      </c>
      <c r="H118" s="31" t="s">
        <v>54</v>
      </c>
      <c r="I118" s="31" t="s">
        <v>721</v>
      </c>
      <c r="J118" s="26" t="s">
        <v>606</v>
      </c>
      <c r="K118" s="27">
        <v>30400</v>
      </c>
      <c r="L118" s="31" t="s">
        <v>601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598</v>
      </c>
      <c r="D119" s="31" t="s">
        <v>452</v>
      </c>
      <c r="E119" s="31" t="s">
        <v>603</v>
      </c>
      <c r="F119" s="31" t="s">
        <v>708</v>
      </c>
      <c r="G119" s="27">
        <v>17000</v>
      </c>
      <c r="H119" s="31" t="s">
        <v>54</v>
      </c>
      <c r="I119" s="31"/>
      <c r="J119" s="26" t="s">
        <v>606</v>
      </c>
      <c r="K119" s="27">
        <v>17000</v>
      </c>
      <c r="L119" s="31" t="s">
        <v>601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598</v>
      </c>
      <c r="D120" s="31" t="s">
        <v>452</v>
      </c>
      <c r="E120" s="31" t="s">
        <v>612</v>
      </c>
      <c r="F120" s="31" t="s">
        <v>722</v>
      </c>
      <c r="G120" s="27">
        <v>0</v>
      </c>
      <c r="H120" s="31" t="s">
        <v>54</v>
      </c>
      <c r="I120" s="31" t="s">
        <v>723</v>
      </c>
      <c r="J120" s="26" t="s">
        <v>606</v>
      </c>
      <c r="K120" s="27">
        <v>0</v>
      </c>
      <c r="L120" s="31" t="s">
        <v>601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598</v>
      </c>
      <c r="D121" s="31" t="s">
        <v>452</v>
      </c>
      <c r="E121" s="31" t="s">
        <v>603</v>
      </c>
      <c r="F121" s="31" t="s">
        <v>724</v>
      </c>
      <c r="G121" s="27">
        <v>0</v>
      </c>
      <c r="H121" s="31" t="s">
        <v>54</v>
      </c>
      <c r="I121" s="31" t="s">
        <v>723</v>
      </c>
      <c r="J121" s="26" t="s">
        <v>606</v>
      </c>
      <c r="K121" s="27">
        <v>0</v>
      </c>
      <c r="L121" s="31" t="s">
        <v>601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660</v>
      </c>
      <c r="D122" s="31" t="s">
        <v>19</v>
      </c>
      <c r="E122" s="31"/>
      <c r="F122" s="31" t="s">
        <v>666</v>
      </c>
      <c r="G122" s="27">
        <v>55</v>
      </c>
      <c r="H122" s="31" t="s">
        <v>397</v>
      </c>
      <c r="I122" s="31" t="s">
        <v>698</v>
      </c>
      <c r="J122" s="26" t="s">
        <v>653</v>
      </c>
      <c r="K122" s="27">
        <v>55</v>
      </c>
      <c r="L122" s="31" t="s">
        <v>601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598</v>
      </c>
      <c r="D123" s="31" t="s">
        <v>452</v>
      </c>
      <c r="E123" s="31" t="s">
        <v>603</v>
      </c>
      <c r="F123" s="31" t="s">
        <v>604</v>
      </c>
      <c r="G123" s="27">
        <v>1750</v>
      </c>
      <c r="H123" s="31" t="s">
        <v>54</v>
      </c>
      <c r="I123" s="31" t="s">
        <v>725</v>
      </c>
      <c r="J123" s="26" t="s">
        <v>606</v>
      </c>
      <c r="K123" s="27">
        <v>1750</v>
      </c>
      <c r="L123" s="31" t="s">
        <v>601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660</v>
      </c>
      <c r="D124" s="31" t="s">
        <v>19</v>
      </c>
      <c r="E124" s="31"/>
      <c r="F124" s="31" t="s">
        <v>666</v>
      </c>
      <c r="G124" s="27">
        <v>55</v>
      </c>
      <c r="H124" s="31" t="s">
        <v>397</v>
      </c>
      <c r="I124" s="31" t="s">
        <v>698</v>
      </c>
      <c r="J124" s="26" t="s">
        <v>653</v>
      </c>
      <c r="K124" s="27">
        <v>55</v>
      </c>
      <c r="L124" s="31" t="s">
        <v>601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598</v>
      </c>
      <c r="D125" s="31" t="s">
        <v>452</v>
      </c>
      <c r="E125" s="31" t="s">
        <v>615</v>
      </c>
      <c r="F125" s="31" t="s">
        <v>365</v>
      </c>
      <c r="G125" s="27">
        <v>51620</v>
      </c>
      <c r="H125" s="31" t="s">
        <v>54</v>
      </c>
      <c r="I125" s="31" t="s">
        <v>616</v>
      </c>
      <c r="J125" s="26" t="s">
        <v>606</v>
      </c>
      <c r="K125" s="27">
        <v>51620</v>
      </c>
      <c r="L125" s="31" t="s">
        <v>601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602</v>
      </c>
      <c r="D126" s="31" t="s">
        <v>452</v>
      </c>
      <c r="E126" s="31" t="s">
        <v>603</v>
      </c>
      <c r="F126" s="31" t="s">
        <v>604</v>
      </c>
      <c r="G126" s="27">
        <v>7000</v>
      </c>
      <c r="H126" s="31" t="s">
        <v>54</v>
      </c>
      <c r="I126" s="31" t="s">
        <v>688</v>
      </c>
      <c r="J126" s="26" t="s">
        <v>606</v>
      </c>
      <c r="K126" s="27">
        <v>7000</v>
      </c>
      <c r="L126" s="31" t="s">
        <v>601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645</v>
      </c>
      <c r="D127" s="31" t="s">
        <v>19</v>
      </c>
      <c r="E127" s="31"/>
      <c r="F127" s="31" t="s">
        <v>726</v>
      </c>
      <c r="G127" s="27">
        <v>1386</v>
      </c>
      <c r="H127" s="31" t="s">
        <v>397</v>
      </c>
      <c r="I127" s="31"/>
      <c r="J127" s="26" t="s">
        <v>653</v>
      </c>
      <c r="K127" s="27">
        <v>1386</v>
      </c>
      <c r="L127" s="31" t="s">
        <v>601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645</v>
      </c>
      <c r="D128" s="31" t="s">
        <v>19</v>
      </c>
      <c r="E128" s="31"/>
      <c r="F128" s="31" t="s">
        <v>727</v>
      </c>
      <c r="G128" s="27">
        <v>2</v>
      </c>
      <c r="H128" s="31" t="s">
        <v>397</v>
      </c>
      <c r="I128" s="31"/>
      <c r="J128" s="26" t="s">
        <v>653</v>
      </c>
      <c r="K128" s="27">
        <v>2</v>
      </c>
      <c r="L128" s="31" t="s">
        <v>601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598</v>
      </c>
      <c r="D129" s="31" t="s">
        <v>452</v>
      </c>
      <c r="E129" s="31" t="s">
        <v>621</v>
      </c>
      <c r="F129" s="31" t="s">
        <v>728</v>
      </c>
      <c r="G129" s="27">
        <v>3000</v>
      </c>
      <c r="H129" s="31" t="s">
        <v>54</v>
      </c>
      <c r="I129" s="31" t="s">
        <v>729</v>
      </c>
      <c r="J129" s="26" t="s">
        <v>606</v>
      </c>
      <c r="K129" s="27">
        <v>3000</v>
      </c>
      <c r="L129" s="31" t="s">
        <v>601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598</v>
      </c>
      <c r="D130" s="31" t="s">
        <v>453</v>
      </c>
      <c r="E130" s="31"/>
      <c r="F130" s="31" t="s">
        <v>453</v>
      </c>
      <c r="G130" s="27">
        <v>10000</v>
      </c>
      <c r="H130" s="31" t="s">
        <v>54</v>
      </c>
      <c r="I130" s="31"/>
      <c r="J130" s="26" t="s">
        <v>609</v>
      </c>
      <c r="K130" s="27">
        <v>10000</v>
      </c>
      <c r="L130" s="31" t="s">
        <v>601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602</v>
      </c>
      <c r="D131" s="31" t="s">
        <v>452</v>
      </c>
      <c r="E131" s="31" t="s">
        <v>603</v>
      </c>
      <c r="F131" s="31" t="s">
        <v>604</v>
      </c>
      <c r="G131" s="27">
        <v>6500</v>
      </c>
      <c r="H131" s="31" t="s">
        <v>54</v>
      </c>
      <c r="I131" s="31" t="s">
        <v>688</v>
      </c>
      <c r="J131" s="26" t="s">
        <v>606</v>
      </c>
      <c r="K131" s="27">
        <v>6500</v>
      </c>
      <c r="L131" s="31" t="s">
        <v>601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598</v>
      </c>
      <c r="D132" s="31" t="s">
        <v>625</v>
      </c>
      <c r="E132" s="31"/>
      <c r="F132" s="31" t="s">
        <v>365</v>
      </c>
      <c r="G132" s="27">
        <v>14720</v>
      </c>
      <c r="H132" s="31" t="s">
        <v>54</v>
      </c>
      <c r="I132" s="31" t="s">
        <v>730</v>
      </c>
      <c r="J132" s="26" t="s">
        <v>606</v>
      </c>
      <c r="K132" s="27">
        <v>14720</v>
      </c>
      <c r="L132" s="31" t="s">
        <v>601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660</v>
      </c>
      <c r="D133" s="31" t="s">
        <v>19</v>
      </c>
      <c r="E133" s="31"/>
      <c r="F133" s="31" t="s">
        <v>666</v>
      </c>
      <c r="G133" s="27">
        <v>55</v>
      </c>
      <c r="H133" s="31" t="s">
        <v>397</v>
      </c>
      <c r="I133" s="31" t="s">
        <v>698</v>
      </c>
      <c r="J133" s="26" t="s">
        <v>653</v>
      </c>
      <c r="K133" s="27">
        <v>55</v>
      </c>
      <c r="L133" s="31" t="s">
        <v>601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598</v>
      </c>
      <c r="D134" s="31" t="s">
        <v>452</v>
      </c>
      <c r="E134" s="31" t="s">
        <v>612</v>
      </c>
      <c r="F134" s="31" t="s">
        <v>731</v>
      </c>
      <c r="G134" s="27">
        <v>11000</v>
      </c>
      <c r="H134" s="31" t="s">
        <v>54</v>
      </c>
      <c r="I134" s="31"/>
      <c r="J134" s="26" t="s">
        <v>606</v>
      </c>
      <c r="K134" s="27">
        <v>11000</v>
      </c>
      <c r="L134" s="31" t="s">
        <v>601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660</v>
      </c>
      <c r="D135" s="31" t="s">
        <v>19</v>
      </c>
      <c r="E135" s="31"/>
      <c r="F135" s="31" t="s">
        <v>666</v>
      </c>
      <c r="G135" s="27">
        <v>55</v>
      </c>
      <c r="H135" s="31" t="s">
        <v>397</v>
      </c>
      <c r="I135" s="31" t="s">
        <v>698</v>
      </c>
      <c r="J135" s="26" t="s">
        <v>653</v>
      </c>
      <c r="K135" s="27">
        <v>55</v>
      </c>
      <c r="L135" s="31" t="s">
        <v>601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631</v>
      </c>
      <c r="D136" s="31" t="s">
        <v>19</v>
      </c>
      <c r="E136" s="31"/>
      <c r="F136" s="31" t="s">
        <v>732</v>
      </c>
      <c r="G136" s="27">
        <v>124</v>
      </c>
      <c r="H136" s="31" t="s">
        <v>397</v>
      </c>
      <c r="I136" s="31"/>
      <c r="J136" s="26" t="s">
        <v>653</v>
      </c>
      <c r="K136" s="27">
        <v>124</v>
      </c>
      <c r="L136" s="31" t="s">
        <v>601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598</v>
      </c>
      <c r="D137" s="31" t="s">
        <v>453</v>
      </c>
      <c r="E137" s="31"/>
      <c r="F137" s="31" t="s">
        <v>453</v>
      </c>
      <c r="G137" s="27">
        <v>10000</v>
      </c>
      <c r="H137" s="31" t="s">
        <v>54</v>
      </c>
      <c r="I137" s="31"/>
      <c r="J137" s="26" t="s">
        <v>609</v>
      </c>
      <c r="K137" s="27">
        <v>10000</v>
      </c>
      <c r="L137" s="31" t="s">
        <v>601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602</v>
      </c>
      <c r="D138" s="31" t="s">
        <v>452</v>
      </c>
      <c r="E138" s="31" t="s">
        <v>733</v>
      </c>
      <c r="F138" s="31" t="s">
        <v>734</v>
      </c>
      <c r="G138" s="27">
        <v>19000</v>
      </c>
      <c r="H138" s="31" t="s">
        <v>54</v>
      </c>
      <c r="I138" s="31"/>
      <c r="J138" s="26" t="s">
        <v>606</v>
      </c>
      <c r="K138" s="27">
        <v>19000</v>
      </c>
      <c r="L138" s="31" t="s">
        <v>601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660</v>
      </c>
      <c r="D139" s="31" t="s">
        <v>19</v>
      </c>
      <c r="E139" s="31"/>
      <c r="F139" s="31" t="s">
        <v>666</v>
      </c>
      <c r="G139" s="27">
        <v>55</v>
      </c>
      <c r="H139" s="31" t="s">
        <v>397</v>
      </c>
      <c r="I139" s="31" t="s">
        <v>698</v>
      </c>
      <c r="J139" s="26" t="s">
        <v>653</v>
      </c>
      <c r="K139" s="27">
        <v>55</v>
      </c>
      <c r="L139" s="31" t="s">
        <v>601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598</v>
      </c>
      <c r="D140" s="31" t="s">
        <v>735</v>
      </c>
      <c r="E140" s="31"/>
      <c r="F140" s="31" t="s">
        <v>736</v>
      </c>
      <c r="G140" s="27">
        <v>3000</v>
      </c>
      <c r="H140" s="31" t="s">
        <v>54</v>
      </c>
      <c r="I140" s="31" t="s">
        <v>737</v>
      </c>
      <c r="J140" s="26" t="s">
        <v>606</v>
      </c>
      <c r="K140" s="27">
        <v>3000</v>
      </c>
      <c r="L140" s="31" t="s">
        <v>601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598</v>
      </c>
      <c r="D141" s="31" t="s">
        <v>452</v>
      </c>
      <c r="E141" s="31" t="s">
        <v>612</v>
      </c>
      <c r="F141" s="31" t="s">
        <v>738</v>
      </c>
      <c r="G141" s="27">
        <v>7000</v>
      </c>
      <c r="H141" s="31" t="s">
        <v>54</v>
      </c>
      <c r="I141" s="31"/>
      <c r="J141" s="26" t="s">
        <v>606</v>
      </c>
      <c r="K141" s="27">
        <v>7000</v>
      </c>
      <c r="L141" s="31" t="s">
        <v>601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660</v>
      </c>
      <c r="D142" s="31" t="s">
        <v>19</v>
      </c>
      <c r="E142" s="31"/>
      <c r="F142" s="31" t="s">
        <v>666</v>
      </c>
      <c r="G142" s="27">
        <v>55</v>
      </c>
      <c r="H142" s="31" t="s">
        <v>397</v>
      </c>
      <c r="I142" s="31" t="s">
        <v>698</v>
      </c>
      <c r="J142" s="26" t="s">
        <v>653</v>
      </c>
      <c r="K142" s="27">
        <v>55</v>
      </c>
      <c r="L142" s="31" t="s">
        <v>601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660</v>
      </c>
      <c r="D143" s="31" t="s">
        <v>19</v>
      </c>
      <c r="E143" s="31"/>
      <c r="F143" s="31" t="s">
        <v>666</v>
      </c>
      <c r="G143" s="27">
        <v>55</v>
      </c>
      <c r="H143" s="31" t="s">
        <v>397</v>
      </c>
      <c r="I143" s="31" t="s">
        <v>698</v>
      </c>
      <c r="J143" s="26" t="s">
        <v>653</v>
      </c>
      <c r="K143" s="27">
        <v>55</v>
      </c>
      <c r="L143" s="31" t="s">
        <v>601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598</v>
      </c>
      <c r="D144" s="31" t="s">
        <v>453</v>
      </c>
      <c r="E144" s="31"/>
      <c r="F144" s="31" t="s">
        <v>453</v>
      </c>
      <c r="G144" s="27">
        <v>10000</v>
      </c>
      <c r="H144" s="31" t="s">
        <v>54</v>
      </c>
      <c r="I144" s="31"/>
      <c r="J144" s="26" t="s">
        <v>609</v>
      </c>
      <c r="K144" s="27">
        <v>10000</v>
      </c>
      <c r="L144" s="31" t="s">
        <v>601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598</v>
      </c>
      <c r="D145" s="31" t="s">
        <v>452</v>
      </c>
      <c r="E145" s="31" t="s">
        <v>612</v>
      </c>
      <c r="F145" s="31" t="s">
        <v>739</v>
      </c>
      <c r="G145" s="27">
        <v>0</v>
      </c>
      <c r="H145" s="31" t="s">
        <v>54</v>
      </c>
      <c r="I145" s="31" t="s">
        <v>723</v>
      </c>
      <c r="J145" s="26" t="s">
        <v>606</v>
      </c>
      <c r="K145" s="27">
        <v>0</v>
      </c>
      <c r="L145" s="31" t="s">
        <v>601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598</v>
      </c>
      <c r="D146" s="31" t="s">
        <v>452</v>
      </c>
      <c r="E146" s="31" t="s">
        <v>612</v>
      </c>
      <c r="F146" s="31" t="s">
        <v>713</v>
      </c>
      <c r="G146" s="27">
        <v>11500</v>
      </c>
      <c r="H146" s="31" t="s">
        <v>54</v>
      </c>
      <c r="I146" s="31"/>
      <c r="J146" s="26" t="s">
        <v>606</v>
      </c>
      <c r="K146" s="27">
        <v>11500</v>
      </c>
      <c r="L146" s="31" t="s">
        <v>601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660</v>
      </c>
      <c r="D147" s="31" t="s">
        <v>19</v>
      </c>
      <c r="E147" s="31"/>
      <c r="F147" s="31" t="s">
        <v>666</v>
      </c>
      <c r="G147" s="27">
        <v>55</v>
      </c>
      <c r="H147" s="31" t="s">
        <v>397</v>
      </c>
      <c r="I147" s="31" t="s">
        <v>698</v>
      </c>
      <c r="J147" s="26" t="s">
        <v>653</v>
      </c>
      <c r="K147" s="27">
        <v>55</v>
      </c>
      <c r="L147" s="31" t="s">
        <v>601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632</v>
      </c>
      <c r="D148" s="31" t="s">
        <v>57</v>
      </c>
      <c r="E148" s="31"/>
      <c r="F148" s="31" t="s">
        <v>57</v>
      </c>
      <c r="G148" s="27">
        <v>2785740</v>
      </c>
      <c r="H148" s="31" t="s">
        <v>397</v>
      </c>
      <c r="I148" s="31"/>
      <c r="J148" s="26" t="s">
        <v>57</v>
      </c>
      <c r="K148" s="27">
        <v>2785740</v>
      </c>
      <c r="L148" s="31" t="s">
        <v>601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598</v>
      </c>
      <c r="D149" s="31" t="s">
        <v>452</v>
      </c>
      <c r="E149" s="31" t="s">
        <v>612</v>
      </c>
      <c r="F149" s="31" t="s">
        <v>740</v>
      </c>
      <c r="G149" s="27">
        <v>44000</v>
      </c>
      <c r="H149" s="31" t="s">
        <v>54</v>
      </c>
      <c r="I149" s="31"/>
      <c r="J149" s="26" t="s">
        <v>606</v>
      </c>
      <c r="K149" s="27">
        <v>44000</v>
      </c>
      <c r="L149" s="31" t="s">
        <v>601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694</v>
      </c>
      <c r="D150" s="31" t="s">
        <v>166</v>
      </c>
      <c r="E150" s="31"/>
      <c r="F150" s="31" t="s">
        <v>72</v>
      </c>
      <c r="G150" s="27">
        <v>50000</v>
      </c>
      <c r="H150" s="31" t="s">
        <v>636</v>
      </c>
      <c r="I150" s="31"/>
      <c r="J150" s="26" t="s">
        <v>634</v>
      </c>
      <c r="K150" s="27">
        <v>50000</v>
      </c>
      <c r="L150" s="31" t="s">
        <v>601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166</v>
      </c>
      <c r="D151" s="31" t="s">
        <v>694</v>
      </c>
      <c r="E151" s="31"/>
      <c r="F151" s="31" t="s">
        <v>72</v>
      </c>
      <c r="G151" s="27">
        <v>50000</v>
      </c>
      <c r="H151" s="31" t="s">
        <v>633</v>
      </c>
      <c r="I151" s="31"/>
      <c r="J151" s="26" t="s">
        <v>634</v>
      </c>
      <c r="K151" s="27">
        <v>50000</v>
      </c>
      <c r="L151" s="31" t="s">
        <v>601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166</v>
      </c>
      <c r="D152" s="31" t="s">
        <v>669</v>
      </c>
      <c r="E152" s="31"/>
      <c r="F152" s="31" t="s">
        <v>99</v>
      </c>
      <c r="G152" s="27">
        <v>60000</v>
      </c>
      <c r="H152" s="31" t="s">
        <v>54</v>
      </c>
      <c r="I152" s="31"/>
      <c r="J152" s="26" t="s">
        <v>617</v>
      </c>
      <c r="K152" s="27">
        <v>60000</v>
      </c>
      <c r="L152" s="31" t="s">
        <v>601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166</v>
      </c>
      <c r="D153" s="31" t="s">
        <v>660</v>
      </c>
      <c r="E153" s="31"/>
      <c r="F153" s="31" t="s">
        <v>72</v>
      </c>
      <c r="G153" s="27">
        <v>10000</v>
      </c>
      <c r="H153" s="31" t="s">
        <v>633</v>
      </c>
      <c r="I153" s="31"/>
      <c r="J153" s="26" t="s">
        <v>634</v>
      </c>
      <c r="K153" s="27">
        <v>10000</v>
      </c>
      <c r="L153" s="31" t="s">
        <v>601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660</v>
      </c>
      <c r="D154" s="31" t="s">
        <v>166</v>
      </c>
      <c r="E154" s="31"/>
      <c r="F154" s="31" t="s">
        <v>72</v>
      </c>
      <c r="G154" s="27">
        <v>10000</v>
      </c>
      <c r="H154" s="31" t="s">
        <v>636</v>
      </c>
      <c r="I154" s="31"/>
      <c r="J154" s="26" t="s">
        <v>634</v>
      </c>
      <c r="K154" s="27">
        <v>10000</v>
      </c>
      <c r="L154" s="31" t="s">
        <v>601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660</v>
      </c>
      <c r="D155" s="31" t="s">
        <v>166</v>
      </c>
      <c r="E155" s="31"/>
      <c r="F155" s="31" t="s">
        <v>72</v>
      </c>
      <c r="G155" s="27">
        <v>22000</v>
      </c>
      <c r="H155" s="31" t="s">
        <v>636</v>
      </c>
      <c r="I155" s="31"/>
      <c r="J155" s="26" t="s">
        <v>634</v>
      </c>
      <c r="K155" s="27">
        <v>22000</v>
      </c>
      <c r="L155" s="31" t="s">
        <v>601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166</v>
      </c>
      <c r="D156" s="31" t="s">
        <v>660</v>
      </c>
      <c r="E156" s="31"/>
      <c r="F156" s="31" t="s">
        <v>72</v>
      </c>
      <c r="G156" s="27">
        <v>22000</v>
      </c>
      <c r="H156" s="31" t="s">
        <v>633</v>
      </c>
      <c r="I156" s="31"/>
      <c r="J156" s="26" t="s">
        <v>634</v>
      </c>
      <c r="K156" s="27">
        <v>22000</v>
      </c>
      <c r="L156" s="31" t="s">
        <v>601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166</v>
      </c>
      <c r="D157" s="31" t="s">
        <v>741</v>
      </c>
      <c r="E157" s="31" t="s">
        <v>457</v>
      </c>
      <c r="F157" s="31" t="s">
        <v>742</v>
      </c>
      <c r="G157" s="27">
        <v>24500</v>
      </c>
      <c r="H157" s="31" t="s">
        <v>54</v>
      </c>
      <c r="I157" s="31" t="s">
        <v>743</v>
      </c>
      <c r="J157" s="26" t="s">
        <v>614</v>
      </c>
      <c r="K157" s="27">
        <v>24500</v>
      </c>
      <c r="L157" s="31" t="s">
        <v>601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598</v>
      </c>
      <c r="D158" s="31" t="s">
        <v>625</v>
      </c>
      <c r="E158" s="31"/>
      <c r="F158" s="31" t="s">
        <v>626</v>
      </c>
      <c r="G158" s="27">
        <v>7000</v>
      </c>
      <c r="H158" s="31" t="s">
        <v>54</v>
      </c>
      <c r="I158" s="31"/>
      <c r="J158" s="26" t="s">
        <v>606</v>
      </c>
      <c r="K158" s="27">
        <v>7000</v>
      </c>
      <c r="L158" s="31" t="s">
        <v>601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598</v>
      </c>
      <c r="D159" s="31" t="s">
        <v>735</v>
      </c>
      <c r="E159" s="31"/>
      <c r="F159" s="31" t="s">
        <v>744</v>
      </c>
      <c r="G159" s="27">
        <v>990</v>
      </c>
      <c r="H159" s="31" t="s">
        <v>54</v>
      </c>
      <c r="I159" s="31"/>
      <c r="J159" s="26" t="s">
        <v>606</v>
      </c>
      <c r="K159" s="27">
        <v>990</v>
      </c>
      <c r="L159" s="31" t="s">
        <v>601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436</v>
      </c>
      <c r="D160" s="31" t="s">
        <v>650</v>
      </c>
      <c r="E160" s="31"/>
      <c r="F160" s="31" t="s">
        <v>687</v>
      </c>
      <c r="G160" s="27">
        <v>20000</v>
      </c>
      <c r="H160" s="31" t="s">
        <v>397</v>
      </c>
      <c r="I160" s="31"/>
      <c r="J160" s="26" t="s">
        <v>650</v>
      </c>
      <c r="K160" s="27">
        <v>20000</v>
      </c>
      <c r="L160" s="31" t="s">
        <v>601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598</v>
      </c>
      <c r="D161" s="31" t="s">
        <v>735</v>
      </c>
      <c r="E161" s="31"/>
      <c r="F161" s="31" t="s">
        <v>744</v>
      </c>
      <c r="G161" s="27">
        <v>990</v>
      </c>
      <c r="H161" s="31" t="s">
        <v>54</v>
      </c>
      <c r="I161" s="31"/>
      <c r="J161" s="26" t="s">
        <v>606</v>
      </c>
      <c r="K161" s="27">
        <v>990</v>
      </c>
      <c r="L161" s="31" t="s">
        <v>601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660</v>
      </c>
      <c r="D162" s="31" t="s">
        <v>19</v>
      </c>
      <c r="E162" s="31"/>
      <c r="F162" s="31" t="s">
        <v>666</v>
      </c>
      <c r="G162" s="27">
        <v>53</v>
      </c>
      <c r="H162" s="31" t="s">
        <v>397</v>
      </c>
      <c r="I162" s="31" t="s">
        <v>698</v>
      </c>
      <c r="J162" s="26" t="s">
        <v>653</v>
      </c>
      <c r="K162" s="27">
        <v>53</v>
      </c>
      <c r="L162" s="31" t="s">
        <v>601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436</v>
      </c>
      <c r="D163" s="31" t="s">
        <v>19</v>
      </c>
      <c r="E163" s="31"/>
      <c r="F163" s="31" t="s">
        <v>745</v>
      </c>
      <c r="G163" s="27">
        <v>553</v>
      </c>
      <c r="H163" s="31" t="s">
        <v>397</v>
      </c>
      <c r="I163" s="31"/>
      <c r="J163" s="26" t="s">
        <v>653</v>
      </c>
      <c r="K163" s="27">
        <v>553</v>
      </c>
      <c r="L163" s="31" t="s">
        <v>601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598</v>
      </c>
      <c r="D164" s="31" t="s">
        <v>362</v>
      </c>
      <c r="E164" s="31"/>
      <c r="F164" s="31" t="s">
        <v>746</v>
      </c>
      <c r="G164" s="27">
        <v>7840</v>
      </c>
      <c r="H164" s="31" t="s">
        <v>54</v>
      </c>
      <c r="I164" s="31" t="s">
        <v>747</v>
      </c>
      <c r="J164" s="26" t="s">
        <v>600</v>
      </c>
      <c r="K164" s="27">
        <v>7840</v>
      </c>
      <c r="L164" s="31" t="s">
        <v>601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598</v>
      </c>
      <c r="D165" s="31" t="s">
        <v>453</v>
      </c>
      <c r="E165" s="31"/>
      <c r="F165" s="31" t="s">
        <v>453</v>
      </c>
      <c r="G165" s="27">
        <v>10000</v>
      </c>
      <c r="H165" s="31" t="s">
        <v>54</v>
      </c>
      <c r="I165" s="31"/>
      <c r="J165" s="26" t="s">
        <v>609</v>
      </c>
      <c r="K165" s="27">
        <v>10000</v>
      </c>
      <c r="L165" s="31" t="s">
        <v>601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598</v>
      </c>
      <c r="D166" s="31" t="s">
        <v>452</v>
      </c>
      <c r="E166" s="31" t="s">
        <v>603</v>
      </c>
      <c r="F166" s="31" t="s">
        <v>604</v>
      </c>
      <c r="G166" s="27">
        <v>6800</v>
      </c>
      <c r="H166" s="31" t="s">
        <v>54</v>
      </c>
      <c r="I166" s="31" t="s">
        <v>688</v>
      </c>
      <c r="J166" s="26" t="s">
        <v>606</v>
      </c>
      <c r="K166" s="27">
        <v>6800</v>
      </c>
      <c r="L166" s="31" t="s">
        <v>601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598</v>
      </c>
      <c r="D167" s="31" t="s">
        <v>452</v>
      </c>
      <c r="E167" s="31" t="s">
        <v>615</v>
      </c>
      <c r="F167" s="31" t="s">
        <v>365</v>
      </c>
      <c r="G167" s="27">
        <v>17650</v>
      </c>
      <c r="H167" s="31" t="s">
        <v>54</v>
      </c>
      <c r="I167" s="31" t="s">
        <v>616</v>
      </c>
      <c r="J167" s="26" t="s">
        <v>606</v>
      </c>
      <c r="K167" s="27">
        <v>17650</v>
      </c>
      <c r="L167" s="31" t="s">
        <v>601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598</v>
      </c>
      <c r="D168" s="31" t="s">
        <v>625</v>
      </c>
      <c r="E168" s="31"/>
      <c r="F168" s="31" t="s">
        <v>365</v>
      </c>
      <c r="G168" s="27">
        <v>28250</v>
      </c>
      <c r="H168" s="31" t="s">
        <v>54</v>
      </c>
      <c r="I168" s="31" t="s">
        <v>748</v>
      </c>
      <c r="J168" s="26" t="s">
        <v>606</v>
      </c>
      <c r="K168" s="27">
        <v>28250</v>
      </c>
      <c r="L168" s="31" t="s">
        <v>601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660</v>
      </c>
      <c r="D169" s="31" t="s">
        <v>19</v>
      </c>
      <c r="E169" s="31"/>
      <c r="F169" s="31" t="s">
        <v>666</v>
      </c>
      <c r="G169" s="27">
        <v>53</v>
      </c>
      <c r="H169" s="31" t="s">
        <v>397</v>
      </c>
      <c r="I169" s="31" t="s">
        <v>698</v>
      </c>
      <c r="J169" s="26" t="s">
        <v>653</v>
      </c>
      <c r="K169" s="27">
        <v>53</v>
      </c>
      <c r="L169" s="31" t="s">
        <v>601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632</v>
      </c>
      <c r="D170" s="31" t="s">
        <v>645</v>
      </c>
      <c r="E170" s="31"/>
      <c r="F170" s="31" t="s">
        <v>72</v>
      </c>
      <c r="G170" s="27">
        <v>2785740</v>
      </c>
      <c r="H170" s="31" t="s">
        <v>636</v>
      </c>
      <c r="I170" s="31"/>
      <c r="J170" s="26" t="s">
        <v>634</v>
      </c>
      <c r="K170" s="27">
        <v>2785740</v>
      </c>
      <c r="L170" s="31" t="s">
        <v>601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645</v>
      </c>
      <c r="D171" s="31" t="s">
        <v>632</v>
      </c>
      <c r="E171" s="31"/>
      <c r="F171" s="31" t="s">
        <v>72</v>
      </c>
      <c r="G171" s="27">
        <v>2785740</v>
      </c>
      <c r="H171" s="31" t="s">
        <v>633</v>
      </c>
      <c r="I171" s="31"/>
      <c r="J171" s="26" t="s">
        <v>634</v>
      </c>
      <c r="K171" s="27">
        <v>2785740</v>
      </c>
      <c r="L171" s="31" t="s">
        <v>601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598</v>
      </c>
      <c r="D172" s="31" t="s">
        <v>452</v>
      </c>
      <c r="E172" s="31" t="s">
        <v>603</v>
      </c>
      <c r="F172" s="31" t="s">
        <v>604</v>
      </c>
      <c r="G172" s="27">
        <v>3000</v>
      </c>
      <c r="H172" s="31" t="s">
        <v>54</v>
      </c>
      <c r="I172" s="31" t="s">
        <v>749</v>
      </c>
      <c r="J172" s="26" t="s">
        <v>606</v>
      </c>
      <c r="K172" s="27">
        <v>3000</v>
      </c>
      <c r="L172" s="31" t="s">
        <v>601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645</v>
      </c>
      <c r="D173" s="31" t="s">
        <v>436</v>
      </c>
      <c r="E173" s="31"/>
      <c r="F173" s="31" t="s">
        <v>750</v>
      </c>
      <c r="G173" s="27">
        <v>20000</v>
      </c>
      <c r="H173" s="31" t="s">
        <v>636</v>
      </c>
      <c r="I173" s="31"/>
      <c r="J173" s="26" t="s">
        <v>668</v>
      </c>
      <c r="K173" s="27">
        <v>20000</v>
      </c>
      <c r="L173" s="31" t="s">
        <v>601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436</v>
      </c>
      <c r="D174" s="31" t="s">
        <v>645</v>
      </c>
      <c r="E174" s="31"/>
      <c r="F174" s="31" t="s">
        <v>750</v>
      </c>
      <c r="G174" s="27">
        <v>20000</v>
      </c>
      <c r="H174" s="31" t="s">
        <v>633</v>
      </c>
      <c r="I174" s="31"/>
      <c r="J174" s="26" t="s">
        <v>634</v>
      </c>
      <c r="K174" s="27">
        <v>20000</v>
      </c>
      <c r="L174" s="31" t="s">
        <v>601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645</v>
      </c>
      <c r="D175" s="31" t="s">
        <v>184</v>
      </c>
      <c r="E175" s="31"/>
      <c r="F175" s="31" t="s">
        <v>72</v>
      </c>
      <c r="G175" s="27">
        <v>16000</v>
      </c>
      <c r="H175" s="31" t="s">
        <v>636</v>
      </c>
      <c r="I175" s="31"/>
      <c r="J175" s="26" t="s">
        <v>634</v>
      </c>
      <c r="K175" s="27">
        <v>16000</v>
      </c>
      <c r="L175" s="31" t="s">
        <v>601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184</v>
      </c>
      <c r="D176" s="31" t="s">
        <v>645</v>
      </c>
      <c r="E176" s="31"/>
      <c r="F176" s="31" t="s">
        <v>72</v>
      </c>
      <c r="G176" s="27">
        <v>16000</v>
      </c>
      <c r="H176" s="31" t="s">
        <v>633</v>
      </c>
      <c r="I176" s="31"/>
      <c r="J176" s="26" t="s">
        <v>634</v>
      </c>
      <c r="K176" s="27">
        <v>16000</v>
      </c>
      <c r="L176" s="31" t="s">
        <v>601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690</v>
      </c>
      <c r="D177" s="31" t="s">
        <v>645</v>
      </c>
      <c r="E177" s="31"/>
      <c r="F177" s="31" t="s">
        <v>72</v>
      </c>
      <c r="G177" s="27">
        <v>150000</v>
      </c>
      <c r="H177" s="31" t="s">
        <v>633</v>
      </c>
      <c r="I177" s="31"/>
      <c r="J177" s="26" t="s">
        <v>634</v>
      </c>
      <c r="K177" s="27">
        <v>150000</v>
      </c>
      <c r="L177" s="31" t="s">
        <v>601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645</v>
      </c>
      <c r="D178" s="31" t="s">
        <v>690</v>
      </c>
      <c r="E178" s="31"/>
      <c r="F178" s="31" t="s">
        <v>72</v>
      </c>
      <c r="G178" s="27">
        <v>150000</v>
      </c>
      <c r="H178" s="31" t="s">
        <v>636</v>
      </c>
      <c r="I178" s="31"/>
      <c r="J178" s="26" t="s">
        <v>634</v>
      </c>
      <c r="K178" s="27">
        <v>150000</v>
      </c>
      <c r="L178" s="31" t="s">
        <v>601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751</v>
      </c>
      <c r="D179" s="31" t="s">
        <v>645</v>
      </c>
      <c r="E179" s="31"/>
      <c r="F179" s="31" t="s">
        <v>72</v>
      </c>
      <c r="G179" s="27">
        <v>150000</v>
      </c>
      <c r="H179" s="31" t="s">
        <v>633</v>
      </c>
      <c r="I179" s="31"/>
      <c r="J179" s="26" t="s">
        <v>634</v>
      </c>
      <c r="K179" s="27">
        <v>150000</v>
      </c>
      <c r="L179" s="31" t="s">
        <v>601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645</v>
      </c>
      <c r="D180" s="31" t="s">
        <v>751</v>
      </c>
      <c r="E180" s="31"/>
      <c r="F180" s="31" t="s">
        <v>72</v>
      </c>
      <c r="G180" s="27">
        <v>150000</v>
      </c>
      <c r="H180" s="31" t="s">
        <v>636</v>
      </c>
      <c r="I180" s="31"/>
      <c r="J180" s="26" t="s">
        <v>658</v>
      </c>
      <c r="K180" s="27">
        <v>150000</v>
      </c>
      <c r="L180" s="31" t="s">
        <v>601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187</v>
      </c>
      <c r="D181" s="31" t="s">
        <v>404</v>
      </c>
      <c r="E181" s="31"/>
      <c r="F181" s="31" t="s">
        <v>752</v>
      </c>
      <c r="G181" s="27">
        <v>20000</v>
      </c>
      <c r="H181" s="31" t="s">
        <v>636</v>
      </c>
      <c r="I181" s="31"/>
      <c r="J181" s="26" t="s">
        <v>659</v>
      </c>
      <c r="K181" s="27">
        <v>20000</v>
      </c>
      <c r="L181" s="31" t="s">
        <v>601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404</v>
      </c>
      <c r="D182" s="31" t="s">
        <v>187</v>
      </c>
      <c r="E182" s="31"/>
      <c r="F182" s="31" t="s">
        <v>752</v>
      </c>
      <c r="G182" s="27">
        <v>20000</v>
      </c>
      <c r="H182" s="31" t="s">
        <v>633</v>
      </c>
      <c r="I182" s="31"/>
      <c r="J182" s="26" t="s">
        <v>634</v>
      </c>
      <c r="K182" s="27">
        <v>20000</v>
      </c>
      <c r="L182" s="31" t="s">
        <v>601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645</v>
      </c>
      <c r="D183" s="31" t="s">
        <v>187</v>
      </c>
      <c r="E183" s="31"/>
      <c r="F183" s="31" t="s">
        <v>72</v>
      </c>
      <c r="G183" s="27">
        <v>20000</v>
      </c>
      <c r="H183" s="31" t="s">
        <v>636</v>
      </c>
      <c r="I183" s="31"/>
      <c r="J183" s="26" t="s">
        <v>634</v>
      </c>
      <c r="K183" s="27">
        <v>20000</v>
      </c>
      <c r="L183" s="31" t="s">
        <v>601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187</v>
      </c>
      <c r="D184" s="31" t="s">
        <v>645</v>
      </c>
      <c r="E184" s="31"/>
      <c r="F184" s="31" t="s">
        <v>72</v>
      </c>
      <c r="G184" s="27">
        <v>20000</v>
      </c>
      <c r="H184" s="31" t="s">
        <v>633</v>
      </c>
      <c r="I184" s="31"/>
      <c r="J184" s="26" t="s">
        <v>634</v>
      </c>
      <c r="K184" s="27">
        <v>20000</v>
      </c>
      <c r="L184" s="31" t="s">
        <v>601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645</v>
      </c>
      <c r="D185" s="31" t="s">
        <v>753</v>
      </c>
      <c r="E185" s="31"/>
      <c r="F185" s="31" t="s">
        <v>72</v>
      </c>
      <c r="G185" s="27">
        <v>200000</v>
      </c>
      <c r="H185" s="31" t="s">
        <v>636</v>
      </c>
      <c r="I185" s="31"/>
      <c r="J185" s="26" t="s">
        <v>671</v>
      </c>
      <c r="K185" s="27">
        <v>200000</v>
      </c>
      <c r="L185" s="31" t="s">
        <v>601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753</v>
      </c>
      <c r="D186" s="31" t="s">
        <v>645</v>
      </c>
      <c r="E186" s="31"/>
      <c r="F186" s="31" t="s">
        <v>72</v>
      </c>
      <c r="G186" s="27">
        <v>200000</v>
      </c>
      <c r="H186" s="31" t="s">
        <v>633</v>
      </c>
      <c r="I186" s="31"/>
      <c r="J186" s="26" t="s">
        <v>634</v>
      </c>
      <c r="K186" s="27">
        <v>200000</v>
      </c>
      <c r="L186" s="31" t="s">
        <v>601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187</v>
      </c>
      <c r="D187" s="31" t="s">
        <v>695</v>
      </c>
      <c r="E187" s="31"/>
      <c r="F187" s="31" t="s">
        <v>72</v>
      </c>
      <c r="G187" s="27">
        <v>34000</v>
      </c>
      <c r="H187" s="31" t="s">
        <v>636</v>
      </c>
      <c r="I187" s="31"/>
      <c r="J187" s="26" t="s">
        <v>634</v>
      </c>
      <c r="K187" s="27">
        <v>34000</v>
      </c>
      <c r="L187" s="31" t="s">
        <v>601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695</v>
      </c>
      <c r="D188" s="31" t="s">
        <v>187</v>
      </c>
      <c r="E188" s="31"/>
      <c r="F188" s="31" t="s">
        <v>72</v>
      </c>
      <c r="G188" s="27">
        <v>34000</v>
      </c>
      <c r="H188" s="31" t="s">
        <v>633</v>
      </c>
      <c r="I188" s="31"/>
      <c r="J188" s="26" t="s">
        <v>634</v>
      </c>
      <c r="K188" s="27">
        <v>34000</v>
      </c>
      <c r="L188" s="31" t="s">
        <v>601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690</v>
      </c>
      <c r="D189" s="31" t="s">
        <v>754</v>
      </c>
      <c r="E189" s="31"/>
      <c r="F189" s="31" t="s">
        <v>72</v>
      </c>
      <c r="G189" s="27">
        <v>200000</v>
      </c>
      <c r="H189" s="31" t="s">
        <v>636</v>
      </c>
      <c r="I189" s="31"/>
      <c r="J189" s="26" t="s">
        <v>634</v>
      </c>
      <c r="K189" s="27">
        <v>200000</v>
      </c>
      <c r="L189" s="31" t="s">
        <v>601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754</v>
      </c>
      <c r="D190" s="31" t="s">
        <v>690</v>
      </c>
      <c r="E190" s="31"/>
      <c r="F190" s="31" t="s">
        <v>72</v>
      </c>
      <c r="G190" s="27">
        <v>200000</v>
      </c>
      <c r="H190" s="31" t="s">
        <v>633</v>
      </c>
      <c r="I190" s="31"/>
      <c r="J190" s="26" t="s">
        <v>634</v>
      </c>
      <c r="K190" s="27">
        <v>200000</v>
      </c>
      <c r="L190" s="31" t="s">
        <v>601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660</v>
      </c>
      <c r="D191" s="31" t="s">
        <v>19</v>
      </c>
      <c r="E191" s="31"/>
      <c r="F191" s="31" t="s">
        <v>666</v>
      </c>
      <c r="G191" s="27">
        <v>60</v>
      </c>
      <c r="H191" s="31" t="s">
        <v>397</v>
      </c>
      <c r="I191" s="31" t="s">
        <v>698</v>
      </c>
      <c r="J191" s="26" t="s">
        <v>653</v>
      </c>
      <c r="K191" s="27">
        <v>60</v>
      </c>
      <c r="L191" s="31" t="s">
        <v>601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598</v>
      </c>
      <c r="D192" s="31" t="s">
        <v>362</v>
      </c>
      <c r="E192" s="31"/>
      <c r="F192" s="31" t="s">
        <v>755</v>
      </c>
      <c r="G192" s="27">
        <v>4890</v>
      </c>
      <c r="H192" s="31" t="s">
        <v>54</v>
      </c>
      <c r="I192" s="31"/>
      <c r="J192" s="26" t="s">
        <v>600</v>
      </c>
      <c r="K192" s="27">
        <v>4890</v>
      </c>
      <c r="L192" s="31" t="s">
        <v>601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184</v>
      </c>
      <c r="D193" s="31" t="s">
        <v>19</v>
      </c>
      <c r="E193" s="31"/>
      <c r="F193" s="31" t="s">
        <v>756</v>
      </c>
      <c r="G193" s="27">
        <v>15375</v>
      </c>
      <c r="H193" s="31" t="s">
        <v>54</v>
      </c>
      <c r="I193" s="31"/>
      <c r="J193" s="26" t="s">
        <v>600</v>
      </c>
      <c r="K193" s="27">
        <v>15375</v>
      </c>
      <c r="L193" s="31" t="s">
        <v>601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598</v>
      </c>
      <c r="D194" s="31" t="s">
        <v>452</v>
      </c>
      <c r="E194" s="31" t="s">
        <v>603</v>
      </c>
      <c r="F194" s="31" t="s">
        <v>757</v>
      </c>
      <c r="G194" s="27">
        <v>15500</v>
      </c>
      <c r="H194" s="31" t="s">
        <v>54</v>
      </c>
      <c r="I194" s="31"/>
      <c r="J194" s="26" t="s">
        <v>606</v>
      </c>
      <c r="K194" s="27">
        <v>15500</v>
      </c>
      <c r="L194" s="31" t="s">
        <v>601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598</v>
      </c>
      <c r="D195" s="31" t="s">
        <v>452</v>
      </c>
      <c r="E195" s="31" t="s">
        <v>603</v>
      </c>
      <c r="F195" s="31" t="s">
        <v>604</v>
      </c>
      <c r="G195" s="27">
        <v>2200</v>
      </c>
      <c r="H195" s="31" t="s">
        <v>54</v>
      </c>
      <c r="I195" s="31" t="s">
        <v>758</v>
      </c>
      <c r="J195" s="26" t="s">
        <v>606</v>
      </c>
      <c r="K195" s="27">
        <v>2200</v>
      </c>
      <c r="L195" s="31" t="s">
        <v>601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660</v>
      </c>
      <c r="D196" s="31" t="s">
        <v>19</v>
      </c>
      <c r="E196" s="31"/>
      <c r="F196" s="31" t="s">
        <v>666</v>
      </c>
      <c r="G196" s="27">
        <v>60</v>
      </c>
      <c r="H196" s="31" t="s">
        <v>397</v>
      </c>
      <c r="I196" s="31" t="s">
        <v>698</v>
      </c>
      <c r="J196" s="26" t="s">
        <v>653</v>
      </c>
      <c r="K196" s="27">
        <v>60</v>
      </c>
      <c r="L196" s="31" t="s">
        <v>601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695</v>
      </c>
      <c r="D197" s="31" t="s">
        <v>452</v>
      </c>
      <c r="E197" s="31" t="s">
        <v>612</v>
      </c>
      <c r="F197" s="31" t="s">
        <v>759</v>
      </c>
      <c r="G197" s="27">
        <v>12000</v>
      </c>
      <c r="H197" s="31" t="s">
        <v>54</v>
      </c>
      <c r="I197" s="31" t="s">
        <v>760</v>
      </c>
      <c r="J197" s="26" t="s">
        <v>606</v>
      </c>
      <c r="K197" s="27">
        <v>12000</v>
      </c>
      <c r="L197" s="31" t="s">
        <v>601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611</v>
      </c>
      <c r="D198" s="31" t="s">
        <v>672</v>
      </c>
      <c r="E198" s="31" t="s">
        <v>761</v>
      </c>
      <c r="F198" s="31" t="s">
        <v>762</v>
      </c>
      <c r="G198" s="27">
        <v>138056</v>
      </c>
      <c r="H198" s="31" t="s">
        <v>54</v>
      </c>
      <c r="I198" s="31"/>
      <c r="J198" s="26" t="s">
        <v>600</v>
      </c>
      <c r="K198" s="27">
        <v>138056</v>
      </c>
      <c r="L198" s="31" t="s">
        <v>601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611</v>
      </c>
      <c r="D199" s="31" t="s">
        <v>646</v>
      </c>
      <c r="E199" s="31"/>
      <c r="F199" s="31" t="s">
        <v>328</v>
      </c>
      <c r="G199" s="27">
        <v>140390</v>
      </c>
      <c r="H199" s="31" t="s">
        <v>54</v>
      </c>
      <c r="I199" s="31"/>
      <c r="J199" s="26" t="s">
        <v>600</v>
      </c>
      <c r="K199" s="27">
        <v>140390</v>
      </c>
      <c r="L199" s="31" t="s">
        <v>601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660</v>
      </c>
      <c r="D200" s="31" t="s">
        <v>19</v>
      </c>
      <c r="E200" s="31"/>
      <c r="F200" s="31" t="s">
        <v>666</v>
      </c>
      <c r="G200" s="27">
        <v>59</v>
      </c>
      <c r="H200" s="31" t="s">
        <v>397</v>
      </c>
      <c r="I200" s="31" t="s">
        <v>698</v>
      </c>
      <c r="J200" s="26" t="s">
        <v>653</v>
      </c>
      <c r="K200" s="27">
        <v>59</v>
      </c>
      <c r="L200" s="31" t="s">
        <v>601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598</v>
      </c>
      <c r="D201" s="31" t="s">
        <v>453</v>
      </c>
      <c r="E201" s="31"/>
      <c r="F201" s="31" t="s">
        <v>453</v>
      </c>
      <c r="G201" s="27">
        <v>9000</v>
      </c>
      <c r="H201" s="31" t="s">
        <v>54</v>
      </c>
      <c r="I201" s="31"/>
      <c r="J201" s="26" t="s">
        <v>609</v>
      </c>
      <c r="K201" s="27">
        <v>9000</v>
      </c>
      <c r="L201" s="31" t="s">
        <v>601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598</v>
      </c>
      <c r="D202" s="31" t="s">
        <v>452</v>
      </c>
      <c r="E202" s="31" t="s">
        <v>612</v>
      </c>
      <c r="F202" s="31" t="s">
        <v>740</v>
      </c>
      <c r="G202" s="27">
        <v>11000</v>
      </c>
      <c r="H202" s="31" t="s">
        <v>54</v>
      </c>
      <c r="I202" s="31"/>
      <c r="J202" s="26" t="s">
        <v>606</v>
      </c>
      <c r="K202" s="27">
        <v>11000</v>
      </c>
      <c r="L202" s="31" t="s">
        <v>601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166</v>
      </c>
      <c r="D203" s="31" t="s">
        <v>19</v>
      </c>
      <c r="E203" s="31"/>
      <c r="F203" s="31" t="s">
        <v>763</v>
      </c>
      <c r="G203" s="27">
        <v>1</v>
      </c>
      <c r="H203" s="31" t="s">
        <v>397</v>
      </c>
      <c r="I203" s="31"/>
      <c r="J203" s="26" t="s">
        <v>653</v>
      </c>
      <c r="K203" s="27">
        <v>1</v>
      </c>
      <c r="L203" s="31" t="s">
        <v>601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598</v>
      </c>
      <c r="D204" s="31" t="s">
        <v>362</v>
      </c>
      <c r="E204" s="31"/>
      <c r="F204" s="31" t="s">
        <v>363</v>
      </c>
      <c r="G204" s="27">
        <v>7890</v>
      </c>
      <c r="H204" s="31" t="s">
        <v>54</v>
      </c>
      <c r="I204" s="31"/>
      <c r="J204" s="26" t="s">
        <v>600</v>
      </c>
      <c r="K204" s="27">
        <v>7890</v>
      </c>
      <c r="L204" s="31" t="s">
        <v>601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598</v>
      </c>
      <c r="D205" s="31" t="s">
        <v>452</v>
      </c>
      <c r="E205" s="31" t="s">
        <v>612</v>
      </c>
      <c r="F205" s="31" t="s">
        <v>764</v>
      </c>
      <c r="G205" s="27">
        <v>57340</v>
      </c>
      <c r="H205" s="31" t="s">
        <v>54</v>
      </c>
      <c r="I205" s="31"/>
      <c r="J205" s="26" t="s">
        <v>606</v>
      </c>
      <c r="K205" s="27">
        <v>57340</v>
      </c>
      <c r="L205" s="31" t="s">
        <v>601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187</v>
      </c>
      <c r="D206" s="31" t="s">
        <v>452</v>
      </c>
      <c r="E206" s="31" t="s">
        <v>612</v>
      </c>
      <c r="F206" s="31" t="s">
        <v>765</v>
      </c>
      <c r="G206" s="27">
        <v>-45600</v>
      </c>
      <c r="H206" s="31" t="s">
        <v>54</v>
      </c>
      <c r="I206" s="31"/>
      <c r="J206" s="26" t="s">
        <v>606</v>
      </c>
      <c r="K206" s="27">
        <v>-45600</v>
      </c>
      <c r="L206" s="31" t="s">
        <v>601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660</v>
      </c>
      <c r="D207" s="31" t="s">
        <v>19</v>
      </c>
      <c r="E207" s="31"/>
      <c r="F207" s="31" t="s">
        <v>666</v>
      </c>
      <c r="G207" s="27">
        <v>60</v>
      </c>
      <c r="H207" s="31" t="s">
        <v>397</v>
      </c>
      <c r="I207" s="31" t="s">
        <v>698</v>
      </c>
      <c r="J207" s="26" t="s">
        <v>653</v>
      </c>
      <c r="K207" s="27">
        <v>60</v>
      </c>
      <c r="L207" s="31" t="s">
        <v>601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645</v>
      </c>
      <c r="D208" s="31" t="s">
        <v>19</v>
      </c>
      <c r="E208" s="31"/>
      <c r="F208" s="31" t="s">
        <v>726</v>
      </c>
      <c r="G208" s="27">
        <v>365</v>
      </c>
      <c r="H208" s="31" t="s">
        <v>397</v>
      </c>
      <c r="I208" s="31"/>
      <c r="J208" s="26" t="s">
        <v>653</v>
      </c>
      <c r="K208" s="27">
        <v>365</v>
      </c>
      <c r="L208" s="31" t="s">
        <v>601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645</v>
      </c>
      <c r="D209" s="31" t="s">
        <v>166</v>
      </c>
      <c r="E209" s="31"/>
      <c r="F209" s="31" t="s">
        <v>72</v>
      </c>
      <c r="G209" s="27">
        <v>16000</v>
      </c>
      <c r="H209" s="31" t="s">
        <v>636</v>
      </c>
      <c r="I209" s="31"/>
      <c r="J209" s="26" t="s">
        <v>634</v>
      </c>
      <c r="K209" s="27">
        <v>16000</v>
      </c>
      <c r="L209" s="31" t="s">
        <v>601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166</v>
      </c>
      <c r="D210" s="31" t="s">
        <v>645</v>
      </c>
      <c r="E210" s="31"/>
      <c r="F210" s="31" t="s">
        <v>72</v>
      </c>
      <c r="G210" s="27">
        <v>16000</v>
      </c>
      <c r="H210" s="31" t="s">
        <v>633</v>
      </c>
      <c r="I210" s="31"/>
      <c r="J210" s="26" t="s">
        <v>634</v>
      </c>
      <c r="K210" s="27">
        <v>16000</v>
      </c>
      <c r="L210" s="31" t="s">
        <v>601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598</v>
      </c>
      <c r="D211" s="31" t="s">
        <v>669</v>
      </c>
      <c r="E211" s="31"/>
      <c r="F211" s="31" t="s">
        <v>766</v>
      </c>
      <c r="G211" s="27">
        <v>34000</v>
      </c>
      <c r="H211" s="31" t="s">
        <v>54</v>
      </c>
      <c r="I211" s="31" t="s">
        <v>99</v>
      </c>
      <c r="J211" s="26" t="s">
        <v>617</v>
      </c>
      <c r="K211" s="27">
        <v>34000</v>
      </c>
      <c r="L211" s="31" t="s">
        <v>601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166</v>
      </c>
      <c r="D212" s="31" t="s">
        <v>19</v>
      </c>
      <c r="E212" s="31"/>
      <c r="F212" s="31" t="s">
        <v>767</v>
      </c>
      <c r="G212" s="27">
        <v>16386</v>
      </c>
      <c r="H212" s="31" t="s">
        <v>54</v>
      </c>
      <c r="I212" s="31"/>
      <c r="J212" s="26" t="s">
        <v>600</v>
      </c>
      <c r="K212" s="27">
        <v>16386</v>
      </c>
      <c r="L212" s="31" t="s">
        <v>601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598</v>
      </c>
      <c r="D213" s="31" t="s">
        <v>672</v>
      </c>
      <c r="E213" s="31" t="s">
        <v>673</v>
      </c>
      <c r="F213" s="31" t="s">
        <v>674</v>
      </c>
      <c r="G213" s="27">
        <v>4000</v>
      </c>
      <c r="H213" s="31" t="s">
        <v>54</v>
      </c>
      <c r="I213" s="31"/>
      <c r="J213" s="26" t="s">
        <v>606</v>
      </c>
      <c r="K213" s="27">
        <v>4000</v>
      </c>
      <c r="L213" s="31" t="s">
        <v>601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598</v>
      </c>
      <c r="D214" s="31" t="s">
        <v>672</v>
      </c>
      <c r="E214" s="31" t="s">
        <v>673</v>
      </c>
      <c r="F214" s="31" t="s">
        <v>676</v>
      </c>
      <c r="G214" s="27">
        <v>12900</v>
      </c>
      <c r="H214" s="31" t="s">
        <v>54</v>
      </c>
      <c r="I214" s="31"/>
      <c r="J214" s="26" t="s">
        <v>606</v>
      </c>
      <c r="K214" s="27">
        <v>12900</v>
      </c>
      <c r="L214" s="31" t="s">
        <v>601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598</v>
      </c>
      <c r="D215" s="31" t="s">
        <v>452</v>
      </c>
      <c r="E215" s="31" t="s">
        <v>612</v>
      </c>
      <c r="F215" s="31" t="s">
        <v>768</v>
      </c>
      <c r="G215" s="27">
        <v>9500</v>
      </c>
      <c r="H215" s="31" t="s">
        <v>54</v>
      </c>
      <c r="I215" s="31"/>
      <c r="J215" s="26" t="s">
        <v>606</v>
      </c>
      <c r="K215" s="27">
        <v>9500</v>
      </c>
      <c r="L215" s="31" t="s">
        <v>601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187</v>
      </c>
      <c r="D216" s="31" t="s">
        <v>19</v>
      </c>
      <c r="E216" s="31"/>
      <c r="F216" s="31" t="s">
        <v>763</v>
      </c>
      <c r="G216" s="27">
        <v>1</v>
      </c>
      <c r="H216" s="31" t="s">
        <v>397</v>
      </c>
      <c r="I216" s="31"/>
      <c r="J216" s="26" t="s">
        <v>653</v>
      </c>
      <c r="K216" s="27">
        <v>1</v>
      </c>
      <c r="L216" s="31" t="s">
        <v>601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660</v>
      </c>
      <c r="D217" s="31" t="s">
        <v>19</v>
      </c>
      <c r="E217" s="31"/>
      <c r="F217" s="31" t="s">
        <v>666</v>
      </c>
      <c r="G217" s="27">
        <v>59</v>
      </c>
      <c r="H217" s="31" t="s">
        <v>397</v>
      </c>
      <c r="I217" s="31" t="s">
        <v>698</v>
      </c>
      <c r="J217" s="26" t="s">
        <v>653</v>
      </c>
      <c r="K217" s="27">
        <v>59</v>
      </c>
      <c r="L217" s="31" t="s">
        <v>601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598</v>
      </c>
      <c r="D218" s="31" t="s">
        <v>453</v>
      </c>
      <c r="E218" s="31"/>
      <c r="F218" s="31" t="s">
        <v>453</v>
      </c>
      <c r="G218" s="27">
        <v>10000</v>
      </c>
      <c r="H218" s="31" t="s">
        <v>54</v>
      </c>
      <c r="I218" s="31"/>
      <c r="J218" s="26" t="s">
        <v>609</v>
      </c>
      <c r="K218" s="27">
        <v>10000</v>
      </c>
      <c r="L218" s="31" t="s">
        <v>601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598</v>
      </c>
      <c r="D219" s="31" t="s">
        <v>452</v>
      </c>
      <c r="E219" s="31" t="s">
        <v>603</v>
      </c>
      <c r="F219" s="31" t="s">
        <v>769</v>
      </c>
      <c r="G219" s="27">
        <v>2310</v>
      </c>
      <c r="H219" s="31" t="s">
        <v>54</v>
      </c>
      <c r="I219" s="31"/>
      <c r="J219" s="26" t="s">
        <v>606</v>
      </c>
      <c r="K219" s="27">
        <v>2310</v>
      </c>
      <c r="L219" s="31" t="s">
        <v>601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598</v>
      </c>
      <c r="D220" s="31" t="s">
        <v>19</v>
      </c>
      <c r="E220" s="31"/>
      <c r="F220" s="31" t="s">
        <v>770</v>
      </c>
      <c r="G220" s="27">
        <v>-46588</v>
      </c>
      <c r="H220" s="31" t="s">
        <v>54</v>
      </c>
      <c r="I220" s="31"/>
      <c r="J220" s="26" t="s">
        <v>678</v>
      </c>
      <c r="K220" s="27">
        <v>-46588</v>
      </c>
      <c r="L220" s="31" t="s">
        <v>601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716</v>
      </c>
      <c r="D221" s="31" t="s">
        <v>771</v>
      </c>
      <c r="E221" s="31"/>
      <c r="F221" s="31" t="s">
        <v>772</v>
      </c>
      <c r="G221" s="27">
        <v>56770</v>
      </c>
      <c r="H221" s="31" t="s">
        <v>54</v>
      </c>
      <c r="I221" s="31" t="s">
        <v>773</v>
      </c>
      <c r="J221" s="26" t="s">
        <v>600</v>
      </c>
      <c r="K221" s="27">
        <v>56770</v>
      </c>
      <c r="L221" s="31" t="s">
        <v>601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660</v>
      </c>
      <c r="D222" s="31" t="s">
        <v>19</v>
      </c>
      <c r="E222" s="31"/>
      <c r="F222" s="31" t="s">
        <v>666</v>
      </c>
      <c r="G222" s="27">
        <v>59</v>
      </c>
      <c r="H222" s="31" t="s">
        <v>397</v>
      </c>
      <c r="I222" s="31" t="s">
        <v>698</v>
      </c>
      <c r="J222" s="26" t="s">
        <v>653</v>
      </c>
      <c r="K222" s="27">
        <v>59</v>
      </c>
      <c r="L222" s="31" t="s">
        <v>601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598</v>
      </c>
      <c r="D223" s="31" t="s">
        <v>741</v>
      </c>
      <c r="E223" s="31" t="s">
        <v>457</v>
      </c>
      <c r="F223" s="31" t="s">
        <v>774</v>
      </c>
      <c r="G223" s="27">
        <v>69000</v>
      </c>
      <c r="H223" s="31" t="s">
        <v>54</v>
      </c>
      <c r="I223" s="31"/>
      <c r="J223" s="26" t="s">
        <v>614</v>
      </c>
      <c r="K223" s="27">
        <v>69000</v>
      </c>
      <c r="L223" s="31" t="s">
        <v>601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598</v>
      </c>
      <c r="D224" s="31" t="s">
        <v>775</v>
      </c>
      <c r="E224" s="31"/>
      <c r="F224" s="31" t="s">
        <v>626</v>
      </c>
      <c r="G224" s="27">
        <v>5000</v>
      </c>
      <c r="H224" s="31" t="s">
        <v>54</v>
      </c>
      <c r="I224" s="31"/>
      <c r="J224" s="26" t="s">
        <v>606</v>
      </c>
      <c r="K224" s="27">
        <v>5000</v>
      </c>
      <c r="L224" s="31" t="s">
        <v>601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645</v>
      </c>
      <c r="D225" s="31" t="s">
        <v>776</v>
      </c>
      <c r="E225" s="31"/>
      <c r="F225" s="31" t="s">
        <v>777</v>
      </c>
      <c r="G225" s="27">
        <v>5000</v>
      </c>
      <c r="H225" s="31" t="s">
        <v>54</v>
      </c>
      <c r="I225" s="31"/>
      <c r="J225" s="26" t="s">
        <v>606</v>
      </c>
      <c r="K225" s="27">
        <v>5000</v>
      </c>
      <c r="L225" s="31" t="s">
        <v>601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598</v>
      </c>
      <c r="D226" s="31" t="s">
        <v>453</v>
      </c>
      <c r="E226" s="31"/>
      <c r="F226" s="31" t="s">
        <v>453</v>
      </c>
      <c r="G226" s="27">
        <v>1000</v>
      </c>
      <c r="H226" s="31" t="s">
        <v>54</v>
      </c>
      <c r="I226" s="31" t="s">
        <v>778</v>
      </c>
      <c r="J226" s="26" t="s">
        <v>609</v>
      </c>
      <c r="K226" s="27">
        <v>1000</v>
      </c>
      <c r="L226" s="31" t="s">
        <v>601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660</v>
      </c>
      <c r="D227" s="31" t="s">
        <v>19</v>
      </c>
      <c r="E227" s="31"/>
      <c r="F227" s="31" t="s">
        <v>666</v>
      </c>
      <c r="G227" s="27">
        <v>59</v>
      </c>
      <c r="H227" s="31" t="s">
        <v>397</v>
      </c>
      <c r="I227" s="31" t="s">
        <v>698</v>
      </c>
      <c r="J227" s="26" t="s">
        <v>653</v>
      </c>
      <c r="K227" s="27">
        <v>59</v>
      </c>
      <c r="L227" s="31" t="s">
        <v>601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753</v>
      </c>
      <c r="D228" s="31" t="s">
        <v>19</v>
      </c>
      <c r="E228" s="31"/>
      <c r="F228" s="31" t="s">
        <v>779</v>
      </c>
      <c r="G228" s="27">
        <v>16544</v>
      </c>
      <c r="H228" s="31" t="s">
        <v>54</v>
      </c>
      <c r="I228" s="31"/>
      <c r="J228" s="26" t="s">
        <v>600</v>
      </c>
      <c r="K228" s="27">
        <v>16544</v>
      </c>
      <c r="L228" s="31" t="s">
        <v>601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187</v>
      </c>
      <c r="D229" s="31" t="s">
        <v>695</v>
      </c>
      <c r="E229" s="31"/>
      <c r="F229" s="31" t="s">
        <v>72</v>
      </c>
      <c r="G229" s="27">
        <v>45600</v>
      </c>
      <c r="H229" s="31" t="s">
        <v>636</v>
      </c>
      <c r="I229" s="31" t="s">
        <v>780</v>
      </c>
      <c r="J229" s="26" t="s">
        <v>634</v>
      </c>
      <c r="K229" s="27">
        <v>45600</v>
      </c>
      <c r="L229" s="31" t="s">
        <v>601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695</v>
      </c>
      <c r="D230" s="31" t="s">
        <v>187</v>
      </c>
      <c r="E230" s="31"/>
      <c r="F230" s="31" t="s">
        <v>72</v>
      </c>
      <c r="G230" s="27">
        <v>45600</v>
      </c>
      <c r="H230" s="31" t="s">
        <v>633</v>
      </c>
      <c r="I230" s="31" t="s">
        <v>780</v>
      </c>
      <c r="J230" s="26" t="s">
        <v>634</v>
      </c>
      <c r="K230" s="27">
        <v>45600</v>
      </c>
      <c r="L230" s="31" t="s">
        <v>601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598</v>
      </c>
      <c r="D231" s="31" t="s">
        <v>362</v>
      </c>
      <c r="E231" s="31"/>
      <c r="F231" s="31" t="s">
        <v>599</v>
      </c>
      <c r="G231" s="27">
        <v>845</v>
      </c>
      <c r="H231" s="31" t="s">
        <v>54</v>
      </c>
      <c r="I231" s="31"/>
      <c r="J231" s="26" t="s">
        <v>600</v>
      </c>
      <c r="K231" s="27">
        <v>845</v>
      </c>
      <c r="L231" s="31" t="s">
        <v>601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611</v>
      </c>
      <c r="D232" s="31" t="s">
        <v>453</v>
      </c>
      <c r="E232" s="31"/>
      <c r="F232" s="31" t="s">
        <v>453</v>
      </c>
      <c r="G232" s="27">
        <v>9000</v>
      </c>
      <c r="H232" s="31" t="s">
        <v>54</v>
      </c>
      <c r="I232" s="31"/>
      <c r="J232" s="26" t="s">
        <v>609</v>
      </c>
      <c r="K232" s="27">
        <v>9000</v>
      </c>
      <c r="L232" s="31" t="s">
        <v>601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598</v>
      </c>
      <c r="D233" s="31" t="s">
        <v>362</v>
      </c>
      <c r="E233" s="31"/>
      <c r="F233" s="31" t="s">
        <v>608</v>
      </c>
      <c r="G233" s="27">
        <v>9000</v>
      </c>
      <c r="H233" s="31" t="s">
        <v>54</v>
      </c>
      <c r="I233" s="31"/>
      <c r="J233" s="26" t="s">
        <v>600</v>
      </c>
      <c r="K233" s="27">
        <v>9000</v>
      </c>
      <c r="L233" s="31" t="s">
        <v>601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187</v>
      </c>
      <c r="D234" s="31" t="s">
        <v>672</v>
      </c>
      <c r="E234" s="31" t="s">
        <v>673</v>
      </c>
      <c r="F234" s="31" t="s">
        <v>703</v>
      </c>
      <c r="G234" s="27">
        <v>-4900</v>
      </c>
      <c r="H234" s="31" t="s">
        <v>54</v>
      </c>
      <c r="I234" s="31" t="s">
        <v>781</v>
      </c>
      <c r="J234" s="26" t="s">
        <v>606</v>
      </c>
      <c r="K234" s="27">
        <v>-4900</v>
      </c>
      <c r="L234" s="31" t="s">
        <v>601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611</v>
      </c>
      <c r="D235" s="31" t="s">
        <v>452</v>
      </c>
      <c r="E235" s="31" t="s">
        <v>612</v>
      </c>
      <c r="F235" s="31" t="s">
        <v>782</v>
      </c>
      <c r="G235" s="27">
        <v>12900</v>
      </c>
      <c r="H235" s="31" t="s">
        <v>54</v>
      </c>
      <c r="I235" s="31"/>
      <c r="J235" s="26" t="s">
        <v>606</v>
      </c>
      <c r="K235" s="27">
        <v>12900</v>
      </c>
      <c r="L235" s="31" t="s">
        <v>601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660</v>
      </c>
      <c r="D236" s="31" t="s">
        <v>19</v>
      </c>
      <c r="E236" s="31"/>
      <c r="F236" s="31" t="s">
        <v>666</v>
      </c>
      <c r="G236" s="27">
        <v>60</v>
      </c>
      <c r="H236" s="31" t="s">
        <v>397</v>
      </c>
      <c r="I236" s="31" t="s">
        <v>698</v>
      </c>
      <c r="J236" s="26" t="s">
        <v>653</v>
      </c>
      <c r="K236" s="27">
        <v>60</v>
      </c>
      <c r="L236" s="31" t="s">
        <v>601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611</v>
      </c>
      <c r="D237" s="31" t="s">
        <v>452</v>
      </c>
      <c r="E237" s="31" t="s">
        <v>603</v>
      </c>
      <c r="F237" s="31" t="s">
        <v>643</v>
      </c>
      <c r="G237" s="27">
        <v>9400</v>
      </c>
      <c r="H237" s="31" t="s">
        <v>54</v>
      </c>
      <c r="I237" s="31"/>
      <c r="J237" s="26" t="s">
        <v>606</v>
      </c>
      <c r="K237" s="27">
        <v>9400</v>
      </c>
      <c r="L237" s="31" t="s">
        <v>601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660</v>
      </c>
      <c r="D238" s="31" t="s">
        <v>19</v>
      </c>
      <c r="E238" s="31"/>
      <c r="F238" s="31" t="s">
        <v>666</v>
      </c>
      <c r="G238" s="27">
        <v>61</v>
      </c>
      <c r="H238" s="31" t="s">
        <v>397</v>
      </c>
      <c r="I238" s="31" t="s">
        <v>698</v>
      </c>
      <c r="J238" s="26" t="s">
        <v>653</v>
      </c>
      <c r="K238" s="27">
        <v>61</v>
      </c>
      <c r="L238" s="31" t="s">
        <v>601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611</v>
      </c>
      <c r="D239" s="31" t="s">
        <v>452</v>
      </c>
      <c r="E239" s="31" t="s">
        <v>603</v>
      </c>
      <c r="F239" s="31" t="s">
        <v>643</v>
      </c>
      <c r="G239" s="27">
        <v>1700</v>
      </c>
      <c r="H239" s="31" t="s">
        <v>54</v>
      </c>
      <c r="I239" s="31"/>
      <c r="J239" s="26" t="s">
        <v>606</v>
      </c>
      <c r="K239" s="27">
        <v>1700</v>
      </c>
      <c r="L239" s="31" t="s">
        <v>601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187</v>
      </c>
      <c r="D240" s="31" t="s">
        <v>452</v>
      </c>
      <c r="E240" s="31" t="s">
        <v>612</v>
      </c>
      <c r="F240" s="31" t="s">
        <v>783</v>
      </c>
      <c r="G240" s="27">
        <v>-19000</v>
      </c>
      <c r="H240" s="31" t="s">
        <v>54</v>
      </c>
      <c r="I240" s="31" t="s">
        <v>784</v>
      </c>
      <c r="J240" s="26" t="s">
        <v>606</v>
      </c>
      <c r="K240" s="27">
        <v>-19000</v>
      </c>
      <c r="L240" s="31" t="s">
        <v>601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598</v>
      </c>
      <c r="D241" s="31" t="s">
        <v>452</v>
      </c>
      <c r="E241" s="31" t="s">
        <v>612</v>
      </c>
      <c r="F241" s="31" t="s">
        <v>682</v>
      </c>
      <c r="G241" s="27">
        <v>32500</v>
      </c>
      <c r="H241" s="31" t="s">
        <v>54</v>
      </c>
      <c r="I241" s="31" t="s">
        <v>785</v>
      </c>
      <c r="J241" s="26" t="s">
        <v>606</v>
      </c>
      <c r="K241" s="27">
        <v>32500</v>
      </c>
      <c r="L241" s="31" t="s">
        <v>601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611</v>
      </c>
      <c r="D242" s="31" t="s">
        <v>735</v>
      </c>
      <c r="E242" s="31"/>
      <c r="F242" s="31" t="s">
        <v>786</v>
      </c>
      <c r="G242" s="27">
        <v>10000</v>
      </c>
      <c r="H242" s="31" t="s">
        <v>54</v>
      </c>
      <c r="I242" s="31" t="s">
        <v>787</v>
      </c>
      <c r="J242" s="26" t="s">
        <v>606</v>
      </c>
      <c r="K242" s="27">
        <v>10000</v>
      </c>
      <c r="L242" s="31" t="s">
        <v>601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660</v>
      </c>
      <c r="D243" s="31" t="s">
        <v>19</v>
      </c>
      <c r="E243" s="31"/>
      <c r="F243" s="31" t="s">
        <v>666</v>
      </c>
      <c r="G243" s="27">
        <v>61</v>
      </c>
      <c r="H243" s="31" t="s">
        <v>397</v>
      </c>
      <c r="I243" s="31" t="s">
        <v>698</v>
      </c>
      <c r="J243" s="26" t="s">
        <v>653</v>
      </c>
      <c r="K243" s="27">
        <v>61</v>
      </c>
      <c r="L243" s="31" t="s">
        <v>601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598</v>
      </c>
      <c r="D244" s="31" t="s">
        <v>362</v>
      </c>
      <c r="E244" s="31"/>
      <c r="F244" s="31" t="s">
        <v>561</v>
      </c>
      <c r="G244" s="27">
        <v>1800</v>
      </c>
      <c r="H244" s="31" t="s">
        <v>54</v>
      </c>
      <c r="I244" s="31" t="s">
        <v>639</v>
      </c>
      <c r="J244" s="26" t="s">
        <v>600</v>
      </c>
      <c r="K244" s="27">
        <v>1800</v>
      </c>
      <c r="L244" s="31" t="s">
        <v>601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598</v>
      </c>
      <c r="D245" s="31" t="s">
        <v>362</v>
      </c>
      <c r="E245" s="31"/>
      <c r="F245" s="31" t="s">
        <v>637</v>
      </c>
      <c r="G245" s="27">
        <v>3230</v>
      </c>
      <c r="H245" s="31" t="s">
        <v>54</v>
      </c>
      <c r="I245" s="31"/>
      <c r="J245" s="26" t="s">
        <v>600</v>
      </c>
      <c r="K245" s="27">
        <v>3230</v>
      </c>
      <c r="L245" s="31" t="s">
        <v>601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611</v>
      </c>
      <c r="D246" s="31" t="s">
        <v>452</v>
      </c>
      <c r="E246" s="31" t="s">
        <v>612</v>
      </c>
      <c r="F246" s="31" t="s">
        <v>788</v>
      </c>
      <c r="G246" s="27">
        <v>9000</v>
      </c>
      <c r="H246" s="31" t="s">
        <v>54</v>
      </c>
      <c r="I246" s="31"/>
      <c r="J246" s="26" t="s">
        <v>606</v>
      </c>
      <c r="K246" s="27">
        <v>9000</v>
      </c>
      <c r="L246" s="31" t="s">
        <v>601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598</v>
      </c>
      <c r="D247" s="31" t="s">
        <v>625</v>
      </c>
      <c r="E247" s="31"/>
      <c r="F247" s="31" t="s">
        <v>365</v>
      </c>
      <c r="G247" s="27">
        <v>19570</v>
      </c>
      <c r="H247" s="31" t="s">
        <v>54</v>
      </c>
      <c r="I247" s="31" t="s">
        <v>789</v>
      </c>
      <c r="J247" s="26" t="s">
        <v>606</v>
      </c>
      <c r="K247" s="27">
        <v>19570</v>
      </c>
      <c r="L247" s="31" t="s">
        <v>601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598</v>
      </c>
      <c r="D248" s="31" t="s">
        <v>640</v>
      </c>
      <c r="E248" s="31"/>
      <c r="F248" s="31" t="s">
        <v>790</v>
      </c>
      <c r="G248" s="27">
        <v>18200</v>
      </c>
      <c r="H248" s="31" t="s">
        <v>54</v>
      </c>
      <c r="I248" s="31" t="s">
        <v>642</v>
      </c>
      <c r="J248" s="26" t="s">
        <v>600</v>
      </c>
      <c r="K248" s="27">
        <v>18200</v>
      </c>
      <c r="L248" s="31" t="s">
        <v>601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660</v>
      </c>
      <c r="D249" s="31" t="s">
        <v>19</v>
      </c>
      <c r="E249" s="31"/>
      <c r="F249" s="31" t="s">
        <v>666</v>
      </c>
      <c r="G249" s="27">
        <v>61</v>
      </c>
      <c r="H249" s="31" t="s">
        <v>397</v>
      </c>
      <c r="I249" s="31" t="s">
        <v>698</v>
      </c>
      <c r="J249" s="26" t="s">
        <v>653</v>
      </c>
      <c r="K249" s="27">
        <v>61</v>
      </c>
      <c r="L249" s="31" t="s">
        <v>601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611</v>
      </c>
      <c r="D250" s="31" t="s">
        <v>453</v>
      </c>
      <c r="E250" s="31"/>
      <c r="F250" s="31" t="s">
        <v>453</v>
      </c>
      <c r="G250" s="27">
        <v>5000</v>
      </c>
      <c r="H250" s="31" t="s">
        <v>54</v>
      </c>
      <c r="I250" s="31"/>
      <c r="J250" s="26" t="s">
        <v>609</v>
      </c>
      <c r="K250" s="27">
        <v>5000</v>
      </c>
      <c r="L250" s="31" t="s">
        <v>601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645</v>
      </c>
      <c r="D251" s="31" t="s">
        <v>646</v>
      </c>
      <c r="E251" s="31"/>
      <c r="F251" s="31" t="s">
        <v>73</v>
      </c>
      <c r="G251" s="27">
        <v>550000</v>
      </c>
      <c r="H251" s="31" t="s">
        <v>54</v>
      </c>
      <c r="I251" s="31"/>
      <c r="J251" s="26" t="s">
        <v>600</v>
      </c>
      <c r="K251" s="27">
        <v>550000</v>
      </c>
      <c r="L251" s="31" t="s">
        <v>601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611</v>
      </c>
      <c r="D252" s="31" t="s">
        <v>452</v>
      </c>
      <c r="E252" s="31" t="s">
        <v>612</v>
      </c>
      <c r="F252" s="31" t="s">
        <v>731</v>
      </c>
      <c r="G252" s="27">
        <v>14500</v>
      </c>
      <c r="H252" s="31" t="s">
        <v>54</v>
      </c>
      <c r="I252" s="31"/>
      <c r="J252" s="26" t="s">
        <v>606</v>
      </c>
      <c r="K252" s="27">
        <v>14500</v>
      </c>
      <c r="L252" s="31" t="s">
        <v>601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611</v>
      </c>
      <c r="D253" s="31" t="s">
        <v>452</v>
      </c>
      <c r="E253" s="31" t="s">
        <v>714</v>
      </c>
      <c r="F253" s="31" t="s">
        <v>604</v>
      </c>
      <c r="G253" s="27">
        <v>1500</v>
      </c>
      <c r="H253" s="31" t="s">
        <v>54</v>
      </c>
      <c r="I253" s="31" t="s">
        <v>791</v>
      </c>
      <c r="J253" s="26" t="s">
        <v>606</v>
      </c>
      <c r="K253" s="27">
        <v>1500</v>
      </c>
      <c r="L253" s="31" t="s">
        <v>601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611</v>
      </c>
      <c r="D254" s="31" t="s">
        <v>453</v>
      </c>
      <c r="E254" s="31"/>
      <c r="F254" s="31" t="s">
        <v>453</v>
      </c>
      <c r="G254" s="27">
        <v>4500</v>
      </c>
      <c r="H254" s="31" t="s">
        <v>54</v>
      </c>
      <c r="I254" s="31"/>
      <c r="J254" s="26" t="s">
        <v>609</v>
      </c>
      <c r="K254" s="27">
        <v>4500</v>
      </c>
      <c r="L254" s="31" t="s">
        <v>601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611</v>
      </c>
      <c r="D255" s="31" t="s">
        <v>452</v>
      </c>
      <c r="E255" s="31" t="s">
        <v>603</v>
      </c>
      <c r="F255" s="31" t="s">
        <v>713</v>
      </c>
      <c r="G255" s="27">
        <v>8800</v>
      </c>
      <c r="H255" s="31" t="s">
        <v>54</v>
      </c>
      <c r="I255" s="31"/>
      <c r="J255" s="26" t="s">
        <v>606</v>
      </c>
      <c r="K255" s="27">
        <v>8800</v>
      </c>
      <c r="L255" s="31" t="s">
        <v>601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611</v>
      </c>
      <c r="D256" s="31" t="s">
        <v>646</v>
      </c>
      <c r="E256" s="31"/>
      <c r="F256" s="31" t="s">
        <v>679</v>
      </c>
      <c r="G256" s="27">
        <v>23688</v>
      </c>
      <c r="H256" s="31" t="s">
        <v>54</v>
      </c>
      <c r="I256" s="31"/>
      <c r="J256" s="26" t="s">
        <v>600</v>
      </c>
      <c r="K256" s="27">
        <v>23688</v>
      </c>
      <c r="L256" s="31" t="s">
        <v>601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611</v>
      </c>
      <c r="D257" s="31" t="s">
        <v>625</v>
      </c>
      <c r="E257" s="31"/>
      <c r="F257" s="31" t="s">
        <v>626</v>
      </c>
      <c r="G257" s="27">
        <v>6000</v>
      </c>
      <c r="H257" s="31" t="s">
        <v>54</v>
      </c>
      <c r="I257" s="31" t="s">
        <v>792</v>
      </c>
      <c r="J257" s="26" t="s">
        <v>606</v>
      </c>
      <c r="K257" s="27">
        <v>6000</v>
      </c>
      <c r="L257" s="31" t="s">
        <v>601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660</v>
      </c>
      <c r="D258" s="31" t="s">
        <v>19</v>
      </c>
      <c r="E258" s="31"/>
      <c r="F258" s="31" t="s">
        <v>666</v>
      </c>
      <c r="G258" s="27">
        <v>61</v>
      </c>
      <c r="H258" s="31" t="s">
        <v>397</v>
      </c>
      <c r="I258" s="31" t="s">
        <v>698</v>
      </c>
      <c r="J258" s="26" t="s">
        <v>653</v>
      </c>
      <c r="K258" s="27">
        <v>61</v>
      </c>
      <c r="L258" s="31" t="s">
        <v>601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660</v>
      </c>
      <c r="D259" s="31" t="s">
        <v>19</v>
      </c>
      <c r="E259" s="31"/>
      <c r="F259" s="31" t="s">
        <v>666</v>
      </c>
      <c r="G259" s="27">
        <v>61</v>
      </c>
      <c r="H259" s="31" t="s">
        <v>397</v>
      </c>
      <c r="I259" s="31" t="s">
        <v>698</v>
      </c>
      <c r="J259" s="26" t="s">
        <v>653</v>
      </c>
      <c r="K259" s="27">
        <v>61</v>
      </c>
      <c r="L259" s="31" t="s">
        <v>601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611</v>
      </c>
      <c r="D260" s="31" t="s">
        <v>453</v>
      </c>
      <c r="E260" s="31"/>
      <c r="F260" s="31" t="s">
        <v>453</v>
      </c>
      <c r="G260" s="27">
        <v>4500</v>
      </c>
      <c r="H260" s="31" t="s">
        <v>54</v>
      </c>
      <c r="I260" s="31"/>
      <c r="J260" s="26" t="s">
        <v>609</v>
      </c>
      <c r="K260" s="27">
        <v>4500</v>
      </c>
      <c r="L260" s="31" t="s">
        <v>601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611</v>
      </c>
      <c r="D261" s="31" t="s">
        <v>741</v>
      </c>
      <c r="E261" s="31" t="s">
        <v>457</v>
      </c>
      <c r="F261" s="31" t="s">
        <v>793</v>
      </c>
      <c r="G261" s="27">
        <v>37000</v>
      </c>
      <c r="H261" s="31" t="s">
        <v>54</v>
      </c>
      <c r="I261" s="31"/>
      <c r="J261" s="26" t="s">
        <v>614</v>
      </c>
      <c r="K261" s="27">
        <v>37000</v>
      </c>
      <c r="L261" s="31" t="s">
        <v>601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611</v>
      </c>
      <c r="D262" s="31" t="s">
        <v>452</v>
      </c>
      <c r="E262" s="31" t="s">
        <v>603</v>
      </c>
      <c r="F262" s="31" t="s">
        <v>688</v>
      </c>
      <c r="G262" s="27">
        <v>6000</v>
      </c>
      <c r="H262" s="31" t="s">
        <v>54</v>
      </c>
      <c r="I262" s="31"/>
      <c r="J262" s="26" t="s">
        <v>606</v>
      </c>
      <c r="K262" s="27">
        <v>6000</v>
      </c>
      <c r="L262" s="31" t="s">
        <v>601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598</v>
      </c>
      <c r="D263" s="31" t="s">
        <v>452</v>
      </c>
      <c r="E263" s="31" t="s">
        <v>621</v>
      </c>
      <c r="F263" s="31" t="s">
        <v>682</v>
      </c>
      <c r="G263" s="27">
        <v>15400</v>
      </c>
      <c r="H263" s="31" t="s">
        <v>54</v>
      </c>
      <c r="I263" s="31" t="s">
        <v>794</v>
      </c>
      <c r="J263" s="26" t="s">
        <v>606</v>
      </c>
      <c r="K263" s="27">
        <v>15400</v>
      </c>
      <c r="L263" s="31" t="s">
        <v>601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187</v>
      </c>
      <c r="D264" s="31" t="s">
        <v>19</v>
      </c>
      <c r="E264" s="31"/>
      <c r="F264" s="31" t="s">
        <v>763</v>
      </c>
      <c r="G264" s="27">
        <v>1</v>
      </c>
      <c r="H264" s="31" t="s">
        <v>397</v>
      </c>
      <c r="I264" s="31"/>
      <c r="J264" s="26" t="s">
        <v>653</v>
      </c>
      <c r="K264" s="27">
        <v>1</v>
      </c>
      <c r="L264" s="31" t="s">
        <v>601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660</v>
      </c>
      <c r="D265" s="31" t="s">
        <v>19</v>
      </c>
      <c r="E265" s="31"/>
      <c r="F265" s="31" t="s">
        <v>666</v>
      </c>
      <c r="G265" s="27">
        <v>61</v>
      </c>
      <c r="H265" s="31" t="s">
        <v>397</v>
      </c>
      <c r="I265" s="31" t="s">
        <v>698</v>
      </c>
      <c r="J265" s="26" t="s">
        <v>653</v>
      </c>
      <c r="K265" s="27">
        <v>61</v>
      </c>
      <c r="L265" s="31" t="s">
        <v>601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611</v>
      </c>
      <c r="D266" s="31" t="s">
        <v>453</v>
      </c>
      <c r="E266" s="31"/>
      <c r="F266" s="31" t="s">
        <v>453</v>
      </c>
      <c r="G266" s="27">
        <v>4500</v>
      </c>
      <c r="H266" s="31" t="s">
        <v>54</v>
      </c>
      <c r="I266" s="31"/>
      <c r="J266" s="26" t="s">
        <v>609</v>
      </c>
      <c r="K266" s="27">
        <v>4500</v>
      </c>
      <c r="L266" s="31" t="s">
        <v>601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611</v>
      </c>
      <c r="D267" s="31" t="s">
        <v>452</v>
      </c>
      <c r="E267" s="31" t="s">
        <v>603</v>
      </c>
      <c r="F267" s="31" t="s">
        <v>604</v>
      </c>
      <c r="G267" s="27">
        <v>7200</v>
      </c>
      <c r="H267" s="31" t="s">
        <v>54</v>
      </c>
      <c r="I267" s="31"/>
      <c r="J267" s="26" t="s">
        <v>606</v>
      </c>
      <c r="K267" s="27">
        <v>7200</v>
      </c>
      <c r="L267" s="31" t="s">
        <v>601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187</v>
      </c>
      <c r="D268" s="31" t="s">
        <v>695</v>
      </c>
      <c r="E268" s="31"/>
      <c r="F268" s="31" t="s">
        <v>72</v>
      </c>
      <c r="G268" s="27">
        <v>4900</v>
      </c>
      <c r="H268" s="31" t="s">
        <v>636</v>
      </c>
      <c r="I268" s="31"/>
      <c r="J268" s="26" t="s">
        <v>634</v>
      </c>
      <c r="K268" s="27">
        <v>4900</v>
      </c>
      <c r="L268" s="31" t="s">
        <v>601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695</v>
      </c>
      <c r="D269" s="31" t="s">
        <v>187</v>
      </c>
      <c r="E269" s="31"/>
      <c r="F269" s="31" t="s">
        <v>72</v>
      </c>
      <c r="G269" s="27">
        <v>4900</v>
      </c>
      <c r="H269" s="31" t="s">
        <v>633</v>
      </c>
      <c r="I269" s="31"/>
      <c r="J269" s="26" t="s">
        <v>634</v>
      </c>
      <c r="K269" s="27">
        <v>4900</v>
      </c>
      <c r="L269" s="31" t="s">
        <v>601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611</v>
      </c>
      <c r="D270" s="31" t="s">
        <v>453</v>
      </c>
      <c r="E270" s="31"/>
      <c r="F270" s="31" t="s">
        <v>453</v>
      </c>
      <c r="G270" s="27">
        <v>5000</v>
      </c>
      <c r="H270" s="31" t="s">
        <v>54</v>
      </c>
      <c r="I270" s="31"/>
      <c r="J270" s="26" t="s">
        <v>609</v>
      </c>
      <c r="K270" s="27">
        <v>5000</v>
      </c>
      <c r="L270" s="31" t="s">
        <v>601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611</v>
      </c>
      <c r="D271" s="31" t="s">
        <v>452</v>
      </c>
      <c r="E271" s="31" t="s">
        <v>612</v>
      </c>
      <c r="F271" s="31" t="s">
        <v>701</v>
      </c>
      <c r="G271" s="27">
        <v>9000</v>
      </c>
      <c r="H271" s="31" t="s">
        <v>54</v>
      </c>
      <c r="I271" s="31"/>
      <c r="J271" s="26" t="s">
        <v>606</v>
      </c>
      <c r="K271" s="27">
        <v>9000</v>
      </c>
      <c r="L271" s="31" t="s">
        <v>601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660</v>
      </c>
      <c r="D272" s="31" t="s">
        <v>19</v>
      </c>
      <c r="E272" s="31"/>
      <c r="F272" s="31" t="s">
        <v>666</v>
      </c>
      <c r="G272" s="27">
        <v>61</v>
      </c>
      <c r="H272" s="31" t="s">
        <v>397</v>
      </c>
      <c r="I272" s="31" t="s">
        <v>698</v>
      </c>
      <c r="J272" s="26" t="s">
        <v>653</v>
      </c>
      <c r="K272" s="27">
        <v>61</v>
      </c>
      <c r="L272" s="31" t="s">
        <v>601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611</v>
      </c>
      <c r="D273" s="31" t="s">
        <v>672</v>
      </c>
      <c r="E273" s="31" t="s">
        <v>673</v>
      </c>
      <c r="F273" s="31" t="s">
        <v>795</v>
      </c>
      <c r="G273" s="27">
        <v>4000</v>
      </c>
      <c r="H273" s="31" t="s">
        <v>54</v>
      </c>
      <c r="I273" s="31"/>
      <c r="J273" s="26" t="s">
        <v>606</v>
      </c>
      <c r="K273" s="27">
        <v>4000</v>
      </c>
      <c r="L273" s="31" t="s">
        <v>601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611</v>
      </c>
      <c r="D274" s="31" t="s">
        <v>672</v>
      </c>
      <c r="E274" s="31" t="s">
        <v>673</v>
      </c>
      <c r="F274" s="31" t="s">
        <v>796</v>
      </c>
      <c r="G274" s="27">
        <v>5700</v>
      </c>
      <c r="H274" s="31" t="s">
        <v>54</v>
      </c>
      <c r="I274" s="31"/>
      <c r="J274" s="26" t="s">
        <v>606</v>
      </c>
      <c r="K274" s="27">
        <v>5700</v>
      </c>
      <c r="L274" s="31" t="s">
        <v>601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611</v>
      </c>
      <c r="D275" s="31" t="s">
        <v>625</v>
      </c>
      <c r="E275" s="31"/>
      <c r="F275" s="31" t="s">
        <v>626</v>
      </c>
      <c r="G275" s="27">
        <v>1000</v>
      </c>
      <c r="H275" s="31" t="s">
        <v>54</v>
      </c>
      <c r="I275" s="31" t="s">
        <v>797</v>
      </c>
      <c r="J275" s="26" t="s">
        <v>606</v>
      </c>
      <c r="K275" s="27">
        <v>1000</v>
      </c>
      <c r="L275" s="31" t="s">
        <v>601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598</v>
      </c>
      <c r="D276" s="31" t="s">
        <v>452</v>
      </c>
      <c r="E276" s="31" t="s">
        <v>615</v>
      </c>
      <c r="F276" s="31" t="s">
        <v>798</v>
      </c>
      <c r="G276" s="27">
        <v>14100</v>
      </c>
      <c r="H276" s="31" t="s">
        <v>54</v>
      </c>
      <c r="I276" s="31"/>
      <c r="J276" s="26" t="s">
        <v>606</v>
      </c>
      <c r="K276" s="27">
        <v>14100</v>
      </c>
      <c r="L276" s="31" t="s">
        <v>601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598</v>
      </c>
      <c r="D277" s="31" t="s">
        <v>453</v>
      </c>
      <c r="E277" s="31"/>
      <c r="F277" s="31" t="s">
        <v>453</v>
      </c>
      <c r="G277" s="27">
        <v>10000</v>
      </c>
      <c r="H277" s="31" t="s">
        <v>54</v>
      </c>
      <c r="I277" s="31"/>
      <c r="J277" s="26" t="s">
        <v>609</v>
      </c>
      <c r="K277" s="27">
        <v>10000</v>
      </c>
      <c r="L277" s="31" t="s">
        <v>601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436</v>
      </c>
      <c r="D278" s="31" t="s">
        <v>650</v>
      </c>
      <c r="E278" s="31"/>
      <c r="F278" s="31" t="s">
        <v>687</v>
      </c>
      <c r="G278" s="27">
        <v>20000</v>
      </c>
      <c r="H278" s="31" t="s">
        <v>397</v>
      </c>
      <c r="I278" s="31"/>
      <c r="J278" s="26" t="s">
        <v>650</v>
      </c>
      <c r="K278" s="27">
        <v>20000</v>
      </c>
      <c r="L278" s="31" t="s">
        <v>601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660</v>
      </c>
      <c r="D279" s="31" t="s">
        <v>19</v>
      </c>
      <c r="E279" s="31"/>
      <c r="F279" s="31" t="s">
        <v>666</v>
      </c>
      <c r="G279" s="27">
        <v>61</v>
      </c>
      <c r="H279" s="31" t="s">
        <v>397</v>
      </c>
      <c r="I279" s="31" t="s">
        <v>698</v>
      </c>
      <c r="J279" s="26" t="s">
        <v>653</v>
      </c>
      <c r="K279" s="27">
        <v>61</v>
      </c>
      <c r="L279" s="31" t="s">
        <v>601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598</v>
      </c>
      <c r="D280" s="31" t="s">
        <v>672</v>
      </c>
      <c r="E280" s="31" t="s">
        <v>673</v>
      </c>
      <c r="F280" s="31" t="s">
        <v>799</v>
      </c>
      <c r="G280" s="27">
        <v>9800</v>
      </c>
      <c r="H280" s="31" t="s">
        <v>54</v>
      </c>
      <c r="I280" s="31"/>
      <c r="J280" s="26" t="s">
        <v>606</v>
      </c>
      <c r="K280" s="27">
        <v>9800</v>
      </c>
      <c r="L280" s="31" t="s">
        <v>601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598</v>
      </c>
      <c r="D281" s="31" t="s">
        <v>452</v>
      </c>
      <c r="E281" s="31" t="s">
        <v>612</v>
      </c>
      <c r="F281" s="31" t="s">
        <v>769</v>
      </c>
      <c r="G281" s="27">
        <v>6900</v>
      </c>
      <c r="H281" s="31" t="s">
        <v>54</v>
      </c>
      <c r="I281" s="31"/>
      <c r="J281" s="26" t="s">
        <v>606</v>
      </c>
      <c r="K281" s="27">
        <v>6900</v>
      </c>
      <c r="L281" s="31" t="s">
        <v>601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598</v>
      </c>
      <c r="D282" s="31" t="s">
        <v>452</v>
      </c>
      <c r="E282" s="31" t="s">
        <v>612</v>
      </c>
      <c r="F282" s="31" t="s">
        <v>739</v>
      </c>
      <c r="G282" s="27">
        <v>13000</v>
      </c>
      <c r="H282" s="31" t="s">
        <v>54</v>
      </c>
      <c r="I282" s="31"/>
      <c r="J282" s="26" t="s">
        <v>606</v>
      </c>
      <c r="K282" s="27">
        <v>13000</v>
      </c>
      <c r="L282" s="31" t="s">
        <v>601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660</v>
      </c>
      <c r="D283" s="31" t="s">
        <v>19</v>
      </c>
      <c r="E283" s="31"/>
      <c r="F283" s="31" t="s">
        <v>666</v>
      </c>
      <c r="G283" s="27">
        <v>61</v>
      </c>
      <c r="H283" s="31" t="s">
        <v>397</v>
      </c>
      <c r="I283" s="31" t="s">
        <v>698</v>
      </c>
      <c r="J283" s="26" t="s">
        <v>653</v>
      </c>
      <c r="K283" s="27">
        <v>61</v>
      </c>
      <c r="L283" s="31" t="s">
        <v>601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645</v>
      </c>
      <c r="D284" s="31" t="s">
        <v>172</v>
      </c>
      <c r="E284" s="31"/>
      <c r="F284" s="31" t="s">
        <v>72</v>
      </c>
      <c r="G284" s="27">
        <v>56770</v>
      </c>
      <c r="H284" s="31" t="s">
        <v>636</v>
      </c>
      <c r="I284" s="31"/>
      <c r="J284" s="26" t="s">
        <v>634</v>
      </c>
      <c r="K284" s="27">
        <v>56770</v>
      </c>
      <c r="L284" s="31" t="s">
        <v>601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172</v>
      </c>
      <c r="D285" s="31" t="s">
        <v>645</v>
      </c>
      <c r="E285" s="31"/>
      <c r="F285" s="31" t="s">
        <v>72</v>
      </c>
      <c r="G285" s="27">
        <v>56770</v>
      </c>
      <c r="H285" s="31" t="s">
        <v>633</v>
      </c>
      <c r="I285" s="31"/>
      <c r="J285" s="26" t="s">
        <v>634</v>
      </c>
      <c r="K285" s="27">
        <v>56770</v>
      </c>
      <c r="L285" s="31" t="s">
        <v>601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611</v>
      </c>
      <c r="D286" s="31" t="s">
        <v>705</v>
      </c>
      <c r="E286" s="31"/>
      <c r="F286" s="31" t="s">
        <v>341</v>
      </c>
      <c r="G286" s="27">
        <v>48620</v>
      </c>
      <c r="H286" s="31" t="s">
        <v>54</v>
      </c>
      <c r="I286" s="31"/>
      <c r="J286" s="26" t="s">
        <v>600</v>
      </c>
      <c r="K286" s="27">
        <v>48620</v>
      </c>
      <c r="L286" s="31" t="s">
        <v>601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660</v>
      </c>
      <c r="D287" s="31" t="s">
        <v>19</v>
      </c>
      <c r="E287" s="31"/>
      <c r="F287" s="31" t="s">
        <v>666</v>
      </c>
      <c r="G287" s="27">
        <v>61</v>
      </c>
      <c r="H287" s="31" t="s">
        <v>397</v>
      </c>
      <c r="I287" s="31" t="s">
        <v>698</v>
      </c>
      <c r="J287" s="26" t="s">
        <v>653</v>
      </c>
      <c r="K287" s="27">
        <v>61</v>
      </c>
      <c r="L287" s="31" t="s">
        <v>601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172</v>
      </c>
      <c r="D288" s="31" t="s">
        <v>716</v>
      </c>
      <c r="E288" s="31"/>
      <c r="F288" s="31" t="s">
        <v>657</v>
      </c>
      <c r="G288" s="27">
        <v>56770</v>
      </c>
      <c r="H288" s="31" t="s">
        <v>636</v>
      </c>
      <c r="I288" s="31"/>
      <c r="J288" s="26" t="s">
        <v>634</v>
      </c>
      <c r="K288" s="27">
        <v>56770</v>
      </c>
      <c r="L288" s="31" t="s">
        <v>601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716</v>
      </c>
      <c r="D289" s="31" t="s">
        <v>172</v>
      </c>
      <c r="E289" s="31"/>
      <c r="F289" s="31" t="s">
        <v>657</v>
      </c>
      <c r="G289" s="27">
        <v>56770</v>
      </c>
      <c r="H289" s="31" t="s">
        <v>633</v>
      </c>
      <c r="I289" s="31"/>
      <c r="J289" s="26" t="s">
        <v>634</v>
      </c>
      <c r="K289" s="27">
        <v>56770</v>
      </c>
      <c r="L289" s="31" t="s">
        <v>601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598</v>
      </c>
      <c r="D290" s="31" t="s">
        <v>672</v>
      </c>
      <c r="E290" s="31" t="s">
        <v>673</v>
      </c>
      <c r="F290" s="31" t="s">
        <v>795</v>
      </c>
      <c r="G290" s="27">
        <v>4000</v>
      </c>
      <c r="H290" s="31" t="s">
        <v>54</v>
      </c>
      <c r="I290" s="31"/>
      <c r="J290" s="26" t="s">
        <v>606</v>
      </c>
      <c r="K290" s="27">
        <v>4000</v>
      </c>
      <c r="L290" s="31" t="s">
        <v>601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598</v>
      </c>
      <c r="D291" s="31" t="s">
        <v>672</v>
      </c>
      <c r="E291" s="31" t="s">
        <v>673</v>
      </c>
      <c r="F291" s="31" t="s">
        <v>796</v>
      </c>
      <c r="G291" s="27">
        <v>13500</v>
      </c>
      <c r="H291" s="31" t="s">
        <v>54</v>
      </c>
      <c r="I291" s="31"/>
      <c r="J291" s="26" t="s">
        <v>606</v>
      </c>
      <c r="K291" s="27">
        <v>13500</v>
      </c>
      <c r="L291" s="31" t="s">
        <v>601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598</v>
      </c>
      <c r="D292" s="31" t="s">
        <v>453</v>
      </c>
      <c r="E292" s="31"/>
      <c r="F292" s="31" t="s">
        <v>453</v>
      </c>
      <c r="G292" s="27">
        <v>10000</v>
      </c>
      <c r="H292" s="31" t="s">
        <v>54</v>
      </c>
      <c r="I292" s="31"/>
      <c r="J292" s="26" t="s">
        <v>609</v>
      </c>
      <c r="K292" s="27">
        <v>10000</v>
      </c>
      <c r="L292" s="31" t="s">
        <v>601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598</v>
      </c>
      <c r="D293" s="31" t="s">
        <v>452</v>
      </c>
      <c r="E293" s="31" t="s">
        <v>612</v>
      </c>
      <c r="F293" s="31" t="s">
        <v>800</v>
      </c>
      <c r="G293" s="27">
        <v>10000</v>
      </c>
      <c r="H293" s="31" t="s">
        <v>54</v>
      </c>
      <c r="I293" s="31"/>
      <c r="J293" s="26" t="s">
        <v>606</v>
      </c>
      <c r="K293" s="27">
        <v>10000</v>
      </c>
      <c r="L293" s="31" t="s">
        <v>601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632</v>
      </c>
      <c r="D294" s="31" t="s">
        <v>267</v>
      </c>
      <c r="E294" s="31"/>
      <c r="F294" s="31" t="s">
        <v>801</v>
      </c>
      <c r="G294" s="27">
        <v>300000</v>
      </c>
      <c r="H294" s="31" t="s">
        <v>397</v>
      </c>
      <c r="I294" s="31"/>
      <c r="J294" s="26" t="s">
        <v>267</v>
      </c>
      <c r="K294" s="27">
        <v>300000</v>
      </c>
      <c r="L294" s="31" t="s">
        <v>601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611</v>
      </c>
      <c r="D295" s="31" t="s">
        <v>640</v>
      </c>
      <c r="E295" s="31"/>
      <c r="F295" s="31" t="s">
        <v>802</v>
      </c>
      <c r="G295" s="27">
        <v>74700</v>
      </c>
      <c r="H295" s="31" t="s">
        <v>54</v>
      </c>
      <c r="I295" s="31" t="s">
        <v>707</v>
      </c>
      <c r="J295" s="26" t="s">
        <v>600</v>
      </c>
      <c r="K295" s="27">
        <v>74700</v>
      </c>
      <c r="L295" s="31" t="s">
        <v>601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436</v>
      </c>
      <c r="D296" s="31" t="s">
        <v>650</v>
      </c>
      <c r="E296" s="31"/>
      <c r="F296" s="31" t="s">
        <v>687</v>
      </c>
      <c r="G296" s="27">
        <v>20000</v>
      </c>
      <c r="H296" s="31" t="s">
        <v>397</v>
      </c>
      <c r="I296" s="31"/>
      <c r="J296" s="26" t="s">
        <v>650</v>
      </c>
      <c r="K296" s="27">
        <v>20000</v>
      </c>
      <c r="L296" s="31" t="s">
        <v>601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660</v>
      </c>
      <c r="D297" s="31" t="s">
        <v>19</v>
      </c>
      <c r="E297" s="31"/>
      <c r="F297" s="31" t="s">
        <v>666</v>
      </c>
      <c r="G297" s="27">
        <v>61</v>
      </c>
      <c r="H297" s="31" t="s">
        <v>397</v>
      </c>
      <c r="I297" s="31" t="s">
        <v>698</v>
      </c>
      <c r="J297" s="26" t="s">
        <v>653</v>
      </c>
      <c r="K297" s="27">
        <v>61</v>
      </c>
      <c r="L297" s="31" t="s">
        <v>601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598</v>
      </c>
      <c r="D298" s="31" t="s">
        <v>452</v>
      </c>
      <c r="E298" s="31" t="s">
        <v>603</v>
      </c>
      <c r="F298" s="31" t="s">
        <v>803</v>
      </c>
      <c r="G298" s="27">
        <v>4300</v>
      </c>
      <c r="H298" s="31" t="s">
        <v>54</v>
      </c>
      <c r="I298" s="31"/>
      <c r="J298" s="26" t="s">
        <v>606</v>
      </c>
      <c r="K298" s="27">
        <v>4300</v>
      </c>
      <c r="L298" s="31" t="s">
        <v>601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187</v>
      </c>
      <c r="D299" s="31" t="s">
        <v>672</v>
      </c>
      <c r="E299" s="31" t="s">
        <v>673</v>
      </c>
      <c r="F299" s="31" t="s">
        <v>703</v>
      </c>
      <c r="G299" s="27">
        <v>-2500</v>
      </c>
      <c r="H299" s="31" t="s">
        <v>54</v>
      </c>
      <c r="I299" s="31" t="s">
        <v>804</v>
      </c>
      <c r="J299" s="26" t="s">
        <v>606</v>
      </c>
      <c r="K299" s="27">
        <v>-2500</v>
      </c>
      <c r="L299" s="31" t="s">
        <v>601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645</v>
      </c>
      <c r="D300" s="31" t="s">
        <v>19</v>
      </c>
      <c r="E300" s="31"/>
      <c r="F300" s="31" t="s">
        <v>805</v>
      </c>
      <c r="G300" s="27">
        <v>2100</v>
      </c>
      <c r="H300" s="31" t="s">
        <v>397</v>
      </c>
      <c r="I300" s="31"/>
      <c r="J300" s="26" t="s">
        <v>653</v>
      </c>
      <c r="K300" s="27">
        <v>2100</v>
      </c>
      <c r="L300" s="31" t="s">
        <v>601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598</v>
      </c>
      <c r="D301" s="31" t="s">
        <v>452</v>
      </c>
      <c r="E301" s="31" t="s">
        <v>612</v>
      </c>
      <c r="F301" s="31" t="s">
        <v>713</v>
      </c>
      <c r="G301" s="27">
        <v>13200</v>
      </c>
      <c r="H301" s="31" t="s">
        <v>54</v>
      </c>
      <c r="I301" s="31"/>
      <c r="J301" s="26" t="s">
        <v>606</v>
      </c>
      <c r="K301" s="27">
        <v>13200</v>
      </c>
      <c r="L301" s="31" t="s">
        <v>601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602</v>
      </c>
      <c r="D302" s="31" t="s">
        <v>645</v>
      </c>
      <c r="E302" s="31"/>
      <c r="F302" s="31" t="s">
        <v>657</v>
      </c>
      <c r="G302" s="27">
        <v>37100</v>
      </c>
      <c r="H302" s="31" t="s">
        <v>633</v>
      </c>
      <c r="I302" s="31"/>
      <c r="J302" s="26" t="s">
        <v>634</v>
      </c>
      <c r="K302" s="27">
        <v>37100</v>
      </c>
      <c r="L302" s="31" t="s">
        <v>601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645</v>
      </c>
      <c r="D303" s="31" t="s">
        <v>602</v>
      </c>
      <c r="E303" s="31"/>
      <c r="F303" s="31" t="s">
        <v>657</v>
      </c>
      <c r="G303" s="27">
        <v>37100</v>
      </c>
      <c r="H303" s="31" t="s">
        <v>636</v>
      </c>
      <c r="I303" s="31"/>
      <c r="J303" s="26" t="s">
        <v>634</v>
      </c>
      <c r="K303" s="27">
        <v>37100</v>
      </c>
      <c r="L303" s="31" t="s">
        <v>601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645</v>
      </c>
      <c r="D304" s="31" t="s">
        <v>598</v>
      </c>
      <c r="E304" s="31"/>
      <c r="F304" s="31" t="s">
        <v>657</v>
      </c>
      <c r="G304" s="27">
        <v>827974</v>
      </c>
      <c r="H304" s="31" t="s">
        <v>636</v>
      </c>
      <c r="I304" s="31"/>
      <c r="J304" s="26" t="s">
        <v>634</v>
      </c>
      <c r="K304" s="27">
        <v>827974</v>
      </c>
      <c r="L304" s="31" t="s">
        <v>601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598</v>
      </c>
      <c r="D305" s="31" t="s">
        <v>645</v>
      </c>
      <c r="E305" s="31"/>
      <c r="F305" s="31" t="s">
        <v>657</v>
      </c>
      <c r="G305" s="27">
        <v>827974</v>
      </c>
      <c r="H305" s="31" t="s">
        <v>633</v>
      </c>
      <c r="I305" s="31"/>
      <c r="J305" s="26" t="s">
        <v>634</v>
      </c>
      <c r="K305" s="27">
        <v>827974</v>
      </c>
      <c r="L305" s="31" t="s">
        <v>601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660</v>
      </c>
      <c r="D306" s="31" t="s">
        <v>19</v>
      </c>
      <c r="E306" s="31"/>
      <c r="F306" s="31" t="s">
        <v>666</v>
      </c>
      <c r="G306" s="27">
        <v>61</v>
      </c>
      <c r="H306" s="31" t="s">
        <v>397</v>
      </c>
      <c r="I306" s="31" t="s">
        <v>698</v>
      </c>
      <c r="J306" s="26" t="s">
        <v>653</v>
      </c>
      <c r="K306" s="27">
        <v>61</v>
      </c>
      <c r="L306" s="31" t="s">
        <v>601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598</v>
      </c>
      <c r="D307" s="31" t="s">
        <v>775</v>
      </c>
      <c r="E307" s="31"/>
      <c r="F307" s="31" t="s">
        <v>806</v>
      </c>
      <c r="G307" s="27">
        <v>17000</v>
      </c>
      <c r="H307" s="31" t="s">
        <v>54</v>
      </c>
      <c r="I307" s="31"/>
      <c r="J307" s="26" t="s">
        <v>606</v>
      </c>
      <c r="K307" s="27">
        <v>17000</v>
      </c>
      <c r="L307" s="31" t="s">
        <v>601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598</v>
      </c>
      <c r="D308" s="31" t="s">
        <v>625</v>
      </c>
      <c r="E308" s="31"/>
      <c r="F308" s="31" t="s">
        <v>626</v>
      </c>
      <c r="G308" s="27">
        <v>14000</v>
      </c>
      <c r="H308" s="31" t="s">
        <v>54</v>
      </c>
      <c r="I308" s="31" t="s">
        <v>807</v>
      </c>
      <c r="J308" s="26" t="s">
        <v>606</v>
      </c>
      <c r="K308" s="27">
        <v>14000</v>
      </c>
      <c r="L308" s="31" t="s">
        <v>601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598</v>
      </c>
      <c r="D309" s="31" t="s">
        <v>452</v>
      </c>
      <c r="E309" s="31" t="s">
        <v>603</v>
      </c>
      <c r="F309" s="31" t="s">
        <v>713</v>
      </c>
      <c r="G309" s="27">
        <v>1900</v>
      </c>
      <c r="H309" s="31" t="s">
        <v>54</v>
      </c>
      <c r="I309" s="31"/>
      <c r="J309" s="26" t="s">
        <v>606</v>
      </c>
      <c r="K309" s="27">
        <v>1900</v>
      </c>
      <c r="L309" s="31" t="s">
        <v>601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598</v>
      </c>
      <c r="D310" s="31" t="s">
        <v>625</v>
      </c>
      <c r="E310" s="31"/>
      <c r="F310" s="31" t="s">
        <v>626</v>
      </c>
      <c r="G310" s="27">
        <v>2000</v>
      </c>
      <c r="H310" s="31" t="s">
        <v>54</v>
      </c>
      <c r="I310" s="31" t="s">
        <v>808</v>
      </c>
      <c r="J310" s="26" t="s">
        <v>606</v>
      </c>
      <c r="K310" s="27">
        <v>2000</v>
      </c>
      <c r="L310" s="31" t="s">
        <v>601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598</v>
      </c>
      <c r="D311" s="31" t="s">
        <v>625</v>
      </c>
      <c r="E311" s="31"/>
      <c r="F311" s="31" t="s">
        <v>365</v>
      </c>
      <c r="G311" s="27">
        <v>18780</v>
      </c>
      <c r="H311" s="31" t="s">
        <v>54</v>
      </c>
      <c r="I311" s="31" t="s">
        <v>809</v>
      </c>
      <c r="J311" s="26" t="s">
        <v>606</v>
      </c>
      <c r="K311" s="27">
        <v>18780</v>
      </c>
      <c r="L311" s="31" t="s">
        <v>601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598</v>
      </c>
      <c r="D312" s="31" t="s">
        <v>452</v>
      </c>
      <c r="E312" s="31" t="s">
        <v>621</v>
      </c>
      <c r="F312" s="31" t="s">
        <v>682</v>
      </c>
      <c r="G312" s="27">
        <v>29900</v>
      </c>
      <c r="H312" s="31" t="s">
        <v>54</v>
      </c>
      <c r="I312" s="31" t="s">
        <v>810</v>
      </c>
      <c r="J312" s="26" t="s">
        <v>606</v>
      </c>
      <c r="K312" s="27">
        <v>29900</v>
      </c>
      <c r="L312" s="31" t="s">
        <v>601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598</v>
      </c>
      <c r="D313" s="31" t="s">
        <v>705</v>
      </c>
      <c r="E313" s="31"/>
      <c r="F313" s="31" t="s">
        <v>717</v>
      </c>
      <c r="G313" s="27">
        <v>12400</v>
      </c>
      <c r="H313" s="31" t="s">
        <v>54</v>
      </c>
      <c r="I313" s="31"/>
      <c r="J313" s="26" t="s">
        <v>600</v>
      </c>
      <c r="K313" s="27">
        <v>12400</v>
      </c>
      <c r="L313" s="31" t="s">
        <v>601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660</v>
      </c>
      <c r="D314" s="31" t="s">
        <v>19</v>
      </c>
      <c r="E314" s="31"/>
      <c r="F314" s="31" t="s">
        <v>666</v>
      </c>
      <c r="G314" s="27">
        <v>61</v>
      </c>
      <c r="H314" s="31" t="s">
        <v>397</v>
      </c>
      <c r="I314" s="31" t="s">
        <v>698</v>
      </c>
      <c r="J314" s="26" t="s">
        <v>653</v>
      </c>
      <c r="K314" s="27">
        <v>61</v>
      </c>
      <c r="L314" s="31" t="s">
        <v>601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598</v>
      </c>
      <c r="D315" s="31" t="s">
        <v>452</v>
      </c>
      <c r="E315" s="31" t="s">
        <v>621</v>
      </c>
      <c r="F315" s="31" t="s">
        <v>682</v>
      </c>
      <c r="G315" s="27">
        <v>14300</v>
      </c>
      <c r="H315" s="31" t="s">
        <v>54</v>
      </c>
      <c r="I315" s="31" t="s">
        <v>811</v>
      </c>
      <c r="J315" s="26" t="s">
        <v>606</v>
      </c>
      <c r="K315" s="27">
        <v>14300</v>
      </c>
      <c r="L315" s="31" t="s">
        <v>601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598</v>
      </c>
      <c r="D316" s="31" t="s">
        <v>452</v>
      </c>
      <c r="E316" s="31" t="s">
        <v>603</v>
      </c>
      <c r="F316" s="31" t="s">
        <v>604</v>
      </c>
      <c r="G316" s="27">
        <v>3000</v>
      </c>
      <c r="H316" s="31" t="s">
        <v>54</v>
      </c>
      <c r="I316" s="31" t="s">
        <v>688</v>
      </c>
      <c r="J316" s="26" t="s">
        <v>606</v>
      </c>
      <c r="K316" s="27">
        <v>3000</v>
      </c>
      <c r="L316" s="31" t="s">
        <v>601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645</v>
      </c>
      <c r="D317" s="31" t="s">
        <v>681</v>
      </c>
      <c r="E317" s="31"/>
      <c r="F317" s="31" t="s">
        <v>657</v>
      </c>
      <c r="G317" s="27">
        <v>23390</v>
      </c>
      <c r="H317" s="31" t="s">
        <v>636</v>
      </c>
      <c r="I317" s="31"/>
      <c r="J317" s="26" t="s">
        <v>634</v>
      </c>
      <c r="K317" s="27">
        <v>23390</v>
      </c>
      <c r="L317" s="31" t="s">
        <v>601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681</v>
      </c>
      <c r="D318" s="31" t="s">
        <v>645</v>
      </c>
      <c r="E318" s="31"/>
      <c r="F318" s="31" t="s">
        <v>657</v>
      </c>
      <c r="G318" s="27">
        <v>23390</v>
      </c>
      <c r="H318" s="31" t="s">
        <v>633</v>
      </c>
      <c r="I318" s="31"/>
      <c r="J318" s="26" t="s">
        <v>634</v>
      </c>
      <c r="K318" s="27">
        <v>23390</v>
      </c>
      <c r="L318" s="31" t="s">
        <v>601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645</v>
      </c>
      <c r="D319" s="31" t="s">
        <v>611</v>
      </c>
      <c r="E319" s="31"/>
      <c r="F319" s="31" t="s">
        <v>657</v>
      </c>
      <c r="G319" s="27">
        <v>712666</v>
      </c>
      <c r="H319" s="31" t="s">
        <v>636</v>
      </c>
      <c r="I319" s="31"/>
      <c r="J319" s="26" t="s">
        <v>634</v>
      </c>
      <c r="K319" s="27">
        <v>712666</v>
      </c>
      <c r="L319" s="31" t="s">
        <v>601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611</v>
      </c>
      <c r="D320" s="31" t="s">
        <v>645</v>
      </c>
      <c r="E320" s="31"/>
      <c r="F320" s="31" t="s">
        <v>657</v>
      </c>
      <c r="G320" s="27">
        <v>712666</v>
      </c>
      <c r="H320" s="31" t="s">
        <v>633</v>
      </c>
      <c r="I320" s="31"/>
      <c r="J320" s="26" t="s">
        <v>634</v>
      </c>
      <c r="K320" s="27">
        <v>712666</v>
      </c>
      <c r="L320" s="31" t="s">
        <v>601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645</v>
      </c>
      <c r="D321" s="31" t="s">
        <v>19</v>
      </c>
      <c r="E321" s="31"/>
      <c r="F321" s="31" t="s">
        <v>726</v>
      </c>
      <c r="G321" s="27">
        <v>1221</v>
      </c>
      <c r="H321" s="31" t="s">
        <v>397</v>
      </c>
      <c r="I321" s="31"/>
      <c r="J321" s="26" t="s">
        <v>653</v>
      </c>
      <c r="K321" s="27">
        <v>1221</v>
      </c>
      <c r="L321" s="31" t="s">
        <v>601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660</v>
      </c>
      <c r="D322" s="31" t="s">
        <v>645</v>
      </c>
      <c r="E322" s="31"/>
      <c r="F322" s="31" t="s">
        <v>72</v>
      </c>
      <c r="G322" s="27">
        <v>5914</v>
      </c>
      <c r="H322" s="31" t="s">
        <v>633</v>
      </c>
      <c r="I322" s="31"/>
      <c r="J322" s="26" t="s">
        <v>634</v>
      </c>
      <c r="K322" s="27">
        <v>5914</v>
      </c>
      <c r="L322" s="31" t="s">
        <v>601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645</v>
      </c>
      <c r="D323" s="31" t="s">
        <v>660</v>
      </c>
      <c r="E323" s="31"/>
      <c r="F323" s="31" t="s">
        <v>72</v>
      </c>
      <c r="G323" s="27">
        <v>5914</v>
      </c>
      <c r="H323" s="31" t="s">
        <v>636</v>
      </c>
      <c r="I323" s="31"/>
      <c r="J323" s="26" t="s">
        <v>634</v>
      </c>
      <c r="K323" s="27">
        <v>5914</v>
      </c>
      <c r="L323" s="31" t="s">
        <v>601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660</v>
      </c>
      <c r="D324" s="31" t="s">
        <v>695</v>
      </c>
      <c r="E324" s="31"/>
      <c r="F324" s="31" t="s">
        <v>72</v>
      </c>
      <c r="G324" s="27">
        <v>122500</v>
      </c>
      <c r="H324" s="31" t="s">
        <v>633</v>
      </c>
      <c r="I324" s="31"/>
      <c r="J324" s="26" t="s">
        <v>634</v>
      </c>
      <c r="K324" s="27">
        <v>122500</v>
      </c>
      <c r="L324" s="31" t="s">
        <v>601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695</v>
      </c>
      <c r="D325" s="31" t="s">
        <v>660</v>
      </c>
      <c r="E325" s="31"/>
      <c r="F325" s="31" t="s">
        <v>72</v>
      </c>
      <c r="G325" s="27">
        <v>122500</v>
      </c>
      <c r="H325" s="31" t="s">
        <v>636</v>
      </c>
      <c r="I325" s="31"/>
      <c r="J325" s="26" t="s">
        <v>634</v>
      </c>
      <c r="K325" s="27">
        <v>122500</v>
      </c>
      <c r="L325" s="31" t="s">
        <v>601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691</v>
      </c>
      <c r="D326" s="31" t="s">
        <v>660</v>
      </c>
      <c r="E326" s="31"/>
      <c r="F326" s="31" t="s">
        <v>72</v>
      </c>
      <c r="G326" s="27">
        <v>100000</v>
      </c>
      <c r="H326" s="31" t="s">
        <v>636</v>
      </c>
      <c r="I326" s="31"/>
      <c r="J326" s="26" t="s">
        <v>634</v>
      </c>
      <c r="K326" s="27">
        <v>100000</v>
      </c>
      <c r="L326" s="31" t="s">
        <v>601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660</v>
      </c>
      <c r="D327" s="31" t="s">
        <v>691</v>
      </c>
      <c r="E327" s="31"/>
      <c r="F327" s="31" t="s">
        <v>72</v>
      </c>
      <c r="G327" s="27">
        <v>100000</v>
      </c>
      <c r="H327" s="31" t="s">
        <v>633</v>
      </c>
      <c r="I327" s="31"/>
      <c r="J327" s="26" t="s">
        <v>634</v>
      </c>
      <c r="K327" s="27">
        <v>100000</v>
      </c>
      <c r="L327" s="31" t="s">
        <v>601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660</v>
      </c>
      <c r="D328" s="31" t="s">
        <v>19</v>
      </c>
      <c r="E328" s="31"/>
      <c r="F328" s="31" t="s">
        <v>666</v>
      </c>
      <c r="G328" s="27">
        <v>61</v>
      </c>
      <c r="H328" s="31" t="s">
        <v>397</v>
      </c>
      <c r="I328" s="31" t="s">
        <v>698</v>
      </c>
      <c r="J328" s="26" t="s">
        <v>653</v>
      </c>
      <c r="K328" s="27">
        <v>61</v>
      </c>
      <c r="L328" s="31" t="s">
        <v>601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660</v>
      </c>
      <c r="D329" s="31" t="s">
        <v>754</v>
      </c>
      <c r="E329" s="31"/>
      <c r="F329" s="31" t="s">
        <v>812</v>
      </c>
      <c r="G329" s="27">
        <v>154</v>
      </c>
      <c r="H329" s="31" t="s">
        <v>636</v>
      </c>
      <c r="I329" s="31"/>
      <c r="J329" s="26" t="s">
        <v>634</v>
      </c>
      <c r="K329" s="27">
        <v>154</v>
      </c>
      <c r="L329" s="31" t="s">
        <v>601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754</v>
      </c>
      <c r="D330" s="31" t="s">
        <v>660</v>
      </c>
      <c r="E330" s="31"/>
      <c r="F330" s="31" t="s">
        <v>812</v>
      </c>
      <c r="G330" s="27">
        <v>154</v>
      </c>
      <c r="H330" s="31" t="s">
        <v>633</v>
      </c>
      <c r="I330" s="31"/>
      <c r="J330" s="26" t="s">
        <v>634</v>
      </c>
      <c r="K330" s="27">
        <v>154</v>
      </c>
      <c r="L330" s="31" t="s">
        <v>601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660</v>
      </c>
      <c r="D331" s="31" t="s">
        <v>690</v>
      </c>
      <c r="E331" s="31"/>
      <c r="F331" s="31" t="s">
        <v>812</v>
      </c>
      <c r="G331" s="27">
        <v>1510</v>
      </c>
      <c r="H331" s="31" t="s">
        <v>636</v>
      </c>
      <c r="I331" s="31"/>
      <c r="J331" s="26" t="s">
        <v>634</v>
      </c>
      <c r="K331" s="27">
        <v>1510</v>
      </c>
      <c r="L331" s="31" t="s">
        <v>601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690</v>
      </c>
      <c r="D332" s="31" t="s">
        <v>660</v>
      </c>
      <c r="E332" s="31"/>
      <c r="F332" s="31" t="s">
        <v>812</v>
      </c>
      <c r="G332" s="27">
        <v>1510</v>
      </c>
      <c r="H332" s="31" t="s">
        <v>633</v>
      </c>
      <c r="I332" s="31"/>
      <c r="J332" s="26" t="s">
        <v>634</v>
      </c>
      <c r="K332" s="27">
        <v>1510</v>
      </c>
      <c r="L332" s="31" t="s">
        <v>601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660</v>
      </c>
      <c r="D333" s="31" t="s">
        <v>689</v>
      </c>
      <c r="E333" s="31"/>
      <c r="F333" s="31" t="s">
        <v>812</v>
      </c>
      <c r="G333" s="27">
        <v>257</v>
      </c>
      <c r="H333" s="31" t="s">
        <v>636</v>
      </c>
      <c r="I333" s="31"/>
      <c r="J333" s="26" t="s">
        <v>634</v>
      </c>
      <c r="K333" s="27">
        <v>257</v>
      </c>
      <c r="L333" s="31" t="s">
        <v>601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689</v>
      </c>
      <c r="D334" s="31" t="s">
        <v>660</v>
      </c>
      <c r="E334" s="31"/>
      <c r="F334" s="31" t="s">
        <v>812</v>
      </c>
      <c r="G334" s="27">
        <v>257</v>
      </c>
      <c r="H334" s="31" t="s">
        <v>633</v>
      </c>
      <c r="I334" s="31"/>
      <c r="J334" s="26" t="s">
        <v>634</v>
      </c>
      <c r="K334" s="27">
        <v>257</v>
      </c>
      <c r="L334" s="31" t="s">
        <v>601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166</v>
      </c>
      <c r="D335" s="31" t="s">
        <v>19</v>
      </c>
      <c r="E335" s="31"/>
      <c r="F335" s="31" t="s">
        <v>813</v>
      </c>
      <c r="G335" s="27">
        <v>3</v>
      </c>
      <c r="H335" s="31" t="s">
        <v>397</v>
      </c>
      <c r="I335" s="31"/>
      <c r="J335" s="26" t="s">
        <v>653</v>
      </c>
      <c r="K335" s="27">
        <v>3</v>
      </c>
      <c r="L335" s="31" t="s">
        <v>601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187</v>
      </c>
      <c r="D336" s="31" t="s">
        <v>695</v>
      </c>
      <c r="E336" s="31"/>
      <c r="F336" s="31" t="s">
        <v>72</v>
      </c>
      <c r="G336" s="27">
        <v>21500</v>
      </c>
      <c r="H336" s="31" t="s">
        <v>636</v>
      </c>
      <c r="I336" s="31" t="s">
        <v>814</v>
      </c>
      <c r="J336" s="26" t="s">
        <v>634</v>
      </c>
      <c r="K336" s="27">
        <v>21500</v>
      </c>
      <c r="L336" s="31" t="s">
        <v>601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695</v>
      </c>
      <c r="D337" s="31" t="s">
        <v>187</v>
      </c>
      <c r="E337" s="31"/>
      <c r="F337" s="31" t="s">
        <v>72</v>
      </c>
      <c r="G337" s="27">
        <v>21500</v>
      </c>
      <c r="H337" s="31" t="s">
        <v>633</v>
      </c>
      <c r="I337" s="31" t="s">
        <v>814</v>
      </c>
      <c r="J337" s="26" t="s">
        <v>634</v>
      </c>
      <c r="K337" s="27">
        <v>21500</v>
      </c>
      <c r="L337" s="31" t="s">
        <v>601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598</v>
      </c>
      <c r="D338" s="31" t="s">
        <v>452</v>
      </c>
      <c r="E338" s="31" t="s">
        <v>603</v>
      </c>
      <c r="F338" s="31" t="s">
        <v>815</v>
      </c>
      <c r="G338" s="27">
        <v>4800</v>
      </c>
      <c r="H338" s="31" t="s">
        <v>54</v>
      </c>
      <c r="I338" s="31"/>
      <c r="J338" s="26" t="s">
        <v>606</v>
      </c>
      <c r="K338" s="27">
        <v>4800</v>
      </c>
      <c r="L338" s="31" t="s">
        <v>601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598</v>
      </c>
      <c r="D339" s="31" t="s">
        <v>452</v>
      </c>
      <c r="E339" s="31" t="s">
        <v>603</v>
      </c>
      <c r="F339" s="31" t="s">
        <v>604</v>
      </c>
      <c r="G339" s="27">
        <v>3900</v>
      </c>
      <c r="H339" s="31" t="s">
        <v>54</v>
      </c>
      <c r="I339" s="31" t="s">
        <v>688</v>
      </c>
      <c r="J339" s="26" t="s">
        <v>606</v>
      </c>
      <c r="K339" s="27">
        <v>3900</v>
      </c>
      <c r="L339" s="31" t="s">
        <v>601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598</v>
      </c>
      <c r="D340" s="31" t="s">
        <v>640</v>
      </c>
      <c r="E340" s="31"/>
      <c r="F340" s="31" t="s">
        <v>365</v>
      </c>
      <c r="G340" s="27">
        <v>17900</v>
      </c>
      <c r="H340" s="31" t="s">
        <v>54</v>
      </c>
      <c r="I340" s="31" t="s">
        <v>816</v>
      </c>
      <c r="J340" s="26" t="s">
        <v>606</v>
      </c>
      <c r="K340" s="27">
        <v>17900</v>
      </c>
      <c r="L340" s="31" t="s">
        <v>601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598</v>
      </c>
      <c r="D341" s="31" t="s">
        <v>452</v>
      </c>
      <c r="E341" s="31" t="s">
        <v>621</v>
      </c>
      <c r="F341" s="31" t="s">
        <v>682</v>
      </c>
      <c r="G341" s="27">
        <v>21700</v>
      </c>
      <c r="H341" s="31" t="s">
        <v>54</v>
      </c>
      <c r="I341" s="31" t="s">
        <v>817</v>
      </c>
      <c r="J341" s="26" t="s">
        <v>606</v>
      </c>
      <c r="K341" s="27">
        <v>21700</v>
      </c>
      <c r="L341" s="31" t="s">
        <v>601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598</v>
      </c>
      <c r="D342" s="31" t="s">
        <v>741</v>
      </c>
      <c r="E342" s="31" t="s">
        <v>457</v>
      </c>
      <c r="F342" s="31" t="s">
        <v>818</v>
      </c>
      <c r="G342" s="27">
        <v>12530</v>
      </c>
      <c r="H342" s="31" t="s">
        <v>54</v>
      </c>
      <c r="I342" s="31" t="s">
        <v>95</v>
      </c>
      <c r="J342" s="26" t="s">
        <v>614</v>
      </c>
      <c r="K342" s="27">
        <v>12530</v>
      </c>
      <c r="L342" s="31" t="s">
        <v>601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598</v>
      </c>
      <c r="D343" s="31" t="s">
        <v>452</v>
      </c>
      <c r="E343" s="31" t="s">
        <v>714</v>
      </c>
      <c r="F343" s="31" t="s">
        <v>604</v>
      </c>
      <c r="G343" s="27">
        <v>4300</v>
      </c>
      <c r="H343" s="31" t="s">
        <v>54</v>
      </c>
      <c r="I343" s="31" t="s">
        <v>63</v>
      </c>
      <c r="J343" s="26" t="s">
        <v>606</v>
      </c>
      <c r="K343" s="27">
        <v>4300</v>
      </c>
      <c r="L343" s="31" t="s">
        <v>601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598</v>
      </c>
      <c r="D344" s="31" t="s">
        <v>452</v>
      </c>
      <c r="E344" s="31" t="s">
        <v>603</v>
      </c>
      <c r="F344" s="31" t="s">
        <v>604</v>
      </c>
      <c r="G344" s="27">
        <v>8800</v>
      </c>
      <c r="H344" s="31" t="s">
        <v>54</v>
      </c>
      <c r="I344" s="31" t="s">
        <v>697</v>
      </c>
      <c r="J344" s="26" t="s">
        <v>606</v>
      </c>
      <c r="K344" s="27">
        <v>8800</v>
      </c>
      <c r="L344" s="31" t="s">
        <v>601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598</v>
      </c>
      <c r="D345" s="31" t="s">
        <v>705</v>
      </c>
      <c r="E345" s="31"/>
      <c r="F345" s="31" t="s">
        <v>123</v>
      </c>
      <c r="G345" s="27">
        <v>16500</v>
      </c>
      <c r="H345" s="31" t="s">
        <v>54</v>
      </c>
      <c r="I345" s="31"/>
      <c r="J345" s="26" t="s">
        <v>600</v>
      </c>
      <c r="K345" s="27">
        <v>16500</v>
      </c>
      <c r="L345" s="31" t="s">
        <v>601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660</v>
      </c>
      <c r="D346" s="31" t="s">
        <v>19</v>
      </c>
      <c r="E346" s="31"/>
      <c r="F346" s="31" t="s">
        <v>666</v>
      </c>
      <c r="G346" s="27">
        <v>9</v>
      </c>
      <c r="H346" s="31" t="s">
        <v>397</v>
      </c>
      <c r="I346" s="31"/>
      <c r="J346" s="26" t="s">
        <v>653</v>
      </c>
      <c r="K346" s="27">
        <v>9</v>
      </c>
      <c r="L346" s="31" t="s">
        <v>601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690</v>
      </c>
      <c r="D347" s="31" t="s">
        <v>19</v>
      </c>
      <c r="E347" s="31"/>
      <c r="F347" s="31" t="s">
        <v>666</v>
      </c>
      <c r="G347" s="27">
        <v>40</v>
      </c>
      <c r="H347" s="31" t="s">
        <v>397</v>
      </c>
      <c r="I347" s="31"/>
      <c r="J347" s="26" t="s">
        <v>653</v>
      </c>
      <c r="K347" s="27">
        <v>40</v>
      </c>
      <c r="L347" s="31" t="s">
        <v>601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689</v>
      </c>
      <c r="D348" s="31" t="s">
        <v>19</v>
      </c>
      <c r="E348" s="31"/>
      <c r="F348" s="31" t="s">
        <v>666</v>
      </c>
      <c r="G348" s="27">
        <v>7</v>
      </c>
      <c r="H348" s="31" t="s">
        <v>397</v>
      </c>
      <c r="I348" s="31"/>
      <c r="J348" s="26" t="s">
        <v>653</v>
      </c>
      <c r="K348" s="27">
        <v>7</v>
      </c>
      <c r="L348" s="31" t="s">
        <v>601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754</v>
      </c>
      <c r="D349" s="31" t="s">
        <v>19</v>
      </c>
      <c r="E349" s="31"/>
      <c r="F349" s="31" t="s">
        <v>666</v>
      </c>
      <c r="G349" s="27">
        <v>7</v>
      </c>
      <c r="H349" s="31" t="s">
        <v>397</v>
      </c>
      <c r="I349" s="31"/>
      <c r="J349" s="26" t="s">
        <v>653</v>
      </c>
      <c r="K349" s="27">
        <v>7</v>
      </c>
      <c r="L349" s="31" t="s">
        <v>601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660</v>
      </c>
      <c r="D350" s="31" t="s">
        <v>19</v>
      </c>
      <c r="E350" s="31"/>
      <c r="F350" s="31" t="s">
        <v>666</v>
      </c>
      <c r="G350" s="27">
        <v>8</v>
      </c>
      <c r="H350" s="31" t="s">
        <v>397</v>
      </c>
      <c r="I350" s="31"/>
      <c r="J350" s="26" t="s">
        <v>653</v>
      </c>
      <c r="K350" s="27">
        <v>8</v>
      </c>
      <c r="L350" s="31" t="s">
        <v>601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695</v>
      </c>
      <c r="D351" s="31" t="s">
        <v>19</v>
      </c>
      <c r="E351" s="31"/>
      <c r="F351" s="31" t="s">
        <v>666</v>
      </c>
      <c r="G351" s="27">
        <v>1</v>
      </c>
      <c r="H351" s="31" t="s">
        <v>397</v>
      </c>
      <c r="I351" s="31"/>
      <c r="J351" s="26" t="s">
        <v>653</v>
      </c>
      <c r="K351" s="27">
        <v>1</v>
      </c>
      <c r="L351" s="31" t="s">
        <v>601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690</v>
      </c>
      <c r="D352" s="31" t="s">
        <v>19</v>
      </c>
      <c r="E352" s="31"/>
      <c r="F352" s="31" t="s">
        <v>666</v>
      </c>
      <c r="G352" s="27">
        <v>40</v>
      </c>
      <c r="H352" s="31" t="s">
        <v>397</v>
      </c>
      <c r="I352" s="31"/>
      <c r="J352" s="26" t="s">
        <v>653</v>
      </c>
      <c r="K352" s="27">
        <v>40</v>
      </c>
      <c r="L352" s="31" t="s">
        <v>601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689</v>
      </c>
      <c r="D353" s="31" t="s">
        <v>19</v>
      </c>
      <c r="E353" s="31"/>
      <c r="F353" s="31" t="s">
        <v>666</v>
      </c>
      <c r="G353" s="27">
        <v>7</v>
      </c>
      <c r="H353" s="31" t="s">
        <v>397</v>
      </c>
      <c r="I353" s="31"/>
      <c r="J353" s="26" t="s">
        <v>653</v>
      </c>
      <c r="K353" s="27">
        <v>7</v>
      </c>
      <c r="L353" s="31" t="s">
        <v>601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754</v>
      </c>
      <c r="D354" s="31" t="s">
        <v>19</v>
      </c>
      <c r="E354" s="31"/>
      <c r="F354" s="31" t="s">
        <v>666</v>
      </c>
      <c r="G354" s="27">
        <v>7</v>
      </c>
      <c r="H354" s="31" t="s">
        <v>397</v>
      </c>
      <c r="I354" s="31"/>
      <c r="J354" s="26" t="s">
        <v>653</v>
      </c>
      <c r="K354" s="27">
        <v>7</v>
      </c>
      <c r="L354" s="31" t="s">
        <v>601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598</v>
      </c>
      <c r="D355" s="31" t="s">
        <v>452</v>
      </c>
      <c r="E355" s="31" t="s">
        <v>603</v>
      </c>
      <c r="F355" s="31" t="s">
        <v>643</v>
      </c>
      <c r="G355" s="27">
        <v>1500</v>
      </c>
      <c r="H355" s="31" t="s">
        <v>54</v>
      </c>
      <c r="I355" s="31"/>
      <c r="J355" s="26" t="s">
        <v>606</v>
      </c>
      <c r="K355" s="27">
        <v>1500</v>
      </c>
      <c r="L355" s="31" t="s">
        <v>601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754</v>
      </c>
      <c r="D356" s="31" t="s">
        <v>735</v>
      </c>
      <c r="E356" s="31"/>
      <c r="F356" s="31" t="s">
        <v>819</v>
      </c>
      <c r="G356" s="27">
        <v>200000</v>
      </c>
      <c r="H356" s="31" t="s">
        <v>54</v>
      </c>
      <c r="I356" s="31"/>
      <c r="J356" s="26" t="s">
        <v>618</v>
      </c>
      <c r="K356" s="27">
        <v>200000</v>
      </c>
      <c r="L356" s="31" t="s">
        <v>446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598</v>
      </c>
      <c r="D357" s="31" t="s">
        <v>452</v>
      </c>
      <c r="E357" s="31" t="s">
        <v>612</v>
      </c>
      <c r="F357" s="31" t="s">
        <v>731</v>
      </c>
      <c r="G357" s="27">
        <v>12000</v>
      </c>
      <c r="H357" s="31" t="s">
        <v>54</v>
      </c>
      <c r="I357" s="31"/>
      <c r="J357" s="26" t="s">
        <v>606</v>
      </c>
      <c r="K357" s="27">
        <v>12000</v>
      </c>
      <c r="L357" s="31" t="s">
        <v>601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166</v>
      </c>
      <c r="D358" s="31" t="s">
        <v>19</v>
      </c>
      <c r="E358" s="31"/>
      <c r="F358" s="31" t="s">
        <v>813</v>
      </c>
      <c r="G358" s="27">
        <v>5</v>
      </c>
      <c r="H358" s="31" t="s">
        <v>397</v>
      </c>
      <c r="I358" s="31"/>
      <c r="J358" s="26" t="s">
        <v>653</v>
      </c>
      <c r="K358" s="27">
        <v>5</v>
      </c>
      <c r="L358" s="31" t="s">
        <v>601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660</v>
      </c>
      <c r="D359" s="31" t="s">
        <v>19</v>
      </c>
      <c r="E359" s="31"/>
      <c r="F359" s="31" t="s">
        <v>666</v>
      </c>
      <c r="G359" s="27">
        <v>8</v>
      </c>
      <c r="H359" s="31" t="s">
        <v>397</v>
      </c>
      <c r="I359" s="31"/>
      <c r="J359" s="26" t="s">
        <v>653</v>
      </c>
      <c r="K359" s="27">
        <v>8</v>
      </c>
      <c r="L359" s="31" t="s">
        <v>601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690</v>
      </c>
      <c r="D360" s="31" t="s">
        <v>19</v>
      </c>
      <c r="E360" s="31"/>
      <c r="F360" s="31" t="s">
        <v>666</v>
      </c>
      <c r="G360" s="27">
        <v>40</v>
      </c>
      <c r="H360" s="31" t="s">
        <v>397</v>
      </c>
      <c r="I360" s="31"/>
      <c r="J360" s="26" t="s">
        <v>653</v>
      </c>
      <c r="K360" s="27">
        <v>40</v>
      </c>
      <c r="L360" s="31" t="s">
        <v>601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689</v>
      </c>
      <c r="D361" s="31" t="s">
        <v>19</v>
      </c>
      <c r="E361" s="31"/>
      <c r="F361" s="31" t="s">
        <v>666</v>
      </c>
      <c r="G361" s="27">
        <v>7</v>
      </c>
      <c r="H361" s="31" t="s">
        <v>397</v>
      </c>
      <c r="I361" s="31"/>
      <c r="J361" s="26" t="s">
        <v>653</v>
      </c>
      <c r="K361" s="27">
        <v>7</v>
      </c>
      <c r="L361" s="31" t="s">
        <v>601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754</v>
      </c>
      <c r="D362" s="31" t="s">
        <v>19</v>
      </c>
      <c r="E362" s="31"/>
      <c r="F362" s="31" t="s">
        <v>666</v>
      </c>
      <c r="G362" s="27">
        <v>7</v>
      </c>
      <c r="H362" s="31" t="s">
        <v>397</v>
      </c>
      <c r="I362" s="31"/>
      <c r="J362" s="26" t="s">
        <v>653</v>
      </c>
      <c r="K362" s="27">
        <v>7</v>
      </c>
      <c r="L362" s="31" t="s">
        <v>601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754</v>
      </c>
      <c r="D363" s="31" t="s">
        <v>660</v>
      </c>
      <c r="E363" s="31"/>
      <c r="F363" s="31" t="s">
        <v>72</v>
      </c>
      <c r="G363" s="27">
        <v>175</v>
      </c>
      <c r="H363" s="31" t="s">
        <v>636</v>
      </c>
      <c r="I363" s="31"/>
      <c r="J363" s="26" t="s">
        <v>634</v>
      </c>
      <c r="K363" s="27">
        <v>175</v>
      </c>
      <c r="L363" s="31" t="s">
        <v>601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660</v>
      </c>
      <c r="D364" s="31" t="s">
        <v>754</v>
      </c>
      <c r="E364" s="31"/>
      <c r="F364" s="31" t="s">
        <v>72</v>
      </c>
      <c r="G364" s="27">
        <v>175</v>
      </c>
      <c r="H364" s="31" t="s">
        <v>633</v>
      </c>
      <c r="I364" s="31"/>
      <c r="J364" s="26" t="s">
        <v>634</v>
      </c>
      <c r="K364" s="27">
        <v>175</v>
      </c>
      <c r="L364" s="31" t="s">
        <v>601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598</v>
      </c>
      <c r="D365" s="31" t="s">
        <v>452</v>
      </c>
      <c r="E365" s="31" t="s">
        <v>603</v>
      </c>
      <c r="F365" s="31" t="s">
        <v>820</v>
      </c>
      <c r="G365" s="27">
        <v>4500</v>
      </c>
      <c r="H365" s="31" t="s">
        <v>54</v>
      </c>
      <c r="I365" s="31" t="s">
        <v>821</v>
      </c>
      <c r="J365" s="26" t="s">
        <v>606</v>
      </c>
      <c r="K365" s="27">
        <v>4500</v>
      </c>
      <c r="L365" s="31" t="s">
        <v>601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598</v>
      </c>
      <c r="D366" s="31" t="s">
        <v>452</v>
      </c>
      <c r="E366" s="31" t="s">
        <v>603</v>
      </c>
      <c r="F366" s="31" t="s">
        <v>713</v>
      </c>
      <c r="G366" s="27">
        <v>4300</v>
      </c>
      <c r="H366" s="31" t="s">
        <v>54</v>
      </c>
      <c r="I366" s="31"/>
      <c r="J366" s="26" t="s">
        <v>606</v>
      </c>
      <c r="K366" s="27">
        <v>4300</v>
      </c>
      <c r="L366" s="31" t="s">
        <v>601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695</v>
      </c>
      <c r="D367" s="31" t="s">
        <v>19</v>
      </c>
      <c r="E367" s="31"/>
      <c r="F367" s="31" t="s">
        <v>666</v>
      </c>
      <c r="G367" s="27">
        <v>1</v>
      </c>
      <c r="H367" s="31" t="s">
        <v>397</v>
      </c>
      <c r="I367" s="31"/>
      <c r="J367" s="26" t="s">
        <v>653</v>
      </c>
      <c r="K367" s="27">
        <v>1</v>
      </c>
      <c r="L367" s="31" t="s">
        <v>601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660</v>
      </c>
      <c r="D368" s="31" t="s">
        <v>19</v>
      </c>
      <c r="E368" s="31"/>
      <c r="F368" s="31" t="s">
        <v>666</v>
      </c>
      <c r="G368" s="27">
        <v>8</v>
      </c>
      <c r="H368" s="31" t="s">
        <v>397</v>
      </c>
      <c r="I368" s="31"/>
      <c r="J368" s="26" t="s">
        <v>653</v>
      </c>
      <c r="K368" s="27">
        <v>8</v>
      </c>
      <c r="L368" s="31" t="s">
        <v>601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690</v>
      </c>
      <c r="D369" s="31" t="s">
        <v>19</v>
      </c>
      <c r="E369" s="31"/>
      <c r="F369" s="31" t="s">
        <v>666</v>
      </c>
      <c r="G369" s="27">
        <v>40</v>
      </c>
      <c r="H369" s="31" t="s">
        <v>397</v>
      </c>
      <c r="I369" s="31"/>
      <c r="J369" s="26" t="s">
        <v>653</v>
      </c>
      <c r="K369" s="27">
        <v>40</v>
      </c>
      <c r="L369" s="31" t="s">
        <v>601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689</v>
      </c>
      <c r="D370" s="31" t="s">
        <v>19</v>
      </c>
      <c r="E370" s="31"/>
      <c r="F370" s="31" t="s">
        <v>666</v>
      </c>
      <c r="G370" s="27">
        <v>7</v>
      </c>
      <c r="H370" s="31" t="s">
        <v>397</v>
      </c>
      <c r="I370" s="31"/>
      <c r="J370" s="26" t="s">
        <v>653</v>
      </c>
      <c r="K370" s="27">
        <v>7</v>
      </c>
      <c r="L370" s="31" t="s">
        <v>601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598</v>
      </c>
      <c r="D371" s="31" t="s">
        <v>452</v>
      </c>
      <c r="E371" s="31" t="s">
        <v>603</v>
      </c>
      <c r="F371" s="31" t="s">
        <v>643</v>
      </c>
      <c r="G371" s="27">
        <v>800</v>
      </c>
      <c r="H371" s="31" t="s">
        <v>54</v>
      </c>
      <c r="I371" s="31"/>
      <c r="J371" s="26" t="s">
        <v>606</v>
      </c>
      <c r="K371" s="27">
        <v>800</v>
      </c>
      <c r="L371" s="31" t="s">
        <v>601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598</v>
      </c>
      <c r="D372" s="31" t="s">
        <v>452</v>
      </c>
      <c r="E372" s="31" t="s">
        <v>612</v>
      </c>
      <c r="F372" s="31" t="s">
        <v>822</v>
      </c>
      <c r="G372" s="27">
        <v>12000</v>
      </c>
      <c r="H372" s="31" t="s">
        <v>54</v>
      </c>
      <c r="I372" s="31"/>
      <c r="J372" s="26" t="s">
        <v>606</v>
      </c>
      <c r="K372" s="27">
        <v>12000</v>
      </c>
      <c r="L372" s="31" t="s">
        <v>601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598</v>
      </c>
      <c r="D373" s="31" t="s">
        <v>453</v>
      </c>
      <c r="E373" s="31"/>
      <c r="F373" s="31" t="s">
        <v>453</v>
      </c>
      <c r="G373" s="27">
        <v>4500</v>
      </c>
      <c r="H373" s="31" t="s">
        <v>54</v>
      </c>
      <c r="I373" s="31"/>
      <c r="J373" s="26" t="s">
        <v>609</v>
      </c>
      <c r="K373" s="27">
        <v>4500</v>
      </c>
      <c r="L373" s="31" t="s">
        <v>601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598</v>
      </c>
      <c r="D374" s="31" t="s">
        <v>741</v>
      </c>
      <c r="E374" s="31" t="s">
        <v>457</v>
      </c>
      <c r="F374" s="31" t="s">
        <v>823</v>
      </c>
      <c r="G374" s="27">
        <v>12800</v>
      </c>
      <c r="H374" s="31" t="s">
        <v>54</v>
      </c>
      <c r="I374" s="31"/>
      <c r="J374" s="26" t="s">
        <v>614</v>
      </c>
      <c r="K374" s="27">
        <v>12800</v>
      </c>
      <c r="L374" s="31" t="s">
        <v>601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598</v>
      </c>
      <c r="D375" s="31" t="s">
        <v>741</v>
      </c>
      <c r="E375" s="31" t="s">
        <v>457</v>
      </c>
      <c r="F375" s="31" t="s">
        <v>818</v>
      </c>
      <c r="G375" s="27">
        <v>8190</v>
      </c>
      <c r="H375" s="31" t="s">
        <v>54</v>
      </c>
      <c r="I375" s="31"/>
      <c r="J375" s="26" t="s">
        <v>614</v>
      </c>
      <c r="K375" s="27">
        <v>8190</v>
      </c>
      <c r="L375" s="31" t="s">
        <v>601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660</v>
      </c>
      <c r="D376" s="31" t="s">
        <v>19</v>
      </c>
      <c r="E376" s="31"/>
      <c r="F376" s="31" t="s">
        <v>666</v>
      </c>
      <c r="G376" s="27">
        <v>8</v>
      </c>
      <c r="H376" s="31" t="s">
        <v>397</v>
      </c>
      <c r="I376" s="31"/>
      <c r="J376" s="26" t="s">
        <v>653</v>
      </c>
      <c r="K376" s="27">
        <v>8</v>
      </c>
      <c r="L376" s="31" t="s">
        <v>601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690</v>
      </c>
      <c r="D377" s="31" t="s">
        <v>19</v>
      </c>
      <c r="E377" s="31"/>
      <c r="F377" s="31" t="s">
        <v>666</v>
      </c>
      <c r="G377" s="27">
        <v>40</v>
      </c>
      <c r="H377" s="31" t="s">
        <v>397</v>
      </c>
      <c r="I377" s="31"/>
      <c r="J377" s="26" t="s">
        <v>653</v>
      </c>
      <c r="K377" s="27">
        <v>40</v>
      </c>
      <c r="L377" s="31" t="s">
        <v>601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689</v>
      </c>
      <c r="D378" s="31" t="s">
        <v>19</v>
      </c>
      <c r="E378" s="31"/>
      <c r="F378" s="31" t="s">
        <v>666</v>
      </c>
      <c r="G378" s="27">
        <v>7</v>
      </c>
      <c r="H378" s="31" t="s">
        <v>397</v>
      </c>
      <c r="I378" s="31"/>
      <c r="J378" s="26" t="s">
        <v>653</v>
      </c>
      <c r="K378" s="27">
        <v>7</v>
      </c>
      <c r="L378" s="31" t="s">
        <v>601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681</v>
      </c>
      <c r="D379" s="31" t="s">
        <v>452</v>
      </c>
      <c r="E379" s="31" t="s">
        <v>621</v>
      </c>
      <c r="F379" s="31" t="s">
        <v>682</v>
      </c>
      <c r="G379" s="27">
        <v>9900</v>
      </c>
      <c r="H379" s="31" t="s">
        <v>54</v>
      </c>
      <c r="I379" s="31" t="s">
        <v>824</v>
      </c>
      <c r="J379" s="26" t="s">
        <v>606</v>
      </c>
      <c r="K379" s="27">
        <v>9900</v>
      </c>
      <c r="L379" s="31" t="s">
        <v>601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598</v>
      </c>
      <c r="D380" s="31" t="s">
        <v>735</v>
      </c>
      <c r="E380" s="31"/>
      <c r="F380" s="31" t="s">
        <v>825</v>
      </c>
      <c r="G380" s="27">
        <v>44770</v>
      </c>
      <c r="H380" s="31" t="s">
        <v>54</v>
      </c>
      <c r="I380" s="31"/>
      <c r="J380" s="26" t="s">
        <v>606</v>
      </c>
      <c r="K380" s="27">
        <v>44770</v>
      </c>
      <c r="L380" s="31" t="s">
        <v>601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598</v>
      </c>
      <c r="D381" s="31" t="s">
        <v>625</v>
      </c>
      <c r="E381" s="31"/>
      <c r="F381" s="31" t="s">
        <v>626</v>
      </c>
      <c r="G381" s="27">
        <v>6500</v>
      </c>
      <c r="H381" s="31" t="s">
        <v>54</v>
      </c>
      <c r="I381" s="31" t="s">
        <v>826</v>
      </c>
      <c r="J381" s="26" t="s">
        <v>606</v>
      </c>
      <c r="K381" s="27">
        <v>6500</v>
      </c>
      <c r="L381" s="31" t="s">
        <v>601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598</v>
      </c>
      <c r="D382" s="31" t="s">
        <v>452</v>
      </c>
      <c r="E382" s="31" t="s">
        <v>603</v>
      </c>
      <c r="F382" s="31" t="s">
        <v>604</v>
      </c>
      <c r="G382" s="27">
        <v>7700</v>
      </c>
      <c r="H382" s="31" t="s">
        <v>54</v>
      </c>
      <c r="I382" s="31" t="s">
        <v>827</v>
      </c>
      <c r="J382" s="26" t="s">
        <v>606</v>
      </c>
      <c r="K382" s="27">
        <v>7700</v>
      </c>
      <c r="L382" s="31" t="s">
        <v>601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598</v>
      </c>
      <c r="D383" s="31" t="s">
        <v>453</v>
      </c>
      <c r="E383" s="31"/>
      <c r="F383" s="31" t="s">
        <v>453</v>
      </c>
      <c r="G383" s="27">
        <v>5000</v>
      </c>
      <c r="H383" s="31" t="s">
        <v>54</v>
      </c>
      <c r="I383" s="31"/>
      <c r="J383" s="26" t="s">
        <v>609</v>
      </c>
      <c r="K383" s="27">
        <v>5000</v>
      </c>
      <c r="L383" s="31" t="s">
        <v>601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598</v>
      </c>
      <c r="D384" s="31" t="s">
        <v>452</v>
      </c>
      <c r="E384" s="31" t="s">
        <v>621</v>
      </c>
      <c r="F384" s="31" t="s">
        <v>682</v>
      </c>
      <c r="G384" s="27">
        <v>16110</v>
      </c>
      <c r="H384" s="31" t="s">
        <v>54</v>
      </c>
      <c r="I384" s="31" t="s">
        <v>828</v>
      </c>
      <c r="J384" s="26" t="s">
        <v>606</v>
      </c>
      <c r="K384" s="27">
        <v>16110</v>
      </c>
      <c r="L384" s="31" t="s">
        <v>601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598</v>
      </c>
      <c r="D385" s="31" t="s">
        <v>452</v>
      </c>
      <c r="E385" s="31" t="s">
        <v>615</v>
      </c>
      <c r="F385" s="31" t="s">
        <v>365</v>
      </c>
      <c r="G385" s="27">
        <v>38260</v>
      </c>
      <c r="H385" s="31" t="s">
        <v>54</v>
      </c>
      <c r="I385" s="31" t="s">
        <v>616</v>
      </c>
      <c r="J385" s="26" t="s">
        <v>606</v>
      </c>
      <c r="K385" s="27">
        <v>38260</v>
      </c>
      <c r="L385" s="31" t="s">
        <v>601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695</v>
      </c>
      <c r="D386" s="31" t="s">
        <v>19</v>
      </c>
      <c r="E386" s="31"/>
      <c r="F386" s="31" t="s">
        <v>666</v>
      </c>
      <c r="G386" s="27">
        <v>1</v>
      </c>
      <c r="H386" s="31" t="s">
        <v>397</v>
      </c>
      <c r="I386" s="31"/>
      <c r="J386" s="26" t="s">
        <v>653</v>
      </c>
      <c r="K386" s="27">
        <v>1</v>
      </c>
      <c r="L386" s="31" t="s">
        <v>601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660</v>
      </c>
      <c r="D387" s="31" t="s">
        <v>19</v>
      </c>
      <c r="E387" s="31"/>
      <c r="F387" s="31" t="s">
        <v>666</v>
      </c>
      <c r="G387" s="27">
        <v>8</v>
      </c>
      <c r="H387" s="31" t="s">
        <v>397</v>
      </c>
      <c r="I387" s="31"/>
      <c r="J387" s="26" t="s">
        <v>653</v>
      </c>
      <c r="K387" s="27">
        <v>8</v>
      </c>
      <c r="L387" s="31" t="s">
        <v>601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690</v>
      </c>
      <c r="D388" s="31" t="s">
        <v>19</v>
      </c>
      <c r="E388" s="31"/>
      <c r="F388" s="31" t="s">
        <v>666</v>
      </c>
      <c r="G388" s="27">
        <v>40</v>
      </c>
      <c r="H388" s="31" t="s">
        <v>397</v>
      </c>
      <c r="I388" s="31"/>
      <c r="J388" s="26" t="s">
        <v>653</v>
      </c>
      <c r="K388" s="27">
        <v>40</v>
      </c>
      <c r="L388" s="31" t="s">
        <v>601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689</v>
      </c>
      <c r="D389" s="31" t="s">
        <v>19</v>
      </c>
      <c r="E389" s="31"/>
      <c r="F389" s="31" t="s">
        <v>666</v>
      </c>
      <c r="G389" s="27">
        <v>7</v>
      </c>
      <c r="H389" s="31" t="s">
        <v>397</v>
      </c>
      <c r="I389" s="31"/>
      <c r="J389" s="26" t="s">
        <v>653</v>
      </c>
      <c r="K389" s="27">
        <v>7</v>
      </c>
      <c r="L389" s="31" t="s">
        <v>601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598</v>
      </c>
      <c r="D390" s="31" t="s">
        <v>453</v>
      </c>
      <c r="E390" s="31"/>
      <c r="F390" s="31" t="s">
        <v>453</v>
      </c>
      <c r="G390" s="27">
        <v>4500</v>
      </c>
      <c r="H390" s="31" t="s">
        <v>54</v>
      </c>
      <c r="I390" s="31"/>
      <c r="J390" s="26" t="s">
        <v>609</v>
      </c>
      <c r="K390" s="27">
        <v>4500</v>
      </c>
      <c r="L390" s="31" t="s">
        <v>601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598</v>
      </c>
      <c r="D391" s="31" t="s">
        <v>452</v>
      </c>
      <c r="E391" s="31" t="s">
        <v>603</v>
      </c>
      <c r="F391" s="31" t="s">
        <v>604</v>
      </c>
      <c r="G391" s="27">
        <v>4900</v>
      </c>
      <c r="H391" s="31" t="s">
        <v>54</v>
      </c>
      <c r="I391" s="31"/>
      <c r="J391" s="26" t="s">
        <v>606</v>
      </c>
      <c r="K391" s="27">
        <v>4900</v>
      </c>
      <c r="L391" s="31" t="s">
        <v>601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598</v>
      </c>
      <c r="D392" s="31" t="s">
        <v>452</v>
      </c>
      <c r="E392" s="31" t="s">
        <v>621</v>
      </c>
      <c r="F392" s="31" t="s">
        <v>682</v>
      </c>
      <c r="G392" s="27">
        <v>14000</v>
      </c>
      <c r="H392" s="31" t="s">
        <v>54</v>
      </c>
      <c r="I392" s="31" t="s">
        <v>829</v>
      </c>
      <c r="J392" s="26" t="s">
        <v>606</v>
      </c>
      <c r="K392" s="27">
        <v>14000</v>
      </c>
      <c r="L392" s="31" t="s">
        <v>601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660</v>
      </c>
      <c r="D393" s="31" t="s">
        <v>19</v>
      </c>
      <c r="E393" s="31"/>
      <c r="F393" s="31" t="s">
        <v>666</v>
      </c>
      <c r="G393" s="27">
        <v>8</v>
      </c>
      <c r="H393" s="31" t="s">
        <v>397</v>
      </c>
      <c r="I393" s="31"/>
      <c r="J393" s="26" t="s">
        <v>653</v>
      </c>
      <c r="K393" s="27">
        <v>8</v>
      </c>
      <c r="L393" s="31" t="s">
        <v>601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690</v>
      </c>
      <c r="D394" s="31" t="s">
        <v>19</v>
      </c>
      <c r="E394" s="31"/>
      <c r="F394" s="31" t="s">
        <v>666</v>
      </c>
      <c r="G394" s="27">
        <v>40</v>
      </c>
      <c r="H394" s="31" t="s">
        <v>397</v>
      </c>
      <c r="I394" s="31"/>
      <c r="J394" s="26" t="s">
        <v>653</v>
      </c>
      <c r="K394" s="27">
        <v>40</v>
      </c>
      <c r="L394" s="31" t="s">
        <v>601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689</v>
      </c>
      <c r="D395" s="31" t="s">
        <v>19</v>
      </c>
      <c r="E395" s="31"/>
      <c r="F395" s="31" t="s">
        <v>666</v>
      </c>
      <c r="G395" s="27">
        <v>7</v>
      </c>
      <c r="H395" s="31" t="s">
        <v>397</v>
      </c>
      <c r="I395" s="31"/>
      <c r="J395" s="26" t="s">
        <v>653</v>
      </c>
      <c r="K395" s="27">
        <v>7</v>
      </c>
      <c r="L395" s="31" t="s">
        <v>601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660</v>
      </c>
      <c r="D396" s="31" t="s">
        <v>19</v>
      </c>
      <c r="E396" s="31"/>
      <c r="F396" s="31" t="s">
        <v>666</v>
      </c>
      <c r="G396" s="27">
        <v>8</v>
      </c>
      <c r="H396" s="31" t="s">
        <v>397</v>
      </c>
      <c r="I396" s="31"/>
      <c r="J396" s="26" t="s">
        <v>653</v>
      </c>
      <c r="K396" s="27">
        <v>8</v>
      </c>
      <c r="L396" s="31" t="s">
        <v>601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689</v>
      </c>
      <c r="D397" s="31" t="s">
        <v>19</v>
      </c>
      <c r="E397" s="31"/>
      <c r="F397" s="31" t="s">
        <v>666</v>
      </c>
      <c r="G397" s="27">
        <v>7</v>
      </c>
      <c r="H397" s="31" t="s">
        <v>397</v>
      </c>
      <c r="I397" s="31"/>
      <c r="J397" s="26" t="s">
        <v>653</v>
      </c>
      <c r="K397" s="27">
        <v>7</v>
      </c>
      <c r="L397" s="31" t="s">
        <v>601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690</v>
      </c>
      <c r="D398" s="31" t="s">
        <v>19</v>
      </c>
      <c r="E398" s="31"/>
      <c r="F398" s="31" t="s">
        <v>666</v>
      </c>
      <c r="G398" s="27">
        <v>40</v>
      </c>
      <c r="H398" s="31" t="s">
        <v>397</v>
      </c>
      <c r="I398" s="31"/>
      <c r="J398" s="26" t="s">
        <v>653</v>
      </c>
      <c r="K398" s="27">
        <v>40</v>
      </c>
      <c r="L398" s="31" t="s">
        <v>601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695</v>
      </c>
      <c r="D399" s="31" t="s">
        <v>19</v>
      </c>
      <c r="E399" s="31"/>
      <c r="F399" s="31" t="s">
        <v>666</v>
      </c>
      <c r="G399" s="27">
        <v>1</v>
      </c>
      <c r="H399" s="31" t="s">
        <v>397</v>
      </c>
      <c r="I399" s="31"/>
      <c r="J399" s="26" t="s">
        <v>653</v>
      </c>
      <c r="K399" s="27">
        <v>1</v>
      </c>
      <c r="L399" s="31" t="s">
        <v>601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598</v>
      </c>
      <c r="D400" s="31" t="s">
        <v>362</v>
      </c>
      <c r="E400" s="31"/>
      <c r="F400" s="31" t="s">
        <v>746</v>
      </c>
      <c r="G400" s="27">
        <v>7972</v>
      </c>
      <c r="H400" s="31" t="s">
        <v>54</v>
      </c>
      <c r="I400" s="31" t="s">
        <v>747</v>
      </c>
      <c r="J400" s="26" t="s">
        <v>600</v>
      </c>
      <c r="K400" s="27">
        <v>7972</v>
      </c>
      <c r="L400" s="31" t="s">
        <v>601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598</v>
      </c>
      <c r="D401" s="31" t="s">
        <v>452</v>
      </c>
      <c r="E401" s="31" t="s">
        <v>603</v>
      </c>
      <c r="F401" s="31" t="s">
        <v>803</v>
      </c>
      <c r="G401" s="27">
        <v>2900</v>
      </c>
      <c r="H401" s="31" t="s">
        <v>54</v>
      </c>
      <c r="I401" s="31"/>
      <c r="J401" s="26" t="s">
        <v>606</v>
      </c>
      <c r="K401" s="27">
        <v>2900</v>
      </c>
      <c r="L401" s="31" t="s">
        <v>601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598</v>
      </c>
      <c r="D402" s="31" t="s">
        <v>452</v>
      </c>
      <c r="E402" s="31" t="s">
        <v>612</v>
      </c>
      <c r="F402" s="31" t="s">
        <v>830</v>
      </c>
      <c r="G402" s="27">
        <v>11900</v>
      </c>
      <c r="H402" s="31" t="s">
        <v>54</v>
      </c>
      <c r="I402" s="31"/>
      <c r="J402" s="26" t="s">
        <v>606</v>
      </c>
      <c r="K402" s="27">
        <v>11900</v>
      </c>
      <c r="L402" s="31" t="s">
        <v>601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598</v>
      </c>
      <c r="D403" s="31" t="s">
        <v>452</v>
      </c>
      <c r="E403" s="31" t="s">
        <v>615</v>
      </c>
      <c r="F403" s="31" t="s">
        <v>365</v>
      </c>
      <c r="G403" s="27">
        <v>29980</v>
      </c>
      <c r="H403" s="31" t="s">
        <v>54</v>
      </c>
      <c r="I403" s="31" t="s">
        <v>831</v>
      </c>
      <c r="J403" s="26" t="s">
        <v>606</v>
      </c>
      <c r="K403" s="27">
        <v>29980</v>
      </c>
      <c r="L403" s="31" t="s">
        <v>601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611</v>
      </c>
      <c r="D404" s="31" t="s">
        <v>646</v>
      </c>
      <c r="E404" s="31"/>
      <c r="F404" s="31" t="s">
        <v>328</v>
      </c>
      <c r="G404" s="27">
        <v>154320</v>
      </c>
      <c r="H404" s="31" t="s">
        <v>54</v>
      </c>
      <c r="I404" s="31"/>
      <c r="J404" s="26" t="s">
        <v>600</v>
      </c>
      <c r="K404" s="27">
        <v>154320</v>
      </c>
      <c r="L404" s="31" t="s">
        <v>601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632</v>
      </c>
      <c r="D405" s="31" t="s">
        <v>57</v>
      </c>
      <c r="E405" s="31"/>
      <c r="F405" s="31" t="s">
        <v>57</v>
      </c>
      <c r="G405" s="27">
        <v>3409110</v>
      </c>
      <c r="H405" s="31" t="s">
        <v>397</v>
      </c>
      <c r="I405" s="31" t="s">
        <v>832</v>
      </c>
      <c r="J405" s="26" t="s">
        <v>57</v>
      </c>
      <c r="K405" s="27">
        <v>3409110</v>
      </c>
      <c r="L405" s="31" t="s">
        <v>601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660</v>
      </c>
      <c r="D406" s="31" t="s">
        <v>19</v>
      </c>
      <c r="E406" s="31"/>
      <c r="F406" s="31" t="s">
        <v>666</v>
      </c>
      <c r="G406" s="27">
        <v>8</v>
      </c>
      <c r="H406" s="31" t="s">
        <v>397</v>
      </c>
      <c r="I406" s="31"/>
      <c r="J406" s="26" t="s">
        <v>653</v>
      </c>
      <c r="K406" s="27">
        <v>8</v>
      </c>
      <c r="L406" s="31" t="s">
        <v>601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690</v>
      </c>
      <c r="D407" s="31" t="s">
        <v>19</v>
      </c>
      <c r="E407" s="31"/>
      <c r="F407" s="31" t="s">
        <v>666</v>
      </c>
      <c r="G407" s="27">
        <v>40</v>
      </c>
      <c r="H407" s="31" t="s">
        <v>397</v>
      </c>
      <c r="I407" s="31"/>
      <c r="J407" s="26" t="s">
        <v>653</v>
      </c>
      <c r="K407" s="27">
        <v>40</v>
      </c>
      <c r="L407" s="31" t="s">
        <v>601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689</v>
      </c>
      <c r="D408" s="31" t="s">
        <v>19</v>
      </c>
      <c r="E408" s="31"/>
      <c r="F408" s="31" t="s">
        <v>666</v>
      </c>
      <c r="G408" s="27">
        <v>7</v>
      </c>
      <c r="H408" s="31" t="s">
        <v>397</v>
      </c>
      <c r="I408" s="31"/>
      <c r="J408" s="26" t="s">
        <v>653</v>
      </c>
      <c r="K408" s="27">
        <v>7</v>
      </c>
      <c r="L408" s="31" t="s">
        <v>601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598</v>
      </c>
      <c r="D409" s="31" t="s">
        <v>452</v>
      </c>
      <c r="E409" s="31" t="s">
        <v>603</v>
      </c>
      <c r="F409" s="31" t="s">
        <v>643</v>
      </c>
      <c r="G409" s="27">
        <v>2500</v>
      </c>
      <c r="H409" s="31" t="s">
        <v>54</v>
      </c>
      <c r="I409" s="31"/>
      <c r="J409" s="26" t="s">
        <v>606</v>
      </c>
      <c r="K409" s="27">
        <v>2500</v>
      </c>
      <c r="L409" s="31" t="s">
        <v>601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598</v>
      </c>
      <c r="D410" s="31" t="s">
        <v>452</v>
      </c>
      <c r="E410" s="31" t="s">
        <v>612</v>
      </c>
      <c r="F410" s="31" t="s">
        <v>731</v>
      </c>
      <c r="G410" s="27">
        <v>11000</v>
      </c>
      <c r="H410" s="31" t="s">
        <v>54</v>
      </c>
      <c r="I410" s="31"/>
      <c r="J410" s="26" t="s">
        <v>606</v>
      </c>
      <c r="K410" s="27">
        <v>11000</v>
      </c>
      <c r="L410" s="31" t="s">
        <v>601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632</v>
      </c>
      <c r="D411" s="31" t="s">
        <v>645</v>
      </c>
      <c r="E411" s="31"/>
      <c r="F411" s="31" t="s">
        <v>72</v>
      </c>
      <c r="G411" s="27">
        <v>3709110</v>
      </c>
      <c r="H411" s="31" t="s">
        <v>636</v>
      </c>
      <c r="I411" s="31"/>
      <c r="J411" s="26" t="s">
        <v>634</v>
      </c>
      <c r="K411" s="27">
        <v>3709110</v>
      </c>
      <c r="L411" s="31" t="s">
        <v>601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645</v>
      </c>
      <c r="D412" s="31" t="s">
        <v>632</v>
      </c>
      <c r="E412" s="31"/>
      <c r="F412" s="31" t="s">
        <v>72</v>
      </c>
      <c r="G412" s="27">
        <v>3709110</v>
      </c>
      <c r="H412" s="31" t="s">
        <v>633</v>
      </c>
      <c r="I412" s="31"/>
      <c r="J412" s="26" t="s">
        <v>634</v>
      </c>
      <c r="K412" s="27">
        <v>3709110</v>
      </c>
      <c r="L412" s="31" t="s">
        <v>601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645</v>
      </c>
      <c r="D413" s="31" t="s">
        <v>751</v>
      </c>
      <c r="E413" s="31"/>
      <c r="F413" s="31" t="s">
        <v>72</v>
      </c>
      <c r="G413" s="27">
        <v>150000</v>
      </c>
      <c r="H413" s="31" t="s">
        <v>636</v>
      </c>
      <c r="I413" s="31"/>
      <c r="J413" s="26" t="s">
        <v>658</v>
      </c>
      <c r="K413" s="27">
        <v>150000</v>
      </c>
      <c r="L413" s="31" t="s">
        <v>601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751</v>
      </c>
      <c r="D414" s="31" t="s">
        <v>645</v>
      </c>
      <c r="E414" s="31"/>
      <c r="F414" s="31" t="s">
        <v>72</v>
      </c>
      <c r="G414" s="27">
        <v>150000</v>
      </c>
      <c r="H414" s="31" t="s">
        <v>633</v>
      </c>
      <c r="I414" s="31"/>
      <c r="J414" s="26" t="s">
        <v>634</v>
      </c>
      <c r="K414" s="27">
        <v>150000</v>
      </c>
      <c r="L414" s="31" t="s">
        <v>601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645</v>
      </c>
      <c r="D415" s="31" t="s">
        <v>404</v>
      </c>
      <c r="E415" s="31"/>
      <c r="F415" s="31" t="s">
        <v>72</v>
      </c>
      <c r="G415" s="27">
        <v>20000</v>
      </c>
      <c r="H415" s="31" t="s">
        <v>636</v>
      </c>
      <c r="I415" s="31"/>
      <c r="J415" s="26" t="s">
        <v>659</v>
      </c>
      <c r="K415" s="27">
        <v>20000</v>
      </c>
      <c r="L415" s="31" t="s">
        <v>601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404</v>
      </c>
      <c r="D416" s="31" t="s">
        <v>645</v>
      </c>
      <c r="E416" s="31"/>
      <c r="F416" s="31" t="s">
        <v>72</v>
      </c>
      <c r="G416" s="27">
        <v>20000</v>
      </c>
      <c r="H416" s="31" t="s">
        <v>633</v>
      </c>
      <c r="I416" s="31"/>
      <c r="J416" s="26" t="s">
        <v>634</v>
      </c>
      <c r="K416" s="27">
        <v>20000</v>
      </c>
      <c r="L416" s="31" t="s">
        <v>601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645</v>
      </c>
      <c r="D417" s="31" t="s">
        <v>436</v>
      </c>
      <c r="E417" s="31"/>
      <c r="F417" s="31" t="s">
        <v>687</v>
      </c>
      <c r="G417" s="27">
        <v>20000</v>
      </c>
      <c r="H417" s="31" t="s">
        <v>636</v>
      </c>
      <c r="I417" s="31"/>
      <c r="J417" s="26" t="s">
        <v>668</v>
      </c>
      <c r="K417" s="27">
        <v>20000</v>
      </c>
      <c r="L417" s="31" t="s">
        <v>601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436</v>
      </c>
      <c r="D418" s="31" t="s">
        <v>645</v>
      </c>
      <c r="E418" s="31"/>
      <c r="F418" s="31" t="s">
        <v>687</v>
      </c>
      <c r="G418" s="27">
        <v>20000</v>
      </c>
      <c r="H418" s="31" t="s">
        <v>633</v>
      </c>
      <c r="I418" s="31"/>
      <c r="J418" s="26" t="s">
        <v>634</v>
      </c>
      <c r="K418" s="27">
        <v>20000</v>
      </c>
      <c r="L418" s="31" t="s">
        <v>601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645</v>
      </c>
      <c r="D419" s="31" t="s">
        <v>184</v>
      </c>
      <c r="E419" s="31"/>
      <c r="F419" s="31" t="s">
        <v>72</v>
      </c>
      <c r="G419" s="27">
        <v>8000</v>
      </c>
      <c r="H419" s="31" t="s">
        <v>636</v>
      </c>
      <c r="I419" s="31"/>
      <c r="J419" s="26" t="s">
        <v>634</v>
      </c>
      <c r="K419" s="27">
        <v>8000</v>
      </c>
      <c r="L419" s="31" t="s">
        <v>601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184</v>
      </c>
      <c r="D420" s="31" t="s">
        <v>645</v>
      </c>
      <c r="E420" s="31"/>
      <c r="F420" s="31" t="s">
        <v>72</v>
      </c>
      <c r="G420" s="27">
        <v>8000</v>
      </c>
      <c r="H420" s="31" t="s">
        <v>633</v>
      </c>
      <c r="I420" s="31"/>
      <c r="J420" s="26" t="s">
        <v>634</v>
      </c>
      <c r="K420" s="27">
        <v>8000</v>
      </c>
      <c r="L420" s="31" t="s">
        <v>601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598</v>
      </c>
      <c r="D421" s="31" t="s">
        <v>362</v>
      </c>
      <c r="E421" s="31"/>
      <c r="F421" s="31" t="s">
        <v>755</v>
      </c>
      <c r="G421" s="27">
        <v>4890</v>
      </c>
      <c r="H421" s="31" t="s">
        <v>54</v>
      </c>
      <c r="I421" s="31"/>
      <c r="J421" s="26" t="s">
        <v>600</v>
      </c>
      <c r="K421" s="27">
        <v>4890</v>
      </c>
      <c r="L421" s="31" t="s">
        <v>601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598</v>
      </c>
      <c r="D422" s="31" t="s">
        <v>452</v>
      </c>
      <c r="E422" s="31" t="s">
        <v>603</v>
      </c>
      <c r="F422" s="31" t="s">
        <v>720</v>
      </c>
      <c r="G422" s="27">
        <v>1900</v>
      </c>
      <c r="H422" s="31" t="s">
        <v>54</v>
      </c>
      <c r="I422" s="31"/>
      <c r="J422" s="26" t="s">
        <v>606</v>
      </c>
      <c r="K422" s="27">
        <v>1900</v>
      </c>
      <c r="L422" s="31" t="s">
        <v>601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695</v>
      </c>
      <c r="D423" s="31" t="s">
        <v>19</v>
      </c>
      <c r="E423" s="31"/>
      <c r="F423" s="31" t="s">
        <v>666</v>
      </c>
      <c r="G423" s="27">
        <v>1</v>
      </c>
      <c r="H423" s="31" t="s">
        <v>397</v>
      </c>
      <c r="I423" s="31"/>
      <c r="J423" s="26" t="s">
        <v>653</v>
      </c>
      <c r="K423" s="27">
        <v>1</v>
      </c>
      <c r="L423" s="31" t="s">
        <v>601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689</v>
      </c>
      <c r="D424" s="31" t="s">
        <v>19</v>
      </c>
      <c r="E424" s="31"/>
      <c r="F424" s="31" t="s">
        <v>666</v>
      </c>
      <c r="G424" s="27">
        <v>7</v>
      </c>
      <c r="H424" s="31" t="s">
        <v>397</v>
      </c>
      <c r="I424" s="31"/>
      <c r="J424" s="26" t="s">
        <v>653</v>
      </c>
      <c r="K424" s="27">
        <v>7</v>
      </c>
      <c r="L424" s="31" t="s">
        <v>601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690</v>
      </c>
      <c r="D425" s="31" t="s">
        <v>19</v>
      </c>
      <c r="E425" s="31"/>
      <c r="F425" s="31" t="s">
        <v>666</v>
      </c>
      <c r="G425" s="27">
        <v>40</v>
      </c>
      <c r="H425" s="31" t="s">
        <v>397</v>
      </c>
      <c r="I425" s="31"/>
      <c r="J425" s="26" t="s">
        <v>653</v>
      </c>
      <c r="K425" s="27">
        <v>40</v>
      </c>
      <c r="L425" s="31" t="s">
        <v>601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660</v>
      </c>
      <c r="D426" s="31" t="s">
        <v>19</v>
      </c>
      <c r="E426" s="31"/>
      <c r="F426" s="31" t="s">
        <v>666</v>
      </c>
      <c r="G426" s="27">
        <v>8</v>
      </c>
      <c r="H426" s="31" t="s">
        <v>397</v>
      </c>
      <c r="I426" s="31"/>
      <c r="J426" s="26" t="s">
        <v>653</v>
      </c>
      <c r="K426" s="27">
        <v>8</v>
      </c>
      <c r="L426" s="31" t="s">
        <v>601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611</v>
      </c>
      <c r="D427" s="31" t="s">
        <v>672</v>
      </c>
      <c r="E427" s="31" t="s">
        <v>761</v>
      </c>
      <c r="F427" s="31" t="s">
        <v>762</v>
      </c>
      <c r="G427" s="27">
        <v>138056</v>
      </c>
      <c r="H427" s="31" t="s">
        <v>54</v>
      </c>
      <c r="I427" s="31"/>
      <c r="J427" s="26" t="s">
        <v>600</v>
      </c>
      <c r="K427" s="27">
        <v>138056</v>
      </c>
      <c r="L427" s="31" t="s">
        <v>601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166</v>
      </c>
      <c r="D428" s="31" t="s">
        <v>19</v>
      </c>
      <c r="E428" s="31"/>
      <c r="F428" s="31" t="s">
        <v>813</v>
      </c>
      <c r="G428" s="27">
        <v>4</v>
      </c>
      <c r="H428" s="31" t="s">
        <v>397</v>
      </c>
      <c r="I428" s="31"/>
      <c r="J428" s="26" t="s">
        <v>653</v>
      </c>
      <c r="K428" s="27">
        <v>4</v>
      </c>
      <c r="L428" s="31" t="s">
        <v>601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598</v>
      </c>
      <c r="D429" s="31" t="s">
        <v>452</v>
      </c>
      <c r="E429" s="31" t="s">
        <v>612</v>
      </c>
      <c r="F429" s="31" t="s">
        <v>833</v>
      </c>
      <c r="G429" s="27">
        <v>7500</v>
      </c>
      <c r="H429" s="31" t="s">
        <v>54</v>
      </c>
      <c r="I429" s="31"/>
      <c r="J429" s="26" t="s">
        <v>606</v>
      </c>
      <c r="K429" s="27">
        <v>7500</v>
      </c>
      <c r="L429" s="31" t="s">
        <v>601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598</v>
      </c>
      <c r="D430" s="31" t="s">
        <v>452</v>
      </c>
      <c r="E430" s="31" t="s">
        <v>603</v>
      </c>
      <c r="F430" s="31" t="s">
        <v>713</v>
      </c>
      <c r="G430" s="27">
        <v>10100</v>
      </c>
      <c r="H430" s="31" t="s">
        <v>54</v>
      </c>
      <c r="I430" s="31"/>
      <c r="J430" s="26" t="s">
        <v>606</v>
      </c>
      <c r="K430" s="27">
        <v>10100</v>
      </c>
      <c r="L430" s="31" t="s">
        <v>601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645</v>
      </c>
      <c r="D431" s="31" t="s">
        <v>834</v>
      </c>
      <c r="E431" s="31"/>
      <c r="F431" s="31" t="s">
        <v>72</v>
      </c>
      <c r="G431" s="27">
        <v>60000</v>
      </c>
      <c r="H431" s="31" t="s">
        <v>636</v>
      </c>
      <c r="I431" s="31"/>
      <c r="J431" s="26" t="s">
        <v>662</v>
      </c>
      <c r="K431" s="27">
        <v>60000</v>
      </c>
      <c r="L431" s="31" t="s">
        <v>601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834</v>
      </c>
      <c r="D432" s="31" t="s">
        <v>645</v>
      </c>
      <c r="E432" s="31"/>
      <c r="F432" s="31" t="s">
        <v>72</v>
      </c>
      <c r="G432" s="27">
        <v>60000</v>
      </c>
      <c r="H432" s="31" t="s">
        <v>633</v>
      </c>
      <c r="I432" s="31"/>
      <c r="J432" s="26" t="s">
        <v>634</v>
      </c>
      <c r="K432" s="27">
        <v>60000</v>
      </c>
      <c r="L432" s="31" t="s">
        <v>601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645</v>
      </c>
      <c r="D433" s="31" t="s">
        <v>835</v>
      </c>
      <c r="E433" s="31"/>
      <c r="F433" s="31" t="s">
        <v>72</v>
      </c>
      <c r="G433" s="27">
        <v>60000</v>
      </c>
      <c r="H433" s="31" t="s">
        <v>636</v>
      </c>
      <c r="I433" s="31"/>
      <c r="J433" s="26" t="s">
        <v>662</v>
      </c>
      <c r="K433" s="27">
        <v>60000</v>
      </c>
      <c r="L433" s="31" t="s">
        <v>601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835</v>
      </c>
      <c r="D434" s="31" t="s">
        <v>645</v>
      </c>
      <c r="E434" s="31"/>
      <c r="F434" s="31" t="s">
        <v>72</v>
      </c>
      <c r="G434" s="27">
        <v>60000</v>
      </c>
      <c r="H434" s="31" t="s">
        <v>633</v>
      </c>
      <c r="I434" s="31"/>
      <c r="J434" s="26" t="s">
        <v>634</v>
      </c>
      <c r="K434" s="27">
        <v>60000</v>
      </c>
      <c r="L434" s="31" t="s">
        <v>601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187</v>
      </c>
      <c r="D435" s="31" t="s">
        <v>19</v>
      </c>
      <c r="E435" s="31"/>
      <c r="F435" s="31" t="s">
        <v>836</v>
      </c>
      <c r="G435" s="27">
        <v>90</v>
      </c>
      <c r="H435" s="31" t="s">
        <v>397</v>
      </c>
      <c r="I435" s="31"/>
      <c r="J435" s="26" t="s">
        <v>653</v>
      </c>
      <c r="K435" s="27">
        <v>90</v>
      </c>
      <c r="L435" s="31" t="s">
        <v>601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645</v>
      </c>
      <c r="D436" s="31" t="s">
        <v>689</v>
      </c>
      <c r="E436" s="31"/>
      <c r="F436" s="31" t="s">
        <v>72</v>
      </c>
      <c r="G436" s="27">
        <v>100000</v>
      </c>
      <c r="H436" s="31" t="s">
        <v>636</v>
      </c>
      <c r="I436" s="31"/>
      <c r="J436" s="26" t="s">
        <v>634</v>
      </c>
      <c r="K436" s="27">
        <v>100000</v>
      </c>
      <c r="L436" s="31" t="s">
        <v>601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689</v>
      </c>
      <c r="D437" s="31" t="s">
        <v>645</v>
      </c>
      <c r="E437" s="31"/>
      <c r="F437" s="31" t="s">
        <v>72</v>
      </c>
      <c r="G437" s="27">
        <v>100000</v>
      </c>
      <c r="H437" s="31" t="s">
        <v>633</v>
      </c>
      <c r="I437" s="31"/>
      <c r="J437" s="26" t="s">
        <v>634</v>
      </c>
      <c r="K437" s="27">
        <v>100000</v>
      </c>
      <c r="L437" s="31" t="s">
        <v>601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645</v>
      </c>
      <c r="D438" s="31" t="s">
        <v>691</v>
      </c>
      <c r="E438" s="31"/>
      <c r="F438" s="31" t="s">
        <v>72</v>
      </c>
      <c r="G438" s="27">
        <v>50000</v>
      </c>
      <c r="H438" s="31" t="s">
        <v>636</v>
      </c>
      <c r="I438" s="31"/>
      <c r="J438" s="26" t="s">
        <v>634</v>
      </c>
      <c r="K438" s="27">
        <v>50000</v>
      </c>
      <c r="L438" s="31" t="s">
        <v>601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691</v>
      </c>
      <c r="D439" s="31" t="s">
        <v>645</v>
      </c>
      <c r="E439" s="31"/>
      <c r="F439" s="31" t="s">
        <v>72</v>
      </c>
      <c r="G439" s="27">
        <v>50000</v>
      </c>
      <c r="H439" s="31" t="s">
        <v>633</v>
      </c>
      <c r="I439" s="31"/>
      <c r="J439" s="26" t="s">
        <v>634</v>
      </c>
      <c r="K439" s="27">
        <v>50000</v>
      </c>
      <c r="L439" s="31" t="s">
        <v>601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690</v>
      </c>
      <c r="D440" s="31" t="s">
        <v>645</v>
      </c>
      <c r="E440" s="31"/>
      <c r="F440" s="31" t="s">
        <v>72</v>
      </c>
      <c r="G440" s="27">
        <v>150000</v>
      </c>
      <c r="H440" s="31" t="s">
        <v>633</v>
      </c>
      <c r="I440" s="31"/>
      <c r="J440" s="26" t="s">
        <v>634</v>
      </c>
      <c r="K440" s="27">
        <v>150000</v>
      </c>
      <c r="L440" s="31" t="s">
        <v>601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645</v>
      </c>
      <c r="D441" s="31" t="s">
        <v>690</v>
      </c>
      <c r="E441" s="31"/>
      <c r="F441" s="31" t="s">
        <v>72</v>
      </c>
      <c r="G441" s="27">
        <v>150000</v>
      </c>
      <c r="H441" s="31" t="s">
        <v>636</v>
      </c>
      <c r="I441" s="31"/>
      <c r="J441" s="26" t="s">
        <v>634</v>
      </c>
      <c r="K441" s="27">
        <v>150000</v>
      </c>
      <c r="L441" s="31" t="s">
        <v>601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753</v>
      </c>
      <c r="D442" s="31" t="s">
        <v>645</v>
      </c>
      <c r="E442" s="31"/>
      <c r="F442" s="31" t="s">
        <v>72</v>
      </c>
      <c r="G442" s="27">
        <v>300000</v>
      </c>
      <c r="H442" s="31" t="s">
        <v>633</v>
      </c>
      <c r="I442" s="31"/>
      <c r="J442" s="26" t="s">
        <v>634</v>
      </c>
      <c r="K442" s="27">
        <v>300000</v>
      </c>
      <c r="L442" s="31" t="s">
        <v>601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645</v>
      </c>
      <c r="D443" s="31" t="s">
        <v>753</v>
      </c>
      <c r="E443" s="31"/>
      <c r="F443" s="31" t="s">
        <v>72</v>
      </c>
      <c r="G443" s="27">
        <v>300000</v>
      </c>
      <c r="H443" s="31" t="s">
        <v>636</v>
      </c>
      <c r="I443" s="31"/>
      <c r="J443" s="26" t="s">
        <v>671</v>
      </c>
      <c r="K443" s="27">
        <v>300000</v>
      </c>
      <c r="L443" s="31" t="s">
        <v>601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184</v>
      </c>
      <c r="D444" s="31" t="s">
        <v>19</v>
      </c>
      <c r="E444" s="31"/>
      <c r="F444" s="31" t="s">
        <v>756</v>
      </c>
      <c r="G444" s="27">
        <v>15374</v>
      </c>
      <c r="H444" s="31" t="s">
        <v>54</v>
      </c>
      <c r="I444" s="31"/>
      <c r="J444" s="26" t="s">
        <v>600</v>
      </c>
      <c r="K444" s="27">
        <v>15374</v>
      </c>
      <c r="L444" s="31" t="s">
        <v>601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660</v>
      </c>
      <c r="D445" s="31" t="s">
        <v>19</v>
      </c>
      <c r="E445" s="31"/>
      <c r="F445" s="31" t="s">
        <v>666</v>
      </c>
      <c r="G445" s="27">
        <v>8</v>
      </c>
      <c r="H445" s="31" t="s">
        <v>397</v>
      </c>
      <c r="I445" s="31"/>
      <c r="J445" s="26" t="s">
        <v>653</v>
      </c>
      <c r="K445" s="27">
        <v>8</v>
      </c>
      <c r="L445" s="31" t="s">
        <v>601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690</v>
      </c>
      <c r="D446" s="31" t="s">
        <v>19</v>
      </c>
      <c r="E446" s="31"/>
      <c r="F446" s="31" t="s">
        <v>666</v>
      </c>
      <c r="G446" s="27">
        <v>46</v>
      </c>
      <c r="H446" s="31" t="s">
        <v>397</v>
      </c>
      <c r="I446" s="31"/>
      <c r="J446" s="26" t="s">
        <v>653</v>
      </c>
      <c r="K446" s="27">
        <v>46</v>
      </c>
      <c r="L446" s="31" t="s">
        <v>601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689</v>
      </c>
      <c r="D447" s="31" t="s">
        <v>19</v>
      </c>
      <c r="E447" s="31"/>
      <c r="F447" s="31" t="s">
        <v>666</v>
      </c>
      <c r="G447" s="27">
        <v>11</v>
      </c>
      <c r="H447" s="31" t="s">
        <v>397</v>
      </c>
      <c r="I447" s="31"/>
      <c r="J447" s="26" t="s">
        <v>653</v>
      </c>
      <c r="K447" s="27">
        <v>11</v>
      </c>
      <c r="L447" s="31" t="s">
        <v>601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691</v>
      </c>
      <c r="D448" s="31" t="s">
        <v>19</v>
      </c>
      <c r="E448" s="31"/>
      <c r="F448" s="31" t="s">
        <v>666</v>
      </c>
      <c r="G448" s="27">
        <v>1</v>
      </c>
      <c r="H448" s="31" t="s">
        <v>397</v>
      </c>
      <c r="I448" s="31"/>
      <c r="J448" s="26" t="s">
        <v>653</v>
      </c>
      <c r="K448" s="27">
        <v>1</v>
      </c>
      <c r="L448" s="31" t="s">
        <v>601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598</v>
      </c>
      <c r="D449" s="31" t="s">
        <v>452</v>
      </c>
      <c r="E449" s="31" t="s">
        <v>603</v>
      </c>
      <c r="F449" s="31" t="s">
        <v>643</v>
      </c>
      <c r="G449" s="27">
        <v>2300</v>
      </c>
      <c r="H449" s="31" t="s">
        <v>54</v>
      </c>
      <c r="I449" s="31"/>
      <c r="J449" s="26" t="s">
        <v>606</v>
      </c>
      <c r="K449" s="27">
        <v>2300</v>
      </c>
      <c r="L449" s="31" t="s">
        <v>601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598</v>
      </c>
      <c r="D450" s="31" t="s">
        <v>672</v>
      </c>
      <c r="E450" s="31" t="s">
        <v>673</v>
      </c>
      <c r="F450" s="31" t="s">
        <v>799</v>
      </c>
      <c r="G450" s="27">
        <v>10000</v>
      </c>
      <c r="H450" s="31" t="s">
        <v>54</v>
      </c>
      <c r="I450" s="31" t="s">
        <v>837</v>
      </c>
      <c r="J450" s="26" t="s">
        <v>606</v>
      </c>
      <c r="K450" s="27">
        <v>10000</v>
      </c>
      <c r="L450" s="31" t="s">
        <v>601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598</v>
      </c>
      <c r="D451" s="31" t="s">
        <v>452</v>
      </c>
      <c r="E451" s="31" t="s">
        <v>612</v>
      </c>
      <c r="F451" s="31" t="s">
        <v>739</v>
      </c>
      <c r="G451" s="27">
        <v>11000</v>
      </c>
      <c r="H451" s="31" t="s">
        <v>54</v>
      </c>
      <c r="I451" s="31"/>
      <c r="J451" s="26" t="s">
        <v>606</v>
      </c>
      <c r="K451" s="27">
        <v>11000</v>
      </c>
      <c r="L451" s="31" t="s">
        <v>601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598</v>
      </c>
      <c r="D452" s="31" t="s">
        <v>452</v>
      </c>
      <c r="E452" s="31" t="s">
        <v>615</v>
      </c>
      <c r="F452" s="31" t="s">
        <v>365</v>
      </c>
      <c r="G452" s="27">
        <v>8590</v>
      </c>
      <c r="H452" s="31" t="s">
        <v>54</v>
      </c>
      <c r="I452" s="31" t="s">
        <v>838</v>
      </c>
      <c r="J452" s="26" t="s">
        <v>606</v>
      </c>
      <c r="K452" s="27">
        <v>8590</v>
      </c>
      <c r="L452" s="31" t="s">
        <v>601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716</v>
      </c>
      <c r="D453" s="31" t="s">
        <v>771</v>
      </c>
      <c r="E453" s="31"/>
      <c r="F453" s="31" t="s">
        <v>772</v>
      </c>
      <c r="G453" s="27">
        <v>51460</v>
      </c>
      <c r="H453" s="31" t="s">
        <v>54</v>
      </c>
      <c r="I453" s="31" t="s">
        <v>839</v>
      </c>
      <c r="J453" s="26" t="s">
        <v>600</v>
      </c>
      <c r="K453" s="27">
        <v>51460</v>
      </c>
      <c r="L453" s="31" t="s">
        <v>601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598</v>
      </c>
      <c r="D454" s="31" t="s">
        <v>362</v>
      </c>
      <c r="E454" s="31"/>
      <c r="F454" s="31" t="s">
        <v>363</v>
      </c>
      <c r="G454" s="27">
        <v>7890</v>
      </c>
      <c r="H454" s="31" t="s">
        <v>54</v>
      </c>
      <c r="I454" s="31"/>
      <c r="J454" s="26" t="s">
        <v>600</v>
      </c>
      <c r="K454" s="27">
        <v>7890</v>
      </c>
      <c r="L454" s="31" t="s">
        <v>601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598</v>
      </c>
      <c r="D455" s="31" t="s">
        <v>19</v>
      </c>
      <c r="E455" s="31"/>
      <c r="F455" s="31" t="s">
        <v>770</v>
      </c>
      <c r="G455" s="27">
        <v>-20156</v>
      </c>
      <c r="H455" s="31" t="s">
        <v>54</v>
      </c>
      <c r="I455" s="31"/>
      <c r="J455" s="26" t="s">
        <v>678</v>
      </c>
      <c r="K455" s="27">
        <v>-20156</v>
      </c>
      <c r="L455" s="31" t="s">
        <v>601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598</v>
      </c>
      <c r="D456" s="31" t="s">
        <v>672</v>
      </c>
      <c r="E456" s="31" t="s">
        <v>673</v>
      </c>
      <c r="F456" s="31" t="s">
        <v>840</v>
      </c>
      <c r="G456" s="27">
        <v>6900</v>
      </c>
      <c r="H456" s="31" t="s">
        <v>54</v>
      </c>
      <c r="I456" s="31"/>
      <c r="J456" s="26" t="s">
        <v>606</v>
      </c>
      <c r="K456" s="27">
        <v>6900</v>
      </c>
      <c r="L456" s="31" t="s">
        <v>601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598</v>
      </c>
      <c r="D457" s="31" t="s">
        <v>672</v>
      </c>
      <c r="E457" s="31" t="s">
        <v>673</v>
      </c>
      <c r="F457" s="31" t="s">
        <v>841</v>
      </c>
      <c r="G457" s="27">
        <v>11300</v>
      </c>
      <c r="H457" s="31" t="s">
        <v>54</v>
      </c>
      <c r="I457" s="31"/>
      <c r="J457" s="26" t="s">
        <v>606</v>
      </c>
      <c r="K457" s="27">
        <v>11300</v>
      </c>
      <c r="L457" s="31" t="s">
        <v>601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598</v>
      </c>
      <c r="D458" s="31" t="s">
        <v>452</v>
      </c>
      <c r="E458" s="31" t="s">
        <v>621</v>
      </c>
      <c r="F458" s="31" t="s">
        <v>682</v>
      </c>
      <c r="G458" s="27">
        <v>14900</v>
      </c>
      <c r="H458" s="31" t="s">
        <v>54</v>
      </c>
      <c r="I458" s="31" t="s">
        <v>842</v>
      </c>
      <c r="J458" s="26" t="s">
        <v>606</v>
      </c>
      <c r="K458" s="27">
        <v>14900</v>
      </c>
      <c r="L458" s="31" t="s">
        <v>601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598</v>
      </c>
      <c r="D459" s="31" t="s">
        <v>452</v>
      </c>
      <c r="E459" s="31" t="s">
        <v>615</v>
      </c>
      <c r="F459" s="31" t="s">
        <v>843</v>
      </c>
      <c r="G459" s="27">
        <v>41880</v>
      </c>
      <c r="H459" s="31" t="s">
        <v>54</v>
      </c>
      <c r="I459" s="31" t="s">
        <v>844</v>
      </c>
      <c r="J459" s="26" t="s">
        <v>606</v>
      </c>
      <c r="K459" s="27">
        <v>41880</v>
      </c>
      <c r="L459" s="31" t="s">
        <v>601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598</v>
      </c>
      <c r="D460" s="31" t="s">
        <v>452</v>
      </c>
      <c r="E460" s="31" t="s">
        <v>621</v>
      </c>
      <c r="F460" s="31" t="s">
        <v>682</v>
      </c>
      <c r="G460" s="27">
        <v>15400</v>
      </c>
      <c r="H460" s="31" t="s">
        <v>54</v>
      </c>
      <c r="I460" s="31" t="s">
        <v>845</v>
      </c>
      <c r="J460" s="26" t="s">
        <v>606</v>
      </c>
      <c r="K460" s="27">
        <v>15400</v>
      </c>
      <c r="L460" s="31" t="s">
        <v>601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645</v>
      </c>
      <c r="D461" s="31" t="s">
        <v>19</v>
      </c>
      <c r="E461" s="31"/>
      <c r="F461" s="31" t="s">
        <v>726</v>
      </c>
      <c r="G461" s="27">
        <v>373</v>
      </c>
      <c r="H461" s="31" t="s">
        <v>397</v>
      </c>
      <c r="I461" s="31"/>
      <c r="J461" s="26" t="s">
        <v>653</v>
      </c>
      <c r="K461" s="27">
        <v>373</v>
      </c>
      <c r="L461" s="31" t="s">
        <v>601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695</v>
      </c>
      <c r="D462" s="31" t="s">
        <v>19</v>
      </c>
      <c r="E462" s="31"/>
      <c r="F462" s="31" t="s">
        <v>666</v>
      </c>
      <c r="G462" s="27">
        <v>1</v>
      </c>
      <c r="H462" s="31" t="s">
        <v>397</v>
      </c>
      <c r="I462" s="31"/>
      <c r="J462" s="26" t="s">
        <v>653</v>
      </c>
      <c r="K462" s="27">
        <v>1</v>
      </c>
      <c r="L462" s="31" t="s">
        <v>601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660</v>
      </c>
      <c r="D463" s="31" t="s">
        <v>19</v>
      </c>
      <c r="E463" s="31"/>
      <c r="F463" s="31" t="s">
        <v>666</v>
      </c>
      <c r="G463" s="27">
        <v>8</v>
      </c>
      <c r="H463" s="31" t="s">
        <v>397</v>
      </c>
      <c r="I463" s="31"/>
      <c r="J463" s="26" t="s">
        <v>653</v>
      </c>
      <c r="K463" s="27">
        <v>8</v>
      </c>
      <c r="L463" s="31" t="s">
        <v>601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690</v>
      </c>
      <c r="D464" s="31" t="s">
        <v>19</v>
      </c>
      <c r="E464" s="31"/>
      <c r="F464" s="31" t="s">
        <v>666</v>
      </c>
      <c r="G464" s="27">
        <v>46</v>
      </c>
      <c r="H464" s="31" t="s">
        <v>397</v>
      </c>
      <c r="I464" s="31"/>
      <c r="J464" s="26" t="s">
        <v>653</v>
      </c>
      <c r="K464" s="27">
        <v>46</v>
      </c>
      <c r="L464" s="31" t="s">
        <v>601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436</v>
      </c>
      <c r="D465" s="31" t="s">
        <v>19</v>
      </c>
      <c r="E465" s="31"/>
      <c r="F465" s="31" t="s">
        <v>846</v>
      </c>
      <c r="G465" s="27">
        <v>745</v>
      </c>
      <c r="H465" s="31" t="s">
        <v>397</v>
      </c>
      <c r="I465" s="31"/>
      <c r="J465" s="26" t="s">
        <v>653</v>
      </c>
      <c r="K465" s="27">
        <v>745</v>
      </c>
      <c r="L465" s="31" t="s">
        <v>601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689</v>
      </c>
      <c r="D466" s="31" t="s">
        <v>19</v>
      </c>
      <c r="E466" s="31"/>
      <c r="F466" s="31" t="s">
        <v>666</v>
      </c>
      <c r="G466" s="27">
        <v>11</v>
      </c>
      <c r="H466" s="31" t="s">
        <v>397</v>
      </c>
      <c r="I466" s="31"/>
      <c r="J466" s="26" t="s">
        <v>653</v>
      </c>
      <c r="K466" s="27">
        <v>11</v>
      </c>
      <c r="L466" s="31" t="s">
        <v>601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691</v>
      </c>
      <c r="D467" s="31" t="s">
        <v>19</v>
      </c>
      <c r="E467" s="31"/>
      <c r="F467" s="31" t="s">
        <v>666</v>
      </c>
      <c r="G467" s="27">
        <v>1</v>
      </c>
      <c r="H467" s="31" t="s">
        <v>397</v>
      </c>
      <c r="I467" s="31"/>
      <c r="J467" s="26" t="s">
        <v>653</v>
      </c>
      <c r="K467" s="27">
        <v>1</v>
      </c>
      <c r="L467" s="31" t="s">
        <v>601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436</v>
      </c>
      <c r="D468" s="31" t="s">
        <v>19</v>
      </c>
      <c r="E468" s="31"/>
      <c r="F468" s="31" t="s">
        <v>745</v>
      </c>
      <c r="G468" s="27">
        <v>1</v>
      </c>
      <c r="H468" s="31" t="s">
        <v>397</v>
      </c>
      <c r="I468" s="31"/>
      <c r="J468" s="26" t="s">
        <v>653</v>
      </c>
      <c r="K468" s="27">
        <v>1</v>
      </c>
      <c r="L468" s="31" t="s">
        <v>601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187</v>
      </c>
      <c r="D469" s="31" t="s">
        <v>19</v>
      </c>
      <c r="E469" s="31"/>
      <c r="F469" s="31" t="s">
        <v>745</v>
      </c>
      <c r="G469" s="27">
        <v>1</v>
      </c>
      <c r="H469" s="31" t="s">
        <v>397</v>
      </c>
      <c r="I469" s="31"/>
      <c r="J469" s="26" t="s">
        <v>653</v>
      </c>
      <c r="K469" s="27">
        <v>1</v>
      </c>
      <c r="L469" s="31" t="s">
        <v>601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598</v>
      </c>
      <c r="D470" s="31" t="s">
        <v>362</v>
      </c>
      <c r="E470" s="31"/>
      <c r="F470" s="31" t="s">
        <v>599</v>
      </c>
      <c r="G470" s="27">
        <v>3177</v>
      </c>
      <c r="H470" s="31" t="s">
        <v>54</v>
      </c>
      <c r="I470" s="31"/>
      <c r="J470" s="26" t="s">
        <v>600</v>
      </c>
      <c r="K470" s="27">
        <v>3177</v>
      </c>
      <c r="L470" s="31" t="s">
        <v>601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598</v>
      </c>
      <c r="D471" s="31" t="s">
        <v>452</v>
      </c>
      <c r="E471" s="31" t="s">
        <v>603</v>
      </c>
      <c r="F471" s="31" t="s">
        <v>604</v>
      </c>
      <c r="G471" s="27">
        <v>1000</v>
      </c>
      <c r="H471" s="31" t="s">
        <v>54</v>
      </c>
      <c r="I471" s="31" t="s">
        <v>847</v>
      </c>
      <c r="J471" s="26" t="s">
        <v>606</v>
      </c>
      <c r="K471" s="27">
        <v>1000</v>
      </c>
      <c r="L471" s="31" t="s">
        <v>601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598</v>
      </c>
      <c r="D472" s="31" t="s">
        <v>452</v>
      </c>
      <c r="E472" s="31" t="s">
        <v>603</v>
      </c>
      <c r="F472" s="31" t="s">
        <v>604</v>
      </c>
      <c r="G472" s="27">
        <v>9700</v>
      </c>
      <c r="H472" s="31" t="s">
        <v>54</v>
      </c>
      <c r="I472" s="31" t="s">
        <v>848</v>
      </c>
      <c r="J472" s="26" t="s">
        <v>606</v>
      </c>
      <c r="K472" s="27">
        <v>9700</v>
      </c>
      <c r="L472" s="31" t="s">
        <v>601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660</v>
      </c>
      <c r="D473" s="31" t="s">
        <v>19</v>
      </c>
      <c r="E473" s="31"/>
      <c r="F473" s="31" t="s">
        <v>666</v>
      </c>
      <c r="G473" s="27">
        <v>8</v>
      </c>
      <c r="H473" s="31" t="s">
        <v>397</v>
      </c>
      <c r="I473" s="31"/>
      <c r="J473" s="26" t="s">
        <v>653</v>
      </c>
      <c r="K473" s="27">
        <v>8</v>
      </c>
      <c r="L473" s="31" t="s">
        <v>601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690</v>
      </c>
      <c r="D474" s="31" t="s">
        <v>19</v>
      </c>
      <c r="E474" s="31"/>
      <c r="F474" s="31" t="s">
        <v>666</v>
      </c>
      <c r="G474" s="27">
        <v>46</v>
      </c>
      <c r="H474" s="31" t="s">
        <v>397</v>
      </c>
      <c r="I474" s="31"/>
      <c r="J474" s="26" t="s">
        <v>653</v>
      </c>
      <c r="K474" s="27">
        <v>46</v>
      </c>
      <c r="L474" s="31" t="s">
        <v>601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689</v>
      </c>
      <c r="D475" s="31" t="s">
        <v>19</v>
      </c>
      <c r="E475" s="31"/>
      <c r="F475" s="31" t="s">
        <v>666</v>
      </c>
      <c r="G475" s="27">
        <v>11</v>
      </c>
      <c r="H475" s="31" t="s">
        <v>397</v>
      </c>
      <c r="I475" s="31"/>
      <c r="J475" s="26" t="s">
        <v>653</v>
      </c>
      <c r="K475" s="27">
        <v>11</v>
      </c>
      <c r="L475" s="31" t="s">
        <v>601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691</v>
      </c>
      <c r="D476" s="31" t="s">
        <v>19</v>
      </c>
      <c r="E476" s="31"/>
      <c r="F476" s="31" t="s">
        <v>666</v>
      </c>
      <c r="G476" s="27">
        <v>1</v>
      </c>
      <c r="H476" s="31" t="s">
        <v>397</v>
      </c>
      <c r="I476" s="31"/>
      <c r="J476" s="26" t="s">
        <v>653</v>
      </c>
      <c r="K476" s="27">
        <v>1</v>
      </c>
      <c r="L476" s="31" t="s">
        <v>601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611</v>
      </c>
      <c r="D477" s="31" t="s">
        <v>452</v>
      </c>
      <c r="E477" s="31" t="s">
        <v>603</v>
      </c>
      <c r="F477" s="31" t="s">
        <v>604</v>
      </c>
      <c r="G477" s="27">
        <v>4300</v>
      </c>
      <c r="H477" s="31" t="s">
        <v>54</v>
      </c>
      <c r="I477" s="31" t="s">
        <v>697</v>
      </c>
      <c r="J477" s="26" t="s">
        <v>606</v>
      </c>
      <c r="K477" s="27">
        <v>4300</v>
      </c>
      <c r="L477" s="31" t="s">
        <v>601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611</v>
      </c>
      <c r="D478" s="31" t="s">
        <v>735</v>
      </c>
      <c r="E478" s="31"/>
      <c r="F478" s="31" t="s">
        <v>849</v>
      </c>
      <c r="G478" s="27">
        <v>6500</v>
      </c>
      <c r="H478" s="31" t="s">
        <v>54</v>
      </c>
      <c r="I478" s="31" t="s">
        <v>850</v>
      </c>
      <c r="J478" s="26" t="s">
        <v>606</v>
      </c>
      <c r="K478" s="27">
        <v>6500</v>
      </c>
      <c r="L478" s="31" t="s">
        <v>601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753</v>
      </c>
      <c r="D479" s="31" t="s">
        <v>19</v>
      </c>
      <c r="E479" s="31"/>
      <c r="F479" s="31" t="s">
        <v>779</v>
      </c>
      <c r="G479" s="27">
        <v>12450</v>
      </c>
      <c r="H479" s="31" t="s">
        <v>54</v>
      </c>
      <c r="I479" s="31"/>
      <c r="J479" s="26" t="s">
        <v>600</v>
      </c>
      <c r="K479" s="27">
        <v>12450</v>
      </c>
      <c r="L479" s="31" t="s">
        <v>601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611</v>
      </c>
      <c r="D480" s="31" t="s">
        <v>640</v>
      </c>
      <c r="E480" s="31"/>
      <c r="F480" s="31" t="s">
        <v>365</v>
      </c>
      <c r="G480" s="27">
        <v>8730</v>
      </c>
      <c r="H480" s="31" t="s">
        <v>54</v>
      </c>
      <c r="I480" s="31" t="s">
        <v>851</v>
      </c>
      <c r="J480" s="26" t="s">
        <v>606</v>
      </c>
      <c r="K480" s="27">
        <v>8730</v>
      </c>
      <c r="L480" s="31" t="s">
        <v>601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695</v>
      </c>
      <c r="D481" s="31" t="s">
        <v>19</v>
      </c>
      <c r="E481" s="31"/>
      <c r="F481" s="31" t="s">
        <v>666</v>
      </c>
      <c r="G481" s="27">
        <v>1</v>
      </c>
      <c r="H481" s="31" t="s">
        <v>397</v>
      </c>
      <c r="I481" s="31"/>
      <c r="J481" s="26" t="s">
        <v>653</v>
      </c>
      <c r="K481" s="27">
        <v>1</v>
      </c>
      <c r="L481" s="31" t="s">
        <v>601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660</v>
      </c>
      <c r="D482" s="31" t="s">
        <v>19</v>
      </c>
      <c r="E482" s="31"/>
      <c r="F482" s="31" t="s">
        <v>666</v>
      </c>
      <c r="G482" s="27">
        <v>8</v>
      </c>
      <c r="H482" s="31" t="s">
        <v>397</v>
      </c>
      <c r="I482" s="31"/>
      <c r="J482" s="26" t="s">
        <v>653</v>
      </c>
      <c r="K482" s="27">
        <v>8</v>
      </c>
      <c r="L482" s="31" t="s">
        <v>601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690</v>
      </c>
      <c r="D483" s="31" t="s">
        <v>19</v>
      </c>
      <c r="E483" s="31"/>
      <c r="F483" s="31" t="s">
        <v>666</v>
      </c>
      <c r="G483" s="27">
        <v>46</v>
      </c>
      <c r="H483" s="31" t="s">
        <v>397</v>
      </c>
      <c r="I483" s="31"/>
      <c r="J483" s="26" t="s">
        <v>653</v>
      </c>
      <c r="K483" s="27">
        <v>46</v>
      </c>
      <c r="L483" s="31" t="s">
        <v>601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689</v>
      </c>
      <c r="D484" s="31" t="s">
        <v>19</v>
      </c>
      <c r="E484" s="31"/>
      <c r="F484" s="31" t="s">
        <v>666</v>
      </c>
      <c r="G484" s="27">
        <v>11</v>
      </c>
      <c r="H484" s="31" t="s">
        <v>397</v>
      </c>
      <c r="I484" s="31"/>
      <c r="J484" s="26" t="s">
        <v>653</v>
      </c>
      <c r="K484" s="27">
        <v>11</v>
      </c>
      <c r="L484" s="31" t="s">
        <v>601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691</v>
      </c>
      <c r="D485" s="31" t="s">
        <v>19</v>
      </c>
      <c r="E485" s="31"/>
      <c r="F485" s="31" t="s">
        <v>666</v>
      </c>
      <c r="G485" s="27">
        <v>1</v>
      </c>
      <c r="H485" s="31" t="s">
        <v>397</v>
      </c>
      <c r="I485" s="31"/>
      <c r="J485" s="26" t="s">
        <v>653</v>
      </c>
      <c r="K485" s="27">
        <v>1</v>
      </c>
      <c r="L485" s="31" t="s">
        <v>601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598</v>
      </c>
      <c r="D486" s="31" t="s">
        <v>362</v>
      </c>
      <c r="E486" s="31"/>
      <c r="F486" s="31" t="s">
        <v>608</v>
      </c>
      <c r="G486" s="27">
        <v>9000</v>
      </c>
      <c r="H486" s="31" t="s">
        <v>54</v>
      </c>
      <c r="I486" s="31"/>
      <c r="J486" s="26" t="s">
        <v>600</v>
      </c>
      <c r="K486" s="27">
        <v>9000</v>
      </c>
      <c r="L486" s="31" t="s">
        <v>601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611</v>
      </c>
      <c r="D487" s="31" t="s">
        <v>452</v>
      </c>
      <c r="E487" s="31" t="s">
        <v>603</v>
      </c>
      <c r="F487" s="31" t="s">
        <v>604</v>
      </c>
      <c r="G487" s="27">
        <v>4400</v>
      </c>
      <c r="H487" s="31" t="s">
        <v>54</v>
      </c>
      <c r="I487" s="31" t="s">
        <v>697</v>
      </c>
      <c r="J487" s="26" t="s">
        <v>606</v>
      </c>
      <c r="K487" s="27">
        <v>4400</v>
      </c>
      <c r="L487" s="31" t="s">
        <v>601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611</v>
      </c>
      <c r="D488" s="31" t="s">
        <v>625</v>
      </c>
      <c r="E488" s="31"/>
      <c r="F488" s="31" t="s">
        <v>626</v>
      </c>
      <c r="G488" s="27">
        <v>10000</v>
      </c>
      <c r="H488" s="31" t="s">
        <v>54</v>
      </c>
      <c r="I488" s="31"/>
      <c r="J488" s="26" t="s">
        <v>606</v>
      </c>
      <c r="K488" s="27">
        <v>10000</v>
      </c>
      <c r="L488" s="31" t="s">
        <v>601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166</v>
      </c>
      <c r="D489" s="31" t="s">
        <v>19</v>
      </c>
      <c r="E489" s="31"/>
      <c r="F489" s="31" t="s">
        <v>767</v>
      </c>
      <c r="G489" s="27">
        <v>15462</v>
      </c>
      <c r="H489" s="31" t="s">
        <v>54</v>
      </c>
      <c r="I489" s="31"/>
      <c r="J489" s="26" t="s">
        <v>600</v>
      </c>
      <c r="K489" s="27">
        <v>15462</v>
      </c>
      <c r="L489" s="31" t="s">
        <v>601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660</v>
      </c>
      <c r="D490" s="31" t="s">
        <v>19</v>
      </c>
      <c r="E490" s="31"/>
      <c r="F490" s="31" t="s">
        <v>666</v>
      </c>
      <c r="G490" s="27">
        <v>8</v>
      </c>
      <c r="H490" s="31" t="s">
        <v>397</v>
      </c>
      <c r="I490" s="31"/>
      <c r="J490" s="26" t="s">
        <v>653</v>
      </c>
      <c r="K490" s="27">
        <v>8</v>
      </c>
      <c r="L490" s="31" t="s">
        <v>601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690</v>
      </c>
      <c r="D491" s="31" t="s">
        <v>19</v>
      </c>
      <c r="E491" s="31"/>
      <c r="F491" s="31" t="s">
        <v>666</v>
      </c>
      <c r="G491" s="27">
        <v>46</v>
      </c>
      <c r="H491" s="31" t="s">
        <v>397</v>
      </c>
      <c r="I491" s="31"/>
      <c r="J491" s="26" t="s">
        <v>653</v>
      </c>
      <c r="K491" s="27">
        <v>46</v>
      </c>
      <c r="L491" s="31" t="s">
        <v>601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689</v>
      </c>
      <c r="D492" s="31" t="s">
        <v>19</v>
      </c>
      <c r="E492" s="31"/>
      <c r="F492" s="31" t="s">
        <v>666</v>
      </c>
      <c r="G492" s="27">
        <v>11</v>
      </c>
      <c r="H492" s="31" t="s">
        <v>397</v>
      </c>
      <c r="I492" s="31"/>
      <c r="J492" s="26" t="s">
        <v>653</v>
      </c>
      <c r="K492" s="27">
        <v>11</v>
      </c>
      <c r="L492" s="31" t="s">
        <v>601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691</v>
      </c>
      <c r="D493" s="31" t="s">
        <v>19</v>
      </c>
      <c r="E493" s="31"/>
      <c r="F493" s="31" t="s">
        <v>666</v>
      </c>
      <c r="G493" s="27">
        <v>1</v>
      </c>
      <c r="H493" s="31" t="s">
        <v>397</v>
      </c>
      <c r="I493" s="31"/>
      <c r="J493" s="26" t="s">
        <v>653</v>
      </c>
      <c r="K493" s="27">
        <v>1</v>
      </c>
      <c r="L493" s="31" t="s">
        <v>601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645</v>
      </c>
      <c r="D494" s="31" t="s">
        <v>166</v>
      </c>
      <c r="E494" s="31"/>
      <c r="F494" s="31" t="s">
        <v>72</v>
      </c>
      <c r="G494" s="27">
        <v>15000</v>
      </c>
      <c r="H494" s="31" t="s">
        <v>636</v>
      </c>
      <c r="I494" s="31"/>
      <c r="J494" s="26" t="s">
        <v>634</v>
      </c>
      <c r="K494" s="27">
        <v>15000</v>
      </c>
      <c r="L494" s="31" t="s">
        <v>601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166</v>
      </c>
      <c r="D495" s="31" t="s">
        <v>645</v>
      </c>
      <c r="E495" s="31"/>
      <c r="F495" s="31" t="s">
        <v>72</v>
      </c>
      <c r="G495" s="27">
        <v>15000</v>
      </c>
      <c r="H495" s="31" t="s">
        <v>633</v>
      </c>
      <c r="I495" s="31"/>
      <c r="J495" s="26" t="s">
        <v>634</v>
      </c>
      <c r="K495" s="27">
        <v>15000</v>
      </c>
      <c r="L495" s="31" t="s">
        <v>601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611</v>
      </c>
      <c r="D496" s="31" t="s">
        <v>452</v>
      </c>
      <c r="E496" s="31" t="s">
        <v>612</v>
      </c>
      <c r="F496" s="31" t="s">
        <v>852</v>
      </c>
      <c r="G496" s="27">
        <v>13000</v>
      </c>
      <c r="H496" s="31" t="s">
        <v>54</v>
      </c>
      <c r="I496" s="31"/>
      <c r="J496" s="26" t="s">
        <v>606</v>
      </c>
      <c r="K496" s="27">
        <v>13000</v>
      </c>
      <c r="L496" s="31" t="s">
        <v>601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611</v>
      </c>
      <c r="D497" s="31" t="s">
        <v>640</v>
      </c>
      <c r="E497" s="31"/>
      <c r="F497" s="31" t="s">
        <v>626</v>
      </c>
      <c r="G497" s="27">
        <v>5000</v>
      </c>
      <c r="H497" s="31" t="s">
        <v>54</v>
      </c>
      <c r="I497" s="31" t="s">
        <v>853</v>
      </c>
      <c r="J497" s="26" t="s">
        <v>606</v>
      </c>
      <c r="K497" s="27">
        <v>5000</v>
      </c>
      <c r="L497" s="31" t="s">
        <v>601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187</v>
      </c>
      <c r="D498" s="31" t="s">
        <v>672</v>
      </c>
      <c r="E498" s="31" t="s">
        <v>673</v>
      </c>
      <c r="F498" s="31" t="s">
        <v>703</v>
      </c>
      <c r="G498" s="27">
        <v>-3300</v>
      </c>
      <c r="H498" s="31" t="s">
        <v>54</v>
      </c>
      <c r="I498" s="31" t="s">
        <v>781</v>
      </c>
      <c r="J498" s="26" t="s">
        <v>606</v>
      </c>
      <c r="K498" s="27">
        <v>-3300</v>
      </c>
      <c r="L498" s="31" t="s">
        <v>601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695</v>
      </c>
      <c r="D499" s="31" t="s">
        <v>19</v>
      </c>
      <c r="E499" s="31"/>
      <c r="F499" s="31" t="s">
        <v>666</v>
      </c>
      <c r="G499" s="27">
        <v>1</v>
      </c>
      <c r="H499" s="31" t="s">
        <v>397</v>
      </c>
      <c r="I499" s="31"/>
      <c r="J499" s="26" t="s">
        <v>653</v>
      </c>
      <c r="K499" s="27">
        <v>1</v>
      </c>
      <c r="L499" s="31" t="s">
        <v>601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660</v>
      </c>
      <c r="D500" s="31" t="s">
        <v>19</v>
      </c>
      <c r="E500" s="31"/>
      <c r="F500" s="31" t="s">
        <v>666</v>
      </c>
      <c r="G500" s="27">
        <v>8</v>
      </c>
      <c r="H500" s="31" t="s">
        <v>397</v>
      </c>
      <c r="I500" s="31"/>
      <c r="J500" s="26" t="s">
        <v>653</v>
      </c>
      <c r="K500" s="27">
        <v>8</v>
      </c>
      <c r="L500" s="31" t="s">
        <v>601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690</v>
      </c>
      <c r="D501" s="31" t="s">
        <v>19</v>
      </c>
      <c r="E501" s="31"/>
      <c r="F501" s="31" t="s">
        <v>666</v>
      </c>
      <c r="G501" s="27">
        <v>46</v>
      </c>
      <c r="H501" s="31" t="s">
        <v>397</v>
      </c>
      <c r="I501" s="31"/>
      <c r="J501" s="26" t="s">
        <v>653</v>
      </c>
      <c r="K501" s="27">
        <v>46</v>
      </c>
      <c r="L501" s="31" t="s">
        <v>601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689</v>
      </c>
      <c r="D502" s="31" t="s">
        <v>19</v>
      </c>
      <c r="E502" s="31"/>
      <c r="F502" s="31" t="s">
        <v>666</v>
      </c>
      <c r="G502" s="27">
        <v>11</v>
      </c>
      <c r="H502" s="31" t="s">
        <v>397</v>
      </c>
      <c r="I502" s="31"/>
      <c r="J502" s="26" t="s">
        <v>653</v>
      </c>
      <c r="K502" s="27">
        <v>11</v>
      </c>
      <c r="L502" s="31" t="s">
        <v>601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691</v>
      </c>
      <c r="D503" s="31" t="s">
        <v>19</v>
      </c>
      <c r="E503" s="31"/>
      <c r="F503" s="31" t="s">
        <v>666</v>
      </c>
      <c r="G503" s="27">
        <v>1</v>
      </c>
      <c r="H503" s="31" t="s">
        <v>397</v>
      </c>
      <c r="I503" s="31"/>
      <c r="J503" s="26" t="s">
        <v>653</v>
      </c>
      <c r="K503" s="27">
        <v>1</v>
      </c>
      <c r="L503" s="31" t="s">
        <v>601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598</v>
      </c>
      <c r="D504" s="31" t="s">
        <v>362</v>
      </c>
      <c r="E504" s="31"/>
      <c r="F504" s="31" t="s">
        <v>637</v>
      </c>
      <c r="G504" s="27">
        <v>3565</v>
      </c>
      <c r="H504" s="31" t="s">
        <v>54</v>
      </c>
      <c r="I504" s="31"/>
      <c r="J504" s="26" t="s">
        <v>600</v>
      </c>
      <c r="K504" s="27">
        <v>3565</v>
      </c>
      <c r="L504" s="31" t="s">
        <v>601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598</v>
      </c>
      <c r="D505" s="31" t="s">
        <v>362</v>
      </c>
      <c r="E505" s="31"/>
      <c r="F505" s="31" t="s">
        <v>561</v>
      </c>
      <c r="G505" s="27">
        <v>1800</v>
      </c>
      <c r="H505" s="31" t="s">
        <v>54</v>
      </c>
      <c r="I505" s="31" t="s">
        <v>639</v>
      </c>
      <c r="J505" s="26" t="s">
        <v>600</v>
      </c>
      <c r="K505" s="27">
        <v>1800</v>
      </c>
      <c r="L505" s="31" t="s">
        <v>601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166</v>
      </c>
      <c r="D506" s="31" t="s">
        <v>19</v>
      </c>
      <c r="E506" s="31"/>
      <c r="F506" s="31" t="s">
        <v>813</v>
      </c>
      <c r="G506" s="27">
        <v>6</v>
      </c>
      <c r="H506" s="31" t="s">
        <v>397</v>
      </c>
      <c r="I506" s="31"/>
      <c r="J506" s="26" t="s">
        <v>653</v>
      </c>
      <c r="K506" s="27">
        <v>6</v>
      </c>
      <c r="L506" s="31" t="s">
        <v>601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611</v>
      </c>
      <c r="D507" s="31" t="s">
        <v>452</v>
      </c>
      <c r="E507" s="31" t="s">
        <v>612</v>
      </c>
      <c r="F507" s="31" t="s">
        <v>800</v>
      </c>
      <c r="G507" s="27">
        <v>12000</v>
      </c>
      <c r="H507" s="31" t="s">
        <v>54</v>
      </c>
      <c r="I507" s="31"/>
      <c r="J507" s="26" t="s">
        <v>606</v>
      </c>
      <c r="K507" s="27">
        <v>12000</v>
      </c>
      <c r="L507" s="31" t="s">
        <v>601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611</v>
      </c>
      <c r="D508" s="31" t="s">
        <v>452</v>
      </c>
      <c r="E508" s="31" t="s">
        <v>603</v>
      </c>
      <c r="F508" s="31" t="s">
        <v>713</v>
      </c>
      <c r="G508" s="27">
        <v>10800</v>
      </c>
      <c r="H508" s="31" t="s">
        <v>54</v>
      </c>
      <c r="I508" s="31"/>
      <c r="J508" s="26" t="s">
        <v>606</v>
      </c>
      <c r="K508" s="27">
        <v>10800</v>
      </c>
      <c r="L508" s="31" t="s">
        <v>601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611</v>
      </c>
      <c r="D509" s="31" t="s">
        <v>669</v>
      </c>
      <c r="E509" s="31"/>
      <c r="F509" s="31" t="s">
        <v>766</v>
      </c>
      <c r="G509" s="27">
        <v>19900</v>
      </c>
      <c r="H509" s="31" t="s">
        <v>54</v>
      </c>
      <c r="I509" s="31" t="s">
        <v>508</v>
      </c>
      <c r="J509" s="26" t="s">
        <v>617</v>
      </c>
      <c r="K509" s="27">
        <v>19900</v>
      </c>
      <c r="L509" s="31" t="s">
        <v>601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645</v>
      </c>
      <c r="D510" s="31" t="s">
        <v>646</v>
      </c>
      <c r="E510" s="31"/>
      <c r="F510" s="31" t="s">
        <v>73</v>
      </c>
      <c r="G510" s="27">
        <v>550000</v>
      </c>
      <c r="H510" s="31" t="s">
        <v>54</v>
      </c>
      <c r="I510" s="31"/>
      <c r="J510" s="26" t="s">
        <v>600</v>
      </c>
      <c r="K510" s="27">
        <v>550000</v>
      </c>
      <c r="L510" s="31" t="s">
        <v>601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611</v>
      </c>
      <c r="D511" s="31" t="s">
        <v>452</v>
      </c>
      <c r="E511" s="31" t="s">
        <v>612</v>
      </c>
      <c r="F511" s="31" t="s">
        <v>830</v>
      </c>
      <c r="G511" s="27">
        <v>10900</v>
      </c>
      <c r="H511" s="31" t="s">
        <v>54</v>
      </c>
      <c r="I511" s="31"/>
      <c r="J511" s="26" t="s">
        <v>606</v>
      </c>
      <c r="K511" s="27">
        <v>10900</v>
      </c>
      <c r="L511" s="31" t="s">
        <v>601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660</v>
      </c>
      <c r="D512" s="31" t="s">
        <v>19</v>
      </c>
      <c r="E512" s="31"/>
      <c r="F512" s="31" t="s">
        <v>666</v>
      </c>
      <c r="G512" s="27">
        <v>8</v>
      </c>
      <c r="H512" s="31" t="s">
        <v>397</v>
      </c>
      <c r="I512" s="31"/>
      <c r="J512" s="26" t="s">
        <v>653</v>
      </c>
      <c r="K512" s="27">
        <v>8</v>
      </c>
      <c r="L512" s="31" t="s">
        <v>601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690</v>
      </c>
      <c r="D513" s="31" t="s">
        <v>19</v>
      </c>
      <c r="E513" s="31"/>
      <c r="F513" s="31" t="s">
        <v>666</v>
      </c>
      <c r="G513" s="27">
        <v>46</v>
      </c>
      <c r="H513" s="31" t="s">
        <v>397</v>
      </c>
      <c r="I513" s="31"/>
      <c r="J513" s="26" t="s">
        <v>653</v>
      </c>
      <c r="K513" s="27">
        <v>46</v>
      </c>
      <c r="L513" s="31" t="s">
        <v>601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689</v>
      </c>
      <c r="D514" s="31" t="s">
        <v>19</v>
      </c>
      <c r="E514" s="31"/>
      <c r="F514" s="31" t="s">
        <v>666</v>
      </c>
      <c r="G514" s="27">
        <v>11</v>
      </c>
      <c r="H514" s="31" t="s">
        <v>397</v>
      </c>
      <c r="I514" s="31"/>
      <c r="J514" s="26" t="s">
        <v>653</v>
      </c>
      <c r="K514" s="27">
        <v>11</v>
      </c>
      <c r="L514" s="31" t="s">
        <v>601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691</v>
      </c>
      <c r="D515" s="31" t="s">
        <v>19</v>
      </c>
      <c r="E515" s="31"/>
      <c r="F515" s="31" t="s">
        <v>666</v>
      </c>
      <c r="G515" s="27">
        <v>1</v>
      </c>
      <c r="H515" s="31" t="s">
        <v>397</v>
      </c>
      <c r="I515" s="31"/>
      <c r="J515" s="26" t="s">
        <v>653</v>
      </c>
      <c r="K515" s="27">
        <v>1</v>
      </c>
      <c r="L515" s="31" t="s">
        <v>601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166</v>
      </c>
      <c r="D516" s="31" t="s">
        <v>19</v>
      </c>
      <c r="E516" s="31"/>
      <c r="F516" s="31" t="s">
        <v>813</v>
      </c>
      <c r="G516" s="27">
        <v>6</v>
      </c>
      <c r="H516" s="31" t="s">
        <v>397</v>
      </c>
      <c r="I516" s="31"/>
      <c r="J516" s="26" t="s">
        <v>653</v>
      </c>
      <c r="K516" s="27">
        <v>6</v>
      </c>
      <c r="L516" s="31" t="s">
        <v>601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598</v>
      </c>
      <c r="D517" s="31" t="s">
        <v>640</v>
      </c>
      <c r="E517" s="31"/>
      <c r="F517" s="31" t="s">
        <v>854</v>
      </c>
      <c r="G517" s="27">
        <v>18200</v>
      </c>
      <c r="H517" s="31" t="s">
        <v>54</v>
      </c>
      <c r="I517" s="31" t="s">
        <v>642</v>
      </c>
      <c r="J517" s="26" t="s">
        <v>600</v>
      </c>
      <c r="K517" s="27">
        <v>18200</v>
      </c>
      <c r="L517" s="31" t="s">
        <v>601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645</v>
      </c>
      <c r="D518" s="31" t="s">
        <v>855</v>
      </c>
      <c r="E518" s="31"/>
      <c r="F518" s="31" t="s">
        <v>72</v>
      </c>
      <c r="G518" s="27">
        <v>2226483</v>
      </c>
      <c r="H518" s="31" t="s">
        <v>636</v>
      </c>
      <c r="I518" s="31"/>
      <c r="J518" s="26" t="s">
        <v>634</v>
      </c>
      <c r="K518" s="27">
        <v>2226483</v>
      </c>
      <c r="L518" s="31" t="s">
        <v>601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855</v>
      </c>
      <c r="D519" s="31" t="s">
        <v>645</v>
      </c>
      <c r="E519" s="31"/>
      <c r="F519" s="31" t="s">
        <v>72</v>
      </c>
      <c r="G519" s="27">
        <v>2226483</v>
      </c>
      <c r="H519" s="31" t="s">
        <v>633</v>
      </c>
      <c r="I519" s="31"/>
      <c r="J519" s="26" t="s">
        <v>634</v>
      </c>
      <c r="K519" s="27">
        <v>2226483</v>
      </c>
      <c r="L519" s="31" t="s">
        <v>601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695</v>
      </c>
      <c r="D520" s="31" t="s">
        <v>19</v>
      </c>
      <c r="E520" s="31"/>
      <c r="F520" s="31" t="s">
        <v>666</v>
      </c>
      <c r="G520" s="27">
        <v>1</v>
      </c>
      <c r="H520" s="31" t="s">
        <v>397</v>
      </c>
      <c r="I520" s="31"/>
      <c r="J520" s="26" t="s">
        <v>653</v>
      </c>
      <c r="K520" s="27">
        <v>1</v>
      </c>
      <c r="L520" s="31" t="s">
        <v>601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660</v>
      </c>
      <c r="D521" s="31" t="s">
        <v>19</v>
      </c>
      <c r="E521" s="31"/>
      <c r="F521" s="31" t="s">
        <v>666</v>
      </c>
      <c r="G521" s="27">
        <v>8</v>
      </c>
      <c r="H521" s="31" t="s">
        <v>397</v>
      </c>
      <c r="I521" s="31"/>
      <c r="J521" s="26" t="s">
        <v>653</v>
      </c>
      <c r="K521" s="27">
        <v>8</v>
      </c>
      <c r="L521" s="31" t="s">
        <v>601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690</v>
      </c>
      <c r="D522" s="31" t="s">
        <v>19</v>
      </c>
      <c r="E522" s="31"/>
      <c r="F522" s="31" t="s">
        <v>666</v>
      </c>
      <c r="G522" s="27">
        <v>46</v>
      </c>
      <c r="H522" s="31" t="s">
        <v>397</v>
      </c>
      <c r="I522" s="31"/>
      <c r="J522" s="26" t="s">
        <v>653</v>
      </c>
      <c r="K522" s="27">
        <v>46</v>
      </c>
      <c r="L522" s="31" t="s">
        <v>601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691</v>
      </c>
      <c r="D523" s="31" t="s">
        <v>19</v>
      </c>
      <c r="E523" s="31"/>
      <c r="F523" s="31" t="s">
        <v>666</v>
      </c>
      <c r="G523" s="27">
        <v>1</v>
      </c>
      <c r="H523" s="31" t="s">
        <v>397</v>
      </c>
      <c r="I523" s="31"/>
      <c r="J523" s="26" t="s">
        <v>653</v>
      </c>
      <c r="K523" s="27">
        <v>1</v>
      </c>
      <c r="L523" s="31" t="s">
        <v>601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689</v>
      </c>
      <c r="D524" s="31" t="s">
        <v>19</v>
      </c>
      <c r="E524" s="31"/>
      <c r="F524" s="31" t="s">
        <v>666</v>
      </c>
      <c r="G524" s="27">
        <v>11</v>
      </c>
      <c r="H524" s="31" t="s">
        <v>397</v>
      </c>
      <c r="I524" s="31"/>
      <c r="J524" s="26" t="s">
        <v>653</v>
      </c>
      <c r="K524" s="27">
        <v>11</v>
      </c>
      <c r="L524" s="31" t="s">
        <v>601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611</v>
      </c>
      <c r="D525" s="31" t="s">
        <v>646</v>
      </c>
      <c r="E525" s="31"/>
      <c r="F525" s="31" t="s">
        <v>679</v>
      </c>
      <c r="G525" s="27">
        <v>24687</v>
      </c>
      <c r="H525" s="31" t="s">
        <v>54</v>
      </c>
      <c r="I525" s="31"/>
      <c r="J525" s="26" t="s">
        <v>600</v>
      </c>
      <c r="K525" s="27">
        <v>24687</v>
      </c>
      <c r="L525" s="31" t="s">
        <v>601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598</v>
      </c>
      <c r="D526" s="31" t="s">
        <v>452</v>
      </c>
      <c r="E526" s="31" t="s">
        <v>615</v>
      </c>
      <c r="F526" s="31" t="s">
        <v>365</v>
      </c>
      <c r="G526" s="27">
        <v>33540</v>
      </c>
      <c r="H526" s="31" t="s">
        <v>54</v>
      </c>
      <c r="I526" s="31" t="s">
        <v>616</v>
      </c>
      <c r="J526" s="26" t="s">
        <v>606</v>
      </c>
      <c r="K526" s="27">
        <v>33540</v>
      </c>
      <c r="L526" s="31" t="s">
        <v>601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611</v>
      </c>
      <c r="D527" s="31" t="s">
        <v>452</v>
      </c>
      <c r="E527" s="31" t="s">
        <v>612</v>
      </c>
      <c r="F527" s="31" t="s">
        <v>739</v>
      </c>
      <c r="G527" s="27">
        <v>13000</v>
      </c>
      <c r="H527" s="31" t="s">
        <v>54</v>
      </c>
      <c r="I527" s="31"/>
      <c r="J527" s="26" t="s">
        <v>606</v>
      </c>
      <c r="K527" s="27">
        <v>13000</v>
      </c>
      <c r="L527" s="31" t="s">
        <v>601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660</v>
      </c>
      <c r="D528" s="31" t="s">
        <v>735</v>
      </c>
      <c r="E528" s="31"/>
      <c r="F528" s="31" t="s">
        <v>856</v>
      </c>
      <c r="G528" s="27">
        <v>18000</v>
      </c>
      <c r="H528" s="31" t="s">
        <v>54</v>
      </c>
      <c r="I528" s="31"/>
      <c r="J528" s="26" t="s">
        <v>606</v>
      </c>
      <c r="K528" s="27">
        <v>18000</v>
      </c>
      <c r="L528" s="31" t="s">
        <v>857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660</v>
      </c>
      <c r="D529" s="31" t="s">
        <v>19</v>
      </c>
      <c r="E529" s="31"/>
      <c r="F529" s="31" t="s">
        <v>666</v>
      </c>
      <c r="G529" s="27">
        <v>8</v>
      </c>
      <c r="H529" s="31" t="s">
        <v>397</v>
      </c>
      <c r="I529" s="31"/>
      <c r="J529" s="26" t="s">
        <v>653</v>
      </c>
      <c r="K529" s="27">
        <v>8</v>
      </c>
      <c r="L529" s="31" t="s">
        <v>601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689</v>
      </c>
      <c r="D530" s="31" t="s">
        <v>19</v>
      </c>
      <c r="E530" s="31"/>
      <c r="F530" s="31" t="s">
        <v>666</v>
      </c>
      <c r="G530" s="27">
        <v>11</v>
      </c>
      <c r="H530" s="31" t="s">
        <v>397</v>
      </c>
      <c r="I530" s="31"/>
      <c r="J530" s="26" t="s">
        <v>653</v>
      </c>
      <c r="K530" s="27">
        <v>11</v>
      </c>
      <c r="L530" s="31" t="s">
        <v>601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690</v>
      </c>
      <c r="D531" s="31" t="s">
        <v>19</v>
      </c>
      <c r="E531" s="31"/>
      <c r="F531" s="31" t="s">
        <v>666</v>
      </c>
      <c r="G531" s="27">
        <v>46</v>
      </c>
      <c r="H531" s="31" t="s">
        <v>397</v>
      </c>
      <c r="I531" s="31"/>
      <c r="J531" s="26" t="s">
        <v>653</v>
      </c>
      <c r="K531" s="27">
        <v>46</v>
      </c>
      <c r="L531" s="31" t="s">
        <v>601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691</v>
      </c>
      <c r="D532" s="31" t="s">
        <v>19</v>
      </c>
      <c r="E532" s="31"/>
      <c r="F532" s="31" t="s">
        <v>666</v>
      </c>
      <c r="G532" s="27">
        <v>1</v>
      </c>
      <c r="H532" s="31" t="s">
        <v>397</v>
      </c>
      <c r="I532" s="31"/>
      <c r="J532" s="26" t="s">
        <v>653</v>
      </c>
      <c r="K532" s="27">
        <v>1</v>
      </c>
      <c r="L532" s="31" t="s">
        <v>601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611</v>
      </c>
      <c r="D533" s="31" t="s">
        <v>452</v>
      </c>
      <c r="E533" s="31" t="s">
        <v>603</v>
      </c>
      <c r="F533" s="31" t="s">
        <v>769</v>
      </c>
      <c r="G533" s="27">
        <v>3920</v>
      </c>
      <c r="H533" s="31" t="s">
        <v>54</v>
      </c>
      <c r="I533" s="31"/>
      <c r="J533" s="26" t="s">
        <v>606</v>
      </c>
      <c r="K533" s="27">
        <v>3920</v>
      </c>
      <c r="L533" s="31" t="s">
        <v>601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611</v>
      </c>
      <c r="D534" s="31" t="s">
        <v>452</v>
      </c>
      <c r="E534" s="31" t="s">
        <v>603</v>
      </c>
      <c r="F534" s="31" t="s">
        <v>604</v>
      </c>
      <c r="G534" s="27">
        <v>2100</v>
      </c>
      <c r="H534" s="31" t="s">
        <v>54</v>
      </c>
      <c r="I534" s="31" t="s">
        <v>688</v>
      </c>
      <c r="J534" s="26" t="s">
        <v>606</v>
      </c>
      <c r="K534" s="27">
        <v>2100</v>
      </c>
      <c r="L534" s="31" t="s">
        <v>601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695</v>
      </c>
      <c r="D535" s="31" t="s">
        <v>19</v>
      </c>
      <c r="E535" s="31"/>
      <c r="F535" s="31" t="s">
        <v>666</v>
      </c>
      <c r="G535" s="27">
        <v>1</v>
      </c>
      <c r="H535" s="31" t="s">
        <v>397</v>
      </c>
      <c r="I535" s="31"/>
      <c r="J535" s="26" t="s">
        <v>653</v>
      </c>
      <c r="K535" s="27">
        <v>1</v>
      </c>
      <c r="L535" s="31" t="s">
        <v>601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660</v>
      </c>
      <c r="D536" s="31" t="s">
        <v>19</v>
      </c>
      <c r="E536" s="31"/>
      <c r="F536" s="31" t="s">
        <v>666</v>
      </c>
      <c r="G536" s="27">
        <v>8</v>
      </c>
      <c r="H536" s="31" t="s">
        <v>397</v>
      </c>
      <c r="I536" s="31"/>
      <c r="J536" s="26" t="s">
        <v>653</v>
      </c>
      <c r="K536" s="27">
        <v>8</v>
      </c>
      <c r="L536" s="31" t="s">
        <v>601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690</v>
      </c>
      <c r="D537" s="31" t="s">
        <v>19</v>
      </c>
      <c r="E537" s="31"/>
      <c r="F537" s="31" t="s">
        <v>666</v>
      </c>
      <c r="G537" s="27">
        <v>46</v>
      </c>
      <c r="H537" s="31" t="s">
        <v>397</v>
      </c>
      <c r="I537" s="31"/>
      <c r="J537" s="26" t="s">
        <v>653</v>
      </c>
      <c r="K537" s="27">
        <v>46</v>
      </c>
      <c r="L537" s="31" t="s">
        <v>601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689</v>
      </c>
      <c r="D538" s="31" t="s">
        <v>19</v>
      </c>
      <c r="E538" s="31"/>
      <c r="F538" s="31" t="s">
        <v>666</v>
      </c>
      <c r="G538" s="27">
        <v>11</v>
      </c>
      <c r="H538" s="31" t="s">
        <v>397</v>
      </c>
      <c r="I538" s="31"/>
      <c r="J538" s="26" t="s">
        <v>653</v>
      </c>
      <c r="K538" s="27">
        <v>11</v>
      </c>
      <c r="L538" s="31" t="s">
        <v>601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691</v>
      </c>
      <c r="D539" s="31" t="s">
        <v>19</v>
      </c>
      <c r="E539" s="31"/>
      <c r="F539" s="31" t="s">
        <v>666</v>
      </c>
      <c r="G539" s="27">
        <v>1</v>
      </c>
      <c r="H539" s="31" t="s">
        <v>397</v>
      </c>
      <c r="I539" s="31"/>
      <c r="J539" s="26" t="s">
        <v>653</v>
      </c>
      <c r="K539" s="27">
        <v>1</v>
      </c>
      <c r="L539" s="31" t="s">
        <v>601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611</v>
      </c>
      <c r="D540" s="31" t="s">
        <v>625</v>
      </c>
      <c r="E540" s="31"/>
      <c r="F540" s="31" t="s">
        <v>626</v>
      </c>
      <c r="G540" s="27">
        <v>6000</v>
      </c>
      <c r="H540" s="31" t="s">
        <v>54</v>
      </c>
      <c r="I540" s="31"/>
      <c r="J540" s="26" t="s">
        <v>606</v>
      </c>
      <c r="K540" s="27">
        <v>6000</v>
      </c>
      <c r="L540" s="31" t="s">
        <v>601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611</v>
      </c>
      <c r="D541" s="31" t="s">
        <v>452</v>
      </c>
      <c r="E541" s="31" t="s">
        <v>603</v>
      </c>
      <c r="F541" s="31" t="s">
        <v>769</v>
      </c>
      <c r="G541" s="27">
        <v>3040</v>
      </c>
      <c r="H541" s="31" t="s">
        <v>54</v>
      </c>
      <c r="I541" s="31"/>
      <c r="J541" s="26" t="s">
        <v>606</v>
      </c>
      <c r="K541" s="27">
        <v>3040</v>
      </c>
      <c r="L541" s="31" t="s">
        <v>601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611</v>
      </c>
      <c r="D542" s="31" t="s">
        <v>625</v>
      </c>
      <c r="E542" s="31"/>
      <c r="F542" s="31" t="s">
        <v>365</v>
      </c>
      <c r="G542" s="27">
        <v>7890</v>
      </c>
      <c r="H542" s="31" t="s">
        <v>54</v>
      </c>
      <c r="I542" s="31" t="s">
        <v>702</v>
      </c>
      <c r="J542" s="26" t="s">
        <v>606</v>
      </c>
      <c r="K542" s="27">
        <v>7890</v>
      </c>
      <c r="L542" s="31" t="s">
        <v>601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611</v>
      </c>
      <c r="D543" s="31" t="s">
        <v>452</v>
      </c>
      <c r="E543" s="31" t="s">
        <v>612</v>
      </c>
      <c r="F543" s="31" t="s">
        <v>701</v>
      </c>
      <c r="G543" s="27">
        <v>11000</v>
      </c>
      <c r="H543" s="31" t="s">
        <v>54</v>
      </c>
      <c r="I543" s="31"/>
      <c r="J543" s="26" t="s">
        <v>606</v>
      </c>
      <c r="K543" s="27">
        <v>11000</v>
      </c>
      <c r="L543" s="31" t="s">
        <v>601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611</v>
      </c>
      <c r="D544" s="31" t="s">
        <v>452</v>
      </c>
      <c r="E544" s="31" t="s">
        <v>603</v>
      </c>
      <c r="F544" s="31" t="s">
        <v>643</v>
      </c>
      <c r="G544" s="27">
        <v>6000</v>
      </c>
      <c r="H544" s="31" t="s">
        <v>54</v>
      </c>
      <c r="I544" s="31"/>
      <c r="J544" s="26" t="s">
        <v>606</v>
      </c>
      <c r="K544" s="27">
        <v>6000</v>
      </c>
      <c r="L544" s="31" t="s">
        <v>601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660</v>
      </c>
      <c r="D545" s="31" t="s">
        <v>19</v>
      </c>
      <c r="E545" s="31"/>
      <c r="F545" s="31" t="s">
        <v>666</v>
      </c>
      <c r="G545" s="27">
        <v>8</v>
      </c>
      <c r="H545" s="31" t="s">
        <v>397</v>
      </c>
      <c r="I545" s="31"/>
      <c r="J545" s="26" t="s">
        <v>653</v>
      </c>
      <c r="K545" s="27">
        <v>8</v>
      </c>
      <c r="L545" s="31" t="s">
        <v>601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689</v>
      </c>
      <c r="D546" s="31" t="s">
        <v>19</v>
      </c>
      <c r="E546" s="31"/>
      <c r="F546" s="31" t="s">
        <v>666</v>
      </c>
      <c r="G546" s="27">
        <v>11</v>
      </c>
      <c r="H546" s="31" t="s">
        <v>397</v>
      </c>
      <c r="I546" s="31"/>
      <c r="J546" s="26" t="s">
        <v>653</v>
      </c>
      <c r="K546" s="27">
        <v>11</v>
      </c>
      <c r="L546" s="31" t="s">
        <v>601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690</v>
      </c>
      <c r="D547" s="31" t="s">
        <v>19</v>
      </c>
      <c r="E547" s="31"/>
      <c r="F547" s="31" t="s">
        <v>666</v>
      </c>
      <c r="G547" s="27">
        <v>46</v>
      </c>
      <c r="H547" s="31" t="s">
        <v>397</v>
      </c>
      <c r="I547" s="31"/>
      <c r="J547" s="26" t="s">
        <v>653</v>
      </c>
      <c r="K547" s="27">
        <v>46</v>
      </c>
      <c r="L547" s="31" t="s">
        <v>601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691</v>
      </c>
      <c r="D548" s="31" t="s">
        <v>19</v>
      </c>
      <c r="E548" s="31"/>
      <c r="F548" s="31" t="s">
        <v>666</v>
      </c>
      <c r="G548" s="27">
        <v>1</v>
      </c>
      <c r="H548" s="31" t="s">
        <v>397</v>
      </c>
      <c r="I548" s="31"/>
      <c r="J548" s="26" t="s">
        <v>653</v>
      </c>
      <c r="K548" s="27">
        <v>1</v>
      </c>
      <c r="L548" s="31" t="s">
        <v>601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858</v>
      </c>
      <c r="D549" s="31" t="s">
        <v>660</v>
      </c>
      <c r="E549" s="31"/>
      <c r="F549" s="31" t="s">
        <v>72</v>
      </c>
      <c r="G549" s="27">
        <v>211263</v>
      </c>
      <c r="H549" s="31" t="s">
        <v>633</v>
      </c>
      <c r="I549" s="31"/>
      <c r="J549" s="26" t="s">
        <v>634</v>
      </c>
      <c r="K549" s="27">
        <v>211263</v>
      </c>
      <c r="L549" s="31" t="s">
        <v>601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660</v>
      </c>
      <c r="D550" s="31" t="s">
        <v>858</v>
      </c>
      <c r="E550" s="31"/>
      <c r="F550" s="31" t="s">
        <v>72</v>
      </c>
      <c r="G550" s="27">
        <v>211263</v>
      </c>
      <c r="H550" s="31" t="s">
        <v>636</v>
      </c>
      <c r="I550" s="31"/>
      <c r="J550" s="26" t="s">
        <v>634</v>
      </c>
      <c r="K550" s="27">
        <v>211263</v>
      </c>
      <c r="L550" s="31" t="s">
        <v>601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858</v>
      </c>
      <c r="D551" s="31" t="s">
        <v>689</v>
      </c>
      <c r="E551" s="31"/>
      <c r="F551" s="31" t="s">
        <v>72</v>
      </c>
      <c r="G551" s="27">
        <v>300450</v>
      </c>
      <c r="H551" s="31" t="s">
        <v>633</v>
      </c>
      <c r="I551" s="31"/>
      <c r="J551" s="26" t="s">
        <v>634</v>
      </c>
      <c r="K551" s="27">
        <v>300450</v>
      </c>
      <c r="L551" s="31" t="s">
        <v>601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689</v>
      </c>
      <c r="D552" s="31" t="s">
        <v>858</v>
      </c>
      <c r="E552" s="31"/>
      <c r="F552" s="31" t="s">
        <v>72</v>
      </c>
      <c r="G552" s="27">
        <v>300450</v>
      </c>
      <c r="H552" s="31" t="s">
        <v>636</v>
      </c>
      <c r="I552" s="31"/>
      <c r="J552" s="26" t="s">
        <v>634</v>
      </c>
      <c r="K552" s="27">
        <v>300450</v>
      </c>
      <c r="L552" s="31" t="s">
        <v>601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690</v>
      </c>
      <c r="D553" s="31" t="s">
        <v>858</v>
      </c>
      <c r="E553" s="31"/>
      <c r="F553" s="31" t="s">
        <v>72</v>
      </c>
      <c r="G553" s="27">
        <v>1202416</v>
      </c>
      <c r="H553" s="31" t="s">
        <v>636</v>
      </c>
      <c r="I553" s="31"/>
      <c r="J553" s="26" t="s">
        <v>634</v>
      </c>
      <c r="K553" s="27">
        <v>1202416</v>
      </c>
      <c r="L553" s="31" t="s">
        <v>601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858</v>
      </c>
      <c r="D554" s="31" t="s">
        <v>690</v>
      </c>
      <c r="E554" s="31"/>
      <c r="F554" s="31" t="s">
        <v>72</v>
      </c>
      <c r="G554" s="27">
        <v>1202416</v>
      </c>
      <c r="H554" s="31" t="s">
        <v>633</v>
      </c>
      <c r="I554" s="31"/>
      <c r="J554" s="26" t="s">
        <v>634</v>
      </c>
      <c r="K554" s="27">
        <v>1202416</v>
      </c>
      <c r="L554" s="31" t="s">
        <v>601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691</v>
      </c>
      <c r="D555" s="31" t="s">
        <v>858</v>
      </c>
      <c r="E555" s="31"/>
      <c r="F555" s="31" t="s">
        <v>72</v>
      </c>
      <c r="G555" s="27">
        <v>50011</v>
      </c>
      <c r="H555" s="31" t="s">
        <v>636</v>
      </c>
      <c r="I555" s="31"/>
      <c r="J555" s="26" t="s">
        <v>634</v>
      </c>
      <c r="K555" s="27">
        <v>50011</v>
      </c>
      <c r="L555" s="31" t="s">
        <v>601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858</v>
      </c>
      <c r="D556" s="31" t="s">
        <v>691</v>
      </c>
      <c r="E556" s="31"/>
      <c r="F556" s="31" t="s">
        <v>72</v>
      </c>
      <c r="G556" s="27">
        <v>50011</v>
      </c>
      <c r="H556" s="31" t="s">
        <v>633</v>
      </c>
      <c r="I556" s="31"/>
      <c r="J556" s="26" t="s">
        <v>634</v>
      </c>
      <c r="K556" s="27">
        <v>50011</v>
      </c>
      <c r="L556" s="31" t="s">
        <v>601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695</v>
      </c>
      <c r="D557" s="31" t="s">
        <v>858</v>
      </c>
      <c r="E557" s="31"/>
      <c r="F557" s="31" t="s">
        <v>72</v>
      </c>
      <c r="G557" s="27">
        <v>21510</v>
      </c>
      <c r="H557" s="31" t="s">
        <v>636</v>
      </c>
      <c r="I557" s="31"/>
      <c r="J557" s="26" t="s">
        <v>634</v>
      </c>
      <c r="K557" s="27">
        <v>21510</v>
      </c>
      <c r="L557" s="31" t="s">
        <v>601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858</v>
      </c>
      <c r="D558" s="31" t="s">
        <v>695</v>
      </c>
      <c r="E558" s="31"/>
      <c r="F558" s="31" t="s">
        <v>72</v>
      </c>
      <c r="G558" s="27">
        <v>21510</v>
      </c>
      <c r="H558" s="31" t="s">
        <v>633</v>
      </c>
      <c r="I558" s="31"/>
      <c r="J558" s="26" t="s">
        <v>634</v>
      </c>
      <c r="K558" s="27">
        <v>21510</v>
      </c>
      <c r="L558" s="31" t="s">
        <v>601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611</v>
      </c>
      <c r="D559" s="31" t="s">
        <v>452</v>
      </c>
      <c r="E559" s="31" t="s">
        <v>612</v>
      </c>
      <c r="F559" s="31" t="s">
        <v>830</v>
      </c>
      <c r="G559" s="27">
        <v>11900</v>
      </c>
      <c r="H559" s="31" t="s">
        <v>54</v>
      </c>
      <c r="I559" s="31"/>
      <c r="J559" s="26" t="s">
        <v>606</v>
      </c>
      <c r="K559" s="27">
        <v>11900</v>
      </c>
      <c r="L559" s="31" t="s">
        <v>601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436</v>
      </c>
      <c r="D560" s="31" t="s">
        <v>650</v>
      </c>
      <c r="E560" s="31"/>
      <c r="F560" s="31" t="s">
        <v>687</v>
      </c>
      <c r="G560" s="27">
        <v>20000</v>
      </c>
      <c r="H560" s="31" t="s">
        <v>397</v>
      </c>
      <c r="I560" s="31"/>
      <c r="J560" s="26" t="s">
        <v>650</v>
      </c>
      <c r="K560" s="27">
        <v>20000</v>
      </c>
      <c r="L560" s="31" t="s">
        <v>601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611</v>
      </c>
      <c r="D561" s="31" t="s">
        <v>625</v>
      </c>
      <c r="E561" s="31"/>
      <c r="F561" s="31" t="s">
        <v>365</v>
      </c>
      <c r="G561" s="27">
        <v>4080</v>
      </c>
      <c r="H561" s="31" t="s">
        <v>54</v>
      </c>
      <c r="I561" s="31" t="s">
        <v>859</v>
      </c>
      <c r="J561" s="26" t="s">
        <v>606</v>
      </c>
      <c r="K561" s="27">
        <v>4080</v>
      </c>
      <c r="L561" s="31" t="s">
        <v>601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611</v>
      </c>
      <c r="D562" s="31" t="s">
        <v>705</v>
      </c>
      <c r="E562" s="31"/>
      <c r="F562" s="31" t="s">
        <v>341</v>
      </c>
      <c r="G562" s="27">
        <v>48620</v>
      </c>
      <c r="H562" s="31" t="s">
        <v>54</v>
      </c>
      <c r="I562" s="31"/>
      <c r="J562" s="26" t="s">
        <v>600</v>
      </c>
      <c r="K562" s="27">
        <v>48620</v>
      </c>
      <c r="L562" s="31" t="s">
        <v>601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858</v>
      </c>
      <c r="D563" s="31" t="s">
        <v>860</v>
      </c>
      <c r="E563" s="31"/>
      <c r="F563" s="31" t="s">
        <v>72</v>
      </c>
      <c r="G563" s="27">
        <v>1785650</v>
      </c>
      <c r="H563" s="31" t="s">
        <v>636</v>
      </c>
      <c r="I563" s="31"/>
      <c r="J563" s="26" t="s">
        <v>634</v>
      </c>
      <c r="K563" s="27">
        <v>1785650</v>
      </c>
      <c r="L563" s="31" t="s">
        <v>601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860</v>
      </c>
      <c r="D564" s="31" t="s">
        <v>858</v>
      </c>
      <c r="E564" s="31"/>
      <c r="F564" s="31" t="s">
        <v>72</v>
      </c>
      <c r="G564" s="27">
        <v>1785650</v>
      </c>
      <c r="H564" s="31" t="s">
        <v>633</v>
      </c>
      <c r="I564" s="31"/>
      <c r="J564" s="26" t="s">
        <v>634</v>
      </c>
      <c r="K564" s="27">
        <v>1785650</v>
      </c>
      <c r="L564" s="31" t="s">
        <v>601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166</v>
      </c>
      <c r="D565" s="31" t="s">
        <v>19</v>
      </c>
      <c r="E565" s="31"/>
      <c r="F565" s="31" t="s">
        <v>813</v>
      </c>
      <c r="G565" s="27">
        <v>7</v>
      </c>
      <c r="H565" s="31" t="s">
        <v>397</v>
      </c>
      <c r="I565" s="31"/>
      <c r="J565" s="26" t="s">
        <v>653</v>
      </c>
      <c r="K565" s="27">
        <v>7</v>
      </c>
      <c r="L565" s="31" t="s">
        <v>601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598</v>
      </c>
      <c r="D566" s="31" t="s">
        <v>452</v>
      </c>
      <c r="E566" s="31" t="s">
        <v>714</v>
      </c>
      <c r="F566" s="31" t="s">
        <v>604</v>
      </c>
      <c r="G566" s="27">
        <v>5600</v>
      </c>
      <c r="H566" s="31" t="s">
        <v>54</v>
      </c>
      <c r="I566" s="31" t="s">
        <v>821</v>
      </c>
      <c r="J566" s="26" t="s">
        <v>606</v>
      </c>
      <c r="K566" s="27">
        <v>5600</v>
      </c>
      <c r="L566" s="31" t="s">
        <v>601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598</v>
      </c>
      <c r="D567" s="31" t="s">
        <v>452</v>
      </c>
      <c r="E567" s="31" t="s">
        <v>612</v>
      </c>
      <c r="F567" s="31" t="s">
        <v>833</v>
      </c>
      <c r="G567" s="27">
        <v>8500</v>
      </c>
      <c r="H567" s="31" t="s">
        <v>54</v>
      </c>
      <c r="I567" s="31"/>
      <c r="J567" s="26" t="s">
        <v>606</v>
      </c>
      <c r="K567" s="27">
        <v>8500</v>
      </c>
      <c r="L567" s="31" t="s">
        <v>601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611</v>
      </c>
      <c r="D568" s="31" t="s">
        <v>640</v>
      </c>
      <c r="E568" s="31"/>
      <c r="F568" s="31" t="s">
        <v>861</v>
      </c>
      <c r="G568" s="27">
        <v>74700</v>
      </c>
      <c r="H568" s="31" t="s">
        <v>54</v>
      </c>
      <c r="I568" s="31" t="s">
        <v>707</v>
      </c>
      <c r="J568" s="26" t="s">
        <v>600</v>
      </c>
      <c r="K568" s="27">
        <v>74700</v>
      </c>
      <c r="L568" s="31" t="s">
        <v>601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598</v>
      </c>
      <c r="D569" s="31" t="s">
        <v>452</v>
      </c>
      <c r="E569" s="31" t="s">
        <v>603</v>
      </c>
      <c r="F569" s="31" t="s">
        <v>720</v>
      </c>
      <c r="G569" s="27">
        <v>3800</v>
      </c>
      <c r="H569" s="31" t="s">
        <v>54</v>
      </c>
      <c r="I569" s="31"/>
      <c r="J569" s="26" t="s">
        <v>606</v>
      </c>
      <c r="K569" s="27">
        <v>3800</v>
      </c>
      <c r="L569" s="31" t="s">
        <v>601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834</v>
      </c>
      <c r="D570" s="31" t="s">
        <v>855</v>
      </c>
      <c r="E570" s="31"/>
      <c r="F570" s="31" t="s">
        <v>72</v>
      </c>
      <c r="G570" s="27">
        <v>2214240</v>
      </c>
      <c r="H570" s="31" t="s">
        <v>633</v>
      </c>
      <c r="I570" s="31"/>
      <c r="J570" s="26" t="s">
        <v>634</v>
      </c>
      <c r="K570" s="27">
        <v>2214240</v>
      </c>
      <c r="L570" s="31" t="s">
        <v>601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855</v>
      </c>
      <c r="D571" s="31" t="s">
        <v>834</v>
      </c>
      <c r="E571" s="31"/>
      <c r="F571" s="31" t="s">
        <v>72</v>
      </c>
      <c r="G571" s="27">
        <v>2214240</v>
      </c>
      <c r="H571" s="31" t="s">
        <v>636</v>
      </c>
      <c r="I571" s="31"/>
      <c r="J571" s="26" t="s">
        <v>634</v>
      </c>
      <c r="K571" s="27">
        <v>2214240</v>
      </c>
      <c r="L571" s="31" t="s">
        <v>601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860</v>
      </c>
      <c r="D572" s="31" t="s">
        <v>834</v>
      </c>
      <c r="E572" s="31"/>
      <c r="F572" s="31" t="s">
        <v>72</v>
      </c>
      <c r="G572" s="27">
        <v>1786296</v>
      </c>
      <c r="H572" s="31" t="s">
        <v>636</v>
      </c>
      <c r="I572" s="31"/>
      <c r="J572" s="26" t="s">
        <v>634</v>
      </c>
      <c r="K572" s="27">
        <v>1786296</v>
      </c>
      <c r="L572" s="31" t="s">
        <v>601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834</v>
      </c>
      <c r="D573" s="31" t="s">
        <v>860</v>
      </c>
      <c r="E573" s="31"/>
      <c r="F573" s="31" t="s">
        <v>72</v>
      </c>
      <c r="G573" s="27">
        <v>1786296</v>
      </c>
      <c r="H573" s="31" t="s">
        <v>633</v>
      </c>
      <c r="I573" s="31"/>
      <c r="J573" s="26" t="s">
        <v>634</v>
      </c>
      <c r="K573" s="27">
        <v>1786296</v>
      </c>
      <c r="L573" s="31" t="s">
        <v>601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834</v>
      </c>
      <c r="D574" s="31" t="s">
        <v>166</v>
      </c>
      <c r="E574" s="31"/>
      <c r="F574" s="31" t="s">
        <v>72</v>
      </c>
      <c r="G574" s="27">
        <v>1000000</v>
      </c>
      <c r="H574" s="31" t="s">
        <v>636</v>
      </c>
      <c r="I574" s="31" t="s">
        <v>862</v>
      </c>
      <c r="J574" s="26" t="s">
        <v>634</v>
      </c>
      <c r="K574" s="27">
        <v>1000000</v>
      </c>
      <c r="L574" s="31" t="s">
        <v>601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166</v>
      </c>
      <c r="D575" s="31" t="s">
        <v>834</v>
      </c>
      <c r="E575" s="31"/>
      <c r="F575" s="31" t="s">
        <v>72</v>
      </c>
      <c r="G575" s="27">
        <v>1000000</v>
      </c>
      <c r="H575" s="31" t="s">
        <v>633</v>
      </c>
      <c r="I575" s="31" t="s">
        <v>862</v>
      </c>
      <c r="J575" s="26" t="s">
        <v>634</v>
      </c>
      <c r="K575" s="27">
        <v>1000000</v>
      </c>
      <c r="L575" s="31" t="s">
        <v>601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166</v>
      </c>
      <c r="D576" s="31" t="s">
        <v>178</v>
      </c>
      <c r="E576" s="31"/>
      <c r="F576" s="31" t="s">
        <v>72</v>
      </c>
      <c r="G576" s="27">
        <v>817031</v>
      </c>
      <c r="H576" s="31" t="s">
        <v>636</v>
      </c>
      <c r="I576" s="31"/>
      <c r="J576" s="26" t="s">
        <v>634</v>
      </c>
      <c r="K576" s="27">
        <v>817031</v>
      </c>
      <c r="L576" s="31" t="s">
        <v>601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178</v>
      </c>
      <c r="D577" s="31" t="s">
        <v>166</v>
      </c>
      <c r="E577" s="31"/>
      <c r="F577" s="31" t="s">
        <v>72</v>
      </c>
      <c r="G577" s="27">
        <v>817031</v>
      </c>
      <c r="H577" s="31" t="s">
        <v>633</v>
      </c>
      <c r="I577" s="31"/>
      <c r="J577" s="26" t="s">
        <v>634</v>
      </c>
      <c r="K577" s="27">
        <v>817031</v>
      </c>
      <c r="L577" s="31" t="s">
        <v>601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166</v>
      </c>
      <c r="D578" s="31" t="s">
        <v>172</v>
      </c>
      <c r="E578" s="31"/>
      <c r="F578" s="31" t="s">
        <v>72</v>
      </c>
      <c r="G578" s="27">
        <v>51460</v>
      </c>
      <c r="H578" s="31" t="s">
        <v>636</v>
      </c>
      <c r="I578" s="31"/>
      <c r="J578" s="26" t="s">
        <v>634</v>
      </c>
      <c r="K578" s="27">
        <v>51460</v>
      </c>
      <c r="L578" s="31" t="s">
        <v>601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172</v>
      </c>
      <c r="D579" s="31" t="s">
        <v>166</v>
      </c>
      <c r="E579" s="31"/>
      <c r="F579" s="31" t="s">
        <v>72</v>
      </c>
      <c r="G579" s="27">
        <v>51460</v>
      </c>
      <c r="H579" s="31" t="s">
        <v>633</v>
      </c>
      <c r="I579" s="31"/>
      <c r="J579" s="26" t="s">
        <v>634</v>
      </c>
      <c r="K579" s="27">
        <v>51460</v>
      </c>
      <c r="L579" s="31" t="s">
        <v>601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172</v>
      </c>
      <c r="D580" s="31" t="s">
        <v>716</v>
      </c>
      <c r="E580" s="31"/>
      <c r="F580" s="31" t="s">
        <v>657</v>
      </c>
      <c r="G580" s="27">
        <v>51460</v>
      </c>
      <c r="H580" s="31" t="s">
        <v>636</v>
      </c>
      <c r="I580" s="31"/>
      <c r="J580" s="26" t="s">
        <v>634</v>
      </c>
      <c r="K580" s="27">
        <v>51460</v>
      </c>
      <c r="L580" s="31" t="s">
        <v>601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716</v>
      </c>
      <c r="D581" s="31" t="s">
        <v>172</v>
      </c>
      <c r="E581" s="31"/>
      <c r="F581" s="31" t="s">
        <v>657</v>
      </c>
      <c r="G581" s="27">
        <v>51460</v>
      </c>
      <c r="H581" s="31" t="s">
        <v>633</v>
      </c>
      <c r="I581" s="31"/>
      <c r="J581" s="26" t="s">
        <v>634</v>
      </c>
      <c r="K581" s="27">
        <v>51460</v>
      </c>
      <c r="L581" s="31" t="s">
        <v>601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166</v>
      </c>
      <c r="D582" s="31" t="s">
        <v>19</v>
      </c>
      <c r="E582" s="31"/>
      <c r="F582" s="31" t="s">
        <v>813</v>
      </c>
      <c r="G582" s="27">
        <v>7</v>
      </c>
      <c r="H582" s="31" t="s">
        <v>397</v>
      </c>
      <c r="I582" s="31"/>
      <c r="J582" s="26" t="s">
        <v>653</v>
      </c>
      <c r="K582" s="27">
        <v>7</v>
      </c>
      <c r="L582" s="31" t="s">
        <v>601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863</v>
      </c>
      <c r="D583" s="31" t="s">
        <v>166</v>
      </c>
      <c r="E583" s="31"/>
      <c r="F583" s="31" t="s">
        <v>72</v>
      </c>
      <c r="G583" s="27">
        <v>131509</v>
      </c>
      <c r="H583" s="31" t="s">
        <v>633</v>
      </c>
      <c r="I583" s="31"/>
      <c r="J583" s="26" t="s">
        <v>634</v>
      </c>
      <c r="K583" s="27">
        <v>131509</v>
      </c>
      <c r="L583" s="31" t="s">
        <v>601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166</v>
      </c>
      <c r="D584" s="31" t="s">
        <v>863</v>
      </c>
      <c r="E584" s="31"/>
      <c r="F584" s="31" t="s">
        <v>72</v>
      </c>
      <c r="G584" s="27">
        <v>131509</v>
      </c>
      <c r="H584" s="31" t="s">
        <v>636</v>
      </c>
      <c r="I584" s="31"/>
      <c r="J584" s="26" t="s">
        <v>634</v>
      </c>
      <c r="K584" s="27">
        <v>131509</v>
      </c>
      <c r="L584" s="31" t="s">
        <v>601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834</v>
      </c>
      <c r="D585" s="31" t="s">
        <v>863</v>
      </c>
      <c r="E585" s="31"/>
      <c r="F585" s="31" t="s">
        <v>72</v>
      </c>
      <c r="G585" s="27">
        <v>1811939</v>
      </c>
      <c r="H585" s="31" t="s">
        <v>636</v>
      </c>
      <c r="I585" s="31"/>
      <c r="J585" s="26" t="s">
        <v>634</v>
      </c>
      <c r="K585" s="27">
        <v>1811939</v>
      </c>
      <c r="L585" s="31" t="s">
        <v>601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863</v>
      </c>
      <c r="D586" s="31" t="s">
        <v>834</v>
      </c>
      <c r="E586" s="31"/>
      <c r="F586" s="31" t="s">
        <v>72</v>
      </c>
      <c r="G586" s="27">
        <v>1811939</v>
      </c>
      <c r="H586" s="31" t="s">
        <v>633</v>
      </c>
      <c r="I586" s="31"/>
      <c r="J586" s="26" t="s">
        <v>634</v>
      </c>
      <c r="K586" s="27">
        <v>1811939</v>
      </c>
      <c r="L586" s="31" t="s">
        <v>601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863</v>
      </c>
      <c r="D587" s="31" t="s">
        <v>834</v>
      </c>
      <c r="E587" s="31"/>
      <c r="F587" s="31" t="s">
        <v>72</v>
      </c>
      <c r="G587" s="27">
        <v>1245650</v>
      </c>
      <c r="H587" s="31" t="s">
        <v>633</v>
      </c>
      <c r="I587" s="31"/>
      <c r="J587" s="26" t="s">
        <v>634</v>
      </c>
      <c r="K587" s="27">
        <v>1245650</v>
      </c>
      <c r="L587" s="31" t="s">
        <v>601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834</v>
      </c>
      <c r="D588" s="31" t="s">
        <v>863</v>
      </c>
      <c r="E588" s="31"/>
      <c r="F588" s="31" t="s">
        <v>72</v>
      </c>
      <c r="G588" s="27">
        <v>1245650</v>
      </c>
      <c r="H588" s="31" t="s">
        <v>636</v>
      </c>
      <c r="I588" s="31"/>
      <c r="J588" s="26" t="s">
        <v>634</v>
      </c>
      <c r="K588" s="27">
        <v>1245650</v>
      </c>
      <c r="L588" s="31" t="s">
        <v>601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834</v>
      </c>
      <c r="D589" s="31" t="s">
        <v>19</v>
      </c>
      <c r="E589" s="31"/>
      <c r="F589" s="31" t="s">
        <v>864</v>
      </c>
      <c r="G589" s="27">
        <v>57053</v>
      </c>
      <c r="H589" s="31" t="s">
        <v>397</v>
      </c>
      <c r="I589" s="31" t="s">
        <v>864</v>
      </c>
      <c r="J589" s="26" t="s">
        <v>653</v>
      </c>
      <c r="K589" s="27">
        <v>57053</v>
      </c>
      <c r="L589" s="31" t="s">
        <v>601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835</v>
      </c>
      <c r="D590" s="31" t="s">
        <v>635</v>
      </c>
      <c r="E590" s="31"/>
      <c r="F590" s="31" t="s">
        <v>865</v>
      </c>
      <c r="G590" s="27">
        <v>29974</v>
      </c>
      <c r="H590" s="31" t="s">
        <v>54</v>
      </c>
      <c r="I590" s="31" t="s">
        <v>866</v>
      </c>
      <c r="J590" s="26" t="s">
        <v>635</v>
      </c>
      <c r="K590" s="27">
        <v>29974</v>
      </c>
      <c r="L590" s="31" t="s">
        <v>601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834</v>
      </c>
      <c r="D591" s="31" t="s">
        <v>635</v>
      </c>
      <c r="E591" s="31"/>
      <c r="F591" s="31" t="s">
        <v>865</v>
      </c>
      <c r="G591" s="27">
        <v>30985</v>
      </c>
      <c r="H591" s="31" t="s">
        <v>54</v>
      </c>
      <c r="I591" s="31" t="s">
        <v>866</v>
      </c>
      <c r="J591" s="26" t="s">
        <v>635</v>
      </c>
      <c r="K591" s="27">
        <v>30985</v>
      </c>
      <c r="L591" s="31" t="s">
        <v>601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598</v>
      </c>
      <c r="D592" s="31" t="s">
        <v>452</v>
      </c>
      <c r="E592" s="31" t="s">
        <v>612</v>
      </c>
      <c r="F592" s="31" t="s">
        <v>740</v>
      </c>
      <c r="G592" s="27">
        <v>11000</v>
      </c>
      <c r="H592" s="31" t="s">
        <v>54</v>
      </c>
      <c r="I592" s="31"/>
      <c r="J592" s="26" t="s">
        <v>606</v>
      </c>
      <c r="K592" s="27">
        <v>11000</v>
      </c>
      <c r="L592" s="31" t="s">
        <v>601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598</v>
      </c>
      <c r="D593" s="31" t="s">
        <v>452</v>
      </c>
      <c r="E593" s="31" t="s">
        <v>603</v>
      </c>
      <c r="F593" s="31" t="s">
        <v>867</v>
      </c>
      <c r="G593" s="27">
        <v>15120</v>
      </c>
      <c r="H593" s="31" t="s">
        <v>54</v>
      </c>
      <c r="I593" s="31"/>
      <c r="J593" s="26" t="s">
        <v>606</v>
      </c>
      <c r="K593" s="27">
        <v>15120</v>
      </c>
      <c r="L593" s="31" t="s">
        <v>601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598</v>
      </c>
      <c r="D594" s="31" t="s">
        <v>452</v>
      </c>
      <c r="E594" s="31" t="s">
        <v>603</v>
      </c>
      <c r="F594" s="31" t="s">
        <v>604</v>
      </c>
      <c r="G594" s="27">
        <v>4300</v>
      </c>
      <c r="H594" s="31" t="s">
        <v>54</v>
      </c>
      <c r="I594" s="31" t="s">
        <v>688</v>
      </c>
      <c r="J594" s="26" t="s">
        <v>606</v>
      </c>
      <c r="K594" s="27">
        <v>4300</v>
      </c>
      <c r="L594" s="31" t="s">
        <v>601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598</v>
      </c>
      <c r="D595" s="31" t="s">
        <v>625</v>
      </c>
      <c r="E595" s="31"/>
      <c r="F595" s="31" t="s">
        <v>626</v>
      </c>
      <c r="G595" s="27">
        <v>5000</v>
      </c>
      <c r="H595" s="31" t="s">
        <v>54</v>
      </c>
      <c r="I595" s="31"/>
      <c r="J595" s="26" t="s">
        <v>606</v>
      </c>
      <c r="K595" s="27">
        <v>5000</v>
      </c>
      <c r="L595" s="31" t="s">
        <v>601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598</v>
      </c>
      <c r="D596" s="31" t="s">
        <v>178</v>
      </c>
      <c r="E596" s="31"/>
      <c r="F596" s="31" t="s">
        <v>657</v>
      </c>
      <c r="G596" s="27">
        <v>817031</v>
      </c>
      <c r="H596" s="31" t="s">
        <v>633</v>
      </c>
      <c r="I596" s="31"/>
      <c r="J596" s="26" t="s">
        <v>634</v>
      </c>
      <c r="K596" s="27">
        <v>817031</v>
      </c>
      <c r="L596" s="31" t="s">
        <v>601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178</v>
      </c>
      <c r="D597" s="31" t="s">
        <v>598</v>
      </c>
      <c r="E597" s="31"/>
      <c r="F597" s="31" t="s">
        <v>657</v>
      </c>
      <c r="G597" s="27">
        <v>817031</v>
      </c>
      <c r="H597" s="31" t="s">
        <v>636</v>
      </c>
      <c r="I597" s="31"/>
      <c r="J597" s="26" t="s">
        <v>634</v>
      </c>
      <c r="K597" s="27">
        <v>817031</v>
      </c>
      <c r="L597" s="31" t="s">
        <v>601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598</v>
      </c>
      <c r="D598" s="31" t="s">
        <v>452</v>
      </c>
      <c r="E598" s="31" t="s">
        <v>603</v>
      </c>
      <c r="F598" s="31" t="s">
        <v>815</v>
      </c>
      <c r="G598" s="27">
        <v>3500</v>
      </c>
      <c r="H598" s="31" t="s">
        <v>54</v>
      </c>
      <c r="I598" s="31"/>
      <c r="J598" s="26" t="s">
        <v>606</v>
      </c>
      <c r="K598" s="27">
        <v>3500</v>
      </c>
      <c r="L598" s="31" t="s">
        <v>601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598</v>
      </c>
      <c r="D599" s="31" t="s">
        <v>452</v>
      </c>
      <c r="E599" s="31" t="s">
        <v>603</v>
      </c>
      <c r="F599" s="31" t="s">
        <v>604</v>
      </c>
      <c r="G599" s="27">
        <v>5800</v>
      </c>
      <c r="H599" s="31" t="s">
        <v>54</v>
      </c>
      <c r="I599" s="31" t="s">
        <v>688</v>
      </c>
      <c r="J599" s="26" t="s">
        <v>606</v>
      </c>
      <c r="K599" s="27">
        <v>5800</v>
      </c>
      <c r="L599" s="31" t="s">
        <v>601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598</v>
      </c>
      <c r="D600" s="31" t="s">
        <v>735</v>
      </c>
      <c r="E600" s="31"/>
      <c r="F600" s="31" t="s">
        <v>604</v>
      </c>
      <c r="G600" s="27">
        <v>2500</v>
      </c>
      <c r="H600" s="31" t="s">
        <v>54</v>
      </c>
      <c r="I600" s="31" t="s">
        <v>868</v>
      </c>
      <c r="J600" s="26" t="s">
        <v>606</v>
      </c>
      <c r="K600" s="27">
        <v>2500</v>
      </c>
      <c r="L600" s="31" t="s">
        <v>601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598</v>
      </c>
      <c r="D601" s="31" t="s">
        <v>452</v>
      </c>
      <c r="E601" s="31" t="s">
        <v>615</v>
      </c>
      <c r="F601" s="31" t="s">
        <v>365</v>
      </c>
      <c r="G601" s="27">
        <v>31300</v>
      </c>
      <c r="H601" s="31" t="s">
        <v>54</v>
      </c>
      <c r="I601" s="31" t="s">
        <v>616</v>
      </c>
      <c r="J601" s="26" t="s">
        <v>606</v>
      </c>
      <c r="K601" s="27">
        <v>31300</v>
      </c>
      <c r="L601" s="31" t="s">
        <v>601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598</v>
      </c>
      <c r="D602" s="31" t="s">
        <v>705</v>
      </c>
      <c r="E602" s="31"/>
      <c r="F602" s="31" t="s">
        <v>123</v>
      </c>
      <c r="G602" s="27">
        <v>16500</v>
      </c>
      <c r="H602" s="31" t="s">
        <v>54</v>
      </c>
      <c r="I602" s="31"/>
      <c r="J602" s="26" t="s">
        <v>600</v>
      </c>
      <c r="K602" s="27">
        <v>16500</v>
      </c>
      <c r="L602" s="31" t="s">
        <v>601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598</v>
      </c>
      <c r="D603" s="31" t="s">
        <v>452</v>
      </c>
      <c r="E603" s="31" t="s">
        <v>603</v>
      </c>
      <c r="F603" s="31" t="s">
        <v>769</v>
      </c>
      <c r="G603" s="27">
        <v>2960</v>
      </c>
      <c r="H603" s="31" t="s">
        <v>54</v>
      </c>
      <c r="I603" s="31"/>
      <c r="J603" s="26" t="s">
        <v>606</v>
      </c>
      <c r="K603" s="27">
        <v>2960</v>
      </c>
      <c r="L603" s="31" t="s">
        <v>601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598</v>
      </c>
      <c r="D604" s="31" t="s">
        <v>640</v>
      </c>
      <c r="E604" s="31"/>
      <c r="F604" s="31" t="s">
        <v>365</v>
      </c>
      <c r="G604" s="27">
        <v>260100</v>
      </c>
      <c r="H604" s="31" t="s">
        <v>54</v>
      </c>
      <c r="I604" s="31" t="s">
        <v>869</v>
      </c>
      <c r="J604" s="26" t="s">
        <v>624</v>
      </c>
      <c r="K604" s="27">
        <v>260100</v>
      </c>
      <c r="L604" s="31" t="s">
        <v>601</v>
      </c>
      <c r="M604" s="31" t="s">
        <v>870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598</v>
      </c>
      <c r="D605" s="31" t="s">
        <v>625</v>
      </c>
      <c r="E605" s="31"/>
      <c r="F605" s="31" t="s">
        <v>626</v>
      </c>
      <c r="G605" s="27">
        <v>2000</v>
      </c>
      <c r="H605" s="31" t="s">
        <v>54</v>
      </c>
      <c r="I605" s="31"/>
      <c r="J605" s="26" t="s">
        <v>606</v>
      </c>
      <c r="K605" s="27">
        <v>2000</v>
      </c>
      <c r="L605" s="31" t="s">
        <v>601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598</v>
      </c>
      <c r="D606" s="31" t="s">
        <v>452</v>
      </c>
      <c r="E606" s="31" t="s">
        <v>615</v>
      </c>
      <c r="F606" s="31" t="s">
        <v>798</v>
      </c>
      <c r="G606" s="27">
        <v>11180</v>
      </c>
      <c r="H606" s="31" t="s">
        <v>54</v>
      </c>
      <c r="I606" s="31"/>
      <c r="J606" s="26" t="s">
        <v>606</v>
      </c>
      <c r="K606" s="27">
        <v>11180</v>
      </c>
      <c r="L606" s="31" t="s">
        <v>601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598</v>
      </c>
      <c r="D607" s="31" t="s">
        <v>452</v>
      </c>
      <c r="E607" s="31" t="s">
        <v>603</v>
      </c>
      <c r="F607" s="31" t="s">
        <v>604</v>
      </c>
      <c r="G607" s="27">
        <v>1900</v>
      </c>
      <c r="H607" s="31" t="s">
        <v>54</v>
      </c>
      <c r="I607" s="31" t="s">
        <v>871</v>
      </c>
      <c r="J607" s="26" t="s">
        <v>606</v>
      </c>
      <c r="K607" s="27">
        <v>1900</v>
      </c>
      <c r="L607" s="31" t="s">
        <v>601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598</v>
      </c>
      <c r="D608" s="31" t="s">
        <v>640</v>
      </c>
      <c r="E608" s="31"/>
      <c r="F608" s="31" t="s">
        <v>365</v>
      </c>
      <c r="G608" s="27">
        <v>9110</v>
      </c>
      <c r="H608" s="31" t="s">
        <v>54</v>
      </c>
      <c r="I608" s="31" t="s">
        <v>872</v>
      </c>
      <c r="J608" s="26" t="s">
        <v>624</v>
      </c>
      <c r="K608" s="27">
        <v>9110</v>
      </c>
      <c r="L608" s="31" t="s">
        <v>601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598</v>
      </c>
      <c r="D609" s="31" t="s">
        <v>625</v>
      </c>
      <c r="E609" s="31"/>
      <c r="F609" s="31" t="s">
        <v>365</v>
      </c>
      <c r="G609" s="27">
        <v>20130</v>
      </c>
      <c r="H609" s="31" t="s">
        <v>54</v>
      </c>
      <c r="I609" s="31" t="s">
        <v>873</v>
      </c>
      <c r="J609" s="26" t="s">
        <v>606</v>
      </c>
      <c r="K609" s="27">
        <v>20130</v>
      </c>
      <c r="L609" s="31" t="s">
        <v>601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598</v>
      </c>
      <c r="D610" s="31" t="s">
        <v>705</v>
      </c>
      <c r="E610" s="31"/>
      <c r="F610" s="31" t="s">
        <v>717</v>
      </c>
      <c r="G610" s="27">
        <v>12400</v>
      </c>
      <c r="H610" s="31" t="s">
        <v>54</v>
      </c>
      <c r="I610" s="31"/>
      <c r="J610" s="26" t="s">
        <v>600</v>
      </c>
      <c r="K610" s="27">
        <v>12400</v>
      </c>
      <c r="L610" s="31" t="s">
        <v>601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598</v>
      </c>
      <c r="D611" s="31" t="s">
        <v>452</v>
      </c>
      <c r="E611" s="31" t="s">
        <v>603</v>
      </c>
      <c r="F611" s="31" t="s">
        <v>604</v>
      </c>
      <c r="G611" s="27">
        <v>4300</v>
      </c>
      <c r="H611" s="31" t="s">
        <v>54</v>
      </c>
      <c r="I611" s="31" t="s">
        <v>874</v>
      </c>
      <c r="J611" s="26" t="s">
        <v>606</v>
      </c>
      <c r="K611" s="27">
        <v>4300</v>
      </c>
      <c r="L611" s="31" t="s">
        <v>601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598</v>
      </c>
      <c r="D612" s="31" t="s">
        <v>452</v>
      </c>
      <c r="E612" s="31" t="s">
        <v>612</v>
      </c>
      <c r="F612" s="31" t="s">
        <v>782</v>
      </c>
      <c r="G612" s="27">
        <v>9900</v>
      </c>
      <c r="H612" s="31" t="s">
        <v>54</v>
      </c>
      <c r="I612" s="31"/>
      <c r="J612" s="26" t="s">
        <v>606</v>
      </c>
      <c r="K612" s="27">
        <v>9900</v>
      </c>
      <c r="L612" s="31" t="s">
        <v>601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166</v>
      </c>
      <c r="D613" s="31" t="s">
        <v>863</v>
      </c>
      <c r="E613" s="31"/>
      <c r="F613" s="31" t="s">
        <v>72</v>
      </c>
      <c r="G613" s="27">
        <v>625484</v>
      </c>
      <c r="H613" s="31" t="s">
        <v>633</v>
      </c>
      <c r="I613" s="31"/>
      <c r="J613" s="26" t="s">
        <v>634</v>
      </c>
      <c r="K613" s="27">
        <v>625484</v>
      </c>
      <c r="L613" s="31" t="s">
        <v>601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863</v>
      </c>
      <c r="D614" s="31" t="s">
        <v>166</v>
      </c>
      <c r="E614" s="31"/>
      <c r="F614" s="31" t="s">
        <v>72</v>
      </c>
      <c r="G614" s="27">
        <v>625484</v>
      </c>
      <c r="H614" s="31" t="s">
        <v>636</v>
      </c>
      <c r="I614" s="31"/>
      <c r="J614" s="26" t="s">
        <v>634</v>
      </c>
      <c r="K614" s="27">
        <v>625484</v>
      </c>
      <c r="L614" s="31" t="s">
        <v>601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172</v>
      </c>
      <c r="D615" s="31" t="s">
        <v>166</v>
      </c>
      <c r="E615" s="31"/>
      <c r="F615" s="31" t="s">
        <v>72</v>
      </c>
      <c r="G615" s="27">
        <v>9900</v>
      </c>
      <c r="H615" s="31" t="s">
        <v>633</v>
      </c>
      <c r="I615" s="31"/>
      <c r="J615" s="26" t="s">
        <v>634</v>
      </c>
      <c r="K615" s="27">
        <v>9900</v>
      </c>
      <c r="L615" s="31" t="s">
        <v>601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166</v>
      </c>
      <c r="D616" s="31" t="s">
        <v>172</v>
      </c>
      <c r="E616" s="31"/>
      <c r="F616" s="31" t="s">
        <v>72</v>
      </c>
      <c r="G616" s="27">
        <v>9900</v>
      </c>
      <c r="H616" s="31" t="s">
        <v>636</v>
      </c>
      <c r="I616" s="31"/>
      <c r="J616" s="26" t="s">
        <v>634</v>
      </c>
      <c r="K616" s="27">
        <v>9900</v>
      </c>
      <c r="L616" s="31" t="s">
        <v>601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172</v>
      </c>
      <c r="D617" s="31" t="s">
        <v>681</v>
      </c>
      <c r="E617" s="31"/>
      <c r="F617" s="31" t="s">
        <v>657</v>
      </c>
      <c r="G617" s="27">
        <v>9900</v>
      </c>
      <c r="H617" s="31" t="s">
        <v>636</v>
      </c>
      <c r="I617" s="31"/>
      <c r="J617" s="26" t="s">
        <v>634</v>
      </c>
      <c r="K617" s="27">
        <v>9900</v>
      </c>
      <c r="L617" s="31" t="s">
        <v>601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681</v>
      </c>
      <c r="D618" s="31" t="s">
        <v>172</v>
      </c>
      <c r="E618" s="31"/>
      <c r="F618" s="31" t="s">
        <v>657</v>
      </c>
      <c r="G618" s="27">
        <v>9900</v>
      </c>
      <c r="H618" s="31" t="s">
        <v>633</v>
      </c>
      <c r="I618" s="31"/>
      <c r="J618" s="26" t="s">
        <v>634</v>
      </c>
      <c r="K618" s="27">
        <v>9900</v>
      </c>
      <c r="L618" s="31" t="s">
        <v>601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166</v>
      </c>
      <c r="D619" s="31" t="s">
        <v>611</v>
      </c>
      <c r="E619" s="31"/>
      <c r="F619" s="31" t="s">
        <v>657</v>
      </c>
      <c r="G619" s="27">
        <v>615584</v>
      </c>
      <c r="H619" s="31" t="s">
        <v>636</v>
      </c>
      <c r="I619" s="31"/>
      <c r="J619" s="26" t="s">
        <v>634</v>
      </c>
      <c r="K619" s="27">
        <v>615584</v>
      </c>
      <c r="L619" s="31" t="s">
        <v>601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611</v>
      </c>
      <c r="D620" s="31" t="s">
        <v>166</v>
      </c>
      <c r="E620" s="31"/>
      <c r="F620" s="31" t="s">
        <v>657</v>
      </c>
      <c r="G620" s="27">
        <v>615584</v>
      </c>
      <c r="H620" s="31" t="s">
        <v>633</v>
      </c>
      <c r="I620" s="31"/>
      <c r="J620" s="26" t="s">
        <v>634</v>
      </c>
      <c r="K620" s="27">
        <v>615584</v>
      </c>
      <c r="L620" s="31" t="s">
        <v>601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863</v>
      </c>
      <c r="D621" s="31" t="s">
        <v>19</v>
      </c>
      <c r="E621" s="31"/>
      <c r="F621" s="31" t="s">
        <v>875</v>
      </c>
      <c r="G621" s="27">
        <v>549</v>
      </c>
      <c r="H621" s="31" t="s">
        <v>397</v>
      </c>
      <c r="I621" s="31"/>
      <c r="J621" s="26" t="s">
        <v>653</v>
      </c>
      <c r="K621" s="27">
        <v>549</v>
      </c>
      <c r="L621" s="31" t="s">
        <v>601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598</v>
      </c>
      <c r="D622" s="31" t="s">
        <v>452</v>
      </c>
      <c r="E622" s="31" t="s">
        <v>603</v>
      </c>
      <c r="F622" s="31" t="s">
        <v>604</v>
      </c>
      <c r="G622" s="27">
        <v>4900</v>
      </c>
      <c r="H622" s="31" t="s">
        <v>54</v>
      </c>
      <c r="I622" s="31" t="s">
        <v>876</v>
      </c>
      <c r="J622" s="26" t="s">
        <v>606</v>
      </c>
      <c r="K622" s="27">
        <v>4900</v>
      </c>
      <c r="L622" s="31" t="s">
        <v>601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598</v>
      </c>
      <c r="D623" s="31" t="s">
        <v>452</v>
      </c>
      <c r="E623" s="31" t="s">
        <v>612</v>
      </c>
      <c r="F623" s="31" t="s">
        <v>739</v>
      </c>
      <c r="G623" s="27">
        <v>12000</v>
      </c>
      <c r="H623" s="31" t="s">
        <v>54</v>
      </c>
      <c r="I623" s="31"/>
      <c r="J623" s="26" t="s">
        <v>606</v>
      </c>
      <c r="K623" s="27">
        <v>12000</v>
      </c>
      <c r="L623" s="31" t="s">
        <v>601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598</v>
      </c>
      <c r="D624" s="31" t="s">
        <v>452</v>
      </c>
      <c r="E624" s="31" t="s">
        <v>615</v>
      </c>
      <c r="F624" s="31" t="s">
        <v>798</v>
      </c>
      <c r="G624" s="27">
        <v>2850</v>
      </c>
      <c r="H624" s="31" t="s">
        <v>54</v>
      </c>
      <c r="I624" s="31" t="s">
        <v>877</v>
      </c>
      <c r="J624" s="26" t="s">
        <v>606</v>
      </c>
      <c r="K624" s="27">
        <v>2850</v>
      </c>
      <c r="L624" s="31" t="s">
        <v>601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436</v>
      </c>
      <c r="D625" s="31" t="s">
        <v>650</v>
      </c>
      <c r="E625" s="31"/>
      <c r="F625" s="31" t="s">
        <v>687</v>
      </c>
      <c r="G625" s="27">
        <v>20000</v>
      </c>
      <c r="H625" s="31" t="s">
        <v>397</v>
      </c>
      <c r="I625" s="31"/>
      <c r="J625" s="26" t="s">
        <v>650</v>
      </c>
      <c r="K625" s="27">
        <v>20000</v>
      </c>
      <c r="L625" s="31" t="s">
        <v>601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598</v>
      </c>
      <c r="D626" s="31" t="s">
        <v>452</v>
      </c>
      <c r="E626" s="31" t="s">
        <v>603</v>
      </c>
      <c r="F626" s="31" t="s">
        <v>604</v>
      </c>
      <c r="G626" s="27">
        <v>4000</v>
      </c>
      <c r="H626" s="31" t="s">
        <v>54</v>
      </c>
      <c r="I626" s="31" t="s">
        <v>876</v>
      </c>
      <c r="J626" s="26" t="s">
        <v>606</v>
      </c>
      <c r="K626" s="27">
        <v>4000</v>
      </c>
      <c r="L626" s="31" t="s">
        <v>601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598</v>
      </c>
      <c r="D627" s="31" t="s">
        <v>452</v>
      </c>
      <c r="E627" s="31" t="s">
        <v>612</v>
      </c>
      <c r="F627" s="31" t="s">
        <v>830</v>
      </c>
      <c r="G627" s="27">
        <v>12900</v>
      </c>
      <c r="H627" s="31" t="s">
        <v>54</v>
      </c>
      <c r="I627" s="31"/>
      <c r="J627" s="26" t="s">
        <v>606</v>
      </c>
      <c r="K627" s="27">
        <v>12900</v>
      </c>
      <c r="L627" s="31" t="s">
        <v>601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598</v>
      </c>
      <c r="D628" s="31" t="s">
        <v>452</v>
      </c>
      <c r="E628" s="31" t="s">
        <v>603</v>
      </c>
      <c r="F628" s="31" t="s">
        <v>643</v>
      </c>
      <c r="G628" s="27">
        <v>4500</v>
      </c>
      <c r="H628" s="31" t="s">
        <v>54</v>
      </c>
      <c r="I628" s="31"/>
      <c r="J628" s="26" t="s">
        <v>606</v>
      </c>
      <c r="K628" s="27">
        <v>4500</v>
      </c>
      <c r="L628" s="31" t="s">
        <v>601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598</v>
      </c>
      <c r="D629" s="31" t="s">
        <v>452</v>
      </c>
      <c r="E629" s="31" t="s">
        <v>603</v>
      </c>
      <c r="F629" s="31" t="s">
        <v>713</v>
      </c>
      <c r="G629" s="27">
        <v>2100</v>
      </c>
      <c r="H629" s="31" t="s">
        <v>54</v>
      </c>
      <c r="I629" s="31"/>
      <c r="J629" s="26" t="s">
        <v>606</v>
      </c>
      <c r="K629" s="27">
        <v>2100</v>
      </c>
      <c r="L629" s="31" t="s">
        <v>601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598</v>
      </c>
      <c r="D630" s="31" t="s">
        <v>452</v>
      </c>
      <c r="E630" s="31" t="s">
        <v>612</v>
      </c>
      <c r="F630" s="31" t="s">
        <v>833</v>
      </c>
      <c r="G630" s="27">
        <v>8500</v>
      </c>
      <c r="H630" s="31" t="s">
        <v>54</v>
      </c>
      <c r="I630" s="31"/>
      <c r="J630" s="26" t="s">
        <v>606</v>
      </c>
      <c r="K630" s="27">
        <v>8500</v>
      </c>
      <c r="L630" s="31" t="s">
        <v>601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598</v>
      </c>
      <c r="D631" s="31" t="s">
        <v>452</v>
      </c>
      <c r="E631" s="31" t="s">
        <v>612</v>
      </c>
      <c r="F631" s="31" t="s">
        <v>764</v>
      </c>
      <c r="G631" s="27">
        <v>25600</v>
      </c>
      <c r="H631" s="31" t="s">
        <v>54</v>
      </c>
      <c r="I631" s="31"/>
      <c r="J631" s="26" t="s">
        <v>606</v>
      </c>
      <c r="K631" s="27">
        <v>25600</v>
      </c>
      <c r="L631" s="31" t="s">
        <v>601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187</v>
      </c>
      <c r="D632" s="31" t="s">
        <v>452</v>
      </c>
      <c r="E632" s="31" t="s">
        <v>612</v>
      </c>
      <c r="F632" s="31" t="s">
        <v>765</v>
      </c>
      <c r="G632" s="27">
        <v>-17000</v>
      </c>
      <c r="H632" s="31" t="s">
        <v>54</v>
      </c>
      <c r="I632" s="31"/>
      <c r="J632" s="26" t="s">
        <v>606</v>
      </c>
      <c r="K632" s="27">
        <v>-17000</v>
      </c>
      <c r="L632" s="31" t="s">
        <v>601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712</v>
      </c>
      <c r="D633" s="31" t="s">
        <v>452</v>
      </c>
      <c r="E633" s="31" t="s">
        <v>603</v>
      </c>
      <c r="F633" s="31" t="s">
        <v>878</v>
      </c>
      <c r="G633" s="27">
        <v>-19000</v>
      </c>
      <c r="H633" s="31" t="s">
        <v>54</v>
      </c>
      <c r="I633" s="31"/>
      <c r="J633" s="26" t="s">
        <v>606</v>
      </c>
      <c r="K633" s="27">
        <v>-19000</v>
      </c>
      <c r="L633" s="31" t="s">
        <v>601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598</v>
      </c>
      <c r="D634" s="31" t="s">
        <v>625</v>
      </c>
      <c r="E634" s="31"/>
      <c r="F634" s="31" t="s">
        <v>626</v>
      </c>
      <c r="G634" s="27">
        <v>4000</v>
      </c>
      <c r="H634" s="31" t="s">
        <v>54</v>
      </c>
      <c r="I634" s="31"/>
      <c r="J634" s="26" t="s">
        <v>606</v>
      </c>
      <c r="K634" s="27">
        <v>4000</v>
      </c>
      <c r="L634" s="31" t="s">
        <v>601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598</v>
      </c>
      <c r="D635" s="31" t="s">
        <v>452</v>
      </c>
      <c r="E635" s="31" t="s">
        <v>714</v>
      </c>
      <c r="F635" s="31" t="s">
        <v>820</v>
      </c>
      <c r="G635" s="27">
        <v>17600</v>
      </c>
      <c r="H635" s="31" t="s">
        <v>54</v>
      </c>
      <c r="I635" s="31"/>
      <c r="J635" s="26" t="s">
        <v>606</v>
      </c>
      <c r="K635" s="27">
        <v>17600</v>
      </c>
      <c r="L635" s="31" t="s">
        <v>601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598</v>
      </c>
      <c r="D636" s="31" t="s">
        <v>453</v>
      </c>
      <c r="E636" s="31"/>
      <c r="F636" s="31" t="s">
        <v>453</v>
      </c>
      <c r="G636" s="27">
        <v>5000</v>
      </c>
      <c r="H636" s="31" t="s">
        <v>54</v>
      </c>
      <c r="I636" s="31"/>
      <c r="J636" s="26" t="s">
        <v>609</v>
      </c>
      <c r="K636" s="27">
        <v>5000</v>
      </c>
      <c r="L636" s="31" t="s">
        <v>601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598</v>
      </c>
      <c r="D637" s="31" t="s">
        <v>672</v>
      </c>
      <c r="E637" s="31" t="s">
        <v>673</v>
      </c>
      <c r="F637" s="31" t="s">
        <v>604</v>
      </c>
      <c r="G637" s="27">
        <v>9700</v>
      </c>
      <c r="H637" s="31" t="s">
        <v>54</v>
      </c>
      <c r="I637" s="31" t="s">
        <v>879</v>
      </c>
      <c r="J637" s="26" t="s">
        <v>606</v>
      </c>
      <c r="K637" s="27">
        <v>9700</v>
      </c>
      <c r="L637" s="31" t="s">
        <v>601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681</v>
      </c>
      <c r="D638" s="31" t="s">
        <v>452</v>
      </c>
      <c r="E638" s="31" t="s">
        <v>615</v>
      </c>
      <c r="F638" s="31" t="s">
        <v>365</v>
      </c>
      <c r="G638" s="27">
        <v>17900</v>
      </c>
      <c r="H638" s="31" t="s">
        <v>54</v>
      </c>
      <c r="I638" s="31" t="s">
        <v>616</v>
      </c>
      <c r="J638" s="26" t="s">
        <v>606</v>
      </c>
      <c r="K638" s="27">
        <v>17900</v>
      </c>
      <c r="L638" s="31" t="s">
        <v>601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187</v>
      </c>
      <c r="D639" s="31" t="s">
        <v>19</v>
      </c>
      <c r="E639" s="31"/>
      <c r="F639" s="31" t="s">
        <v>745</v>
      </c>
      <c r="G639" s="27">
        <v>6</v>
      </c>
      <c r="H639" s="31" t="s">
        <v>397</v>
      </c>
      <c r="I639" s="31"/>
      <c r="J639" s="26" t="s">
        <v>653</v>
      </c>
      <c r="K639" s="27">
        <v>6</v>
      </c>
      <c r="L639" s="31" t="s">
        <v>601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598</v>
      </c>
      <c r="D640" s="31" t="s">
        <v>672</v>
      </c>
      <c r="E640" s="31" t="s">
        <v>673</v>
      </c>
      <c r="F640" s="31" t="s">
        <v>840</v>
      </c>
      <c r="G640" s="27">
        <v>4800</v>
      </c>
      <c r="H640" s="31" t="s">
        <v>54</v>
      </c>
      <c r="I640" s="31"/>
      <c r="J640" s="26" t="s">
        <v>606</v>
      </c>
      <c r="K640" s="27">
        <v>4800</v>
      </c>
      <c r="L640" s="31" t="s">
        <v>601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598</v>
      </c>
      <c r="D641" s="31" t="s">
        <v>672</v>
      </c>
      <c r="E641" s="31" t="s">
        <v>673</v>
      </c>
      <c r="F641" s="31" t="s">
        <v>841</v>
      </c>
      <c r="G641" s="27">
        <v>11300</v>
      </c>
      <c r="H641" s="31" t="s">
        <v>54</v>
      </c>
      <c r="I641" s="31"/>
      <c r="J641" s="26" t="s">
        <v>606</v>
      </c>
      <c r="K641" s="27">
        <v>11300</v>
      </c>
      <c r="L641" s="31" t="s">
        <v>601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598</v>
      </c>
      <c r="D642" s="31" t="s">
        <v>452</v>
      </c>
      <c r="E642" s="31" t="s">
        <v>714</v>
      </c>
      <c r="F642" s="31" t="s">
        <v>604</v>
      </c>
      <c r="G642" s="27">
        <v>7200</v>
      </c>
      <c r="H642" s="31" t="s">
        <v>54</v>
      </c>
      <c r="I642" s="31" t="s">
        <v>821</v>
      </c>
      <c r="J642" s="26" t="s">
        <v>606</v>
      </c>
      <c r="K642" s="27">
        <v>7200</v>
      </c>
      <c r="L642" s="31" t="s">
        <v>601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602</v>
      </c>
      <c r="D643" s="31" t="s">
        <v>452</v>
      </c>
      <c r="E643" s="31" t="s">
        <v>603</v>
      </c>
      <c r="F643" s="31" t="s">
        <v>604</v>
      </c>
      <c r="G643" s="27">
        <v>3300</v>
      </c>
      <c r="H643" s="31" t="s">
        <v>54</v>
      </c>
      <c r="I643" s="31" t="s">
        <v>688</v>
      </c>
      <c r="J643" s="26" t="s">
        <v>606</v>
      </c>
      <c r="K643" s="27">
        <v>3300</v>
      </c>
      <c r="L643" s="31" t="s">
        <v>601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602</v>
      </c>
      <c r="D644" s="31" t="s">
        <v>453</v>
      </c>
      <c r="E644" s="31"/>
      <c r="F644" s="31" t="s">
        <v>453</v>
      </c>
      <c r="G644" s="27">
        <v>4500</v>
      </c>
      <c r="H644" s="31" t="s">
        <v>54</v>
      </c>
      <c r="I644" s="31"/>
      <c r="J644" s="26" t="s">
        <v>609</v>
      </c>
      <c r="K644" s="27">
        <v>4500</v>
      </c>
      <c r="L644" s="31" t="s">
        <v>601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863</v>
      </c>
      <c r="D645" s="31" t="s">
        <v>19</v>
      </c>
      <c r="E645" s="31"/>
      <c r="F645" s="31" t="s">
        <v>875</v>
      </c>
      <c r="G645" s="27">
        <v>948</v>
      </c>
      <c r="H645" s="31" t="s">
        <v>397</v>
      </c>
      <c r="I645" s="31"/>
      <c r="J645" s="26" t="s">
        <v>653</v>
      </c>
      <c r="K645" s="27">
        <v>948</v>
      </c>
      <c r="L645" s="31" t="s">
        <v>601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834</v>
      </c>
      <c r="D646" s="31" t="s">
        <v>635</v>
      </c>
      <c r="E646" s="31"/>
      <c r="F646" s="31" t="s">
        <v>865</v>
      </c>
      <c r="G646" s="27">
        <v>16794</v>
      </c>
      <c r="H646" s="31" t="s">
        <v>54</v>
      </c>
      <c r="I646" s="31" t="s">
        <v>880</v>
      </c>
      <c r="J646" s="26" t="s">
        <v>635</v>
      </c>
      <c r="K646" s="27">
        <v>16794</v>
      </c>
      <c r="L646" s="31" t="s">
        <v>601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835</v>
      </c>
      <c r="D647" s="31" t="s">
        <v>635</v>
      </c>
      <c r="E647" s="31"/>
      <c r="F647" s="31" t="s">
        <v>865</v>
      </c>
      <c r="G647" s="27">
        <v>14990</v>
      </c>
      <c r="H647" s="31" t="s">
        <v>54</v>
      </c>
      <c r="I647" s="31" t="s">
        <v>880</v>
      </c>
      <c r="J647" s="26" t="s">
        <v>635</v>
      </c>
      <c r="K647" s="27">
        <v>14990</v>
      </c>
      <c r="L647" s="31" t="s">
        <v>601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602</v>
      </c>
      <c r="D648" s="31" t="s">
        <v>452</v>
      </c>
      <c r="E648" s="31" t="s">
        <v>714</v>
      </c>
      <c r="F648" s="31" t="s">
        <v>604</v>
      </c>
      <c r="G648" s="27">
        <v>4800</v>
      </c>
      <c r="H648" s="31" t="s">
        <v>54</v>
      </c>
      <c r="I648" s="31"/>
      <c r="J648" s="26" t="s">
        <v>606</v>
      </c>
      <c r="K648" s="27">
        <v>4800</v>
      </c>
      <c r="L648" s="31" t="s">
        <v>601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602</v>
      </c>
      <c r="D649" s="31" t="s">
        <v>625</v>
      </c>
      <c r="E649" s="31"/>
      <c r="F649" s="31" t="s">
        <v>626</v>
      </c>
      <c r="G649" s="27">
        <v>9000</v>
      </c>
      <c r="H649" s="31" t="s">
        <v>54</v>
      </c>
      <c r="I649" s="31"/>
      <c r="J649" s="26" t="s">
        <v>606</v>
      </c>
      <c r="K649" s="27">
        <v>9000</v>
      </c>
      <c r="L649" s="31" t="s">
        <v>601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602</v>
      </c>
      <c r="D650" s="31" t="s">
        <v>452</v>
      </c>
      <c r="E650" s="31" t="s">
        <v>612</v>
      </c>
      <c r="F650" s="31" t="s">
        <v>881</v>
      </c>
      <c r="G650" s="27">
        <v>7700</v>
      </c>
      <c r="H650" s="31" t="s">
        <v>54</v>
      </c>
      <c r="I650" s="31"/>
      <c r="J650" s="26" t="s">
        <v>606</v>
      </c>
      <c r="K650" s="27">
        <v>7700</v>
      </c>
      <c r="L650" s="31" t="s">
        <v>601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602</v>
      </c>
      <c r="D651" s="31" t="s">
        <v>882</v>
      </c>
      <c r="E651" s="31"/>
      <c r="F651" s="31" t="s">
        <v>883</v>
      </c>
      <c r="G651" s="27">
        <v>11300</v>
      </c>
      <c r="H651" s="31" t="s">
        <v>54</v>
      </c>
      <c r="I651" s="31" t="s">
        <v>884</v>
      </c>
      <c r="J651" s="26" t="s">
        <v>606</v>
      </c>
      <c r="K651" s="27">
        <v>11300</v>
      </c>
      <c r="L651" s="31" t="s">
        <v>601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602</v>
      </c>
      <c r="D652" s="31" t="s">
        <v>625</v>
      </c>
      <c r="E652" s="31"/>
      <c r="F652" s="31" t="s">
        <v>626</v>
      </c>
      <c r="G652" s="27">
        <v>2000</v>
      </c>
      <c r="H652" s="31" t="s">
        <v>54</v>
      </c>
      <c r="I652" s="31" t="s">
        <v>885</v>
      </c>
      <c r="J652" s="26" t="s">
        <v>606</v>
      </c>
      <c r="K652" s="27">
        <v>2000</v>
      </c>
      <c r="L652" s="31" t="s">
        <v>601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602</v>
      </c>
      <c r="D653" s="31" t="s">
        <v>452</v>
      </c>
      <c r="E653" s="31" t="s">
        <v>714</v>
      </c>
      <c r="F653" s="31" t="s">
        <v>604</v>
      </c>
      <c r="G653" s="27">
        <v>6700</v>
      </c>
      <c r="H653" s="31" t="s">
        <v>54</v>
      </c>
      <c r="I653" s="31" t="s">
        <v>821</v>
      </c>
      <c r="J653" s="26" t="s">
        <v>606</v>
      </c>
      <c r="K653" s="27">
        <v>6700</v>
      </c>
      <c r="L653" s="31" t="s">
        <v>601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602</v>
      </c>
      <c r="D654" s="31" t="s">
        <v>453</v>
      </c>
      <c r="E654" s="31"/>
      <c r="F654" s="31" t="s">
        <v>453</v>
      </c>
      <c r="G654" s="27">
        <v>5000</v>
      </c>
      <c r="H654" s="31" t="s">
        <v>54</v>
      </c>
      <c r="I654" s="31"/>
      <c r="J654" s="26" t="s">
        <v>609</v>
      </c>
      <c r="K654" s="27">
        <v>5000</v>
      </c>
      <c r="L654" s="31" t="s">
        <v>601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602</v>
      </c>
      <c r="D655" s="31" t="s">
        <v>452</v>
      </c>
      <c r="E655" s="31" t="s">
        <v>603</v>
      </c>
      <c r="F655" s="31" t="s">
        <v>643</v>
      </c>
      <c r="G655" s="27">
        <v>800</v>
      </c>
      <c r="H655" s="31" t="s">
        <v>54</v>
      </c>
      <c r="I655" s="31"/>
      <c r="J655" s="26" t="s">
        <v>606</v>
      </c>
      <c r="K655" s="27">
        <v>800</v>
      </c>
      <c r="L655" s="31" t="s">
        <v>601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602</v>
      </c>
      <c r="D656" s="31" t="s">
        <v>452</v>
      </c>
      <c r="E656" s="31" t="s">
        <v>612</v>
      </c>
      <c r="F656" s="31" t="s">
        <v>886</v>
      </c>
      <c r="G656" s="27">
        <v>9600</v>
      </c>
      <c r="H656" s="31" t="s">
        <v>54</v>
      </c>
      <c r="I656" s="31"/>
      <c r="J656" s="26" t="s">
        <v>606</v>
      </c>
      <c r="K656" s="27">
        <v>9600</v>
      </c>
      <c r="L656" s="31" t="s">
        <v>601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602</v>
      </c>
      <c r="D657" s="31" t="s">
        <v>625</v>
      </c>
      <c r="E657" s="31"/>
      <c r="F657" s="31" t="s">
        <v>626</v>
      </c>
      <c r="G657" s="27">
        <v>7000</v>
      </c>
      <c r="H657" s="31" t="s">
        <v>54</v>
      </c>
      <c r="I657" s="31"/>
      <c r="J657" s="26" t="s">
        <v>606</v>
      </c>
      <c r="K657" s="27">
        <v>7000</v>
      </c>
      <c r="L657" s="31" t="s">
        <v>601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598</v>
      </c>
      <c r="D658" s="31" t="s">
        <v>362</v>
      </c>
      <c r="E658" s="31"/>
      <c r="F658" s="31" t="s">
        <v>746</v>
      </c>
      <c r="G658" s="27">
        <v>8072</v>
      </c>
      <c r="H658" s="31" t="s">
        <v>54</v>
      </c>
      <c r="I658" s="31" t="s">
        <v>747</v>
      </c>
      <c r="J658" s="26" t="s">
        <v>600</v>
      </c>
      <c r="K658" s="27">
        <v>8072</v>
      </c>
      <c r="L658" s="31" t="s">
        <v>601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187</v>
      </c>
      <c r="D659" s="31" t="s">
        <v>672</v>
      </c>
      <c r="E659" s="31" t="s">
        <v>673</v>
      </c>
      <c r="F659" s="31" t="s">
        <v>703</v>
      </c>
      <c r="G659" s="27">
        <v>-3300</v>
      </c>
      <c r="H659" s="31" t="s">
        <v>54</v>
      </c>
      <c r="I659" s="31" t="s">
        <v>781</v>
      </c>
      <c r="J659" s="26" t="s">
        <v>606</v>
      </c>
      <c r="K659" s="27">
        <v>-3300</v>
      </c>
      <c r="L659" s="31" t="s">
        <v>601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681</v>
      </c>
      <c r="D660" s="31" t="s">
        <v>625</v>
      </c>
      <c r="E660" s="31"/>
      <c r="F660" s="31" t="s">
        <v>365</v>
      </c>
      <c r="G660" s="27">
        <v>7900</v>
      </c>
      <c r="H660" s="31" t="s">
        <v>54</v>
      </c>
      <c r="I660" s="31" t="s">
        <v>887</v>
      </c>
      <c r="J660" s="26" t="s">
        <v>606</v>
      </c>
      <c r="K660" s="27">
        <v>7900</v>
      </c>
      <c r="L660" s="31" t="s">
        <v>601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602</v>
      </c>
      <c r="D661" s="31" t="s">
        <v>453</v>
      </c>
      <c r="E661" s="31"/>
      <c r="F661" s="31" t="s">
        <v>453</v>
      </c>
      <c r="G661" s="27">
        <v>5000</v>
      </c>
      <c r="H661" s="31" t="s">
        <v>54</v>
      </c>
      <c r="I661" s="31"/>
      <c r="J661" s="26" t="s">
        <v>609</v>
      </c>
      <c r="K661" s="27">
        <v>5000</v>
      </c>
      <c r="L661" s="31" t="s">
        <v>601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602</v>
      </c>
      <c r="D662" s="31" t="s">
        <v>452</v>
      </c>
      <c r="E662" s="31" t="s">
        <v>603</v>
      </c>
      <c r="F662" s="31" t="s">
        <v>643</v>
      </c>
      <c r="G662" s="27">
        <v>800</v>
      </c>
      <c r="H662" s="31" t="s">
        <v>54</v>
      </c>
      <c r="I662" s="31"/>
      <c r="J662" s="26" t="s">
        <v>606</v>
      </c>
      <c r="K662" s="27">
        <v>800</v>
      </c>
      <c r="L662" s="31" t="s">
        <v>601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602</v>
      </c>
      <c r="D663" s="31" t="s">
        <v>452</v>
      </c>
      <c r="E663" s="31" t="s">
        <v>612</v>
      </c>
      <c r="F663" s="31" t="s">
        <v>731</v>
      </c>
      <c r="G663" s="27">
        <v>12000</v>
      </c>
      <c r="H663" s="31" t="s">
        <v>54</v>
      </c>
      <c r="I663" s="31"/>
      <c r="J663" s="26" t="s">
        <v>606</v>
      </c>
      <c r="K663" s="27">
        <v>12000</v>
      </c>
      <c r="L663" s="31" t="s">
        <v>601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611</v>
      </c>
      <c r="D664" s="31" t="s">
        <v>646</v>
      </c>
      <c r="E664" s="31"/>
      <c r="F664" s="31" t="s">
        <v>328</v>
      </c>
      <c r="G664" s="27">
        <v>144360</v>
      </c>
      <c r="H664" s="31" t="s">
        <v>54</v>
      </c>
      <c r="I664" s="31"/>
      <c r="J664" s="26" t="s">
        <v>600</v>
      </c>
      <c r="K664" s="27">
        <v>144360</v>
      </c>
      <c r="L664" s="31" t="s">
        <v>601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632</v>
      </c>
      <c r="D665" s="31" t="s">
        <v>57</v>
      </c>
      <c r="E665" s="31"/>
      <c r="F665" s="31" t="s">
        <v>57</v>
      </c>
      <c r="G665" s="27">
        <v>2785740</v>
      </c>
      <c r="H665" s="31" t="s">
        <v>397</v>
      </c>
      <c r="I665" s="31"/>
      <c r="J665" s="26" t="s">
        <v>57</v>
      </c>
      <c r="K665" s="27">
        <v>2785740</v>
      </c>
      <c r="L665" s="31" t="s">
        <v>601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436</v>
      </c>
      <c r="D666" s="31" t="s">
        <v>632</v>
      </c>
      <c r="E666" s="31"/>
      <c r="F666" s="31" t="s">
        <v>687</v>
      </c>
      <c r="G666" s="27">
        <v>20000</v>
      </c>
      <c r="H666" s="31" t="s">
        <v>633</v>
      </c>
      <c r="I666" s="31"/>
      <c r="J666" s="26" t="s">
        <v>634</v>
      </c>
      <c r="K666" s="27">
        <v>20000</v>
      </c>
      <c r="L666" s="31" t="s">
        <v>601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632</v>
      </c>
      <c r="D667" s="31" t="s">
        <v>436</v>
      </c>
      <c r="E667" s="31"/>
      <c r="F667" s="31" t="s">
        <v>687</v>
      </c>
      <c r="G667" s="27">
        <v>20000</v>
      </c>
      <c r="H667" s="31" t="s">
        <v>636</v>
      </c>
      <c r="I667" s="31"/>
      <c r="J667" s="26" t="s">
        <v>668</v>
      </c>
      <c r="K667" s="27">
        <v>20000</v>
      </c>
      <c r="L667" s="31" t="s">
        <v>601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632</v>
      </c>
      <c r="D668" s="31" t="s">
        <v>751</v>
      </c>
      <c r="E668" s="31"/>
      <c r="F668" s="31" t="s">
        <v>72</v>
      </c>
      <c r="G668" s="27">
        <v>150000</v>
      </c>
      <c r="H668" s="31" t="s">
        <v>636</v>
      </c>
      <c r="I668" s="31"/>
      <c r="J668" s="26" t="s">
        <v>658</v>
      </c>
      <c r="K668" s="27">
        <v>150000</v>
      </c>
      <c r="L668" s="31" t="s">
        <v>601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751</v>
      </c>
      <c r="D669" s="31" t="s">
        <v>632</v>
      </c>
      <c r="E669" s="31"/>
      <c r="F669" s="31" t="s">
        <v>72</v>
      </c>
      <c r="G669" s="27">
        <v>150000</v>
      </c>
      <c r="H669" s="31" t="s">
        <v>633</v>
      </c>
      <c r="I669" s="31"/>
      <c r="J669" s="26" t="s">
        <v>634</v>
      </c>
      <c r="K669" s="27">
        <v>150000</v>
      </c>
      <c r="L669" s="31" t="s">
        <v>601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404</v>
      </c>
      <c r="D670" s="31" t="s">
        <v>632</v>
      </c>
      <c r="E670" s="31"/>
      <c r="F670" s="31" t="s">
        <v>72</v>
      </c>
      <c r="G670" s="27">
        <v>20000</v>
      </c>
      <c r="H670" s="31" t="s">
        <v>633</v>
      </c>
      <c r="I670" s="31"/>
      <c r="J670" s="26" t="s">
        <v>634</v>
      </c>
      <c r="K670" s="27">
        <v>20000</v>
      </c>
      <c r="L670" s="31" t="s">
        <v>601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632</v>
      </c>
      <c r="D671" s="31" t="s">
        <v>404</v>
      </c>
      <c r="E671" s="31"/>
      <c r="F671" s="31" t="s">
        <v>72</v>
      </c>
      <c r="G671" s="27">
        <v>20000</v>
      </c>
      <c r="H671" s="31" t="s">
        <v>636</v>
      </c>
      <c r="I671" s="31"/>
      <c r="J671" s="26" t="s">
        <v>659</v>
      </c>
      <c r="K671" s="27">
        <v>20000</v>
      </c>
      <c r="L671" s="31" t="s">
        <v>601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187</v>
      </c>
      <c r="D672" s="31" t="s">
        <v>19</v>
      </c>
      <c r="E672" s="31"/>
      <c r="F672" s="31" t="s">
        <v>745</v>
      </c>
      <c r="G672" s="27">
        <v>1</v>
      </c>
      <c r="H672" s="31" t="s">
        <v>397</v>
      </c>
      <c r="I672" s="31"/>
      <c r="J672" s="26" t="s">
        <v>653</v>
      </c>
      <c r="K672" s="27">
        <v>1</v>
      </c>
      <c r="L672" s="31" t="s">
        <v>601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632</v>
      </c>
      <c r="D673" s="31" t="s">
        <v>834</v>
      </c>
      <c r="E673" s="31"/>
      <c r="F673" s="31" t="s">
        <v>72</v>
      </c>
      <c r="G673" s="27">
        <v>60000</v>
      </c>
      <c r="H673" s="31" t="s">
        <v>636</v>
      </c>
      <c r="I673" s="31"/>
      <c r="J673" s="26" t="s">
        <v>662</v>
      </c>
      <c r="K673" s="27">
        <v>60000</v>
      </c>
      <c r="L673" s="31" t="s">
        <v>601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834</v>
      </c>
      <c r="D674" s="31" t="s">
        <v>632</v>
      </c>
      <c r="E674" s="31"/>
      <c r="F674" s="31" t="s">
        <v>72</v>
      </c>
      <c r="G674" s="27">
        <v>60000</v>
      </c>
      <c r="H674" s="31" t="s">
        <v>633</v>
      </c>
      <c r="I674" s="31"/>
      <c r="J674" s="26" t="s">
        <v>634</v>
      </c>
      <c r="K674" s="27">
        <v>60000</v>
      </c>
      <c r="L674" s="31" t="s">
        <v>601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632</v>
      </c>
      <c r="D675" s="31" t="s">
        <v>835</v>
      </c>
      <c r="E675" s="31"/>
      <c r="F675" s="31" t="s">
        <v>72</v>
      </c>
      <c r="G675" s="27">
        <v>60000</v>
      </c>
      <c r="H675" s="31" t="s">
        <v>636</v>
      </c>
      <c r="I675" s="31"/>
      <c r="J675" s="26" t="s">
        <v>662</v>
      </c>
      <c r="K675" s="27">
        <v>60000</v>
      </c>
      <c r="L675" s="31" t="s">
        <v>601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835</v>
      </c>
      <c r="D676" s="31" t="s">
        <v>632</v>
      </c>
      <c r="E676" s="31"/>
      <c r="F676" s="31" t="s">
        <v>72</v>
      </c>
      <c r="G676" s="27">
        <v>60000</v>
      </c>
      <c r="H676" s="31" t="s">
        <v>633</v>
      </c>
      <c r="I676" s="31"/>
      <c r="J676" s="26" t="s">
        <v>634</v>
      </c>
      <c r="K676" s="27">
        <v>60000</v>
      </c>
      <c r="L676" s="31" t="s">
        <v>601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835</v>
      </c>
      <c r="D677" s="31" t="s">
        <v>635</v>
      </c>
      <c r="E677" s="31"/>
      <c r="F677" s="31" t="s">
        <v>865</v>
      </c>
      <c r="G677" s="27">
        <v>8394</v>
      </c>
      <c r="H677" s="31" t="s">
        <v>54</v>
      </c>
      <c r="I677" s="31" t="s">
        <v>880</v>
      </c>
      <c r="J677" s="26" t="s">
        <v>635</v>
      </c>
      <c r="K677" s="27">
        <v>8394</v>
      </c>
      <c r="L677" s="31" t="s">
        <v>601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834</v>
      </c>
      <c r="D678" s="31" t="s">
        <v>635</v>
      </c>
      <c r="E678" s="31"/>
      <c r="F678" s="31" t="s">
        <v>865</v>
      </c>
      <c r="G678" s="27">
        <v>6179</v>
      </c>
      <c r="H678" s="31" t="s">
        <v>54</v>
      </c>
      <c r="I678" s="31" t="s">
        <v>880</v>
      </c>
      <c r="J678" s="26" t="s">
        <v>635</v>
      </c>
      <c r="K678" s="27">
        <v>6179</v>
      </c>
      <c r="L678" s="31" t="s">
        <v>601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863</v>
      </c>
      <c r="D679" s="31" t="s">
        <v>19</v>
      </c>
      <c r="E679" s="31"/>
      <c r="F679" s="31" t="s">
        <v>875</v>
      </c>
      <c r="G679" s="27">
        <v>474</v>
      </c>
      <c r="H679" s="31" t="s">
        <v>397</v>
      </c>
      <c r="I679" s="31"/>
      <c r="J679" s="26" t="s">
        <v>653</v>
      </c>
      <c r="K679" s="27">
        <v>474</v>
      </c>
      <c r="L679" s="31" t="s">
        <v>601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632</v>
      </c>
      <c r="D680" s="31" t="s">
        <v>753</v>
      </c>
      <c r="E680" s="31"/>
      <c r="F680" s="31" t="s">
        <v>72</v>
      </c>
      <c r="G680" s="27">
        <v>200000</v>
      </c>
      <c r="H680" s="31" t="s">
        <v>636</v>
      </c>
      <c r="I680" s="31"/>
      <c r="J680" s="26" t="s">
        <v>671</v>
      </c>
      <c r="K680" s="27">
        <v>200000</v>
      </c>
      <c r="L680" s="31" t="s">
        <v>601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753</v>
      </c>
      <c r="D681" s="31" t="s">
        <v>632</v>
      </c>
      <c r="E681" s="31"/>
      <c r="F681" s="31" t="s">
        <v>72</v>
      </c>
      <c r="G681" s="27">
        <v>200000</v>
      </c>
      <c r="H681" s="31" t="s">
        <v>633</v>
      </c>
      <c r="I681" s="31"/>
      <c r="J681" s="26" t="s">
        <v>634</v>
      </c>
      <c r="K681" s="27">
        <v>200000</v>
      </c>
      <c r="L681" s="31" t="s">
        <v>601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632</v>
      </c>
      <c r="D682" s="31" t="s">
        <v>863</v>
      </c>
      <c r="E682" s="31"/>
      <c r="F682" s="31" t="s">
        <v>72</v>
      </c>
      <c r="G682" s="27">
        <v>200000</v>
      </c>
      <c r="H682" s="31" t="s">
        <v>636</v>
      </c>
      <c r="I682" s="31"/>
      <c r="J682" s="26" t="s">
        <v>634</v>
      </c>
      <c r="K682" s="27">
        <v>200000</v>
      </c>
      <c r="L682" s="31" t="s">
        <v>601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863</v>
      </c>
      <c r="D683" s="31" t="s">
        <v>632</v>
      </c>
      <c r="E683" s="31"/>
      <c r="F683" s="31" t="s">
        <v>72</v>
      </c>
      <c r="G683" s="27">
        <v>200000</v>
      </c>
      <c r="H683" s="31" t="s">
        <v>633</v>
      </c>
      <c r="I683" s="31"/>
      <c r="J683" s="26" t="s">
        <v>634</v>
      </c>
      <c r="K683" s="27">
        <v>200000</v>
      </c>
      <c r="L683" s="31" t="s">
        <v>601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645</v>
      </c>
      <c r="D684" s="31" t="s">
        <v>632</v>
      </c>
      <c r="E684" s="31"/>
      <c r="F684" s="31" t="s">
        <v>72</v>
      </c>
      <c r="G684" s="27">
        <v>2075740</v>
      </c>
      <c r="H684" s="31" t="s">
        <v>633</v>
      </c>
      <c r="I684" s="31"/>
      <c r="J684" s="26" t="s">
        <v>634</v>
      </c>
      <c r="K684" s="27">
        <v>2075740</v>
      </c>
      <c r="L684" s="31" t="s">
        <v>601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632</v>
      </c>
      <c r="D685" s="31" t="s">
        <v>645</v>
      </c>
      <c r="E685" s="31"/>
      <c r="F685" s="31" t="s">
        <v>72</v>
      </c>
      <c r="G685" s="27">
        <v>2075740</v>
      </c>
      <c r="H685" s="31" t="s">
        <v>636</v>
      </c>
      <c r="I685" s="31"/>
      <c r="J685" s="26" t="s">
        <v>634</v>
      </c>
      <c r="K685" s="27">
        <v>2075740</v>
      </c>
      <c r="L685" s="31" t="s">
        <v>601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645</v>
      </c>
      <c r="D686" s="31" t="s">
        <v>19</v>
      </c>
      <c r="E686" s="31"/>
      <c r="F686" s="31" t="s">
        <v>726</v>
      </c>
      <c r="G686" s="27">
        <v>642</v>
      </c>
      <c r="H686" s="31" t="s">
        <v>397</v>
      </c>
      <c r="I686" s="31"/>
      <c r="J686" s="26" t="s">
        <v>653</v>
      </c>
      <c r="K686" s="27">
        <v>642</v>
      </c>
      <c r="L686" s="31" t="s">
        <v>601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645</v>
      </c>
      <c r="D687" s="31" t="s">
        <v>184</v>
      </c>
      <c r="E687" s="31"/>
      <c r="F687" s="31" t="s">
        <v>72</v>
      </c>
      <c r="G687" s="27">
        <v>14000</v>
      </c>
      <c r="H687" s="31" t="s">
        <v>636</v>
      </c>
      <c r="I687" s="31"/>
      <c r="J687" s="26" t="s">
        <v>634</v>
      </c>
      <c r="K687" s="27">
        <v>14000</v>
      </c>
      <c r="L687" s="31" t="s">
        <v>601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184</v>
      </c>
      <c r="D688" s="31" t="s">
        <v>645</v>
      </c>
      <c r="E688" s="31"/>
      <c r="F688" s="31" t="s">
        <v>72</v>
      </c>
      <c r="G688" s="27">
        <v>14000</v>
      </c>
      <c r="H688" s="31" t="s">
        <v>633</v>
      </c>
      <c r="I688" s="31"/>
      <c r="J688" s="26" t="s">
        <v>634</v>
      </c>
      <c r="K688" s="27">
        <v>14000</v>
      </c>
      <c r="L688" s="31" t="s">
        <v>601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598</v>
      </c>
      <c r="D689" s="31" t="s">
        <v>362</v>
      </c>
      <c r="E689" s="31"/>
      <c r="F689" s="31" t="s">
        <v>755</v>
      </c>
      <c r="G689" s="27">
        <v>4890</v>
      </c>
      <c r="H689" s="31" t="s">
        <v>54</v>
      </c>
      <c r="I689" s="31"/>
      <c r="J689" s="26" t="s">
        <v>600</v>
      </c>
      <c r="K689" s="27">
        <v>4890</v>
      </c>
      <c r="L689" s="31" t="s">
        <v>601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645</v>
      </c>
      <c r="D690" s="31" t="s">
        <v>863</v>
      </c>
      <c r="E690" s="31"/>
      <c r="F690" s="31" t="s">
        <v>72</v>
      </c>
      <c r="G690" s="27">
        <v>1900000</v>
      </c>
      <c r="H690" s="31" t="s">
        <v>636</v>
      </c>
      <c r="I690" s="31"/>
      <c r="J690" s="26" t="s">
        <v>634</v>
      </c>
      <c r="K690" s="27">
        <v>1900000</v>
      </c>
      <c r="L690" s="31" t="s">
        <v>601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863</v>
      </c>
      <c r="D691" s="31" t="s">
        <v>645</v>
      </c>
      <c r="E691" s="31"/>
      <c r="F691" s="31" t="s">
        <v>72</v>
      </c>
      <c r="G691" s="27">
        <v>1900000</v>
      </c>
      <c r="H691" s="31" t="s">
        <v>633</v>
      </c>
      <c r="I691" s="31"/>
      <c r="J691" s="26" t="s">
        <v>634</v>
      </c>
      <c r="K691" s="27">
        <v>1900000</v>
      </c>
      <c r="L691" s="31" t="s">
        <v>601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863</v>
      </c>
      <c r="D692" s="31" t="s">
        <v>19</v>
      </c>
      <c r="E692" s="31"/>
      <c r="F692" s="31" t="s">
        <v>875</v>
      </c>
      <c r="G692" s="27">
        <v>158</v>
      </c>
      <c r="H692" s="31" t="s">
        <v>397</v>
      </c>
      <c r="I692" s="31"/>
      <c r="J692" s="26" t="s">
        <v>653</v>
      </c>
      <c r="K692" s="27">
        <v>158</v>
      </c>
      <c r="L692" s="31" t="s">
        <v>601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184</v>
      </c>
      <c r="D693" s="31" t="s">
        <v>19</v>
      </c>
      <c r="E693" s="31"/>
      <c r="F693" s="31" t="s">
        <v>756</v>
      </c>
      <c r="G693" s="27">
        <v>13918</v>
      </c>
      <c r="H693" s="31" t="s">
        <v>54</v>
      </c>
      <c r="I693" s="31"/>
      <c r="J693" s="26" t="s">
        <v>600</v>
      </c>
      <c r="K693" s="27">
        <v>13918</v>
      </c>
      <c r="L693" s="31" t="s">
        <v>601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602</v>
      </c>
      <c r="D694" s="31" t="s">
        <v>453</v>
      </c>
      <c r="E694" s="31"/>
      <c r="F694" s="31" t="s">
        <v>453</v>
      </c>
      <c r="G694" s="27">
        <v>5000</v>
      </c>
      <c r="H694" s="31" t="s">
        <v>54</v>
      </c>
      <c r="I694" s="31"/>
      <c r="J694" s="26" t="s">
        <v>609</v>
      </c>
      <c r="K694" s="27">
        <v>5000</v>
      </c>
      <c r="L694" s="31" t="s">
        <v>601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602</v>
      </c>
      <c r="D695" s="31" t="s">
        <v>452</v>
      </c>
      <c r="E695" s="31" t="s">
        <v>603</v>
      </c>
      <c r="F695" s="31" t="s">
        <v>670</v>
      </c>
      <c r="G695" s="27">
        <v>9400</v>
      </c>
      <c r="H695" s="31" t="s">
        <v>54</v>
      </c>
      <c r="I695" s="31"/>
      <c r="J695" s="26" t="s">
        <v>606</v>
      </c>
      <c r="K695" s="27">
        <v>9400</v>
      </c>
      <c r="L695" s="31" t="s">
        <v>601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602</v>
      </c>
      <c r="D696" s="31" t="s">
        <v>452</v>
      </c>
      <c r="E696" s="31" t="s">
        <v>612</v>
      </c>
      <c r="F696" s="31" t="s">
        <v>782</v>
      </c>
      <c r="G696" s="27">
        <v>12900</v>
      </c>
      <c r="H696" s="31" t="s">
        <v>54</v>
      </c>
      <c r="I696" s="31"/>
      <c r="J696" s="26" t="s">
        <v>606</v>
      </c>
      <c r="K696" s="27">
        <v>12900</v>
      </c>
      <c r="L696" s="31" t="s">
        <v>601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602</v>
      </c>
      <c r="D697" s="31" t="s">
        <v>452</v>
      </c>
      <c r="E697" s="31" t="s">
        <v>603</v>
      </c>
      <c r="F697" s="31" t="s">
        <v>643</v>
      </c>
      <c r="G697" s="27">
        <v>2300</v>
      </c>
      <c r="H697" s="31" t="s">
        <v>54</v>
      </c>
      <c r="I697" s="31"/>
      <c r="J697" s="26" t="s">
        <v>606</v>
      </c>
      <c r="K697" s="27">
        <v>2300</v>
      </c>
      <c r="L697" s="31" t="s">
        <v>601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611</v>
      </c>
      <c r="D698" s="31" t="s">
        <v>672</v>
      </c>
      <c r="E698" s="31" t="s">
        <v>761</v>
      </c>
      <c r="F698" s="31" t="s">
        <v>762</v>
      </c>
      <c r="G698" s="27">
        <v>138056</v>
      </c>
      <c r="H698" s="31" t="s">
        <v>54</v>
      </c>
      <c r="I698" s="31"/>
      <c r="J698" s="26" t="s">
        <v>600</v>
      </c>
      <c r="K698" s="27">
        <v>138056</v>
      </c>
      <c r="L698" s="31" t="s">
        <v>601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602</v>
      </c>
      <c r="D699" s="31" t="s">
        <v>669</v>
      </c>
      <c r="E699" s="31"/>
      <c r="F699" s="31" t="s">
        <v>766</v>
      </c>
      <c r="G699" s="27">
        <v>29900</v>
      </c>
      <c r="H699" s="31" t="s">
        <v>54</v>
      </c>
      <c r="I699" s="31" t="s">
        <v>99</v>
      </c>
      <c r="J699" s="26" t="s">
        <v>617</v>
      </c>
      <c r="K699" s="27">
        <v>29900</v>
      </c>
      <c r="L699" s="31" t="s">
        <v>601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178</v>
      </c>
      <c r="D700" s="31" t="s">
        <v>19</v>
      </c>
      <c r="E700" s="31"/>
      <c r="F700" s="31" t="s">
        <v>888</v>
      </c>
      <c r="G700" s="27">
        <v>242</v>
      </c>
      <c r="H700" s="31" t="s">
        <v>397</v>
      </c>
      <c r="I700" s="31"/>
      <c r="J700" s="26" t="s">
        <v>653</v>
      </c>
      <c r="K700" s="27">
        <v>242</v>
      </c>
      <c r="L700" s="31" t="s">
        <v>601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602</v>
      </c>
      <c r="D701" s="31" t="s">
        <v>452</v>
      </c>
      <c r="E701" s="31" t="s">
        <v>714</v>
      </c>
      <c r="F701" s="31" t="s">
        <v>604</v>
      </c>
      <c r="G701" s="27">
        <v>4400</v>
      </c>
      <c r="H701" s="31" t="s">
        <v>54</v>
      </c>
      <c r="I701" s="31" t="s">
        <v>821</v>
      </c>
      <c r="J701" s="26" t="s">
        <v>606</v>
      </c>
      <c r="K701" s="27">
        <v>4400</v>
      </c>
      <c r="L701" s="31" t="s">
        <v>601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602</v>
      </c>
      <c r="D702" s="31" t="s">
        <v>453</v>
      </c>
      <c r="E702" s="31"/>
      <c r="F702" s="31" t="s">
        <v>453</v>
      </c>
      <c r="G702" s="27">
        <v>5000</v>
      </c>
      <c r="H702" s="31" t="s">
        <v>54</v>
      </c>
      <c r="I702" s="31"/>
      <c r="J702" s="26" t="s">
        <v>609</v>
      </c>
      <c r="K702" s="27">
        <v>5000</v>
      </c>
      <c r="L702" s="31" t="s">
        <v>601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602</v>
      </c>
      <c r="D703" s="31" t="s">
        <v>452</v>
      </c>
      <c r="E703" s="31" t="s">
        <v>612</v>
      </c>
      <c r="F703" s="31" t="s">
        <v>833</v>
      </c>
      <c r="G703" s="27">
        <v>8500</v>
      </c>
      <c r="H703" s="31" t="s">
        <v>54</v>
      </c>
      <c r="I703" s="31"/>
      <c r="J703" s="26" t="s">
        <v>606</v>
      </c>
      <c r="K703" s="27">
        <v>8500</v>
      </c>
      <c r="L703" s="31" t="s">
        <v>601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602</v>
      </c>
      <c r="D704" s="31" t="s">
        <v>452</v>
      </c>
      <c r="E704" s="31" t="s">
        <v>603</v>
      </c>
      <c r="F704" s="31" t="s">
        <v>889</v>
      </c>
      <c r="G704" s="27">
        <v>6000</v>
      </c>
      <c r="H704" s="31" t="s">
        <v>54</v>
      </c>
      <c r="I704" s="31"/>
      <c r="J704" s="26" t="s">
        <v>606</v>
      </c>
      <c r="K704" s="27">
        <v>6000</v>
      </c>
      <c r="L704" s="31" t="s">
        <v>601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681</v>
      </c>
      <c r="D705" s="31" t="s">
        <v>452</v>
      </c>
      <c r="E705" s="31" t="s">
        <v>621</v>
      </c>
      <c r="F705" s="31" t="s">
        <v>682</v>
      </c>
      <c r="G705" s="27">
        <v>13400</v>
      </c>
      <c r="H705" s="31" t="s">
        <v>54</v>
      </c>
      <c r="I705" s="31" t="s">
        <v>686</v>
      </c>
      <c r="J705" s="26" t="s">
        <v>606</v>
      </c>
      <c r="K705" s="27">
        <v>13400</v>
      </c>
      <c r="L705" s="31" t="s">
        <v>601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602</v>
      </c>
      <c r="D706" s="31" t="s">
        <v>452</v>
      </c>
      <c r="E706" s="31" t="s">
        <v>603</v>
      </c>
      <c r="F706" s="31" t="s">
        <v>604</v>
      </c>
      <c r="G706" s="27">
        <v>1400</v>
      </c>
      <c r="H706" s="31" t="s">
        <v>54</v>
      </c>
      <c r="I706" s="31" t="s">
        <v>890</v>
      </c>
      <c r="J706" s="26" t="s">
        <v>606</v>
      </c>
      <c r="K706" s="27">
        <v>1400</v>
      </c>
      <c r="L706" s="31" t="s">
        <v>601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602</v>
      </c>
      <c r="D707" s="31" t="s">
        <v>735</v>
      </c>
      <c r="E707" s="31"/>
      <c r="F707" s="31" t="s">
        <v>891</v>
      </c>
      <c r="G707" s="27">
        <v>10000</v>
      </c>
      <c r="H707" s="31" t="s">
        <v>54</v>
      </c>
      <c r="I707" s="31" t="s">
        <v>892</v>
      </c>
      <c r="J707" s="26" t="s">
        <v>606</v>
      </c>
      <c r="K707" s="27">
        <v>10000</v>
      </c>
      <c r="L707" s="31" t="s">
        <v>601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602</v>
      </c>
      <c r="D708" s="31" t="s">
        <v>452</v>
      </c>
      <c r="E708" s="31" t="s">
        <v>603</v>
      </c>
      <c r="F708" s="31" t="s">
        <v>604</v>
      </c>
      <c r="G708" s="27">
        <v>7400</v>
      </c>
      <c r="H708" s="31" t="s">
        <v>54</v>
      </c>
      <c r="I708" s="31" t="s">
        <v>688</v>
      </c>
      <c r="J708" s="26" t="s">
        <v>606</v>
      </c>
      <c r="K708" s="27">
        <v>7400</v>
      </c>
      <c r="L708" s="31" t="s">
        <v>601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645</v>
      </c>
      <c r="D709" s="31" t="s">
        <v>19</v>
      </c>
      <c r="E709" s="31"/>
      <c r="F709" s="31" t="s">
        <v>726</v>
      </c>
      <c r="G709" s="27">
        <v>101</v>
      </c>
      <c r="H709" s="31" t="s">
        <v>397</v>
      </c>
      <c r="I709" s="31"/>
      <c r="J709" s="26" t="s">
        <v>653</v>
      </c>
      <c r="K709" s="27">
        <v>101</v>
      </c>
      <c r="L709" s="31" t="s">
        <v>601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645</v>
      </c>
      <c r="D710" s="31" t="s">
        <v>166</v>
      </c>
      <c r="E710" s="31"/>
      <c r="F710" s="31" t="s">
        <v>72</v>
      </c>
      <c r="G710" s="27">
        <v>14930</v>
      </c>
      <c r="H710" s="31" t="s">
        <v>636</v>
      </c>
      <c r="I710" s="31"/>
      <c r="J710" s="26" t="s">
        <v>634</v>
      </c>
      <c r="K710" s="27">
        <v>14930</v>
      </c>
      <c r="L710" s="31" t="s">
        <v>601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166</v>
      </c>
      <c r="D711" s="31" t="s">
        <v>645</v>
      </c>
      <c r="E711" s="31"/>
      <c r="F711" s="31" t="s">
        <v>72</v>
      </c>
      <c r="G711" s="27">
        <v>14930</v>
      </c>
      <c r="H711" s="31" t="s">
        <v>633</v>
      </c>
      <c r="I711" s="31"/>
      <c r="J711" s="26" t="s">
        <v>634</v>
      </c>
      <c r="K711" s="27">
        <v>14930</v>
      </c>
      <c r="L711" s="31" t="s">
        <v>601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681</v>
      </c>
      <c r="D712" s="31" t="s">
        <v>452</v>
      </c>
      <c r="E712" s="31" t="s">
        <v>621</v>
      </c>
      <c r="F712" s="31" t="s">
        <v>682</v>
      </c>
      <c r="G712" s="27">
        <v>11130</v>
      </c>
      <c r="H712" s="31" t="s">
        <v>54</v>
      </c>
      <c r="I712" s="31"/>
      <c r="J712" s="26" t="s">
        <v>606</v>
      </c>
      <c r="K712" s="27">
        <v>11130</v>
      </c>
      <c r="L712" s="31" t="s">
        <v>601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602</v>
      </c>
      <c r="D713" s="31" t="s">
        <v>453</v>
      </c>
      <c r="E713" s="31"/>
      <c r="F713" s="31" t="s">
        <v>453</v>
      </c>
      <c r="G713" s="27">
        <v>5000</v>
      </c>
      <c r="H713" s="31" t="s">
        <v>54</v>
      </c>
      <c r="I713" s="31"/>
      <c r="J713" s="26" t="s">
        <v>609</v>
      </c>
      <c r="K713" s="27">
        <v>5000</v>
      </c>
      <c r="L713" s="31" t="s">
        <v>601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436</v>
      </c>
      <c r="D714" s="31" t="s">
        <v>19</v>
      </c>
      <c r="E714" s="31"/>
      <c r="F714" s="31" t="s">
        <v>745</v>
      </c>
      <c r="G714" s="27">
        <v>1</v>
      </c>
      <c r="H714" s="31" t="s">
        <v>397</v>
      </c>
      <c r="I714" s="31"/>
      <c r="J714" s="26" t="s">
        <v>653</v>
      </c>
      <c r="K714" s="27">
        <v>1</v>
      </c>
      <c r="L714" s="31" t="s">
        <v>601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656</v>
      </c>
      <c r="D715" s="31" t="s">
        <v>771</v>
      </c>
      <c r="E715" s="31"/>
      <c r="F715" s="31" t="s">
        <v>772</v>
      </c>
      <c r="G715" s="27">
        <v>76390</v>
      </c>
      <c r="H715" s="31" t="s">
        <v>54</v>
      </c>
      <c r="I715" s="31" t="s">
        <v>893</v>
      </c>
      <c r="J715" s="26" t="s">
        <v>600</v>
      </c>
      <c r="K715" s="27">
        <v>76390</v>
      </c>
      <c r="L715" s="31" t="s">
        <v>601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656</v>
      </c>
      <c r="D716" s="31" t="s">
        <v>771</v>
      </c>
      <c r="E716" s="31"/>
      <c r="F716" s="31" t="s">
        <v>894</v>
      </c>
      <c r="G716" s="27">
        <v>-5000</v>
      </c>
      <c r="H716" s="31" t="s">
        <v>54</v>
      </c>
      <c r="I716" s="31"/>
      <c r="J716" s="26" t="s">
        <v>678</v>
      </c>
      <c r="K716" s="27">
        <v>-5000</v>
      </c>
      <c r="L716" s="31" t="s">
        <v>601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598</v>
      </c>
      <c r="D717" s="31" t="s">
        <v>362</v>
      </c>
      <c r="E717" s="31"/>
      <c r="F717" s="31" t="s">
        <v>363</v>
      </c>
      <c r="G717" s="27">
        <v>7890</v>
      </c>
      <c r="H717" s="31" t="s">
        <v>54</v>
      </c>
      <c r="I717" s="31"/>
      <c r="J717" s="26" t="s">
        <v>600</v>
      </c>
      <c r="K717" s="27">
        <v>7890</v>
      </c>
      <c r="L717" s="31" t="s">
        <v>601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602</v>
      </c>
      <c r="D718" s="31" t="s">
        <v>775</v>
      </c>
      <c r="E718" s="31"/>
      <c r="F718" s="31" t="s">
        <v>895</v>
      </c>
      <c r="G718" s="27">
        <v>24200</v>
      </c>
      <c r="H718" s="31" t="s">
        <v>54</v>
      </c>
      <c r="I718" s="31"/>
      <c r="J718" s="26" t="s">
        <v>606</v>
      </c>
      <c r="K718" s="27">
        <v>24200</v>
      </c>
      <c r="L718" s="31" t="s">
        <v>601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753</v>
      </c>
      <c r="D719" s="31" t="s">
        <v>19</v>
      </c>
      <c r="E719" s="31"/>
      <c r="F719" s="31" t="s">
        <v>779</v>
      </c>
      <c r="G719" s="27">
        <v>11180</v>
      </c>
      <c r="H719" s="31" t="s">
        <v>54</v>
      </c>
      <c r="I719" s="31"/>
      <c r="J719" s="26" t="s">
        <v>600</v>
      </c>
      <c r="K719" s="27">
        <v>11180</v>
      </c>
      <c r="L719" s="31" t="s">
        <v>601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602</v>
      </c>
      <c r="D720" s="31" t="s">
        <v>775</v>
      </c>
      <c r="E720" s="31"/>
      <c r="F720" s="31" t="s">
        <v>896</v>
      </c>
      <c r="G720" s="27">
        <v>43300</v>
      </c>
      <c r="H720" s="31" t="s">
        <v>54</v>
      </c>
      <c r="I720" s="31"/>
      <c r="J720" s="26" t="s">
        <v>606</v>
      </c>
      <c r="K720" s="27">
        <v>43300</v>
      </c>
      <c r="L720" s="31" t="s">
        <v>601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602</v>
      </c>
      <c r="D721" s="31" t="s">
        <v>452</v>
      </c>
      <c r="E721" s="31" t="s">
        <v>603</v>
      </c>
      <c r="F721" s="31" t="s">
        <v>604</v>
      </c>
      <c r="G721" s="27">
        <v>6900</v>
      </c>
      <c r="H721" s="31" t="s">
        <v>54</v>
      </c>
      <c r="I721" s="31" t="s">
        <v>688</v>
      </c>
      <c r="J721" s="26" t="s">
        <v>606</v>
      </c>
      <c r="K721" s="27">
        <v>6900</v>
      </c>
      <c r="L721" s="31" t="s">
        <v>601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602</v>
      </c>
      <c r="D722" s="31" t="s">
        <v>453</v>
      </c>
      <c r="E722" s="31"/>
      <c r="F722" s="31" t="s">
        <v>453</v>
      </c>
      <c r="G722" s="27">
        <v>5000</v>
      </c>
      <c r="H722" s="31" t="s">
        <v>54</v>
      </c>
      <c r="I722" s="31"/>
      <c r="J722" s="26" t="s">
        <v>609</v>
      </c>
      <c r="K722" s="27">
        <v>5000</v>
      </c>
      <c r="L722" s="31" t="s">
        <v>601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602</v>
      </c>
      <c r="D723" s="31" t="s">
        <v>452</v>
      </c>
      <c r="E723" s="31" t="s">
        <v>733</v>
      </c>
      <c r="F723" s="31" t="s">
        <v>823</v>
      </c>
      <c r="G723" s="27">
        <v>14500</v>
      </c>
      <c r="H723" s="31" t="s">
        <v>54</v>
      </c>
      <c r="I723" s="31"/>
      <c r="J723" s="26" t="s">
        <v>606</v>
      </c>
      <c r="K723" s="27">
        <v>14500</v>
      </c>
      <c r="L723" s="31" t="s">
        <v>601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602</v>
      </c>
      <c r="D724" s="31" t="s">
        <v>453</v>
      </c>
      <c r="E724" s="31"/>
      <c r="F724" s="31" t="s">
        <v>453</v>
      </c>
      <c r="G724" s="27">
        <v>5000</v>
      </c>
      <c r="H724" s="31" t="s">
        <v>54</v>
      </c>
      <c r="I724" s="31"/>
      <c r="J724" s="26" t="s">
        <v>609</v>
      </c>
      <c r="K724" s="27">
        <v>5000</v>
      </c>
      <c r="L724" s="31" t="s">
        <v>601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602</v>
      </c>
      <c r="D725" s="31" t="s">
        <v>452</v>
      </c>
      <c r="E725" s="31" t="s">
        <v>603</v>
      </c>
      <c r="F725" s="31" t="s">
        <v>604</v>
      </c>
      <c r="G725" s="27">
        <v>1700</v>
      </c>
      <c r="H725" s="31" t="s">
        <v>54</v>
      </c>
      <c r="I725" s="31" t="s">
        <v>897</v>
      </c>
      <c r="J725" s="26" t="s">
        <v>606</v>
      </c>
      <c r="K725" s="27">
        <v>1700</v>
      </c>
      <c r="L725" s="31" t="s">
        <v>601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645</v>
      </c>
      <c r="D726" s="31" t="s">
        <v>166</v>
      </c>
      <c r="E726" s="31"/>
      <c r="F726" s="31" t="s">
        <v>72</v>
      </c>
      <c r="G726" s="27">
        <v>1000</v>
      </c>
      <c r="H726" s="31" t="s">
        <v>636</v>
      </c>
      <c r="I726" s="31"/>
      <c r="J726" s="26" t="s">
        <v>634</v>
      </c>
      <c r="K726" s="27">
        <v>1000</v>
      </c>
      <c r="L726" s="31" t="s">
        <v>601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166</v>
      </c>
      <c r="D727" s="31" t="s">
        <v>645</v>
      </c>
      <c r="E727" s="31"/>
      <c r="F727" s="31" t="s">
        <v>72</v>
      </c>
      <c r="G727" s="27">
        <v>1000</v>
      </c>
      <c r="H727" s="31" t="s">
        <v>633</v>
      </c>
      <c r="I727" s="31"/>
      <c r="J727" s="26" t="s">
        <v>634</v>
      </c>
      <c r="K727" s="27">
        <v>1000</v>
      </c>
      <c r="L727" s="31" t="s">
        <v>601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166</v>
      </c>
      <c r="D728" s="31" t="s">
        <v>19</v>
      </c>
      <c r="E728" s="31"/>
      <c r="F728" s="31" t="s">
        <v>767</v>
      </c>
      <c r="G728" s="27">
        <v>15992</v>
      </c>
      <c r="H728" s="31" t="s">
        <v>54</v>
      </c>
      <c r="I728" s="31"/>
      <c r="J728" s="26" t="s">
        <v>600</v>
      </c>
      <c r="K728" s="27">
        <v>15992</v>
      </c>
      <c r="L728" s="31" t="s">
        <v>601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602</v>
      </c>
      <c r="D729" s="31" t="s">
        <v>452</v>
      </c>
      <c r="E729" s="31" t="s">
        <v>733</v>
      </c>
      <c r="F729" s="31" t="s">
        <v>898</v>
      </c>
      <c r="G729" s="27">
        <v>13000</v>
      </c>
      <c r="H729" s="31" t="s">
        <v>54</v>
      </c>
      <c r="I729" s="31"/>
      <c r="J729" s="26" t="s">
        <v>606</v>
      </c>
      <c r="K729" s="27">
        <v>13000</v>
      </c>
      <c r="L729" s="31" t="s">
        <v>601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602</v>
      </c>
      <c r="D730" s="31" t="s">
        <v>453</v>
      </c>
      <c r="E730" s="31"/>
      <c r="F730" s="31" t="s">
        <v>453</v>
      </c>
      <c r="G730" s="27">
        <v>5000</v>
      </c>
      <c r="H730" s="31" t="s">
        <v>54</v>
      </c>
      <c r="I730" s="31"/>
      <c r="J730" s="26" t="s">
        <v>609</v>
      </c>
      <c r="K730" s="27">
        <v>5000</v>
      </c>
      <c r="L730" s="31" t="s">
        <v>601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602</v>
      </c>
      <c r="D731" s="31" t="s">
        <v>452</v>
      </c>
      <c r="E731" s="31" t="s">
        <v>603</v>
      </c>
      <c r="F731" s="31" t="s">
        <v>604</v>
      </c>
      <c r="G731" s="27">
        <v>5400</v>
      </c>
      <c r="H731" s="31" t="s">
        <v>54</v>
      </c>
      <c r="I731" s="31" t="s">
        <v>688</v>
      </c>
      <c r="J731" s="26" t="s">
        <v>606</v>
      </c>
      <c r="K731" s="27">
        <v>5400</v>
      </c>
      <c r="L731" s="31" t="s">
        <v>601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602</v>
      </c>
      <c r="D732" s="31" t="s">
        <v>452</v>
      </c>
      <c r="E732" s="31" t="s">
        <v>612</v>
      </c>
      <c r="F732" s="31" t="s">
        <v>899</v>
      </c>
      <c r="G732" s="27">
        <v>32000</v>
      </c>
      <c r="H732" s="31" t="s">
        <v>54</v>
      </c>
      <c r="I732" s="31"/>
      <c r="J732" s="26" t="s">
        <v>606</v>
      </c>
      <c r="K732" s="27">
        <v>32000</v>
      </c>
      <c r="L732" s="31" t="s">
        <v>601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602</v>
      </c>
      <c r="D733" s="31" t="s">
        <v>452</v>
      </c>
      <c r="E733" s="31" t="s">
        <v>603</v>
      </c>
      <c r="F733" s="31" t="s">
        <v>900</v>
      </c>
      <c r="G733" s="27">
        <v>18500</v>
      </c>
      <c r="H733" s="31" t="s">
        <v>54</v>
      </c>
      <c r="I733" s="31"/>
      <c r="J733" s="26" t="s">
        <v>606</v>
      </c>
      <c r="K733" s="27">
        <v>18500</v>
      </c>
      <c r="L733" s="31" t="s">
        <v>601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187</v>
      </c>
      <c r="D734" s="31" t="s">
        <v>19</v>
      </c>
      <c r="E734" s="31"/>
      <c r="F734" s="31" t="s">
        <v>836</v>
      </c>
      <c r="G734" s="27">
        <v>90</v>
      </c>
      <c r="H734" s="31" t="s">
        <v>397</v>
      </c>
      <c r="I734" s="31"/>
      <c r="J734" s="26" t="s">
        <v>653</v>
      </c>
      <c r="K734" s="27">
        <v>90</v>
      </c>
      <c r="L734" s="31" t="s">
        <v>601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187</v>
      </c>
      <c r="D735" s="31" t="s">
        <v>452</v>
      </c>
      <c r="E735" s="31" t="s">
        <v>612</v>
      </c>
      <c r="F735" s="31" t="s">
        <v>683</v>
      </c>
      <c r="G735" s="27">
        <v>-21300</v>
      </c>
      <c r="H735" s="31" t="s">
        <v>54</v>
      </c>
      <c r="I735" s="31" t="s">
        <v>901</v>
      </c>
      <c r="J735" s="26" t="s">
        <v>606</v>
      </c>
      <c r="K735" s="27">
        <v>-21300</v>
      </c>
      <c r="L735" s="31" t="s">
        <v>601</v>
      </c>
      <c r="M735" s="31" t="s">
        <v>902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598</v>
      </c>
      <c r="D736" s="31" t="s">
        <v>19</v>
      </c>
      <c r="E736" s="31"/>
      <c r="F736" s="31" t="s">
        <v>770</v>
      </c>
      <c r="G736" s="27">
        <v>-21000</v>
      </c>
      <c r="H736" s="31" t="s">
        <v>54</v>
      </c>
      <c r="I736" s="31"/>
      <c r="J736" s="26" t="s">
        <v>678</v>
      </c>
      <c r="K736" s="27">
        <v>-21000</v>
      </c>
      <c r="L736" s="31" t="s">
        <v>601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611</v>
      </c>
      <c r="D737" s="31" t="s">
        <v>453</v>
      </c>
      <c r="E737" s="31"/>
      <c r="F737" s="31" t="s">
        <v>453</v>
      </c>
      <c r="G737" s="27">
        <v>5000</v>
      </c>
      <c r="H737" s="31" t="s">
        <v>54</v>
      </c>
      <c r="I737" s="31"/>
      <c r="J737" s="26" t="s">
        <v>609</v>
      </c>
      <c r="K737" s="27">
        <v>5000</v>
      </c>
      <c r="L737" s="31" t="s">
        <v>601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611</v>
      </c>
      <c r="D738" s="31" t="s">
        <v>452</v>
      </c>
      <c r="E738" s="31" t="s">
        <v>612</v>
      </c>
      <c r="F738" s="31" t="s">
        <v>739</v>
      </c>
      <c r="G738" s="27">
        <v>12000</v>
      </c>
      <c r="H738" s="31" t="s">
        <v>54</v>
      </c>
      <c r="I738" s="31"/>
      <c r="J738" s="26" t="s">
        <v>606</v>
      </c>
      <c r="K738" s="27">
        <v>12000</v>
      </c>
      <c r="L738" s="31" t="s">
        <v>601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598</v>
      </c>
      <c r="D739" s="31" t="s">
        <v>362</v>
      </c>
      <c r="E739" s="31"/>
      <c r="F739" s="31" t="s">
        <v>599</v>
      </c>
      <c r="G739" s="27">
        <v>3856</v>
      </c>
      <c r="H739" s="31" t="s">
        <v>54</v>
      </c>
      <c r="I739" s="31"/>
      <c r="J739" s="26" t="s">
        <v>600</v>
      </c>
      <c r="K739" s="27">
        <v>3856</v>
      </c>
      <c r="L739" s="31" t="s">
        <v>601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645</v>
      </c>
      <c r="D740" s="31" t="s">
        <v>452</v>
      </c>
      <c r="E740" s="31" t="s">
        <v>603</v>
      </c>
      <c r="F740" s="31" t="s">
        <v>62</v>
      </c>
      <c r="G740" s="27">
        <v>51300</v>
      </c>
      <c r="H740" s="31" t="s">
        <v>54</v>
      </c>
      <c r="I740" s="31"/>
      <c r="J740" s="26" t="s">
        <v>606</v>
      </c>
      <c r="K740" s="27">
        <v>51300</v>
      </c>
      <c r="L740" s="31" t="s">
        <v>601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611</v>
      </c>
      <c r="D741" s="31" t="s">
        <v>452</v>
      </c>
      <c r="E741" s="31" t="s">
        <v>714</v>
      </c>
      <c r="F741" s="31" t="s">
        <v>604</v>
      </c>
      <c r="G741" s="27">
        <v>1590</v>
      </c>
      <c r="H741" s="31" t="s">
        <v>54</v>
      </c>
      <c r="I741" s="31" t="s">
        <v>903</v>
      </c>
      <c r="J741" s="26" t="s">
        <v>606</v>
      </c>
      <c r="K741" s="27">
        <v>1590</v>
      </c>
      <c r="L741" s="31" t="s">
        <v>601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681</v>
      </c>
      <c r="D742" s="31" t="s">
        <v>19</v>
      </c>
      <c r="E742" s="31"/>
      <c r="F742" s="31" t="s">
        <v>904</v>
      </c>
      <c r="G742" s="27">
        <v>20000</v>
      </c>
      <c r="H742" s="31" t="s">
        <v>54</v>
      </c>
      <c r="I742" s="31"/>
      <c r="J742" s="26" t="s">
        <v>600</v>
      </c>
      <c r="K742" s="27">
        <v>20000</v>
      </c>
      <c r="L742" s="31" t="s">
        <v>601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602</v>
      </c>
      <c r="D743" s="31" t="s">
        <v>19</v>
      </c>
      <c r="E743" s="31"/>
      <c r="F743" s="31" t="s">
        <v>905</v>
      </c>
      <c r="G743" s="27">
        <v>12000</v>
      </c>
      <c r="H743" s="31" t="s">
        <v>54</v>
      </c>
      <c r="I743" s="31"/>
      <c r="J743" s="26" t="s">
        <v>600</v>
      </c>
      <c r="K743" s="27">
        <v>12000</v>
      </c>
      <c r="L743" s="31" t="s">
        <v>601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598</v>
      </c>
      <c r="D744" s="31" t="s">
        <v>362</v>
      </c>
      <c r="E744" s="31"/>
      <c r="F744" s="31" t="s">
        <v>608</v>
      </c>
      <c r="G744" s="27">
        <v>9000</v>
      </c>
      <c r="H744" s="31" t="s">
        <v>54</v>
      </c>
      <c r="I744" s="31"/>
      <c r="J744" s="26" t="s">
        <v>600</v>
      </c>
      <c r="K744" s="27">
        <v>9000</v>
      </c>
      <c r="L744" s="31" t="s">
        <v>601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611</v>
      </c>
      <c r="D745" s="31" t="s">
        <v>453</v>
      </c>
      <c r="E745" s="31"/>
      <c r="F745" s="31" t="s">
        <v>453</v>
      </c>
      <c r="G745" s="27">
        <v>5000</v>
      </c>
      <c r="H745" s="31" t="s">
        <v>54</v>
      </c>
      <c r="I745" s="31"/>
      <c r="J745" s="26" t="s">
        <v>609</v>
      </c>
      <c r="K745" s="27">
        <v>5000</v>
      </c>
      <c r="L745" s="31" t="s">
        <v>601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611</v>
      </c>
      <c r="D746" s="31" t="s">
        <v>452</v>
      </c>
      <c r="E746" s="31" t="s">
        <v>612</v>
      </c>
      <c r="F746" s="31" t="s">
        <v>731</v>
      </c>
      <c r="G746" s="27">
        <v>35000</v>
      </c>
      <c r="H746" s="31" t="s">
        <v>54</v>
      </c>
      <c r="I746" s="31"/>
      <c r="J746" s="26" t="s">
        <v>606</v>
      </c>
      <c r="K746" s="27">
        <v>35000</v>
      </c>
      <c r="L746" s="31" t="s">
        <v>601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611</v>
      </c>
      <c r="D747" s="31" t="s">
        <v>452</v>
      </c>
      <c r="E747" s="31" t="s">
        <v>714</v>
      </c>
      <c r="F747" s="31" t="s">
        <v>604</v>
      </c>
      <c r="G747" s="27">
        <v>3900</v>
      </c>
      <c r="H747" s="31" t="s">
        <v>54</v>
      </c>
      <c r="I747" s="31" t="s">
        <v>821</v>
      </c>
      <c r="J747" s="26" t="s">
        <v>606</v>
      </c>
      <c r="K747" s="27">
        <v>3900</v>
      </c>
      <c r="L747" s="31" t="s">
        <v>601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645</v>
      </c>
      <c r="D748" s="31" t="s">
        <v>172</v>
      </c>
      <c r="E748" s="31"/>
      <c r="F748" s="31" t="s">
        <v>72</v>
      </c>
      <c r="G748" s="27">
        <v>71390</v>
      </c>
      <c r="H748" s="31" t="s">
        <v>636</v>
      </c>
      <c r="I748" s="31"/>
      <c r="J748" s="26" t="s">
        <v>634</v>
      </c>
      <c r="K748" s="27">
        <v>71390</v>
      </c>
      <c r="L748" s="31" t="s">
        <v>601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172</v>
      </c>
      <c r="D749" s="31" t="s">
        <v>645</v>
      </c>
      <c r="E749" s="31"/>
      <c r="F749" s="31" t="s">
        <v>72</v>
      </c>
      <c r="G749" s="27">
        <v>71390</v>
      </c>
      <c r="H749" s="31" t="s">
        <v>633</v>
      </c>
      <c r="I749" s="31"/>
      <c r="J749" s="26" t="s">
        <v>634</v>
      </c>
      <c r="K749" s="27">
        <v>71390</v>
      </c>
      <c r="L749" s="31" t="s">
        <v>601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172</v>
      </c>
      <c r="D750" s="31" t="s">
        <v>656</v>
      </c>
      <c r="E750" s="31"/>
      <c r="F750" s="31" t="s">
        <v>657</v>
      </c>
      <c r="G750" s="27">
        <v>71390</v>
      </c>
      <c r="H750" s="31" t="s">
        <v>636</v>
      </c>
      <c r="I750" s="31"/>
      <c r="J750" s="26" t="s">
        <v>634</v>
      </c>
      <c r="K750" s="27">
        <v>71390</v>
      </c>
      <c r="L750" s="31" t="s">
        <v>601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656</v>
      </c>
      <c r="D751" s="31" t="s">
        <v>172</v>
      </c>
      <c r="E751" s="31"/>
      <c r="F751" s="31" t="s">
        <v>657</v>
      </c>
      <c r="G751" s="27">
        <v>71390</v>
      </c>
      <c r="H751" s="31" t="s">
        <v>633</v>
      </c>
      <c r="I751" s="31"/>
      <c r="J751" s="26" t="s">
        <v>634</v>
      </c>
      <c r="K751" s="27">
        <v>71390</v>
      </c>
      <c r="L751" s="31" t="s">
        <v>601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611</v>
      </c>
      <c r="D752" s="31" t="s">
        <v>453</v>
      </c>
      <c r="E752" s="31"/>
      <c r="F752" s="31" t="s">
        <v>453</v>
      </c>
      <c r="G752" s="27">
        <v>5000</v>
      </c>
      <c r="H752" s="31" t="s">
        <v>54</v>
      </c>
      <c r="I752" s="31"/>
      <c r="J752" s="26" t="s">
        <v>609</v>
      </c>
      <c r="K752" s="27">
        <v>5000</v>
      </c>
      <c r="L752" s="31" t="s">
        <v>601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611</v>
      </c>
      <c r="D753" s="31" t="s">
        <v>452</v>
      </c>
      <c r="E753" s="31" t="s">
        <v>603</v>
      </c>
      <c r="F753" s="31" t="s">
        <v>643</v>
      </c>
      <c r="G753" s="27">
        <v>9800</v>
      </c>
      <c r="H753" s="31" t="s">
        <v>54</v>
      </c>
      <c r="I753" s="31"/>
      <c r="J753" s="26" t="s">
        <v>606</v>
      </c>
      <c r="K753" s="27">
        <v>9800</v>
      </c>
      <c r="L753" s="31" t="s">
        <v>601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681</v>
      </c>
      <c r="D754" s="31" t="s">
        <v>452</v>
      </c>
      <c r="E754" s="31" t="s">
        <v>621</v>
      </c>
      <c r="F754" s="31" t="s">
        <v>682</v>
      </c>
      <c r="G754" s="27">
        <v>18900</v>
      </c>
      <c r="H754" s="31" t="s">
        <v>54</v>
      </c>
      <c r="I754" s="31"/>
      <c r="J754" s="26" t="s">
        <v>606</v>
      </c>
      <c r="K754" s="27">
        <v>18900</v>
      </c>
      <c r="L754" s="31" t="s">
        <v>601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611</v>
      </c>
      <c r="D755" s="31" t="s">
        <v>452</v>
      </c>
      <c r="E755" s="31" t="s">
        <v>603</v>
      </c>
      <c r="F755" s="31" t="s">
        <v>604</v>
      </c>
      <c r="G755" s="27">
        <v>1700</v>
      </c>
      <c r="H755" s="31" t="s">
        <v>54</v>
      </c>
      <c r="I755" s="31" t="s">
        <v>906</v>
      </c>
      <c r="J755" s="26" t="s">
        <v>606</v>
      </c>
      <c r="K755" s="27">
        <v>1700</v>
      </c>
      <c r="L755" s="31" t="s">
        <v>601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187</v>
      </c>
      <c r="D756" s="31" t="s">
        <v>19</v>
      </c>
      <c r="E756" s="31"/>
      <c r="F756" s="31" t="s">
        <v>763</v>
      </c>
      <c r="G756" s="27">
        <v>1</v>
      </c>
      <c r="H756" s="31" t="s">
        <v>397</v>
      </c>
      <c r="I756" s="31"/>
      <c r="J756" s="26" t="s">
        <v>653</v>
      </c>
      <c r="K756" s="27">
        <v>1</v>
      </c>
      <c r="L756" s="31" t="s">
        <v>601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907</v>
      </c>
      <c r="D757" s="31" t="s">
        <v>863</v>
      </c>
      <c r="E757" s="31"/>
      <c r="F757" s="31" t="s">
        <v>72</v>
      </c>
      <c r="G757" s="27">
        <v>4667442</v>
      </c>
      <c r="H757" s="31" t="s">
        <v>633</v>
      </c>
      <c r="I757" s="31"/>
      <c r="J757" s="26" t="s">
        <v>634</v>
      </c>
      <c r="K757" s="27">
        <v>4667442</v>
      </c>
      <c r="L757" s="31" t="s">
        <v>601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863</v>
      </c>
      <c r="D758" s="31" t="s">
        <v>907</v>
      </c>
      <c r="E758" s="31"/>
      <c r="F758" s="31" t="s">
        <v>72</v>
      </c>
      <c r="G758" s="27">
        <v>4667442</v>
      </c>
      <c r="H758" s="31" t="s">
        <v>636</v>
      </c>
      <c r="I758" s="31"/>
      <c r="J758" s="26" t="s">
        <v>634</v>
      </c>
      <c r="K758" s="27">
        <v>4667442</v>
      </c>
      <c r="L758" s="31" t="s">
        <v>601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863</v>
      </c>
      <c r="D759" s="31" t="s">
        <v>19</v>
      </c>
      <c r="E759" s="31"/>
      <c r="F759" s="31" t="s">
        <v>908</v>
      </c>
      <c r="G759" s="27">
        <v>1699</v>
      </c>
      <c r="H759" s="31" t="s">
        <v>397</v>
      </c>
      <c r="I759" s="31"/>
      <c r="J759" s="26" t="s">
        <v>653</v>
      </c>
      <c r="K759" s="27">
        <v>1699</v>
      </c>
      <c r="L759" s="31" t="s">
        <v>601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611</v>
      </c>
      <c r="D760" s="31" t="s">
        <v>453</v>
      </c>
      <c r="E760" s="31"/>
      <c r="F760" s="31" t="s">
        <v>453</v>
      </c>
      <c r="G760" s="27">
        <v>5000</v>
      </c>
      <c r="H760" s="31" t="s">
        <v>54</v>
      </c>
      <c r="I760" s="31"/>
      <c r="J760" s="26" t="s">
        <v>609</v>
      </c>
      <c r="K760" s="27">
        <v>5000</v>
      </c>
      <c r="L760" s="31" t="s">
        <v>601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611</v>
      </c>
      <c r="D761" s="31" t="s">
        <v>741</v>
      </c>
      <c r="E761" s="31" t="s">
        <v>457</v>
      </c>
      <c r="F761" s="31" t="s">
        <v>909</v>
      </c>
      <c r="G761" s="27">
        <v>19800</v>
      </c>
      <c r="H761" s="31" t="s">
        <v>54</v>
      </c>
      <c r="I761" s="31" t="s">
        <v>910</v>
      </c>
      <c r="J761" s="26" t="s">
        <v>614</v>
      </c>
      <c r="K761" s="27">
        <v>19800</v>
      </c>
      <c r="L761" s="31" t="s">
        <v>601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611</v>
      </c>
      <c r="D762" s="31" t="s">
        <v>775</v>
      </c>
      <c r="E762" s="31"/>
      <c r="F762" s="31" t="s">
        <v>911</v>
      </c>
      <c r="G762" s="27">
        <v>30300</v>
      </c>
      <c r="H762" s="31" t="s">
        <v>54</v>
      </c>
      <c r="I762" s="31" t="s">
        <v>912</v>
      </c>
      <c r="J762" s="26" t="s">
        <v>606</v>
      </c>
      <c r="K762" s="27">
        <v>30300</v>
      </c>
      <c r="L762" s="31" t="s">
        <v>601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598</v>
      </c>
      <c r="D763" s="31" t="s">
        <v>362</v>
      </c>
      <c r="E763" s="31"/>
      <c r="F763" s="31" t="s">
        <v>561</v>
      </c>
      <c r="G763" s="27">
        <v>1800</v>
      </c>
      <c r="H763" s="31" t="s">
        <v>54</v>
      </c>
      <c r="I763" s="31" t="s">
        <v>639</v>
      </c>
      <c r="J763" s="26" t="s">
        <v>600</v>
      </c>
      <c r="K763" s="27">
        <v>1800</v>
      </c>
      <c r="L763" s="31" t="s">
        <v>601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598</v>
      </c>
      <c r="D764" s="31" t="s">
        <v>362</v>
      </c>
      <c r="E764" s="31"/>
      <c r="F764" s="31" t="s">
        <v>637</v>
      </c>
      <c r="G764" s="27">
        <v>3565</v>
      </c>
      <c r="H764" s="31" t="s">
        <v>54</v>
      </c>
      <c r="I764" s="31"/>
      <c r="J764" s="26" t="s">
        <v>600</v>
      </c>
      <c r="K764" s="27">
        <v>3565</v>
      </c>
      <c r="L764" s="31" t="s">
        <v>601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712</v>
      </c>
      <c r="D765" s="31" t="s">
        <v>187</v>
      </c>
      <c r="E765" s="31"/>
      <c r="F765" s="31" t="s">
        <v>72</v>
      </c>
      <c r="G765" s="27">
        <v>19000</v>
      </c>
      <c r="H765" s="31" t="s">
        <v>636</v>
      </c>
      <c r="I765" s="31"/>
      <c r="J765" s="26" t="s">
        <v>634</v>
      </c>
      <c r="K765" s="27">
        <v>19000</v>
      </c>
      <c r="L765" s="31" t="s">
        <v>601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187</v>
      </c>
      <c r="D766" s="31" t="s">
        <v>712</v>
      </c>
      <c r="E766" s="31"/>
      <c r="F766" s="31" t="s">
        <v>72</v>
      </c>
      <c r="G766" s="27">
        <v>19000</v>
      </c>
      <c r="H766" s="31" t="s">
        <v>633</v>
      </c>
      <c r="I766" s="31"/>
      <c r="J766" s="26" t="s">
        <v>634</v>
      </c>
      <c r="K766" s="27">
        <v>19000</v>
      </c>
      <c r="L766" s="31" t="s">
        <v>601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187</v>
      </c>
      <c r="D767" s="31" t="s">
        <v>907</v>
      </c>
      <c r="E767" s="31"/>
      <c r="F767" s="31" t="s">
        <v>72</v>
      </c>
      <c r="G767" s="27">
        <v>64091</v>
      </c>
      <c r="H767" s="31" t="s">
        <v>636</v>
      </c>
      <c r="I767" s="31"/>
      <c r="J767" s="26" t="s">
        <v>634</v>
      </c>
      <c r="K767" s="27">
        <v>64091</v>
      </c>
      <c r="L767" s="31" t="s">
        <v>601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907</v>
      </c>
      <c r="D768" s="31" t="s">
        <v>187</v>
      </c>
      <c r="E768" s="31"/>
      <c r="F768" s="31" t="s">
        <v>72</v>
      </c>
      <c r="G768" s="27">
        <v>64091</v>
      </c>
      <c r="H768" s="31" t="s">
        <v>633</v>
      </c>
      <c r="I768" s="31"/>
      <c r="J768" s="26" t="s">
        <v>634</v>
      </c>
      <c r="K768" s="27">
        <v>64091</v>
      </c>
      <c r="L768" s="31" t="s">
        <v>601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907</v>
      </c>
      <c r="D769" s="31" t="s">
        <v>19</v>
      </c>
      <c r="E769" s="31"/>
      <c r="F769" s="31" t="s">
        <v>745</v>
      </c>
      <c r="G769" s="27">
        <v>639</v>
      </c>
      <c r="H769" s="31" t="s">
        <v>397</v>
      </c>
      <c r="I769" s="31"/>
      <c r="J769" s="26" t="s">
        <v>653</v>
      </c>
      <c r="K769" s="27">
        <v>639</v>
      </c>
      <c r="L769" s="31" t="s">
        <v>601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645</v>
      </c>
      <c r="D770" s="31" t="s">
        <v>907</v>
      </c>
      <c r="E770" s="31"/>
      <c r="F770" s="31" t="s">
        <v>72</v>
      </c>
      <c r="G770" s="27">
        <v>23863</v>
      </c>
      <c r="H770" s="31" t="s">
        <v>636</v>
      </c>
      <c r="I770" s="31"/>
      <c r="J770" s="26" t="s">
        <v>634</v>
      </c>
      <c r="K770" s="27">
        <v>23863</v>
      </c>
      <c r="L770" s="31" t="s">
        <v>601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907</v>
      </c>
      <c r="D771" s="31" t="s">
        <v>645</v>
      </c>
      <c r="E771" s="31"/>
      <c r="F771" s="31" t="s">
        <v>72</v>
      </c>
      <c r="G771" s="27">
        <v>23863</v>
      </c>
      <c r="H771" s="31" t="s">
        <v>633</v>
      </c>
      <c r="I771" s="31"/>
      <c r="J771" s="26" t="s">
        <v>634</v>
      </c>
      <c r="K771" s="27">
        <v>23863</v>
      </c>
      <c r="L771" s="31" t="s">
        <v>601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907</v>
      </c>
      <c r="D772" s="31" t="s">
        <v>646</v>
      </c>
      <c r="E772" s="31"/>
      <c r="F772" s="31" t="s">
        <v>73</v>
      </c>
      <c r="G772" s="27">
        <v>550000</v>
      </c>
      <c r="H772" s="31" t="s">
        <v>54</v>
      </c>
      <c r="I772" s="31"/>
      <c r="J772" s="26" t="s">
        <v>600</v>
      </c>
      <c r="K772" s="27">
        <v>550000</v>
      </c>
      <c r="L772" s="31" t="s">
        <v>601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187</v>
      </c>
      <c r="D773" s="31" t="s">
        <v>19</v>
      </c>
      <c r="E773" s="31"/>
      <c r="F773" s="31" t="s">
        <v>61</v>
      </c>
      <c r="G773" s="27">
        <v>200000</v>
      </c>
      <c r="H773" s="31" t="s">
        <v>397</v>
      </c>
      <c r="I773" s="31" t="s">
        <v>913</v>
      </c>
      <c r="J773" s="26" t="s">
        <v>61</v>
      </c>
      <c r="K773" s="27">
        <v>200000</v>
      </c>
      <c r="L773" s="31" t="s">
        <v>601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611</v>
      </c>
      <c r="D774" s="31" t="s">
        <v>452</v>
      </c>
      <c r="E774" s="31" t="s">
        <v>603</v>
      </c>
      <c r="F774" s="31" t="s">
        <v>604</v>
      </c>
      <c r="G774" s="27">
        <v>2200</v>
      </c>
      <c r="H774" s="31" t="s">
        <v>54</v>
      </c>
      <c r="I774" s="31" t="s">
        <v>914</v>
      </c>
      <c r="J774" s="26" t="s">
        <v>606</v>
      </c>
      <c r="K774" s="27">
        <v>2200</v>
      </c>
      <c r="L774" s="31" t="s">
        <v>601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907</v>
      </c>
      <c r="D775" s="31" t="s">
        <v>187</v>
      </c>
      <c r="E775" s="31"/>
      <c r="F775" s="31" t="s">
        <v>72</v>
      </c>
      <c r="G775" s="27">
        <v>200000</v>
      </c>
      <c r="H775" s="31" t="s">
        <v>633</v>
      </c>
      <c r="I775" s="31"/>
      <c r="J775" s="26" t="s">
        <v>634</v>
      </c>
      <c r="K775" s="27">
        <v>200000</v>
      </c>
      <c r="L775" s="31" t="s">
        <v>601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611</v>
      </c>
      <c r="D776" s="31" t="s">
        <v>453</v>
      </c>
      <c r="E776" s="31"/>
      <c r="F776" s="31" t="s">
        <v>453</v>
      </c>
      <c r="G776" s="27">
        <v>5000</v>
      </c>
      <c r="H776" s="31" t="s">
        <v>54</v>
      </c>
      <c r="I776" s="31"/>
      <c r="J776" s="26" t="s">
        <v>609</v>
      </c>
      <c r="K776" s="27">
        <v>5000</v>
      </c>
      <c r="L776" s="31" t="s">
        <v>601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611</v>
      </c>
      <c r="D777" s="31" t="s">
        <v>452</v>
      </c>
      <c r="E777" s="31" t="s">
        <v>603</v>
      </c>
      <c r="F777" s="31" t="s">
        <v>604</v>
      </c>
      <c r="G777" s="27">
        <v>3600</v>
      </c>
      <c r="H777" s="31" t="s">
        <v>54</v>
      </c>
      <c r="I777" s="31" t="s">
        <v>915</v>
      </c>
      <c r="J777" s="26" t="s">
        <v>606</v>
      </c>
      <c r="K777" s="27">
        <v>3600</v>
      </c>
      <c r="L777" s="31" t="s">
        <v>601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187</v>
      </c>
      <c r="D778" s="31" t="s">
        <v>907</v>
      </c>
      <c r="E778" s="31"/>
      <c r="F778" s="31" t="s">
        <v>72</v>
      </c>
      <c r="G778" s="27">
        <v>200000</v>
      </c>
      <c r="H778" s="31" t="s">
        <v>636</v>
      </c>
      <c r="I778" s="31"/>
      <c r="J778" s="26" t="s">
        <v>634</v>
      </c>
      <c r="K778" s="27">
        <v>200000</v>
      </c>
      <c r="L778" s="31" t="s">
        <v>601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681</v>
      </c>
      <c r="D779" s="31" t="s">
        <v>625</v>
      </c>
      <c r="E779" s="31"/>
      <c r="F779" s="31" t="s">
        <v>365</v>
      </c>
      <c r="G779" s="27">
        <v>8490</v>
      </c>
      <c r="H779" s="31" t="s">
        <v>54</v>
      </c>
      <c r="I779" s="31" t="s">
        <v>702</v>
      </c>
      <c r="J779" s="26" t="s">
        <v>606</v>
      </c>
      <c r="K779" s="27">
        <v>8490</v>
      </c>
      <c r="L779" s="31" t="s">
        <v>601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611</v>
      </c>
      <c r="D780" s="31" t="s">
        <v>452</v>
      </c>
      <c r="E780" s="31" t="s">
        <v>612</v>
      </c>
      <c r="F780" s="31" t="s">
        <v>613</v>
      </c>
      <c r="G780" s="27">
        <v>15500</v>
      </c>
      <c r="H780" s="31" t="s">
        <v>54</v>
      </c>
      <c r="I780" s="31"/>
      <c r="J780" s="26" t="s">
        <v>606</v>
      </c>
      <c r="K780" s="27">
        <v>15500</v>
      </c>
      <c r="L780" s="31" t="s">
        <v>601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611</v>
      </c>
      <c r="D781" s="31" t="s">
        <v>453</v>
      </c>
      <c r="E781" s="31"/>
      <c r="F781" s="31" t="s">
        <v>453</v>
      </c>
      <c r="G781" s="27">
        <v>1200</v>
      </c>
      <c r="H781" s="31" t="s">
        <v>54</v>
      </c>
      <c r="I781" s="31"/>
      <c r="J781" s="26" t="s">
        <v>609</v>
      </c>
      <c r="K781" s="27">
        <v>1200</v>
      </c>
      <c r="L781" s="31" t="s">
        <v>601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611</v>
      </c>
      <c r="D782" s="31" t="s">
        <v>452</v>
      </c>
      <c r="E782" s="31" t="s">
        <v>612</v>
      </c>
      <c r="F782" s="31" t="s">
        <v>713</v>
      </c>
      <c r="G782" s="27">
        <v>9700</v>
      </c>
      <c r="H782" s="31" t="s">
        <v>54</v>
      </c>
      <c r="I782" s="31"/>
      <c r="J782" s="26" t="s">
        <v>606</v>
      </c>
      <c r="K782" s="27">
        <v>9700</v>
      </c>
      <c r="L782" s="31" t="s">
        <v>601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611</v>
      </c>
      <c r="D783" s="31" t="s">
        <v>453</v>
      </c>
      <c r="E783" s="31"/>
      <c r="F783" s="31" t="s">
        <v>453</v>
      </c>
      <c r="G783" s="27">
        <v>4500</v>
      </c>
      <c r="H783" s="31" t="s">
        <v>54</v>
      </c>
      <c r="I783" s="31"/>
      <c r="J783" s="26" t="s">
        <v>609</v>
      </c>
      <c r="K783" s="27">
        <v>4500</v>
      </c>
      <c r="L783" s="31" t="s">
        <v>601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611</v>
      </c>
      <c r="D784" s="31" t="s">
        <v>452</v>
      </c>
      <c r="E784" s="31" t="s">
        <v>714</v>
      </c>
      <c r="F784" s="31" t="s">
        <v>604</v>
      </c>
      <c r="G784" s="27">
        <v>2450</v>
      </c>
      <c r="H784" s="31" t="s">
        <v>54</v>
      </c>
      <c r="I784" s="31"/>
      <c r="J784" s="26" t="s">
        <v>606</v>
      </c>
      <c r="K784" s="27">
        <v>2450</v>
      </c>
      <c r="L784" s="31" t="s">
        <v>601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611</v>
      </c>
      <c r="D785" s="31" t="s">
        <v>452</v>
      </c>
      <c r="E785" s="31" t="s">
        <v>612</v>
      </c>
      <c r="F785" s="31" t="s">
        <v>881</v>
      </c>
      <c r="G785" s="27">
        <v>9900</v>
      </c>
      <c r="H785" s="31" t="s">
        <v>54</v>
      </c>
      <c r="I785" s="31"/>
      <c r="J785" s="26" t="s">
        <v>606</v>
      </c>
      <c r="K785" s="27">
        <v>9900</v>
      </c>
      <c r="L785" s="31" t="s">
        <v>601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611</v>
      </c>
      <c r="D786" s="31" t="s">
        <v>452</v>
      </c>
      <c r="E786" s="31" t="s">
        <v>714</v>
      </c>
      <c r="F786" s="31" t="s">
        <v>604</v>
      </c>
      <c r="G786" s="27">
        <v>5800</v>
      </c>
      <c r="H786" s="31" t="s">
        <v>54</v>
      </c>
      <c r="I786" s="31" t="s">
        <v>821</v>
      </c>
      <c r="J786" s="26" t="s">
        <v>606</v>
      </c>
      <c r="K786" s="27">
        <v>5800</v>
      </c>
      <c r="L786" s="31" t="s">
        <v>601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611</v>
      </c>
      <c r="D787" s="31" t="s">
        <v>646</v>
      </c>
      <c r="E787" s="31"/>
      <c r="F787" s="31" t="s">
        <v>679</v>
      </c>
      <c r="G787" s="27">
        <v>24705</v>
      </c>
      <c r="H787" s="31" t="s">
        <v>54</v>
      </c>
      <c r="I787" s="31"/>
      <c r="J787" s="26" t="s">
        <v>600</v>
      </c>
      <c r="K787" s="27">
        <v>24705</v>
      </c>
      <c r="L787" s="31" t="s">
        <v>601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611</v>
      </c>
      <c r="D788" s="31" t="s">
        <v>453</v>
      </c>
      <c r="E788" s="31"/>
      <c r="F788" s="31" t="s">
        <v>453</v>
      </c>
      <c r="G788" s="27">
        <v>5000</v>
      </c>
      <c r="H788" s="31" t="s">
        <v>54</v>
      </c>
      <c r="I788" s="31"/>
      <c r="J788" s="26" t="s">
        <v>609</v>
      </c>
      <c r="K788" s="27">
        <v>5000</v>
      </c>
      <c r="L788" s="31" t="s">
        <v>601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598</v>
      </c>
      <c r="D789" s="31" t="s">
        <v>741</v>
      </c>
      <c r="E789" s="31" t="s">
        <v>59</v>
      </c>
      <c r="F789" s="31" t="s">
        <v>916</v>
      </c>
      <c r="G789" s="27">
        <v>43100</v>
      </c>
      <c r="H789" s="31" t="s">
        <v>54</v>
      </c>
      <c r="I789" s="31" t="s">
        <v>917</v>
      </c>
      <c r="J789" s="26" t="s">
        <v>59</v>
      </c>
      <c r="K789" s="27">
        <v>43100</v>
      </c>
      <c r="L789" s="31" t="s">
        <v>601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598</v>
      </c>
      <c r="D790" s="31" t="s">
        <v>741</v>
      </c>
      <c r="E790" s="31" t="s">
        <v>59</v>
      </c>
      <c r="F790" s="31" t="s">
        <v>916</v>
      </c>
      <c r="G790" s="27">
        <v>43500</v>
      </c>
      <c r="H790" s="31" t="s">
        <v>54</v>
      </c>
      <c r="I790" s="31" t="s">
        <v>918</v>
      </c>
      <c r="J790" s="26" t="s">
        <v>59</v>
      </c>
      <c r="K790" s="27">
        <v>43500</v>
      </c>
      <c r="L790" s="31" t="s">
        <v>601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598</v>
      </c>
      <c r="D791" s="31" t="s">
        <v>741</v>
      </c>
      <c r="E791" s="31" t="s">
        <v>59</v>
      </c>
      <c r="F791" s="31" t="s">
        <v>916</v>
      </c>
      <c r="G791" s="27">
        <v>40900</v>
      </c>
      <c r="H791" s="31" t="s">
        <v>54</v>
      </c>
      <c r="I791" s="31" t="s">
        <v>919</v>
      </c>
      <c r="J791" s="26" t="s">
        <v>59</v>
      </c>
      <c r="K791" s="27">
        <v>40900</v>
      </c>
      <c r="L791" s="31" t="s">
        <v>601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611</v>
      </c>
      <c r="D792" s="31" t="s">
        <v>452</v>
      </c>
      <c r="E792" s="31" t="s">
        <v>714</v>
      </c>
      <c r="F792" s="31" t="s">
        <v>604</v>
      </c>
      <c r="G792" s="27">
        <v>6400</v>
      </c>
      <c r="H792" s="31" t="s">
        <v>54</v>
      </c>
      <c r="I792" s="31"/>
      <c r="J792" s="26" t="s">
        <v>606</v>
      </c>
      <c r="K792" s="27">
        <v>6400</v>
      </c>
      <c r="L792" s="31" t="s">
        <v>601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611</v>
      </c>
      <c r="D793" s="31" t="s">
        <v>452</v>
      </c>
      <c r="E793" s="31" t="s">
        <v>612</v>
      </c>
      <c r="F793" s="31" t="s">
        <v>731</v>
      </c>
      <c r="G793" s="27">
        <v>12000</v>
      </c>
      <c r="H793" s="31" t="s">
        <v>54</v>
      </c>
      <c r="I793" s="31"/>
      <c r="J793" s="26" t="s">
        <v>606</v>
      </c>
      <c r="K793" s="27">
        <v>12000</v>
      </c>
      <c r="L793" s="31" t="s">
        <v>601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907</v>
      </c>
      <c r="D794" s="31" t="s">
        <v>19</v>
      </c>
      <c r="E794" s="31"/>
      <c r="F794" s="31" t="s">
        <v>920</v>
      </c>
      <c r="G794" s="27">
        <v>10</v>
      </c>
      <c r="H794" s="31" t="s">
        <v>397</v>
      </c>
      <c r="I794" s="31"/>
      <c r="J794" s="26" t="s">
        <v>653</v>
      </c>
      <c r="K794" s="27">
        <v>10</v>
      </c>
      <c r="L794" s="31" t="s">
        <v>601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611</v>
      </c>
      <c r="D795" s="31" t="s">
        <v>453</v>
      </c>
      <c r="E795" s="31"/>
      <c r="F795" s="31" t="s">
        <v>453</v>
      </c>
      <c r="G795" s="27">
        <v>5000</v>
      </c>
      <c r="H795" s="31" t="s">
        <v>54</v>
      </c>
      <c r="I795" s="31"/>
      <c r="J795" s="26" t="s">
        <v>609</v>
      </c>
      <c r="K795" s="27">
        <v>5000</v>
      </c>
      <c r="L795" s="31" t="s">
        <v>601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611</v>
      </c>
      <c r="D796" s="31" t="s">
        <v>452</v>
      </c>
      <c r="E796" s="31" t="s">
        <v>612</v>
      </c>
      <c r="F796" s="31" t="s">
        <v>740</v>
      </c>
      <c r="G796" s="27">
        <v>12000</v>
      </c>
      <c r="H796" s="31" t="s">
        <v>54</v>
      </c>
      <c r="I796" s="31"/>
      <c r="J796" s="26" t="s">
        <v>606</v>
      </c>
      <c r="K796" s="27">
        <v>12000</v>
      </c>
      <c r="L796" s="31" t="s">
        <v>601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611</v>
      </c>
      <c r="D797" s="31" t="s">
        <v>452</v>
      </c>
      <c r="E797" s="31" t="s">
        <v>603</v>
      </c>
      <c r="F797" s="31" t="s">
        <v>867</v>
      </c>
      <c r="G797" s="27">
        <v>11800</v>
      </c>
      <c r="H797" s="31" t="s">
        <v>54</v>
      </c>
      <c r="I797" s="31"/>
      <c r="J797" s="26" t="s">
        <v>606</v>
      </c>
      <c r="K797" s="27">
        <v>11800</v>
      </c>
      <c r="L797" s="31" t="s">
        <v>601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681</v>
      </c>
      <c r="D798" s="31" t="s">
        <v>452</v>
      </c>
      <c r="E798" s="31" t="s">
        <v>603</v>
      </c>
      <c r="F798" s="31" t="s">
        <v>682</v>
      </c>
      <c r="G798" s="27">
        <v>17900</v>
      </c>
      <c r="H798" s="31" t="s">
        <v>54</v>
      </c>
      <c r="I798" s="31"/>
      <c r="J798" s="26" t="s">
        <v>606</v>
      </c>
      <c r="K798" s="27">
        <v>17900</v>
      </c>
      <c r="L798" s="31" t="s">
        <v>601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611</v>
      </c>
      <c r="D799" s="31" t="s">
        <v>452</v>
      </c>
      <c r="E799" s="31" t="s">
        <v>603</v>
      </c>
      <c r="F799" s="31" t="s">
        <v>604</v>
      </c>
      <c r="G799" s="27">
        <v>4500</v>
      </c>
      <c r="H799" s="31" t="s">
        <v>54</v>
      </c>
      <c r="I799" s="31"/>
      <c r="J799" s="26" t="s">
        <v>606</v>
      </c>
      <c r="K799" s="27">
        <v>4500</v>
      </c>
      <c r="L799" s="31" t="s">
        <v>601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611</v>
      </c>
      <c r="D800" s="31" t="s">
        <v>775</v>
      </c>
      <c r="E800" s="31"/>
      <c r="F800" s="31" t="s">
        <v>806</v>
      </c>
      <c r="G800" s="27">
        <v>17000</v>
      </c>
      <c r="H800" s="31" t="s">
        <v>54</v>
      </c>
      <c r="I800" s="31"/>
      <c r="J800" s="26" t="s">
        <v>606</v>
      </c>
      <c r="K800" s="27">
        <v>17000</v>
      </c>
      <c r="L800" s="31" t="s">
        <v>601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611</v>
      </c>
      <c r="D801" s="31" t="s">
        <v>452</v>
      </c>
      <c r="E801" s="31" t="s">
        <v>733</v>
      </c>
      <c r="F801" s="31" t="s">
        <v>921</v>
      </c>
      <c r="G801" s="27">
        <v>11000</v>
      </c>
      <c r="H801" s="31" t="s">
        <v>54</v>
      </c>
      <c r="I801" s="31"/>
      <c r="J801" s="26" t="s">
        <v>606</v>
      </c>
      <c r="K801" s="27">
        <v>11000</v>
      </c>
      <c r="L801" s="31" t="s">
        <v>601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611</v>
      </c>
      <c r="D802" s="31" t="s">
        <v>625</v>
      </c>
      <c r="E802" s="31"/>
      <c r="F802" s="31" t="s">
        <v>626</v>
      </c>
      <c r="G802" s="27">
        <v>12000</v>
      </c>
      <c r="H802" s="31" t="s">
        <v>54</v>
      </c>
      <c r="I802" s="31"/>
      <c r="J802" s="26" t="s">
        <v>606</v>
      </c>
      <c r="K802" s="27">
        <v>12000</v>
      </c>
      <c r="L802" s="31" t="s">
        <v>601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611</v>
      </c>
      <c r="D803" s="31" t="s">
        <v>452</v>
      </c>
      <c r="E803" s="31" t="s">
        <v>603</v>
      </c>
      <c r="F803" s="31" t="s">
        <v>713</v>
      </c>
      <c r="G803" s="27">
        <v>5100</v>
      </c>
      <c r="H803" s="31" t="s">
        <v>54</v>
      </c>
      <c r="I803" s="31"/>
      <c r="J803" s="26" t="s">
        <v>606</v>
      </c>
      <c r="K803" s="27">
        <v>5100</v>
      </c>
      <c r="L803" s="31" t="s">
        <v>601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598</v>
      </c>
      <c r="D804" s="31" t="s">
        <v>453</v>
      </c>
      <c r="E804" s="31"/>
      <c r="F804" s="31" t="s">
        <v>453</v>
      </c>
      <c r="G804" s="27">
        <v>5000</v>
      </c>
      <c r="H804" s="31" t="s">
        <v>54</v>
      </c>
      <c r="I804" s="31"/>
      <c r="J804" s="26" t="s">
        <v>609</v>
      </c>
      <c r="K804" s="27">
        <v>5000</v>
      </c>
      <c r="L804" s="31" t="s">
        <v>601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598</v>
      </c>
      <c r="D805" s="31" t="s">
        <v>735</v>
      </c>
      <c r="E805" s="31"/>
      <c r="F805" s="31" t="s">
        <v>922</v>
      </c>
      <c r="G805" s="27">
        <v>35000</v>
      </c>
      <c r="H805" s="31" t="s">
        <v>54</v>
      </c>
      <c r="I805" s="31"/>
      <c r="J805" s="26" t="s">
        <v>606</v>
      </c>
      <c r="K805" s="27">
        <v>35000</v>
      </c>
      <c r="L805" s="31" t="s">
        <v>601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598</v>
      </c>
      <c r="D806" s="31" t="s">
        <v>771</v>
      </c>
      <c r="E806" s="31"/>
      <c r="F806" s="31" t="s">
        <v>923</v>
      </c>
      <c r="G806" s="27">
        <v>16800</v>
      </c>
      <c r="H806" s="31" t="s">
        <v>54</v>
      </c>
      <c r="I806" s="31"/>
      <c r="J806" s="26" t="s">
        <v>606</v>
      </c>
      <c r="K806" s="27">
        <v>16800</v>
      </c>
      <c r="L806" s="31" t="s">
        <v>601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598</v>
      </c>
      <c r="D807" s="31" t="s">
        <v>452</v>
      </c>
      <c r="E807" s="31" t="s">
        <v>603</v>
      </c>
      <c r="F807" s="31" t="s">
        <v>604</v>
      </c>
      <c r="G807" s="27">
        <v>1610</v>
      </c>
      <c r="H807" s="31" t="s">
        <v>54</v>
      </c>
      <c r="I807" s="31" t="s">
        <v>924</v>
      </c>
      <c r="J807" s="26" t="s">
        <v>606</v>
      </c>
      <c r="K807" s="27">
        <v>1610</v>
      </c>
      <c r="L807" s="31" t="s">
        <v>601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598</v>
      </c>
      <c r="D808" s="31" t="s">
        <v>452</v>
      </c>
      <c r="E808" s="31" t="s">
        <v>603</v>
      </c>
      <c r="F808" s="31" t="s">
        <v>604</v>
      </c>
      <c r="G808" s="27">
        <v>3500</v>
      </c>
      <c r="H808" s="31" t="s">
        <v>54</v>
      </c>
      <c r="I808" s="31" t="s">
        <v>924</v>
      </c>
      <c r="J808" s="26" t="s">
        <v>606</v>
      </c>
      <c r="K808" s="27">
        <v>3500</v>
      </c>
      <c r="L808" s="31" t="s">
        <v>601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681</v>
      </c>
      <c r="D809" s="31" t="s">
        <v>452</v>
      </c>
      <c r="E809" s="31" t="s">
        <v>621</v>
      </c>
      <c r="F809" s="31" t="s">
        <v>682</v>
      </c>
      <c r="G809" s="27">
        <v>14500</v>
      </c>
      <c r="H809" s="31" t="s">
        <v>54</v>
      </c>
      <c r="I809" s="31"/>
      <c r="J809" s="26" t="s">
        <v>606</v>
      </c>
      <c r="K809" s="27">
        <v>14500</v>
      </c>
      <c r="L809" s="31" t="s">
        <v>601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598</v>
      </c>
      <c r="D810" s="31" t="s">
        <v>453</v>
      </c>
      <c r="E810" s="31"/>
      <c r="F810" s="31" t="s">
        <v>453</v>
      </c>
      <c r="G810" s="27">
        <v>5000</v>
      </c>
      <c r="H810" s="31" t="s">
        <v>54</v>
      </c>
      <c r="I810" s="31"/>
      <c r="J810" s="26" t="s">
        <v>609</v>
      </c>
      <c r="K810" s="27">
        <v>5000</v>
      </c>
      <c r="L810" s="31" t="s">
        <v>601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598</v>
      </c>
      <c r="D811" s="31" t="s">
        <v>452</v>
      </c>
      <c r="E811" s="31" t="s">
        <v>603</v>
      </c>
      <c r="F811" s="31" t="s">
        <v>604</v>
      </c>
      <c r="G811" s="27">
        <v>1700</v>
      </c>
      <c r="H811" s="31" t="s">
        <v>54</v>
      </c>
      <c r="I811" s="31" t="s">
        <v>925</v>
      </c>
      <c r="J811" s="26" t="s">
        <v>606</v>
      </c>
      <c r="K811" s="27">
        <v>1700</v>
      </c>
      <c r="L811" s="31" t="s">
        <v>601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611</v>
      </c>
      <c r="D812" s="31" t="s">
        <v>640</v>
      </c>
      <c r="E812" s="31"/>
      <c r="F812" s="31" t="s">
        <v>926</v>
      </c>
      <c r="G812" s="27">
        <v>74700</v>
      </c>
      <c r="H812" s="31" t="s">
        <v>54</v>
      </c>
      <c r="I812" s="31" t="s">
        <v>707</v>
      </c>
      <c r="J812" s="26" t="s">
        <v>600</v>
      </c>
      <c r="K812" s="27">
        <v>74700</v>
      </c>
      <c r="L812" s="31" t="s">
        <v>601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602</v>
      </c>
      <c r="D813" s="31" t="s">
        <v>907</v>
      </c>
      <c r="E813" s="31"/>
      <c r="F813" s="31" t="s">
        <v>657</v>
      </c>
      <c r="G813" s="27">
        <v>371200</v>
      </c>
      <c r="H813" s="31" t="s">
        <v>633</v>
      </c>
      <c r="I813" s="31"/>
      <c r="J813" s="26" t="s">
        <v>634</v>
      </c>
      <c r="K813" s="27">
        <v>371200</v>
      </c>
      <c r="L813" s="31" t="s">
        <v>601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907</v>
      </c>
      <c r="D814" s="31" t="s">
        <v>602</v>
      </c>
      <c r="E814" s="31"/>
      <c r="F814" s="31" t="s">
        <v>657</v>
      </c>
      <c r="G814" s="27">
        <v>371200</v>
      </c>
      <c r="H814" s="31" t="s">
        <v>636</v>
      </c>
      <c r="I814" s="31"/>
      <c r="J814" s="26" t="s">
        <v>634</v>
      </c>
      <c r="K814" s="27">
        <v>371200</v>
      </c>
      <c r="L814" s="31" t="s">
        <v>601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907</v>
      </c>
      <c r="D815" s="31" t="s">
        <v>598</v>
      </c>
      <c r="E815" s="31"/>
      <c r="F815" s="31" t="s">
        <v>657</v>
      </c>
      <c r="G815" s="27">
        <v>663684</v>
      </c>
      <c r="H815" s="31" t="s">
        <v>636</v>
      </c>
      <c r="I815" s="31"/>
      <c r="J815" s="26" t="s">
        <v>634</v>
      </c>
      <c r="K815" s="27">
        <v>663684</v>
      </c>
      <c r="L815" s="31" t="s">
        <v>601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598</v>
      </c>
      <c r="D816" s="31" t="s">
        <v>907</v>
      </c>
      <c r="E816" s="31"/>
      <c r="F816" s="31" t="s">
        <v>657</v>
      </c>
      <c r="G816" s="27">
        <v>663684</v>
      </c>
      <c r="H816" s="31" t="s">
        <v>633</v>
      </c>
      <c r="I816" s="31"/>
      <c r="J816" s="26" t="s">
        <v>634</v>
      </c>
      <c r="K816" s="27">
        <v>663684</v>
      </c>
      <c r="L816" s="31" t="s">
        <v>601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907</v>
      </c>
      <c r="D817" s="31" t="s">
        <v>19</v>
      </c>
      <c r="E817" s="31"/>
      <c r="F817" s="31" t="s">
        <v>745</v>
      </c>
      <c r="G817" s="27">
        <v>2309</v>
      </c>
      <c r="H817" s="31" t="s">
        <v>397</v>
      </c>
      <c r="I817" s="31"/>
      <c r="J817" s="26" t="s">
        <v>653</v>
      </c>
      <c r="K817" s="27">
        <v>2309</v>
      </c>
      <c r="L817" s="31" t="s">
        <v>601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611</v>
      </c>
      <c r="D818" s="31" t="s">
        <v>705</v>
      </c>
      <c r="E818" s="31"/>
      <c r="F818" s="31" t="s">
        <v>341</v>
      </c>
      <c r="G818" s="27">
        <v>48620</v>
      </c>
      <c r="H818" s="31" t="s">
        <v>54</v>
      </c>
      <c r="I818" s="31"/>
      <c r="J818" s="26" t="s">
        <v>600</v>
      </c>
      <c r="K818" s="27">
        <v>48620</v>
      </c>
      <c r="L818" s="31" t="s">
        <v>601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598</v>
      </c>
      <c r="D819" s="31" t="s">
        <v>452</v>
      </c>
      <c r="E819" s="31" t="s">
        <v>612</v>
      </c>
      <c r="F819" s="31" t="s">
        <v>927</v>
      </c>
      <c r="G819" s="27">
        <v>8000</v>
      </c>
      <c r="H819" s="31" t="s">
        <v>54</v>
      </c>
      <c r="I819" s="31" t="s">
        <v>928</v>
      </c>
      <c r="J819" s="26" t="s">
        <v>606</v>
      </c>
      <c r="K819" s="27">
        <v>8000</v>
      </c>
      <c r="L819" s="31" t="s">
        <v>601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598</v>
      </c>
      <c r="D820" s="31" t="s">
        <v>452</v>
      </c>
      <c r="E820" s="31" t="s">
        <v>603</v>
      </c>
      <c r="F820" s="31" t="s">
        <v>643</v>
      </c>
      <c r="G820" s="27">
        <v>2700</v>
      </c>
      <c r="H820" s="31" t="s">
        <v>54</v>
      </c>
      <c r="I820" s="31"/>
      <c r="J820" s="26" t="s">
        <v>606</v>
      </c>
      <c r="K820" s="27">
        <v>2700</v>
      </c>
      <c r="L820" s="31" t="s">
        <v>601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598</v>
      </c>
      <c r="D821" s="31" t="s">
        <v>453</v>
      </c>
      <c r="E821" s="31"/>
      <c r="F821" s="31" t="s">
        <v>453</v>
      </c>
      <c r="G821" s="27">
        <v>5000</v>
      </c>
      <c r="H821" s="31" t="s">
        <v>54</v>
      </c>
      <c r="I821" s="31"/>
      <c r="J821" s="26" t="s">
        <v>609</v>
      </c>
      <c r="K821" s="27">
        <v>5000</v>
      </c>
      <c r="L821" s="31" t="s">
        <v>601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598</v>
      </c>
      <c r="D822" s="31" t="s">
        <v>452</v>
      </c>
      <c r="E822" s="31" t="s">
        <v>612</v>
      </c>
      <c r="F822" s="31" t="s">
        <v>929</v>
      </c>
      <c r="G822" s="27">
        <v>12000</v>
      </c>
      <c r="H822" s="31" t="s">
        <v>54</v>
      </c>
      <c r="I822" s="31" t="s">
        <v>930</v>
      </c>
      <c r="J822" s="26" t="s">
        <v>606</v>
      </c>
      <c r="K822" s="27">
        <v>12000</v>
      </c>
      <c r="L822" s="31" t="s">
        <v>601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598</v>
      </c>
      <c r="D823" s="31" t="s">
        <v>452</v>
      </c>
      <c r="E823" s="31" t="s">
        <v>714</v>
      </c>
      <c r="F823" s="31" t="s">
        <v>820</v>
      </c>
      <c r="G823" s="27">
        <v>4300</v>
      </c>
      <c r="H823" s="31" t="s">
        <v>54</v>
      </c>
      <c r="I823" s="31"/>
      <c r="J823" s="26" t="s">
        <v>606</v>
      </c>
      <c r="K823" s="27">
        <v>4300</v>
      </c>
      <c r="L823" s="31" t="s">
        <v>601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598</v>
      </c>
      <c r="D824" s="31" t="s">
        <v>452</v>
      </c>
      <c r="E824" s="31" t="s">
        <v>714</v>
      </c>
      <c r="F824" s="31" t="s">
        <v>604</v>
      </c>
      <c r="G824" s="27">
        <v>2000</v>
      </c>
      <c r="H824" s="31" t="s">
        <v>54</v>
      </c>
      <c r="I824" s="31"/>
      <c r="J824" s="26" t="s">
        <v>606</v>
      </c>
      <c r="K824" s="27">
        <v>2000</v>
      </c>
      <c r="L824" s="31" t="s">
        <v>601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907</v>
      </c>
      <c r="D825" s="31" t="s">
        <v>611</v>
      </c>
      <c r="E825" s="31"/>
      <c r="F825" s="31" t="s">
        <v>657</v>
      </c>
      <c r="G825" s="27">
        <v>604883</v>
      </c>
      <c r="H825" s="31" t="s">
        <v>636</v>
      </c>
      <c r="I825" s="31"/>
      <c r="J825" s="26" t="s">
        <v>634</v>
      </c>
      <c r="K825" s="27">
        <v>604883</v>
      </c>
      <c r="L825" s="31" t="s">
        <v>601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611</v>
      </c>
      <c r="D826" s="31" t="s">
        <v>907</v>
      </c>
      <c r="E826" s="31"/>
      <c r="F826" s="31" t="s">
        <v>657</v>
      </c>
      <c r="G826" s="27">
        <v>604883</v>
      </c>
      <c r="H826" s="31" t="s">
        <v>633</v>
      </c>
      <c r="I826" s="31"/>
      <c r="J826" s="26" t="s">
        <v>634</v>
      </c>
      <c r="K826" s="27">
        <v>604883</v>
      </c>
      <c r="L826" s="31" t="s">
        <v>601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681</v>
      </c>
      <c r="D827" s="31" t="s">
        <v>907</v>
      </c>
      <c r="E827" s="31"/>
      <c r="F827" s="31" t="s">
        <v>657</v>
      </c>
      <c r="G827" s="27">
        <v>50330</v>
      </c>
      <c r="H827" s="31" t="s">
        <v>633</v>
      </c>
      <c r="I827" s="31"/>
      <c r="J827" s="26" t="s">
        <v>634</v>
      </c>
      <c r="K827" s="27">
        <v>50330</v>
      </c>
      <c r="L827" s="31" t="s">
        <v>601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907</v>
      </c>
      <c r="D828" s="31" t="s">
        <v>681</v>
      </c>
      <c r="E828" s="31"/>
      <c r="F828" s="31" t="s">
        <v>657</v>
      </c>
      <c r="G828" s="27">
        <v>50330</v>
      </c>
      <c r="H828" s="31" t="s">
        <v>636</v>
      </c>
      <c r="I828" s="31"/>
      <c r="J828" s="26" t="s">
        <v>634</v>
      </c>
      <c r="K828" s="27">
        <v>50330</v>
      </c>
      <c r="L828" s="31" t="s">
        <v>601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598</v>
      </c>
      <c r="D829" s="31" t="s">
        <v>705</v>
      </c>
      <c r="E829" s="31"/>
      <c r="F829" s="31" t="s">
        <v>717</v>
      </c>
      <c r="G829" s="27">
        <v>12400</v>
      </c>
      <c r="H829" s="31" t="s">
        <v>54</v>
      </c>
      <c r="I829" s="31"/>
      <c r="J829" s="26" t="s">
        <v>600</v>
      </c>
      <c r="K829" s="27">
        <v>12400</v>
      </c>
      <c r="L829" s="31" t="s">
        <v>601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598</v>
      </c>
      <c r="D830" s="31" t="s">
        <v>452</v>
      </c>
      <c r="E830" s="31" t="s">
        <v>603</v>
      </c>
      <c r="F830" s="31" t="s">
        <v>643</v>
      </c>
      <c r="G830" s="27">
        <v>800</v>
      </c>
      <c r="H830" s="31" t="s">
        <v>54</v>
      </c>
      <c r="I830" s="31"/>
      <c r="J830" s="26" t="s">
        <v>606</v>
      </c>
      <c r="K830" s="27">
        <v>800</v>
      </c>
      <c r="L830" s="31" t="s">
        <v>601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598</v>
      </c>
      <c r="D831" s="31" t="s">
        <v>453</v>
      </c>
      <c r="E831" s="31"/>
      <c r="F831" s="31" t="s">
        <v>453</v>
      </c>
      <c r="G831" s="27">
        <v>5000</v>
      </c>
      <c r="H831" s="31" t="s">
        <v>54</v>
      </c>
      <c r="I831" s="31"/>
      <c r="J831" s="26" t="s">
        <v>609</v>
      </c>
      <c r="K831" s="27">
        <v>5000</v>
      </c>
      <c r="L831" s="31" t="s">
        <v>601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598</v>
      </c>
      <c r="D832" s="31" t="s">
        <v>452</v>
      </c>
      <c r="E832" s="31" t="s">
        <v>714</v>
      </c>
      <c r="F832" s="31" t="s">
        <v>820</v>
      </c>
      <c r="G832" s="27">
        <v>4000</v>
      </c>
      <c r="H832" s="31" t="s">
        <v>54</v>
      </c>
      <c r="I832" s="31"/>
      <c r="J832" s="26" t="s">
        <v>606</v>
      </c>
      <c r="K832" s="27">
        <v>4000</v>
      </c>
      <c r="L832" s="31" t="s">
        <v>601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598</v>
      </c>
      <c r="D833" s="31" t="s">
        <v>705</v>
      </c>
      <c r="E833" s="31"/>
      <c r="F833" s="31" t="s">
        <v>123</v>
      </c>
      <c r="G833" s="27">
        <v>16500</v>
      </c>
      <c r="H833" s="31" t="s">
        <v>54</v>
      </c>
      <c r="I833" s="31"/>
      <c r="J833" s="26" t="s">
        <v>600</v>
      </c>
      <c r="K833" s="27">
        <v>16500</v>
      </c>
      <c r="L833" s="31" t="s">
        <v>601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598</v>
      </c>
      <c r="D834" s="31" t="s">
        <v>452</v>
      </c>
      <c r="E834" s="31" t="s">
        <v>603</v>
      </c>
      <c r="F834" s="31" t="s">
        <v>720</v>
      </c>
      <c r="G834" s="27">
        <v>4400</v>
      </c>
      <c r="H834" s="31" t="s">
        <v>54</v>
      </c>
      <c r="I834" s="31"/>
      <c r="J834" s="26" t="s">
        <v>606</v>
      </c>
      <c r="K834" s="27">
        <v>4400</v>
      </c>
      <c r="L834" s="31" t="s">
        <v>601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598</v>
      </c>
      <c r="D835" s="31" t="s">
        <v>741</v>
      </c>
      <c r="E835" s="31" t="s">
        <v>59</v>
      </c>
      <c r="F835" s="31" t="s">
        <v>916</v>
      </c>
      <c r="G835" s="27">
        <v>41300</v>
      </c>
      <c r="H835" s="31" t="s">
        <v>54</v>
      </c>
      <c r="I835" s="31" t="s">
        <v>931</v>
      </c>
      <c r="J835" s="26" t="s">
        <v>59</v>
      </c>
      <c r="K835" s="27">
        <v>41300</v>
      </c>
      <c r="L835" s="31" t="s">
        <v>601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598</v>
      </c>
      <c r="D836" s="31" t="s">
        <v>452</v>
      </c>
      <c r="E836" s="31" t="s">
        <v>612</v>
      </c>
      <c r="F836" s="31" t="s">
        <v>739</v>
      </c>
      <c r="G836" s="27">
        <v>11000</v>
      </c>
      <c r="H836" s="31" t="s">
        <v>54</v>
      </c>
      <c r="I836" s="31"/>
      <c r="J836" s="26" t="s">
        <v>606</v>
      </c>
      <c r="K836" s="27">
        <v>11000</v>
      </c>
      <c r="L836" s="31" t="s">
        <v>601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598</v>
      </c>
      <c r="D837" s="31" t="s">
        <v>452</v>
      </c>
      <c r="E837" s="31" t="s">
        <v>714</v>
      </c>
      <c r="F837" s="31" t="s">
        <v>604</v>
      </c>
      <c r="G837" s="27">
        <v>5600</v>
      </c>
      <c r="H837" s="31" t="s">
        <v>54</v>
      </c>
      <c r="I837" s="31"/>
      <c r="J837" s="26" t="s">
        <v>606</v>
      </c>
      <c r="K837" s="27">
        <v>5600</v>
      </c>
      <c r="L837" s="31" t="s">
        <v>601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598</v>
      </c>
      <c r="D838" s="31" t="s">
        <v>453</v>
      </c>
      <c r="E838" s="31"/>
      <c r="F838" s="31" t="s">
        <v>453</v>
      </c>
      <c r="G838" s="27">
        <v>5000</v>
      </c>
      <c r="H838" s="31" t="s">
        <v>54</v>
      </c>
      <c r="I838" s="31"/>
      <c r="J838" s="26" t="s">
        <v>609</v>
      </c>
      <c r="K838" s="27">
        <v>5000</v>
      </c>
      <c r="L838" s="31" t="s">
        <v>601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598</v>
      </c>
      <c r="D839" s="31" t="s">
        <v>452</v>
      </c>
      <c r="E839" s="31" t="s">
        <v>603</v>
      </c>
      <c r="F839" s="31" t="s">
        <v>769</v>
      </c>
      <c r="G839" s="27">
        <v>2960</v>
      </c>
      <c r="H839" s="31" t="s">
        <v>54</v>
      </c>
      <c r="I839" s="31"/>
      <c r="J839" s="26" t="s">
        <v>606</v>
      </c>
      <c r="K839" s="27">
        <v>2960</v>
      </c>
      <c r="L839" s="31" t="s">
        <v>601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598</v>
      </c>
      <c r="D840" s="31" t="s">
        <v>452</v>
      </c>
      <c r="E840" s="31" t="s">
        <v>612</v>
      </c>
      <c r="F840" s="31" t="s">
        <v>833</v>
      </c>
      <c r="G840" s="27">
        <v>8500</v>
      </c>
      <c r="H840" s="31" t="s">
        <v>54</v>
      </c>
      <c r="I840" s="31"/>
      <c r="J840" s="26" t="s">
        <v>606</v>
      </c>
      <c r="K840" s="27">
        <v>8500</v>
      </c>
      <c r="L840" s="31" t="s">
        <v>601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598</v>
      </c>
      <c r="D841" s="31" t="s">
        <v>452</v>
      </c>
      <c r="E841" s="31" t="s">
        <v>603</v>
      </c>
      <c r="F841" s="31" t="s">
        <v>713</v>
      </c>
      <c r="G841" s="27">
        <v>10300</v>
      </c>
      <c r="H841" s="31" t="s">
        <v>54</v>
      </c>
      <c r="I841" s="31"/>
      <c r="J841" s="26" t="s">
        <v>606</v>
      </c>
      <c r="K841" s="27">
        <v>10300</v>
      </c>
      <c r="L841" s="31" t="s">
        <v>601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598</v>
      </c>
      <c r="D842" s="31" t="s">
        <v>452</v>
      </c>
      <c r="E842" s="31" t="s">
        <v>603</v>
      </c>
      <c r="F842" s="31" t="s">
        <v>604</v>
      </c>
      <c r="G842" s="27">
        <v>2500</v>
      </c>
      <c r="H842" s="31" t="s">
        <v>54</v>
      </c>
      <c r="I842" s="31" t="s">
        <v>688</v>
      </c>
      <c r="J842" s="26" t="s">
        <v>606</v>
      </c>
      <c r="K842" s="27">
        <v>2500</v>
      </c>
      <c r="L842" s="31" t="s">
        <v>601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681</v>
      </c>
      <c r="D843" s="31" t="s">
        <v>452</v>
      </c>
      <c r="E843" s="31" t="s">
        <v>621</v>
      </c>
      <c r="F843" s="31" t="s">
        <v>682</v>
      </c>
      <c r="G843" s="27">
        <v>18400</v>
      </c>
      <c r="H843" s="31" t="s">
        <v>54</v>
      </c>
      <c r="I843" s="31" t="s">
        <v>828</v>
      </c>
      <c r="J843" s="26" t="s">
        <v>606</v>
      </c>
      <c r="K843" s="27">
        <v>18400</v>
      </c>
      <c r="L843" s="31" t="s">
        <v>601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681</v>
      </c>
      <c r="D844" s="31" t="s">
        <v>625</v>
      </c>
      <c r="E844" s="31"/>
      <c r="F844" s="31" t="s">
        <v>365</v>
      </c>
      <c r="G844" s="27">
        <v>22000</v>
      </c>
      <c r="H844" s="31" t="s">
        <v>54</v>
      </c>
      <c r="I844" s="31" t="s">
        <v>932</v>
      </c>
      <c r="J844" s="26" t="s">
        <v>606</v>
      </c>
      <c r="K844" s="27">
        <v>22000</v>
      </c>
      <c r="L844" s="31" t="s">
        <v>601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598</v>
      </c>
      <c r="D845" s="31" t="s">
        <v>453</v>
      </c>
      <c r="E845" s="31"/>
      <c r="F845" s="31" t="s">
        <v>453</v>
      </c>
      <c r="G845" s="27">
        <v>5000</v>
      </c>
      <c r="H845" s="31" t="s">
        <v>54</v>
      </c>
      <c r="I845" s="31"/>
      <c r="J845" s="26" t="s">
        <v>609</v>
      </c>
      <c r="K845" s="27">
        <v>5000</v>
      </c>
      <c r="L845" s="31" t="s">
        <v>601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598</v>
      </c>
      <c r="D846" s="31" t="s">
        <v>452</v>
      </c>
      <c r="E846" s="31" t="s">
        <v>603</v>
      </c>
      <c r="F846" s="31" t="s">
        <v>604</v>
      </c>
      <c r="G846" s="27">
        <v>3400</v>
      </c>
      <c r="H846" s="31" t="s">
        <v>54</v>
      </c>
      <c r="I846" s="31" t="s">
        <v>688</v>
      </c>
      <c r="J846" s="26" t="s">
        <v>606</v>
      </c>
      <c r="K846" s="27">
        <v>3400</v>
      </c>
      <c r="L846" s="31" t="s">
        <v>601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681</v>
      </c>
      <c r="D847" s="31" t="s">
        <v>452</v>
      </c>
      <c r="E847" s="31" t="s">
        <v>621</v>
      </c>
      <c r="F847" s="31" t="s">
        <v>682</v>
      </c>
      <c r="G847" s="27">
        <v>15000</v>
      </c>
      <c r="H847" s="31" t="s">
        <v>54</v>
      </c>
      <c r="I847" s="31" t="s">
        <v>933</v>
      </c>
      <c r="J847" s="26" t="s">
        <v>606</v>
      </c>
      <c r="K847" s="27">
        <v>15000</v>
      </c>
      <c r="L847" s="31" t="s">
        <v>601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598</v>
      </c>
      <c r="D848" s="31" t="s">
        <v>452</v>
      </c>
      <c r="E848" s="31" t="s">
        <v>603</v>
      </c>
      <c r="F848" s="31" t="s">
        <v>769</v>
      </c>
      <c r="G848" s="27">
        <v>7520</v>
      </c>
      <c r="H848" s="31" t="s">
        <v>54</v>
      </c>
      <c r="I848" s="31"/>
      <c r="J848" s="26" t="s">
        <v>606</v>
      </c>
      <c r="K848" s="27">
        <v>7520</v>
      </c>
      <c r="L848" s="31" t="s">
        <v>601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598</v>
      </c>
      <c r="D849" s="31" t="s">
        <v>625</v>
      </c>
      <c r="E849" s="31"/>
      <c r="F849" s="31" t="s">
        <v>934</v>
      </c>
      <c r="G849" s="27">
        <v>19000</v>
      </c>
      <c r="H849" s="31" t="s">
        <v>54</v>
      </c>
      <c r="I849" s="31" t="s">
        <v>935</v>
      </c>
      <c r="J849" s="26" t="s">
        <v>606</v>
      </c>
      <c r="K849" s="27">
        <v>19000</v>
      </c>
      <c r="L849" s="31" t="s">
        <v>601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598</v>
      </c>
      <c r="D850" s="31" t="s">
        <v>452</v>
      </c>
      <c r="E850" s="31" t="s">
        <v>603</v>
      </c>
      <c r="F850" s="31" t="s">
        <v>604</v>
      </c>
      <c r="G850" s="27">
        <v>1900</v>
      </c>
      <c r="H850" s="31" t="s">
        <v>54</v>
      </c>
      <c r="I850" s="31" t="s">
        <v>871</v>
      </c>
      <c r="J850" s="26" t="s">
        <v>606</v>
      </c>
      <c r="K850" s="27">
        <v>1900</v>
      </c>
      <c r="L850" s="31" t="s">
        <v>601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598</v>
      </c>
      <c r="D851" s="31" t="s">
        <v>453</v>
      </c>
      <c r="E851" s="31"/>
      <c r="F851" s="31" t="s">
        <v>453</v>
      </c>
      <c r="G851" s="27">
        <v>5000</v>
      </c>
      <c r="H851" s="31" t="s">
        <v>54</v>
      </c>
      <c r="I851" s="31"/>
      <c r="J851" s="26" t="s">
        <v>609</v>
      </c>
      <c r="K851" s="27">
        <v>5000</v>
      </c>
      <c r="L851" s="31" t="s">
        <v>601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598</v>
      </c>
      <c r="D852" s="31" t="s">
        <v>452</v>
      </c>
      <c r="E852" s="31" t="s">
        <v>603</v>
      </c>
      <c r="F852" s="31" t="s">
        <v>604</v>
      </c>
      <c r="G852" s="27">
        <v>2500</v>
      </c>
      <c r="H852" s="31" t="s">
        <v>54</v>
      </c>
      <c r="I852" s="31" t="s">
        <v>623</v>
      </c>
      <c r="J852" s="26" t="s">
        <v>606</v>
      </c>
      <c r="K852" s="27">
        <v>2500</v>
      </c>
      <c r="L852" s="31" t="s">
        <v>601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681</v>
      </c>
      <c r="D853" s="31" t="s">
        <v>452</v>
      </c>
      <c r="E853" s="31" t="s">
        <v>621</v>
      </c>
      <c r="F853" s="31" t="s">
        <v>682</v>
      </c>
      <c r="G853" s="27">
        <v>12000</v>
      </c>
      <c r="H853" s="31" t="s">
        <v>54</v>
      </c>
      <c r="I853" s="31" t="s">
        <v>936</v>
      </c>
      <c r="J853" s="26" t="s">
        <v>606</v>
      </c>
      <c r="K853" s="27">
        <v>12000</v>
      </c>
      <c r="L853" s="31" t="s">
        <v>601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681</v>
      </c>
      <c r="D854" s="31" t="s">
        <v>775</v>
      </c>
      <c r="E854" s="31"/>
      <c r="F854" s="31" t="s">
        <v>365</v>
      </c>
      <c r="G854" s="27">
        <v>32800</v>
      </c>
      <c r="H854" s="31" t="s">
        <v>54</v>
      </c>
      <c r="I854" s="31" t="s">
        <v>937</v>
      </c>
      <c r="J854" s="26" t="s">
        <v>606</v>
      </c>
      <c r="K854" s="27">
        <v>32800</v>
      </c>
      <c r="L854" s="31" t="s">
        <v>601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681</v>
      </c>
      <c r="D855" s="31" t="s">
        <v>625</v>
      </c>
      <c r="E855" s="31"/>
      <c r="F855" s="31" t="s">
        <v>365</v>
      </c>
      <c r="G855" s="27">
        <v>15480</v>
      </c>
      <c r="H855" s="31" t="s">
        <v>54</v>
      </c>
      <c r="I855" s="31" t="s">
        <v>938</v>
      </c>
      <c r="J855" s="26" t="s">
        <v>606</v>
      </c>
      <c r="K855" s="27">
        <v>15480</v>
      </c>
      <c r="L855" s="31" t="s">
        <v>601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598</v>
      </c>
      <c r="D856" s="31" t="s">
        <v>452</v>
      </c>
      <c r="E856" s="31" t="s">
        <v>603</v>
      </c>
      <c r="F856" s="31" t="s">
        <v>643</v>
      </c>
      <c r="G856" s="27">
        <v>2500</v>
      </c>
      <c r="H856" s="31" t="s">
        <v>54</v>
      </c>
      <c r="I856" s="31"/>
      <c r="J856" s="26" t="s">
        <v>606</v>
      </c>
      <c r="K856" s="27">
        <v>2500</v>
      </c>
      <c r="L856" s="31" t="s">
        <v>601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598</v>
      </c>
      <c r="D857" s="31" t="s">
        <v>453</v>
      </c>
      <c r="E857" s="31"/>
      <c r="F857" s="31" t="s">
        <v>453</v>
      </c>
      <c r="G857" s="27">
        <v>5000</v>
      </c>
      <c r="H857" s="31" t="s">
        <v>54</v>
      </c>
      <c r="I857" s="31"/>
      <c r="J857" s="26" t="s">
        <v>609</v>
      </c>
      <c r="K857" s="27">
        <v>5000</v>
      </c>
      <c r="L857" s="31" t="s">
        <v>601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598</v>
      </c>
      <c r="D858" s="31" t="s">
        <v>452</v>
      </c>
      <c r="E858" s="31" t="s">
        <v>612</v>
      </c>
      <c r="F858" s="31" t="s">
        <v>731</v>
      </c>
      <c r="G858" s="27">
        <v>12000</v>
      </c>
      <c r="H858" s="31" t="s">
        <v>54</v>
      </c>
      <c r="I858" s="31"/>
      <c r="J858" s="26" t="s">
        <v>606</v>
      </c>
      <c r="K858" s="27">
        <v>12000</v>
      </c>
      <c r="L858" s="31" t="s">
        <v>601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598</v>
      </c>
      <c r="D859" s="31" t="s">
        <v>452</v>
      </c>
      <c r="E859" s="31" t="s">
        <v>714</v>
      </c>
      <c r="F859" s="31" t="s">
        <v>604</v>
      </c>
      <c r="G859" s="27">
        <v>4400</v>
      </c>
      <c r="H859" s="31" t="s">
        <v>54</v>
      </c>
      <c r="I859" s="31" t="s">
        <v>939</v>
      </c>
      <c r="J859" s="26" t="s">
        <v>606</v>
      </c>
      <c r="K859" s="27">
        <v>4400</v>
      </c>
      <c r="L859" s="31" t="s">
        <v>601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598</v>
      </c>
      <c r="D860" s="31" t="s">
        <v>452</v>
      </c>
      <c r="E860" s="31" t="s">
        <v>714</v>
      </c>
      <c r="F860" s="31" t="s">
        <v>604</v>
      </c>
      <c r="G860" s="27">
        <v>8480</v>
      </c>
      <c r="H860" s="31" t="s">
        <v>54</v>
      </c>
      <c r="I860" s="31" t="s">
        <v>688</v>
      </c>
      <c r="J860" s="26" t="s">
        <v>606</v>
      </c>
      <c r="K860" s="27">
        <v>8480</v>
      </c>
      <c r="L860" s="31" t="s">
        <v>601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598</v>
      </c>
      <c r="D861" s="31" t="s">
        <v>453</v>
      </c>
      <c r="E861" s="31"/>
      <c r="F861" s="31" t="s">
        <v>453</v>
      </c>
      <c r="G861" s="27">
        <v>5000</v>
      </c>
      <c r="H861" s="31" t="s">
        <v>54</v>
      </c>
      <c r="I861" s="31"/>
      <c r="J861" s="26" t="s">
        <v>609</v>
      </c>
      <c r="K861" s="27">
        <v>5000</v>
      </c>
      <c r="L861" s="31" t="s">
        <v>601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598</v>
      </c>
      <c r="D862" s="31" t="s">
        <v>452</v>
      </c>
      <c r="E862" s="31" t="s">
        <v>603</v>
      </c>
      <c r="F862" s="31" t="s">
        <v>643</v>
      </c>
      <c r="G862" s="27">
        <v>1800</v>
      </c>
      <c r="H862" s="31" t="s">
        <v>54</v>
      </c>
      <c r="I862" s="31"/>
      <c r="J862" s="26" t="s">
        <v>606</v>
      </c>
      <c r="K862" s="27">
        <v>1800</v>
      </c>
      <c r="L862" s="31" t="s">
        <v>601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598</v>
      </c>
      <c r="D863" s="31" t="s">
        <v>452</v>
      </c>
      <c r="E863" s="31" t="s">
        <v>612</v>
      </c>
      <c r="F863" s="31" t="s">
        <v>886</v>
      </c>
      <c r="G863" s="27">
        <v>8900</v>
      </c>
      <c r="H863" s="31" t="s">
        <v>54</v>
      </c>
      <c r="I863" s="31"/>
      <c r="J863" s="26" t="s">
        <v>606</v>
      </c>
      <c r="K863" s="27">
        <v>8900</v>
      </c>
      <c r="L863" s="31" t="s">
        <v>601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598</v>
      </c>
      <c r="D864" s="31" t="s">
        <v>452</v>
      </c>
      <c r="E864" s="31" t="s">
        <v>714</v>
      </c>
      <c r="F864" s="31" t="s">
        <v>604</v>
      </c>
      <c r="G864" s="27">
        <v>5700</v>
      </c>
      <c r="H864" s="31" t="s">
        <v>54</v>
      </c>
      <c r="I864" s="31" t="s">
        <v>821</v>
      </c>
      <c r="J864" s="26" t="s">
        <v>606</v>
      </c>
      <c r="K864" s="27">
        <v>5700</v>
      </c>
      <c r="L864" s="31" t="s">
        <v>601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598</v>
      </c>
      <c r="D865" s="31" t="s">
        <v>453</v>
      </c>
      <c r="E865" s="31"/>
      <c r="F865" s="31" t="s">
        <v>453</v>
      </c>
      <c r="G865" s="27">
        <v>5000</v>
      </c>
      <c r="H865" s="31" t="s">
        <v>54</v>
      </c>
      <c r="I865" s="31"/>
      <c r="J865" s="26" t="s">
        <v>609</v>
      </c>
      <c r="K865" s="27">
        <v>5000</v>
      </c>
      <c r="L865" s="31" t="s">
        <v>601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598</v>
      </c>
      <c r="D866" s="31" t="s">
        <v>452</v>
      </c>
      <c r="E866" s="31" t="s">
        <v>603</v>
      </c>
      <c r="F866" s="31" t="s">
        <v>643</v>
      </c>
      <c r="G866" s="27">
        <v>1800</v>
      </c>
      <c r="H866" s="31" t="s">
        <v>54</v>
      </c>
      <c r="I866" s="31"/>
      <c r="J866" s="26" t="s">
        <v>606</v>
      </c>
      <c r="K866" s="27">
        <v>1800</v>
      </c>
      <c r="L866" s="31" t="s">
        <v>601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187</v>
      </c>
      <c r="D867" s="31" t="s">
        <v>19</v>
      </c>
      <c r="E867" s="31"/>
      <c r="F867" s="31" t="s">
        <v>763</v>
      </c>
      <c r="G867" s="27">
        <v>1</v>
      </c>
      <c r="H867" s="31" t="s">
        <v>397</v>
      </c>
      <c r="I867" s="31"/>
      <c r="J867" s="26" t="s">
        <v>653</v>
      </c>
      <c r="K867" s="27">
        <v>1</v>
      </c>
      <c r="L867" s="31" t="s">
        <v>601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598</v>
      </c>
      <c r="D868" s="31" t="s">
        <v>452</v>
      </c>
      <c r="E868" s="31" t="s">
        <v>612</v>
      </c>
      <c r="F868" s="31" t="s">
        <v>833</v>
      </c>
      <c r="G868" s="27">
        <v>7500</v>
      </c>
      <c r="H868" s="31" t="s">
        <v>54</v>
      </c>
      <c r="I868" s="31"/>
      <c r="J868" s="26" t="s">
        <v>606</v>
      </c>
      <c r="K868" s="27">
        <v>7500</v>
      </c>
      <c r="L868" s="31" t="s">
        <v>601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598</v>
      </c>
      <c r="D869" s="31" t="s">
        <v>452</v>
      </c>
      <c r="E869" s="31" t="s">
        <v>603</v>
      </c>
      <c r="F869" s="31" t="s">
        <v>604</v>
      </c>
      <c r="G869" s="27">
        <v>1400</v>
      </c>
      <c r="H869" s="31" t="s">
        <v>54</v>
      </c>
      <c r="I869" s="31" t="s">
        <v>924</v>
      </c>
      <c r="J869" s="26" t="s">
        <v>606</v>
      </c>
      <c r="K869" s="27">
        <v>1400</v>
      </c>
      <c r="L869" s="31" t="s">
        <v>601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598</v>
      </c>
      <c r="D870" s="31" t="s">
        <v>453</v>
      </c>
      <c r="E870" s="31"/>
      <c r="F870" s="31" t="s">
        <v>453</v>
      </c>
      <c r="G870" s="27">
        <v>5000</v>
      </c>
      <c r="H870" s="31" t="s">
        <v>54</v>
      </c>
      <c r="I870" s="31"/>
      <c r="J870" s="26" t="s">
        <v>609</v>
      </c>
      <c r="K870" s="27">
        <v>5000</v>
      </c>
      <c r="L870" s="31" t="s">
        <v>601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598</v>
      </c>
      <c r="D871" s="31" t="s">
        <v>452</v>
      </c>
      <c r="E871" s="31" t="s">
        <v>603</v>
      </c>
      <c r="F871" s="31" t="s">
        <v>643</v>
      </c>
      <c r="G871" s="27">
        <v>1800</v>
      </c>
      <c r="H871" s="31" t="s">
        <v>54</v>
      </c>
      <c r="I871" s="31"/>
      <c r="J871" s="26" t="s">
        <v>606</v>
      </c>
      <c r="K871" s="27">
        <v>1800</v>
      </c>
      <c r="L871" s="31" t="s">
        <v>601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598</v>
      </c>
      <c r="D872" s="31" t="s">
        <v>452</v>
      </c>
      <c r="E872" s="31" t="s">
        <v>612</v>
      </c>
      <c r="F872" s="31" t="s">
        <v>713</v>
      </c>
      <c r="G872" s="27">
        <v>9000</v>
      </c>
      <c r="H872" s="31" t="s">
        <v>54</v>
      </c>
      <c r="I872" s="31"/>
      <c r="J872" s="26" t="s">
        <v>606</v>
      </c>
      <c r="K872" s="27">
        <v>9000</v>
      </c>
      <c r="L872" s="31" t="s">
        <v>601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598</v>
      </c>
      <c r="D873" s="31" t="s">
        <v>362</v>
      </c>
      <c r="E873" s="31"/>
      <c r="F873" s="31" t="s">
        <v>746</v>
      </c>
      <c r="G873" s="27">
        <v>4129</v>
      </c>
      <c r="H873" s="31" t="s">
        <v>54</v>
      </c>
      <c r="I873" s="31" t="s">
        <v>747</v>
      </c>
      <c r="J873" s="26" t="s">
        <v>600</v>
      </c>
      <c r="K873" s="27">
        <v>4129</v>
      </c>
      <c r="L873" s="31" t="s">
        <v>601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598</v>
      </c>
      <c r="D874" s="31" t="s">
        <v>452</v>
      </c>
      <c r="E874" s="31" t="s">
        <v>603</v>
      </c>
      <c r="F874" s="31" t="s">
        <v>940</v>
      </c>
      <c r="G874" s="27">
        <v>41400</v>
      </c>
      <c r="H874" s="31" t="s">
        <v>54</v>
      </c>
      <c r="I874" s="31"/>
      <c r="J874" s="26" t="s">
        <v>606</v>
      </c>
      <c r="K874" s="27">
        <v>41400</v>
      </c>
      <c r="L874" s="31" t="s">
        <v>601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598</v>
      </c>
      <c r="D875" s="31" t="s">
        <v>452</v>
      </c>
      <c r="E875" s="31" t="s">
        <v>612</v>
      </c>
      <c r="F875" s="31" t="s">
        <v>643</v>
      </c>
      <c r="G875" s="27">
        <v>9000</v>
      </c>
      <c r="H875" s="31" t="s">
        <v>54</v>
      </c>
      <c r="I875" s="31"/>
      <c r="J875" s="26" t="s">
        <v>606</v>
      </c>
      <c r="K875" s="27">
        <v>9000</v>
      </c>
      <c r="L875" s="31" t="s">
        <v>601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835</v>
      </c>
      <c r="D876" s="31" t="s">
        <v>635</v>
      </c>
      <c r="E876" s="31"/>
      <c r="F876" s="31" t="s">
        <v>865</v>
      </c>
      <c r="G876" s="27">
        <v>66447</v>
      </c>
      <c r="H876" s="31" t="s">
        <v>54</v>
      </c>
      <c r="I876" s="31" t="s">
        <v>880</v>
      </c>
      <c r="J876" s="26" t="s">
        <v>635</v>
      </c>
      <c r="K876" s="27">
        <v>66447</v>
      </c>
      <c r="L876" s="31" t="s">
        <v>601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907</v>
      </c>
      <c r="D877" s="31" t="s">
        <v>19</v>
      </c>
      <c r="E877" s="31"/>
      <c r="F877" s="31" t="s">
        <v>57</v>
      </c>
      <c r="G877" s="27">
        <v>2716370</v>
      </c>
      <c r="H877" s="31" t="s">
        <v>397</v>
      </c>
      <c r="I877" s="31"/>
      <c r="J877" s="26" t="s">
        <v>57</v>
      </c>
      <c r="K877" s="27">
        <v>2716370</v>
      </c>
      <c r="L877" s="31" t="s">
        <v>601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834</v>
      </c>
      <c r="D878" s="31" t="s">
        <v>635</v>
      </c>
      <c r="E878" s="31"/>
      <c r="F878" s="31" t="s">
        <v>865</v>
      </c>
      <c r="G878" s="27">
        <v>58244</v>
      </c>
      <c r="H878" s="31" t="s">
        <v>54</v>
      </c>
      <c r="I878" s="31" t="s">
        <v>880</v>
      </c>
      <c r="J878" s="26" t="s">
        <v>635</v>
      </c>
      <c r="K878" s="27">
        <v>58244</v>
      </c>
      <c r="L878" s="31" t="s">
        <v>601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834</v>
      </c>
      <c r="D879" s="31" t="s">
        <v>907</v>
      </c>
      <c r="E879" s="31"/>
      <c r="F879" s="31" t="s">
        <v>72</v>
      </c>
      <c r="G879" s="27">
        <v>60000</v>
      </c>
      <c r="H879" s="31" t="s">
        <v>633</v>
      </c>
      <c r="I879" s="31"/>
      <c r="J879" s="26" t="s">
        <v>634</v>
      </c>
      <c r="K879" s="27">
        <v>60000</v>
      </c>
      <c r="L879" s="31" t="s">
        <v>601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907</v>
      </c>
      <c r="D880" s="31" t="s">
        <v>834</v>
      </c>
      <c r="E880" s="31"/>
      <c r="F880" s="31" t="s">
        <v>72</v>
      </c>
      <c r="G880" s="27">
        <v>60000</v>
      </c>
      <c r="H880" s="31" t="s">
        <v>636</v>
      </c>
      <c r="I880" s="31"/>
      <c r="J880" s="26" t="s">
        <v>662</v>
      </c>
      <c r="K880" s="27">
        <v>60000</v>
      </c>
      <c r="L880" s="31" t="s">
        <v>601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907</v>
      </c>
      <c r="D881" s="31" t="s">
        <v>835</v>
      </c>
      <c r="E881" s="31"/>
      <c r="F881" s="31" t="s">
        <v>72</v>
      </c>
      <c r="G881" s="27">
        <v>60000</v>
      </c>
      <c r="H881" s="31" t="s">
        <v>636</v>
      </c>
      <c r="I881" s="31"/>
      <c r="J881" s="26" t="s">
        <v>662</v>
      </c>
      <c r="K881" s="27">
        <v>60000</v>
      </c>
      <c r="L881" s="31" t="s">
        <v>601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835</v>
      </c>
      <c r="D882" s="31" t="s">
        <v>907</v>
      </c>
      <c r="E882" s="31"/>
      <c r="F882" s="31" t="s">
        <v>72</v>
      </c>
      <c r="G882" s="27">
        <v>60000</v>
      </c>
      <c r="H882" s="31" t="s">
        <v>633</v>
      </c>
      <c r="I882" s="31"/>
      <c r="J882" s="26" t="s">
        <v>634</v>
      </c>
      <c r="K882" s="27">
        <v>60000</v>
      </c>
      <c r="L882" s="31" t="s">
        <v>601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436</v>
      </c>
      <c r="D883" s="31" t="s">
        <v>650</v>
      </c>
      <c r="E883" s="31"/>
      <c r="F883" s="31" t="s">
        <v>687</v>
      </c>
      <c r="G883" s="27">
        <v>40000</v>
      </c>
      <c r="H883" s="31" t="s">
        <v>397</v>
      </c>
      <c r="I883" s="31"/>
      <c r="J883" s="26" t="s">
        <v>650</v>
      </c>
      <c r="K883" s="27">
        <v>40000</v>
      </c>
      <c r="L883" s="31" t="s">
        <v>601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436</v>
      </c>
      <c r="D884" s="31" t="s">
        <v>19</v>
      </c>
      <c r="E884" s="31"/>
      <c r="F884" s="31" t="s">
        <v>745</v>
      </c>
      <c r="G884" s="27">
        <v>667</v>
      </c>
      <c r="H884" s="31" t="s">
        <v>397</v>
      </c>
      <c r="I884" s="31"/>
      <c r="J884" s="26" t="s">
        <v>653</v>
      </c>
      <c r="K884" s="27">
        <v>667</v>
      </c>
      <c r="L884" s="31" t="s">
        <v>601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436</v>
      </c>
      <c r="D885" s="31" t="s">
        <v>907</v>
      </c>
      <c r="E885" s="31"/>
      <c r="F885" s="31" t="s">
        <v>687</v>
      </c>
      <c r="G885" s="27">
        <v>20000</v>
      </c>
      <c r="H885" s="31" t="s">
        <v>633</v>
      </c>
      <c r="I885" s="31"/>
      <c r="J885" s="26" t="s">
        <v>634</v>
      </c>
      <c r="K885" s="27">
        <v>20000</v>
      </c>
      <c r="L885" s="31" t="s">
        <v>601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907</v>
      </c>
      <c r="D886" s="31" t="s">
        <v>436</v>
      </c>
      <c r="E886" s="31"/>
      <c r="F886" s="31" t="s">
        <v>687</v>
      </c>
      <c r="G886" s="27">
        <v>20000</v>
      </c>
      <c r="H886" s="31" t="s">
        <v>636</v>
      </c>
      <c r="I886" s="31"/>
      <c r="J886" s="26" t="s">
        <v>668</v>
      </c>
      <c r="K886" s="27">
        <v>20000</v>
      </c>
      <c r="L886" s="31" t="s">
        <v>601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611</v>
      </c>
      <c r="D887" s="31" t="s">
        <v>672</v>
      </c>
      <c r="E887" s="31" t="s">
        <v>761</v>
      </c>
      <c r="F887" s="31" t="s">
        <v>762</v>
      </c>
      <c r="G887" s="27">
        <v>138056</v>
      </c>
      <c r="H887" s="31" t="s">
        <v>54</v>
      </c>
      <c r="I887" s="31"/>
      <c r="J887" s="26" t="s">
        <v>600</v>
      </c>
      <c r="K887" s="27">
        <v>138056</v>
      </c>
      <c r="L887" s="31" t="s">
        <v>601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751</v>
      </c>
      <c r="D888" s="31" t="s">
        <v>907</v>
      </c>
      <c r="E888" s="31"/>
      <c r="F888" s="31" t="s">
        <v>72</v>
      </c>
      <c r="G888" s="27">
        <v>150000</v>
      </c>
      <c r="H888" s="31" t="s">
        <v>633</v>
      </c>
      <c r="I888" s="31"/>
      <c r="J888" s="26" t="s">
        <v>634</v>
      </c>
      <c r="K888" s="27">
        <v>150000</v>
      </c>
      <c r="L888" s="31" t="s">
        <v>601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907</v>
      </c>
      <c r="D889" s="31" t="s">
        <v>751</v>
      </c>
      <c r="E889" s="31"/>
      <c r="F889" s="31" t="s">
        <v>72</v>
      </c>
      <c r="G889" s="27">
        <v>150000</v>
      </c>
      <c r="H889" s="31" t="s">
        <v>636</v>
      </c>
      <c r="I889" s="31"/>
      <c r="J889" s="26" t="s">
        <v>658</v>
      </c>
      <c r="K889" s="27">
        <v>150000</v>
      </c>
      <c r="L889" s="31" t="s">
        <v>601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907</v>
      </c>
      <c r="D890" s="31" t="s">
        <v>404</v>
      </c>
      <c r="E890" s="31"/>
      <c r="F890" s="31" t="s">
        <v>72</v>
      </c>
      <c r="G890" s="27">
        <v>20000</v>
      </c>
      <c r="H890" s="31" t="s">
        <v>636</v>
      </c>
      <c r="I890" s="31"/>
      <c r="J890" s="26" t="s">
        <v>659</v>
      </c>
      <c r="K890" s="27">
        <v>20000</v>
      </c>
      <c r="L890" s="31" t="s">
        <v>601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404</v>
      </c>
      <c r="D891" s="31" t="s">
        <v>907</v>
      </c>
      <c r="E891" s="31"/>
      <c r="F891" s="31" t="s">
        <v>72</v>
      </c>
      <c r="G891" s="27">
        <v>20000</v>
      </c>
      <c r="H891" s="31" t="s">
        <v>633</v>
      </c>
      <c r="I891" s="31"/>
      <c r="J891" s="26" t="s">
        <v>634</v>
      </c>
      <c r="K891" s="27">
        <v>20000</v>
      </c>
      <c r="L891" s="31" t="s">
        <v>601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907</v>
      </c>
      <c r="D892" s="31" t="s">
        <v>753</v>
      </c>
      <c r="E892" s="31"/>
      <c r="F892" s="31" t="s">
        <v>72</v>
      </c>
      <c r="G892" s="27">
        <v>200000</v>
      </c>
      <c r="H892" s="31" t="s">
        <v>636</v>
      </c>
      <c r="I892" s="31"/>
      <c r="J892" s="26" t="s">
        <v>671</v>
      </c>
      <c r="K892" s="27">
        <v>200000</v>
      </c>
      <c r="L892" s="31" t="s">
        <v>601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753</v>
      </c>
      <c r="D893" s="31" t="s">
        <v>907</v>
      </c>
      <c r="E893" s="31"/>
      <c r="F893" s="31" t="s">
        <v>72</v>
      </c>
      <c r="G893" s="27">
        <v>200000</v>
      </c>
      <c r="H893" s="31" t="s">
        <v>633</v>
      </c>
      <c r="I893" s="31"/>
      <c r="J893" s="26" t="s">
        <v>634</v>
      </c>
      <c r="K893" s="27">
        <v>200000</v>
      </c>
      <c r="L893" s="31" t="s">
        <v>601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907</v>
      </c>
      <c r="D894" s="31" t="s">
        <v>184</v>
      </c>
      <c r="E894" s="31"/>
      <c r="F894" s="31" t="s">
        <v>72</v>
      </c>
      <c r="G894" s="27">
        <v>15000</v>
      </c>
      <c r="H894" s="31" t="s">
        <v>636</v>
      </c>
      <c r="I894" s="31"/>
      <c r="J894" s="26" t="s">
        <v>634</v>
      </c>
      <c r="K894" s="27">
        <v>15000</v>
      </c>
      <c r="L894" s="31" t="s">
        <v>601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184</v>
      </c>
      <c r="D895" s="31" t="s">
        <v>907</v>
      </c>
      <c r="E895" s="31"/>
      <c r="F895" s="31" t="s">
        <v>72</v>
      </c>
      <c r="G895" s="27">
        <v>15000</v>
      </c>
      <c r="H895" s="31" t="s">
        <v>633</v>
      </c>
      <c r="I895" s="31"/>
      <c r="J895" s="26" t="s">
        <v>634</v>
      </c>
      <c r="K895" s="27">
        <v>15000</v>
      </c>
      <c r="L895" s="31" t="s">
        <v>601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611</v>
      </c>
      <c r="D896" s="31" t="s">
        <v>646</v>
      </c>
      <c r="E896" s="31"/>
      <c r="F896" s="31" t="s">
        <v>328</v>
      </c>
      <c r="G896" s="27">
        <v>143930</v>
      </c>
      <c r="H896" s="31" t="s">
        <v>54</v>
      </c>
      <c r="I896" s="31"/>
      <c r="J896" s="26" t="s">
        <v>600</v>
      </c>
      <c r="K896" s="27">
        <v>143930</v>
      </c>
      <c r="L896" s="31" t="s">
        <v>601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598</v>
      </c>
      <c r="D897" s="31" t="s">
        <v>453</v>
      </c>
      <c r="E897" s="31"/>
      <c r="F897" s="31" t="s">
        <v>453</v>
      </c>
      <c r="G897" s="27">
        <v>5000</v>
      </c>
      <c r="H897" s="31" t="s">
        <v>54</v>
      </c>
      <c r="I897" s="31"/>
      <c r="J897" s="26" t="s">
        <v>609</v>
      </c>
      <c r="K897" s="27">
        <v>5000</v>
      </c>
      <c r="L897" s="31" t="s">
        <v>601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598</v>
      </c>
      <c r="D898" s="31" t="s">
        <v>735</v>
      </c>
      <c r="E898" s="31"/>
      <c r="F898" s="31" t="s">
        <v>941</v>
      </c>
      <c r="G898" s="27">
        <v>7900</v>
      </c>
      <c r="H898" s="31" t="s">
        <v>54</v>
      </c>
      <c r="I898" s="31"/>
      <c r="J898" s="26" t="s">
        <v>606</v>
      </c>
      <c r="K898" s="27">
        <v>7900</v>
      </c>
      <c r="L898" s="31" t="s">
        <v>601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681</v>
      </c>
      <c r="D899" s="31" t="s">
        <v>452</v>
      </c>
      <c r="E899" s="31" t="s">
        <v>621</v>
      </c>
      <c r="F899" s="31" t="s">
        <v>682</v>
      </c>
      <c r="G899" s="27">
        <v>31600</v>
      </c>
      <c r="H899" s="31" t="s">
        <v>54</v>
      </c>
      <c r="I899" s="31" t="s">
        <v>942</v>
      </c>
      <c r="J899" s="26" t="s">
        <v>606</v>
      </c>
      <c r="K899" s="27">
        <v>31600</v>
      </c>
      <c r="L899" s="31" t="s">
        <v>601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645</v>
      </c>
      <c r="D900" s="31" t="s">
        <v>19</v>
      </c>
      <c r="E900" s="31"/>
      <c r="F900" s="31" t="s">
        <v>726</v>
      </c>
      <c r="G900" s="27">
        <v>38</v>
      </c>
      <c r="H900" s="31" t="s">
        <v>397</v>
      </c>
      <c r="I900" s="31" t="s">
        <v>943</v>
      </c>
      <c r="J900" s="26" t="s">
        <v>653</v>
      </c>
      <c r="K900" s="27">
        <v>38</v>
      </c>
      <c r="L900" s="31" t="s">
        <v>601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436</v>
      </c>
      <c r="D901" s="31" t="s">
        <v>19</v>
      </c>
      <c r="E901" s="31"/>
      <c r="F901" s="31" t="s">
        <v>846</v>
      </c>
      <c r="G901" s="27">
        <v>726</v>
      </c>
      <c r="H901" s="31" t="s">
        <v>397</v>
      </c>
      <c r="I901" s="31"/>
      <c r="J901" s="26" t="s">
        <v>653</v>
      </c>
      <c r="K901" s="27">
        <v>726</v>
      </c>
      <c r="L901" s="31" t="s">
        <v>601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681</v>
      </c>
      <c r="D902" s="31" t="s">
        <v>640</v>
      </c>
      <c r="E902" s="31"/>
      <c r="F902" s="31" t="s">
        <v>365</v>
      </c>
      <c r="G902" s="27">
        <v>19900</v>
      </c>
      <c r="H902" s="31" t="s">
        <v>54</v>
      </c>
      <c r="I902" s="31" t="s">
        <v>944</v>
      </c>
      <c r="J902" s="26" t="s">
        <v>606</v>
      </c>
      <c r="K902" s="27">
        <v>19900</v>
      </c>
      <c r="L902" s="31" t="s">
        <v>601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598</v>
      </c>
      <c r="D903" s="31" t="s">
        <v>452</v>
      </c>
      <c r="E903" s="31" t="s">
        <v>603</v>
      </c>
      <c r="F903" s="31" t="s">
        <v>945</v>
      </c>
      <c r="G903" s="27">
        <v>4300</v>
      </c>
      <c r="H903" s="31" t="s">
        <v>54</v>
      </c>
      <c r="I903" s="31"/>
      <c r="J903" s="26" t="s">
        <v>606</v>
      </c>
      <c r="K903" s="27">
        <v>4300</v>
      </c>
      <c r="L903" s="31" t="s">
        <v>601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546</v>
      </c>
      <c r="D904" s="31" t="s">
        <v>672</v>
      </c>
      <c r="E904" s="31" t="s">
        <v>673</v>
      </c>
      <c r="F904" s="31" t="s">
        <v>946</v>
      </c>
      <c r="G904" s="27">
        <v>2700</v>
      </c>
      <c r="H904" s="31" t="s">
        <v>54</v>
      </c>
      <c r="I904" s="31" t="s">
        <v>947</v>
      </c>
      <c r="J904" s="26" t="s">
        <v>606</v>
      </c>
      <c r="K904" s="27">
        <v>2700</v>
      </c>
      <c r="L904" s="31" t="s">
        <v>601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546</v>
      </c>
      <c r="D905" s="31" t="s">
        <v>453</v>
      </c>
      <c r="E905" s="31"/>
      <c r="F905" s="31" t="s">
        <v>453</v>
      </c>
      <c r="G905" s="27">
        <v>5000</v>
      </c>
      <c r="H905" s="31" t="s">
        <v>54</v>
      </c>
      <c r="I905" s="31"/>
      <c r="J905" s="26" t="s">
        <v>609</v>
      </c>
      <c r="K905" s="27">
        <v>5000</v>
      </c>
      <c r="L905" s="31" t="s">
        <v>601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598</v>
      </c>
      <c r="D906" s="31" t="s">
        <v>625</v>
      </c>
      <c r="E906" s="31"/>
      <c r="F906" s="31" t="s">
        <v>458</v>
      </c>
      <c r="G906" s="27">
        <v>660</v>
      </c>
      <c r="H906" s="31" t="s">
        <v>54</v>
      </c>
      <c r="I906" s="31" t="s">
        <v>948</v>
      </c>
      <c r="J906" s="26" t="s">
        <v>606</v>
      </c>
      <c r="K906" s="27">
        <v>660</v>
      </c>
      <c r="L906" s="31" t="s">
        <v>601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546</v>
      </c>
      <c r="D907" s="31" t="s">
        <v>741</v>
      </c>
      <c r="E907" s="31" t="s">
        <v>59</v>
      </c>
      <c r="F907" s="31" t="s">
        <v>949</v>
      </c>
      <c r="G907" s="27">
        <v>64000</v>
      </c>
      <c r="H907" s="31" t="s">
        <v>54</v>
      </c>
      <c r="I907" s="31" t="s">
        <v>950</v>
      </c>
      <c r="J907" s="26" t="s">
        <v>59</v>
      </c>
      <c r="K907" s="27">
        <v>64000</v>
      </c>
      <c r="L907" s="31" t="s">
        <v>601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546</v>
      </c>
      <c r="D908" s="31" t="s">
        <v>741</v>
      </c>
      <c r="E908" s="31" t="s">
        <v>59</v>
      </c>
      <c r="F908" s="31" t="s">
        <v>951</v>
      </c>
      <c r="G908" s="27">
        <v>31000</v>
      </c>
      <c r="H908" s="31" t="s">
        <v>54</v>
      </c>
      <c r="I908" s="31" t="s">
        <v>950</v>
      </c>
      <c r="J908" s="26" t="s">
        <v>59</v>
      </c>
      <c r="K908" s="27">
        <v>31000</v>
      </c>
      <c r="L908" s="31" t="s">
        <v>601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598</v>
      </c>
      <c r="D909" s="31" t="s">
        <v>741</v>
      </c>
      <c r="E909" s="31" t="s">
        <v>59</v>
      </c>
      <c r="F909" s="31" t="s">
        <v>952</v>
      </c>
      <c r="G909" s="27">
        <v>20000</v>
      </c>
      <c r="H909" s="31" t="s">
        <v>54</v>
      </c>
      <c r="I909" s="31" t="s">
        <v>953</v>
      </c>
      <c r="J909" s="26" t="s">
        <v>59</v>
      </c>
      <c r="K909" s="27">
        <v>20000</v>
      </c>
      <c r="L909" s="31" t="s">
        <v>601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598</v>
      </c>
      <c r="D910" s="31" t="s">
        <v>741</v>
      </c>
      <c r="E910" s="31" t="s">
        <v>59</v>
      </c>
      <c r="F910" s="31" t="s">
        <v>954</v>
      </c>
      <c r="G910" s="27">
        <v>13800</v>
      </c>
      <c r="H910" s="31" t="s">
        <v>54</v>
      </c>
      <c r="I910" s="31" t="s">
        <v>950</v>
      </c>
      <c r="J910" s="26" t="s">
        <v>59</v>
      </c>
      <c r="K910" s="27">
        <v>13800</v>
      </c>
      <c r="L910" s="31" t="s">
        <v>601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546</v>
      </c>
      <c r="D911" s="31" t="s">
        <v>741</v>
      </c>
      <c r="E911" s="31" t="s">
        <v>59</v>
      </c>
      <c r="F911" s="31" t="s">
        <v>955</v>
      </c>
      <c r="G911" s="27">
        <v>126000</v>
      </c>
      <c r="H911" s="31" t="s">
        <v>54</v>
      </c>
      <c r="I911" s="31" t="s">
        <v>950</v>
      </c>
      <c r="J911" s="26" t="s">
        <v>59</v>
      </c>
      <c r="K911" s="27">
        <v>126000</v>
      </c>
      <c r="L911" s="31" t="s">
        <v>601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546</v>
      </c>
      <c r="D912" s="31" t="s">
        <v>741</v>
      </c>
      <c r="E912" s="31" t="s">
        <v>59</v>
      </c>
      <c r="F912" s="31" t="s">
        <v>604</v>
      </c>
      <c r="G912" s="27">
        <v>43000</v>
      </c>
      <c r="H912" s="31" t="s">
        <v>54</v>
      </c>
      <c r="I912" s="31" t="s">
        <v>950</v>
      </c>
      <c r="J912" s="26" t="s">
        <v>59</v>
      </c>
      <c r="K912" s="27">
        <v>43000</v>
      </c>
      <c r="L912" s="31" t="s">
        <v>601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546</v>
      </c>
      <c r="D913" s="31" t="s">
        <v>741</v>
      </c>
      <c r="E913" s="31" t="s">
        <v>59</v>
      </c>
      <c r="F913" s="31" t="s">
        <v>956</v>
      </c>
      <c r="G913" s="27">
        <v>28500</v>
      </c>
      <c r="H913" s="31" t="s">
        <v>54</v>
      </c>
      <c r="I913" s="31" t="s">
        <v>957</v>
      </c>
      <c r="J913" s="26" t="s">
        <v>59</v>
      </c>
      <c r="K913" s="27">
        <v>28500</v>
      </c>
      <c r="L913" s="31" t="s">
        <v>601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546</v>
      </c>
      <c r="D914" s="31" t="s">
        <v>625</v>
      </c>
      <c r="E914" s="31"/>
      <c r="F914" s="31" t="s">
        <v>626</v>
      </c>
      <c r="G914" s="27">
        <v>10000</v>
      </c>
      <c r="H914" s="31" t="s">
        <v>54</v>
      </c>
      <c r="I914" s="31"/>
      <c r="J914" s="26" t="s">
        <v>606</v>
      </c>
      <c r="K914" s="27">
        <v>10000</v>
      </c>
      <c r="L914" s="31" t="s">
        <v>601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546</v>
      </c>
      <c r="D915" s="31" t="s">
        <v>625</v>
      </c>
      <c r="E915" s="31"/>
      <c r="F915" s="31" t="s">
        <v>958</v>
      </c>
      <c r="G915" s="27">
        <v>18140</v>
      </c>
      <c r="H915" s="31" t="s">
        <v>54</v>
      </c>
      <c r="I915" s="31" t="s">
        <v>959</v>
      </c>
      <c r="J915" s="26" t="s">
        <v>606</v>
      </c>
      <c r="K915" s="27">
        <v>18140</v>
      </c>
      <c r="L915" s="31" t="s">
        <v>601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681</v>
      </c>
      <c r="D916" s="31" t="s">
        <v>452</v>
      </c>
      <c r="E916" s="31" t="s">
        <v>621</v>
      </c>
      <c r="F916" s="31" t="s">
        <v>682</v>
      </c>
      <c r="G916" s="27">
        <v>10500</v>
      </c>
      <c r="H916" s="31" t="s">
        <v>54</v>
      </c>
      <c r="I916" s="31" t="s">
        <v>824</v>
      </c>
      <c r="J916" s="26" t="s">
        <v>606</v>
      </c>
      <c r="K916" s="27">
        <v>10500</v>
      </c>
      <c r="L916" s="31" t="s">
        <v>601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546</v>
      </c>
      <c r="D917" s="31" t="s">
        <v>672</v>
      </c>
      <c r="E917" s="31" t="s">
        <v>673</v>
      </c>
      <c r="F917" s="31" t="s">
        <v>960</v>
      </c>
      <c r="G917" s="27">
        <v>6000</v>
      </c>
      <c r="H917" s="31" t="s">
        <v>54</v>
      </c>
      <c r="I917" s="31"/>
      <c r="J917" s="26" t="s">
        <v>606</v>
      </c>
      <c r="K917" s="27">
        <v>6000</v>
      </c>
      <c r="L917" s="31" t="s">
        <v>601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546</v>
      </c>
      <c r="D918" s="31" t="s">
        <v>452</v>
      </c>
      <c r="E918" s="31" t="s">
        <v>603</v>
      </c>
      <c r="F918" s="31" t="s">
        <v>604</v>
      </c>
      <c r="G918" s="27">
        <v>1900</v>
      </c>
      <c r="H918" s="31" t="s">
        <v>54</v>
      </c>
      <c r="I918" s="31" t="s">
        <v>871</v>
      </c>
      <c r="J918" s="26" t="s">
        <v>606</v>
      </c>
      <c r="K918" s="27">
        <v>1900</v>
      </c>
      <c r="L918" s="31" t="s">
        <v>601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598</v>
      </c>
      <c r="D919" s="31" t="s">
        <v>741</v>
      </c>
      <c r="E919" s="31" t="s">
        <v>59</v>
      </c>
      <c r="F919" s="31" t="s">
        <v>961</v>
      </c>
      <c r="G919" s="27">
        <v>55000</v>
      </c>
      <c r="H919" s="31" t="s">
        <v>54</v>
      </c>
      <c r="I919" s="31" t="s">
        <v>950</v>
      </c>
      <c r="J919" s="26" t="s">
        <v>59</v>
      </c>
      <c r="K919" s="27">
        <v>55000</v>
      </c>
      <c r="L919" s="31" t="s">
        <v>601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598</v>
      </c>
      <c r="D920" s="31" t="s">
        <v>362</v>
      </c>
      <c r="E920" s="31"/>
      <c r="F920" s="31" t="s">
        <v>755</v>
      </c>
      <c r="G920" s="27">
        <v>4890</v>
      </c>
      <c r="H920" s="31" t="s">
        <v>54</v>
      </c>
      <c r="I920" s="31"/>
      <c r="J920" s="26" t="s">
        <v>600</v>
      </c>
      <c r="K920" s="27">
        <v>4890</v>
      </c>
      <c r="L920" s="31" t="s">
        <v>601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546</v>
      </c>
      <c r="D921" s="31" t="s">
        <v>741</v>
      </c>
      <c r="E921" s="31" t="s">
        <v>59</v>
      </c>
      <c r="F921" s="31" t="s">
        <v>818</v>
      </c>
      <c r="G921" s="27">
        <v>17150</v>
      </c>
      <c r="H921" s="31" t="s">
        <v>54</v>
      </c>
      <c r="I921" s="31" t="s">
        <v>950</v>
      </c>
      <c r="J921" s="26" t="s">
        <v>59</v>
      </c>
      <c r="K921" s="27">
        <v>17150</v>
      </c>
      <c r="L921" s="31" t="s">
        <v>601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753</v>
      </c>
      <c r="D922" s="31" t="s">
        <v>19</v>
      </c>
      <c r="E922" s="31"/>
      <c r="F922" s="31" t="s">
        <v>779</v>
      </c>
      <c r="G922" s="27">
        <v>10399</v>
      </c>
      <c r="H922" s="31" t="s">
        <v>54</v>
      </c>
      <c r="I922" s="31"/>
      <c r="J922" s="26" t="s">
        <v>600</v>
      </c>
      <c r="K922" s="27">
        <v>10399</v>
      </c>
      <c r="L922" s="31" t="s">
        <v>601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546</v>
      </c>
      <c r="D923" s="31" t="s">
        <v>452</v>
      </c>
      <c r="E923" s="31" t="s">
        <v>603</v>
      </c>
      <c r="F923" s="31" t="s">
        <v>769</v>
      </c>
      <c r="G923" s="27">
        <v>3700</v>
      </c>
      <c r="H923" s="31" t="s">
        <v>54</v>
      </c>
      <c r="I923" s="31"/>
      <c r="J923" s="26" t="s">
        <v>606</v>
      </c>
      <c r="K923" s="27">
        <v>3700</v>
      </c>
      <c r="L923" s="31" t="s">
        <v>601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546</v>
      </c>
      <c r="D924" s="31" t="s">
        <v>453</v>
      </c>
      <c r="E924" s="31"/>
      <c r="F924" s="31" t="s">
        <v>453</v>
      </c>
      <c r="G924" s="27">
        <v>5100</v>
      </c>
      <c r="H924" s="31" t="s">
        <v>54</v>
      </c>
      <c r="I924" s="31"/>
      <c r="J924" s="26" t="s">
        <v>609</v>
      </c>
      <c r="K924" s="27">
        <v>5100</v>
      </c>
      <c r="L924" s="31" t="s">
        <v>601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184</v>
      </c>
      <c r="D925" s="31" t="s">
        <v>19</v>
      </c>
      <c r="E925" s="31"/>
      <c r="F925" s="31" t="s">
        <v>756</v>
      </c>
      <c r="G925" s="27">
        <v>15407</v>
      </c>
      <c r="H925" s="31" t="s">
        <v>54</v>
      </c>
      <c r="I925" s="31"/>
      <c r="J925" s="26" t="s">
        <v>600</v>
      </c>
      <c r="K925" s="27">
        <v>15407</v>
      </c>
      <c r="L925" s="31" t="s">
        <v>601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907</v>
      </c>
      <c r="D926" s="31" t="s">
        <v>741</v>
      </c>
      <c r="E926" s="31" t="s">
        <v>59</v>
      </c>
      <c r="F926" s="31" t="s">
        <v>962</v>
      </c>
      <c r="G926" s="27">
        <v>-558000</v>
      </c>
      <c r="H926" s="31" t="s">
        <v>54</v>
      </c>
      <c r="I926" s="31"/>
      <c r="J926" s="26" t="s">
        <v>59</v>
      </c>
      <c r="K926" s="27">
        <v>-558000</v>
      </c>
      <c r="L926" s="31" t="s">
        <v>601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546</v>
      </c>
      <c r="D927" s="31" t="s">
        <v>452</v>
      </c>
      <c r="E927" s="31" t="s">
        <v>714</v>
      </c>
      <c r="F927" s="31" t="s">
        <v>604</v>
      </c>
      <c r="G927" s="27">
        <v>4100</v>
      </c>
      <c r="H927" s="31" t="s">
        <v>54</v>
      </c>
      <c r="I927" s="31"/>
      <c r="J927" s="26" t="s">
        <v>606</v>
      </c>
      <c r="K927" s="27">
        <v>4100</v>
      </c>
      <c r="L927" s="31" t="s">
        <v>601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546</v>
      </c>
      <c r="D928" s="31" t="s">
        <v>452</v>
      </c>
      <c r="E928" s="31" t="s">
        <v>714</v>
      </c>
      <c r="F928" s="31" t="s">
        <v>604</v>
      </c>
      <c r="G928" s="27">
        <v>4400</v>
      </c>
      <c r="H928" s="31" t="s">
        <v>54</v>
      </c>
      <c r="I928" s="31"/>
      <c r="J928" s="26" t="s">
        <v>606</v>
      </c>
      <c r="K928" s="27">
        <v>4400</v>
      </c>
      <c r="L928" s="31" t="s">
        <v>601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546</v>
      </c>
      <c r="D929" s="31" t="s">
        <v>453</v>
      </c>
      <c r="E929" s="31"/>
      <c r="F929" s="31" t="s">
        <v>453</v>
      </c>
      <c r="G929" s="27">
        <v>5000</v>
      </c>
      <c r="H929" s="31" t="s">
        <v>54</v>
      </c>
      <c r="I929" s="31"/>
      <c r="J929" s="26" t="s">
        <v>609</v>
      </c>
      <c r="K929" s="27">
        <v>5000</v>
      </c>
      <c r="L929" s="31" t="s">
        <v>601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546</v>
      </c>
      <c r="D930" s="31" t="s">
        <v>452</v>
      </c>
      <c r="E930" s="31" t="s">
        <v>603</v>
      </c>
      <c r="F930" s="31" t="s">
        <v>643</v>
      </c>
      <c r="G930" s="27">
        <v>1700</v>
      </c>
      <c r="H930" s="31" t="s">
        <v>54</v>
      </c>
      <c r="I930" s="31"/>
      <c r="J930" s="26" t="s">
        <v>606</v>
      </c>
      <c r="K930" s="27">
        <v>1700</v>
      </c>
      <c r="L930" s="31" t="s">
        <v>601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546</v>
      </c>
      <c r="D931" s="31" t="s">
        <v>452</v>
      </c>
      <c r="E931" s="31" t="s">
        <v>612</v>
      </c>
      <c r="F931" s="31" t="s">
        <v>740</v>
      </c>
      <c r="G931" s="27">
        <v>9000</v>
      </c>
      <c r="H931" s="31" t="s">
        <v>54</v>
      </c>
      <c r="I931" s="31"/>
      <c r="J931" s="26" t="s">
        <v>606</v>
      </c>
      <c r="K931" s="27">
        <v>9000</v>
      </c>
      <c r="L931" s="31" t="s">
        <v>601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598</v>
      </c>
      <c r="D932" s="31" t="s">
        <v>362</v>
      </c>
      <c r="E932" s="31"/>
      <c r="F932" s="31" t="s">
        <v>363</v>
      </c>
      <c r="G932" s="27">
        <v>7890</v>
      </c>
      <c r="H932" s="31" t="s">
        <v>54</v>
      </c>
      <c r="I932" s="31"/>
      <c r="J932" s="26" t="s">
        <v>600</v>
      </c>
      <c r="K932" s="27">
        <v>7890</v>
      </c>
      <c r="L932" s="31" t="s">
        <v>601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546</v>
      </c>
      <c r="D933" s="31" t="s">
        <v>452</v>
      </c>
      <c r="E933" s="31" t="s">
        <v>603</v>
      </c>
      <c r="F933" s="31" t="s">
        <v>713</v>
      </c>
      <c r="G933" s="27">
        <v>5200</v>
      </c>
      <c r="H933" s="31" t="s">
        <v>54</v>
      </c>
      <c r="I933" s="31"/>
      <c r="J933" s="26" t="s">
        <v>606</v>
      </c>
      <c r="K933" s="27">
        <v>5200</v>
      </c>
      <c r="L933" s="31" t="s">
        <v>601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546</v>
      </c>
      <c r="D934" s="31" t="s">
        <v>453</v>
      </c>
      <c r="E934" s="31"/>
      <c r="F934" s="31" t="s">
        <v>453</v>
      </c>
      <c r="G934" s="27">
        <v>5000</v>
      </c>
      <c r="H934" s="31" t="s">
        <v>54</v>
      </c>
      <c r="I934" s="31"/>
      <c r="J934" s="26" t="s">
        <v>609</v>
      </c>
      <c r="K934" s="27">
        <v>5000</v>
      </c>
      <c r="L934" s="31" t="s">
        <v>601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546</v>
      </c>
      <c r="D935" s="31" t="s">
        <v>452</v>
      </c>
      <c r="E935" s="31" t="s">
        <v>612</v>
      </c>
      <c r="F935" s="31" t="s">
        <v>731</v>
      </c>
      <c r="G935" s="27">
        <v>11000</v>
      </c>
      <c r="H935" s="31" t="s">
        <v>54</v>
      </c>
      <c r="I935" s="31"/>
      <c r="J935" s="26" t="s">
        <v>606</v>
      </c>
      <c r="K935" s="27">
        <v>11000</v>
      </c>
      <c r="L935" s="31" t="s">
        <v>601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546</v>
      </c>
      <c r="D936" s="31" t="s">
        <v>452</v>
      </c>
      <c r="E936" s="31" t="s">
        <v>714</v>
      </c>
      <c r="F936" s="31" t="s">
        <v>820</v>
      </c>
      <c r="G936" s="27">
        <v>5400</v>
      </c>
      <c r="H936" s="31" t="s">
        <v>54</v>
      </c>
      <c r="I936" s="31"/>
      <c r="J936" s="26" t="s">
        <v>606</v>
      </c>
      <c r="K936" s="27">
        <v>5400</v>
      </c>
      <c r="L936" s="31" t="s">
        <v>601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907</v>
      </c>
      <c r="D937" s="31" t="s">
        <v>166</v>
      </c>
      <c r="E937" s="31"/>
      <c r="F937" s="31" t="s">
        <v>72</v>
      </c>
      <c r="G937" s="27">
        <v>16000</v>
      </c>
      <c r="H937" s="31" t="s">
        <v>636</v>
      </c>
      <c r="I937" s="31"/>
      <c r="J937" s="26" t="s">
        <v>634</v>
      </c>
      <c r="K937" s="27">
        <v>16000</v>
      </c>
      <c r="L937" s="31" t="s">
        <v>601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166</v>
      </c>
      <c r="D938" s="31" t="s">
        <v>907</v>
      </c>
      <c r="E938" s="31"/>
      <c r="F938" s="31" t="s">
        <v>72</v>
      </c>
      <c r="G938" s="27">
        <v>16000</v>
      </c>
      <c r="H938" s="31" t="s">
        <v>633</v>
      </c>
      <c r="I938" s="31"/>
      <c r="J938" s="26" t="s">
        <v>634</v>
      </c>
      <c r="K938" s="27">
        <v>16000</v>
      </c>
      <c r="L938" s="31" t="s">
        <v>601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166</v>
      </c>
      <c r="D939" s="31" t="s">
        <v>19</v>
      </c>
      <c r="E939" s="31"/>
      <c r="F939" s="31" t="s">
        <v>767</v>
      </c>
      <c r="G939" s="27">
        <v>16528</v>
      </c>
      <c r="H939" s="31" t="s">
        <v>54</v>
      </c>
      <c r="I939" s="31"/>
      <c r="J939" s="26" t="s">
        <v>600</v>
      </c>
      <c r="K939" s="27">
        <v>16528</v>
      </c>
      <c r="L939" s="31" t="s">
        <v>601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907</v>
      </c>
      <c r="D940" s="31" t="s">
        <v>452</v>
      </c>
      <c r="E940" s="31" t="s">
        <v>612</v>
      </c>
      <c r="F940" s="31" t="s">
        <v>682</v>
      </c>
      <c r="G940" s="27">
        <v>9500</v>
      </c>
      <c r="H940" s="31" t="s">
        <v>54</v>
      </c>
      <c r="I940" s="31" t="s">
        <v>963</v>
      </c>
      <c r="J940" s="26" t="s">
        <v>606</v>
      </c>
      <c r="K940" s="27">
        <v>9500</v>
      </c>
      <c r="L940" s="31" t="s">
        <v>601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546</v>
      </c>
      <c r="D941" s="31" t="s">
        <v>452</v>
      </c>
      <c r="E941" s="31" t="s">
        <v>603</v>
      </c>
      <c r="F941" s="31" t="s">
        <v>803</v>
      </c>
      <c r="G941" s="27">
        <v>15200</v>
      </c>
      <c r="H941" s="31" t="s">
        <v>54</v>
      </c>
      <c r="I941" s="31"/>
      <c r="J941" s="26" t="s">
        <v>606</v>
      </c>
      <c r="K941" s="27">
        <v>15200</v>
      </c>
      <c r="L941" s="31" t="s">
        <v>601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598</v>
      </c>
      <c r="D942" s="31" t="s">
        <v>453</v>
      </c>
      <c r="E942" s="31"/>
      <c r="F942" s="31" t="s">
        <v>453</v>
      </c>
      <c r="G942" s="27">
        <v>5000</v>
      </c>
      <c r="H942" s="31" t="s">
        <v>54</v>
      </c>
      <c r="I942" s="31"/>
      <c r="J942" s="26" t="s">
        <v>609</v>
      </c>
      <c r="K942" s="27">
        <v>5000</v>
      </c>
      <c r="L942" s="31" t="s">
        <v>601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907</v>
      </c>
      <c r="D943" s="31" t="s">
        <v>19</v>
      </c>
      <c r="E943" s="31"/>
      <c r="F943" s="31" t="s">
        <v>964</v>
      </c>
      <c r="G943" s="27">
        <v>3601</v>
      </c>
      <c r="H943" s="31" t="s">
        <v>397</v>
      </c>
      <c r="I943" s="31"/>
      <c r="J943" s="26" t="s">
        <v>653</v>
      </c>
      <c r="K943" s="27">
        <v>3601</v>
      </c>
      <c r="L943" s="31" t="s">
        <v>601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598</v>
      </c>
      <c r="D944" s="31" t="s">
        <v>19</v>
      </c>
      <c r="E944" s="31"/>
      <c r="F944" s="31" t="s">
        <v>770</v>
      </c>
      <c r="G944" s="27">
        <v>-21000</v>
      </c>
      <c r="H944" s="31" t="s">
        <v>54</v>
      </c>
      <c r="I944" s="31"/>
      <c r="J944" s="26" t="s">
        <v>678</v>
      </c>
      <c r="K944" s="27">
        <v>-21000</v>
      </c>
      <c r="L944" s="31" t="s">
        <v>601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716</v>
      </c>
      <c r="D945" s="31" t="s">
        <v>771</v>
      </c>
      <c r="E945" s="31"/>
      <c r="F945" s="31" t="s">
        <v>772</v>
      </c>
      <c r="G945" s="27">
        <v>55000</v>
      </c>
      <c r="H945" s="31" t="s">
        <v>54</v>
      </c>
      <c r="I945" s="31" t="s">
        <v>965</v>
      </c>
      <c r="J945" s="26" t="s">
        <v>600</v>
      </c>
      <c r="K945" s="27">
        <v>55000</v>
      </c>
      <c r="L945" s="31" t="s">
        <v>601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656</v>
      </c>
      <c r="D946" s="31" t="s">
        <v>771</v>
      </c>
      <c r="E946" s="31"/>
      <c r="F946" s="31" t="s">
        <v>772</v>
      </c>
      <c r="G946" s="27">
        <v>34170</v>
      </c>
      <c r="H946" s="31" t="s">
        <v>54</v>
      </c>
      <c r="I946" s="31" t="s">
        <v>966</v>
      </c>
      <c r="J946" s="26" t="s">
        <v>600</v>
      </c>
      <c r="K946" s="27">
        <v>34170</v>
      </c>
      <c r="L946" s="31" t="s">
        <v>601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598</v>
      </c>
      <c r="D947" s="31" t="s">
        <v>362</v>
      </c>
      <c r="E947" s="31"/>
      <c r="F947" s="31" t="s">
        <v>599</v>
      </c>
      <c r="G947" s="27">
        <v>1419</v>
      </c>
      <c r="H947" s="31" t="s">
        <v>54</v>
      </c>
      <c r="I947" s="31"/>
      <c r="J947" s="26" t="s">
        <v>600</v>
      </c>
      <c r="K947" s="27">
        <v>1419</v>
      </c>
      <c r="L947" s="31" t="s">
        <v>601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611</v>
      </c>
      <c r="D948" s="31" t="s">
        <v>452</v>
      </c>
      <c r="E948" s="31" t="s">
        <v>603</v>
      </c>
      <c r="F948" s="31" t="s">
        <v>604</v>
      </c>
      <c r="G948" s="27">
        <v>4500</v>
      </c>
      <c r="H948" s="31" t="s">
        <v>54</v>
      </c>
      <c r="I948" s="31" t="s">
        <v>967</v>
      </c>
      <c r="J948" s="26" t="s">
        <v>606</v>
      </c>
      <c r="K948" s="27">
        <v>4500</v>
      </c>
      <c r="L948" s="31" t="s">
        <v>601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187</v>
      </c>
      <c r="D949" s="31" t="s">
        <v>19</v>
      </c>
      <c r="E949" s="31"/>
      <c r="F949" s="31" t="s">
        <v>763</v>
      </c>
      <c r="G949" s="27">
        <v>1</v>
      </c>
      <c r="H949" s="31" t="s">
        <v>397</v>
      </c>
      <c r="I949" s="31"/>
      <c r="J949" s="26" t="s">
        <v>653</v>
      </c>
      <c r="K949" s="27">
        <v>1</v>
      </c>
      <c r="L949" s="31" t="s">
        <v>601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611</v>
      </c>
      <c r="D950" s="31" t="s">
        <v>625</v>
      </c>
      <c r="E950" s="31"/>
      <c r="F950" s="31" t="s">
        <v>626</v>
      </c>
      <c r="G950" s="27">
        <v>15200</v>
      </c>
      <c r="H950" s="31" t="s">
        <v>54</v>
      </c>
      <c r="I950" s="31"/>
      <c r="J950" s="26" t="s">
        <v>606</v>
      </c>
      <c r="K950" s="27">
        <v>15200</v>
      </c>
      <c r="L950" s="31" t="s">
        <v>601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546</v>
      </c>
      <c r="D951" s="31" t="s">
        <v>452</v>
      </c>
      <c r="E951" s="31" t="s">
        <v>714</v>
      </c>
      <c r="F951" s="31" t="s">
        <v>604</v>
      </c>
      <c r="G951" s="27">
        <v>7850</v>
      </c>
      <c r="H951" s="31" t="s">
        <v>54</v>
      </c>
      <c r="I951" s="31" t="s">
        <v>968</v>
      </c>
      <c r="J951" s="26" t="s">
        <v>606</v>
      </c>
      <c r="K951" s="27">
        <v>7850</v>
      </c>
      <c r="L951" s="31" t="s">
        <v>601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546</v>
      </c>
      <c r="D952" s="31" t="s">
        <v>453</v>
      </c>
      <c r="E952" s="31"/>
      <c r="F952" s="31" t="s">
        <v>453</v>
      </c>
      <c r="G952" s="27">
        <v>5000</v>
      </c>
      <c r="H952" s="31" t="s">
        <v>54</v>
      </c>
      <c r="I952" s="31" t="s">
        <v>969</v>
      </c>
      <c r="J952" s="26" t="s">
        <v>609</v>
      </c>
      <c r="K952" s="27">
        <v>5000</v>
      </c>
      <c r="L952" s="31" t="s">
        <v>601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598</v>
      </c>
      <c r="D953" s="31" t="s">
        <v>362</v>
      </c>
      <c r="E953" s="31"/>
      <c r="F953" s="31" t="s">
        <v>608</v>
      </c>
      <c r="G953" s="27">
        <v>9000</v>
      </c>
      <c r="H953" s="31" t="s">
        <v>54</v>
      </c>
      <c r="I953" s="31"/>
      <c r="J953" s="26" t="s">
        <v>600</v>
      </c>
      <c r="K953" s="27">
        <v>9000</v>
      </c>
      <c r="L953" s="31" t="s">
        <v>601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611</v>
      </c>
      <c r="D954" s="31" t="s">
        <v>452</v>
      </c>
      <c r="E954" s="31" t="s">
        <v>603</v>
      </c>
      <c r="F954" s="31" t="s">
        <v>713</v>
      </c>
      <c r="G954" s="27">
        <v>5900</v>
      </c>
      <c r="H954" s="31" t="s">
        <v>54</v>
      </c>
      <c r="I954" s="31"/>
      <c r="J954" s="26" t="s">
        <v>606</v>
      </c>
      <c r="K954" s="27">
        <v>5900</v>
      </c>
      <c r="L954" s="31" t="s">
        <v>601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611</v>
      </c>
      <c r="D955" s="31" t="s">
        <v>452</v>
      </c>
      <c r="E955" s="31" t="s">
        <v>603</v>
      </c>
      <c r="F955" s="31" t="s">
        <v>604</v>
      </c>
      <c r="G955" s="27">
        <v>2300</v>
      </c>
      <c r="H955" s="31" t="s">
        <v>54</v>
      </c>
      <c r="I955" s="31" t="s">
        <v>688</v>
      </c>
      <c r="J955" s="26" t="s">
        <v>606</v>
      </c>
      <c r="K955" s="27">
        <v>2300</v>
      </c>
      <c r="L955" s="31" t="s">
        <v>601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681</v>
      </c>
      <c r="D956" s="31" t="s">
        <v>452</v>
      </c>
      <c r="E956" s="31" t="s">
        <v>621</v>
      </c>
      <c r="F956" s="31" t="s">
        <v>682</v>
      </c>
      <c r="G956" s="27">
        <v>12220</v>
      </c>
      <c r="H956" s="31" t="s">
        <v>54</v>
      </c>
      <c r="I956" s="31" t="s">
        <v>970</v>
      </c>
      <c r="J956" s="26" t="s">
        <v>606</v>
      </c>
      <c r="K956" s="27">
        <v>12220</v>
      </c>
      <c r="L956" s="31" t="s">
        <v>601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611</v>
      </c>
      <c r="D957" s="31" t="s">
        <v>452</v>
      </c>
      <c r="E957" s="31" t="s">
        <v>603</v>
      </c>
      <c r="F957" s="31" t="s">
        <v>604</v>
      </c>
      <c r="G957" s="27">
        <v>5900</v>
      </c>
      <c r="H957" s="31" t="s">
        <v>54</v>
      </c>
      <c r="I957" s="31" t="s">
        <v>971</v>
      </c>
      <c r="J957" s="26" t="s">
        <v>606</v>
      </c>
      <c r="K957" s="27">
        <v>5900</v>
      </c>
      <c r="L957" s="31" t="s">
        <v>601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611</v>
      </c>
      <c r="D958" s="31" t="s">
        <v>452</v>
      </c>
      <c r="E958" s="31" t="s">
        <v>714</v>
      </c>
      <c r="F958" s="31" t="s">
        <v>604</v>
      </c>
      <c r="G958" s="27">
        <v>4800</v>
      </c>
      <c r="H958" s="31" t="s">
        <v>54</v>
      </c>
      <c r="I958" s="31" t="s">
        <v>939</v>
      </c>
      <c r="J958" s="26" t="s">
        <v>606</v>
      </c>
      <c r="K958" s="27">
        <v>4800</v>
      </c>
      <c r="L958" s="31" t="s">
        <v>601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611</v>
      </c>
      <c r="D959" s="31" t="s">
        <v>453</v>
      </c>
      <c r="E959" s="31"/>
      <c r="F959" s="31" t="s">
        <v>453</v>
      </c>
      <c r="G959" s="27">
        <v>5000</v>
      </c>
      <c r="H959" s="31" t="s">
        <v>54</v>
      </c>
      <c r="I959" s="31"/>
      <c r="J959" s="26" t="s">
        <v>609</v>
      </c>
      <c r="K959" s="27">
        <v>5000</v>
      </c>
      <c r="L959" s="31" t="s">
        <v>601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546</v>
      </c>
      <c r="D960" s="31" t="s">
        <v>669</v>
      </c>
      <c r="E960" s="31"/>
      <c r="F960" s="31" t="s">
        <v>654</v>
      </c>
      <c r="G960" s="27">
        <v>99000</v>
      </c>
      <c r="H960" s="31" t="s">
        <v>54</v>
      </c>
      <c r="I960" s="31" t="s">
        <v>972</v>
      </c>
      <c r="J960" s="26" t="s">
        <v>617</v>
      </c>
      <c r="K960" s="27">
        <v>99000</v>
      </c>
      <c r="L960" s="31" t="s">
        <v>601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681</v>
      </c>
      <c r="D961" s="31" t="s">
        <v>452</v>
      </c>
      <c r="E961" s="31" t="s">
        <v>621</v>
      </c>
      <c r="F961" s="31" t="s">
        <v>682</v>
      </c>
      <c r="G961" s="27">
        <v>9000</v>
      </c>
      <c r="H961" s="31" t="s">
        <v>54</v>
      </c>
      <c r="I961" s="31" t="s">
        <v>824</v>
      </c>
      <c r="J961" s="26" t="s">
        <v>606</v>
      </c>
      <c r="K961" s="27">
        <v>9000</v>
      </c>
      <c r="L961" s="31" t="s">
        <v>601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611</v>
      </c>
      <c r="D962" s="31" t="s">
        <v>452</v>
      </c>
      <c r="E962" s="31" t="s">
        <v>603</v>
      </c>
      <c r="F962" s="31" t="s">
        <v>604</v>
      </c>
      <c r="G962" s="27">
        <v>5800</v>
      </c>
      <c r="H962" s="31" t="s">
        <v>54</v>
      </c>
      <c r="I962" s="31" t="s">
        <v>688</v>
      </c>
      <c r="J962" s="26" t="s">
        <v>606</v>
      </c>
      <c r="K962" s="27">
        <v>5800</v>
      </c>
      <c r="L962" s="31" t="s">
        <v>601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611</v>
      </c>
      <c r="D963" s="31" t="s">
        <v>453</v>
      </c>
      <c r="E963" s="31"/>
      <c r="F963" s="31" t="s">
        <v>453</v>
      </c>
      <c r="G963" s="27">
        <v>5000</v>
      </c>
      <c r="H963" s="31" t="s">
        <v>54</v>
      </c>
      <c r="I963" s="31"/>
      <c r="J963" s="26" t="s">
        <v>609</v>
      </c>
      <c r="K963" s="27">
        <v>5000</v>
      </c>
      <c r="L963" s="31" t="s">
        <v>601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611</v>
      </c>
      <c r="D964" s="31" t="s">
        <v>452</v>
      </c>
      <c r="E964" s="31" t="s">
        <v>714</v>
      </c>
      <c r="F964" s="31" t="s">
        <v>604</v>
      </c>
      <c r="G964" s="27">
        <v>1800</v>
      </c>
      <c r="H964" s="31" t="s">
        <v>54</v>
      </c>
      <c r="I964" s="31" t="s">
        <v>973</v>
      </c>
      <c r="J964" s="26" t="s">
        <v>606</v>
      </c>
      <c r="K964" s="27">
        <v>1800</v>
      </c>
      <c r="L964" s="31" t="s">
        <v>601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611</v>
      </c>
      <c r="D965" s="31" t="s">
        <v>453</v>
      </c>
      <c r="E965" s="31"/>
      <c r="F965" s="31" t="s">
        <v>453</v>
      </c>
      <c r="G965" s="27">
        <v>5000</v>
      </c>
      <c r="H965" s="31" t="s">
        <v>54</v>
      </c>
      <c r="I965" s="31"/>
      <c r="J965" s="26" t="s">
        <v>609</v>
      </c>
      <c r="K965" s="27">
        <v>5000</v>
      </c>
      <c r="L965" s="31" t="s">
        <v>601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611</v>
      </c>
      <c r="D966" s="31" t="s">
        <v>452</v>
      </c>
      <c r="E966" s="31" t="s">
        <v>603</v>
      </c>
      <c r="F966" s="31" t="s">
        <v>643</v>
      </c>
      <c r="G966" s="27">
        <v>3700</v>
      </c>
      <c r="H966" s="31" t="s">
        <v>54</v>
      </c>
      <c r="I966" s="31"/>
      <c r="J966" s="26" t="s">
        <v>606</v>
      </c>
      <c r="K966" s="27">
        <v>3700</v>
      </c>
      <c r="L966" s="31" t="s">
        <v>601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598</v>
      </c>
      <c r="D967" s="31" t="s">
        <v>362</v>
      </c>
      <c r="E967" s="31"/>
      <c r="F967" s="31" t="s">
        <v>561</v>
      </c>
      <c r="G967" s="27">
        <v>1800</v>
      </c>
      <c r="H967" s="31" t="s">
        <v>54</v>
      </c>
      <c r="I967" s="31" t="s">
        <v>639</v>
      </c>
      <c r="J967" s="26" t="s">
        <v>600</v>
      </c>
      <c r="K967" s="27">
        <v>1800</v>
      </c>
      <c r="L967" s="31" t="s">
        <v>601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598</v>
      </c>
      <c r="D968" s="31" t="s">
        <v>362</v>
      </c>
      <c r="E968" s="31"/>
      <c r="F968" s="31" t="s">
        <v>637</v>
      </c>
      <c r="G968" s="27">
        <v>8550</v>
      </c>
      <c r="H968" s="31" t="s">
        <v>54</v>
      </c>
      <c r="I968" s="31"/>
      <c r="J968" s="26" t="s">
        <v>600</v>
      </c>
      <c r="K968" s="27">
        <v>8550</v>
      </c>
      <c r="L968" s="31" t="s">
        <v>601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611</v>
      </c>
      <c r="D969" s="31" t="s">
        <v>452</v>
      </c>
      <c r="E969" s="31" t="s">
        <v>612</v>
      </c>
      <c r="F969" s="31" t="s">
        <v>927</v>
      </c>
      <c r="G969" s="27">
        <v>10000</v>
      </c>
      <c r="H969" s="31" t="s">
        <v>54</v>
      </c>
      <c r="I969" s="31"/>
      <c r="J969" s="26" t="s">
        <v>606</v>
      </c>
      <c r="K969" s="27">
        <v>10000</v>
      </c>
      <c r="L969" s="31" t="s">
        <v>601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611</v>
      </c>
      <c r="D970" s="31" t="s">
        <v>452</v>
      </c>
      <c r="E970" s="31" t="s">
        <v>603</v>
      </c>
      <c r="F970" s="31" t="s">
        <v>604</v>
      </c>
      <c r="G970" s="27">
        <v>2500</v>
      </c>
      <c r="H970" s="31" t="s">
        <v>54</v>
      </c>
      <c r="I970" s="31" t="s">
        <v>974</v>
      </c>
      <c r="J970" s="26" t="s">
        <v>606</v>
      </c>
      <c r="K970" s="27">
        <v>2500</v>
      </c>
      <c r="L970" s="31" t="s">
        <v>601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611</v>
      </c>
      <c r="D971" s="31" t="s">
        <v>640</v>
      </c>
      <c r="E971" s="31"/>
      <c r="F971" s="31" t="s">
        <v>975</v>
      </c>
      <c r="G971" s="27">
        <v>12020</v>
      </c>
      <c r="H971" s="31" t="s">
        <v>54</v>
      </c>
      <c r="I971" s="31" t="s">
        <v>496</v>
      </c>
      <c r="J971" s="26" t="s">
        <v>600</v>
      </c>
      <c r="K971" s="27">
        <v>12020</v>
      </c>
      <c r="L971" s="31" t="s">
        <v>601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681</v>
      </c>
      <c r="D972" s="31" t="s">
        <v>640</v>
      </c>
      <c r="E972" s="31"/>
      <c r="F972" s="31" t="s">
        <v>365</v>
      </c>
      <c r="G972" s="27">
        <v>6930</v>
      </c>
      <c r="H972" s="31" t="s">
        <v>54</v>
      </c>
      <c r="I972" s="31"/>
      <c r="J972" s="26" t="s">
        <v>606</v>
      </c>
      <c r="K972" s="27">
        <v>6930</v>
      </c>
      <c r="L972" s="31" t="s">
        <v>601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611</v>
      </c>
      <c r="D973" s="31" t="s">
        <v>452</v>
      </c>
      <c r="E973" s="31" t="s">
        <v>714</v>
      </c>
      <c r="F973" s="31" t="s">
        <v>604</v>
      </c>
      <c r="G973" s="27">
        <v>4400</v>
      </c>
      <c r="H973" s="31" t="s">
        <v>54</v>
      </c>
      <c r="I973" s="31" t="s">
        <v>976</v>
      </c>
      <c r="J973" s="26" t="s">
        <v>606</v>
      </c>
      <c r="K973" s="27">
        <v>4400</v>
      </c>
      <c r="L973" s="31" t="s">
        <v>601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611</v>
      </c>
      <c r="D974" s="31" t="s">
        <v>625</v>
      </c>
      <c r="E974" s="31"/>
      <c r="F974" s="31" t="s">
        <v>626</v>
      </c>
      <c r="G974" s="27">
        <v>14000</v>
      </c>
      <c r="H974" s="31" t="s">
        <v>54</v>
      </c>
      <c r="I974" s="31"/>
      <c r="J974" s="26" t="s">
        <v>606</v>
      </c>
      <c r="K974" s="27">
        <v>14000</v>
      </c>
      <c r="L974" s="31" t="s">
        <v>601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611</v>
      </c>
      <c r="D975" s="31" t="s">
        <v>453</v>
      </c>
      <c r="E975" s="31"/>
      <c r="F975" s="31" t="s">
        <v>453</v>
      </c>
      <c r="G975" s="27">
        <v>5000</v>
      </c>
      <c r="H975" s="31" t="s">
        <v>54</v>
      </c>
      <c r="I975" s="31"/>
      <c r="J975" s="26" t="s">
        <v>609</v>
      </c>
      <c r="K975" s="27">
        <v>5000</v>
      </c>
      <c r="L975" s="31" t="s">
        <v>601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907</v>
      </c>
      <c r="D976" s="31" t="s">
        <v>646</v>
      </c>
      <c r="E976" s="31"/>
      <c r="F976" s="31" t="s">
        <v>73</v>
      </c>
      <c r="G976" s="27">
        <v>550000</v>
      </c>
      <c r="H976" s="31" t="s">
        <v>54</v>
      </c>
      <c r="I976" s="31"/>
      <c r="J976" s="26" t="s">
        <v>600</v>
      </c>
      <c r="K976" s="27">
        <v>550000</v>
      </c>
      <c r="L976" s="31" t="s">
        <v>601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187</v>
      </c>
      <c r="D977" s="31" t="s">
        <v>19</v>
      </c>
      <c r="E977" s="31"/>
      <c r="F977" s="31" t="s">
        <v>61</v>
      </c>
      <c r="G977" s="27">
        <v>50000</v>
      </c>
      <c r="H977" s="31" t="s">
        <v>397</v>
      </c>
      <c r="I977" s="31"/>
      <c r="J977" s="26" t="s">
        <v>61</v>
      </c>
      <c r="K977" s="27">
        <v>50000</v>
      </c>
      <c r="L977" s="31" t="s">
        <v>601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187</v>
      </c>
      <c r="D978" s="31" t="s">
        <v>19</v>
      </c>
      <c r="E978" s="31"/>
      <c r="F978" s="31" t="s">
        <v>836</v>
      </c>
      <c r="G978" s="27">
        <v>40</v>
      </c>
      <c r="H978" s="31" t="s">
        <v>397</v>
      </c>
      <c r="I978" s="31"/>
      <c r="J978" s="26" t="s">
        <v>653</v>
      </c>
      <c r="K978" s="27">
        <v>40</v>
      </c>
      <c r="L978" s="31" t="s">
        <v>601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611</v>
      </c>
      <c r="D979" s="31" t="s">
        <v>453</v>
      </c>
      <c r="E979" s="31"/>
      <c r="F979" s="31" t="s">
        <v>453</v>
      </c>
      <c r="G979" s="27">
        <v>5000</v>
      </c>
      <c r="H979" s="31" t="s">
        <v>54</v>
      </c>
      <c r="I979" s="31"/>
      <c r="J979" s="26" t="s">
        <v>609</v>
      </c>
      <c r="K979" s="27">
        <v>5000</v>
      </c>
      <c r="L979" s="31" t="s">
        <v>601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611</v>
      </c>
      <c r="D980" s="31" t="s">
        <v>452</v>
      </c>
      <c r="E980" s="31" t="s">
        <v>612</v>
      </c>
      <c r="F980" s="31" t="s">
        <v>977</v>
      </c>
      <c r="G980" s="27">
        <v>11000</v>
      </c>
      <c r="H980" s="31" t="s">
        <v>54</v>
      </c>
      <c r="I980" s="31"/>
      <c r="J980" s="26" t="s">
        <v>606</v>
      </c>
      <c r="K980" s="27">
        <v>11000</v>
      </c>
      <c r="L980" s="31" t="s">
        <v>601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611</v>
      </c>
      <c r="D981" s="31" t="s">
        <v>452</v>
      </c>
      <c r="E981" s="31" t="s">
        <v>603</v>
      </c>
      <c r="F981" s="31" t="s">
        <v>643</v>
      </c>
      <c r="G981" s="27">
        <v>5400</v>
      </c>
      <c r="H981" s="31" t="s">
        <v>54</v>
      </c>
      <c r="I981" s="31"/>
      <c r="J981" s="26" t="s">
        <v>606</v>
      </c>
      <c r="K981" s="27">
        <v>5400</v>
      </c>
      <c r="L981" s="31" t="s">
        <v>601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907</v>
      </c>
      <c r="D982" s="31" t="s">
        <v>172</v>
      </c>
      <c r="E982" s="31"/>
      <c r="F982" s="31" t="s">
        <v>72</v>
      </c>
      <c r="G982" s="27">
        <v>35000</v>
      </c>
      <c r="H982" s="31" t="s">
        <v>636</v>
      </c>
      <c r="I982" s="31"/>
      <c r="J982" s="26" t="s">
        <v>634</v>
      </c>
      <c r="K982" s="27">
        <v>35000</v>
      </c>
      <c r="L982" s="31" t="s">
        <v>601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172</v>
      </c>
      <c r="D983" s="31" t="s">
        <v>907</v>
      </c>
      <c r="E983" s="31"/>
      <c r="F983" s="31" t="s">
        <v>72</v>
      </c>
      <c r="G983" s="27">
        <v>35000</v>
      </c>
      <c r="H983" s="31" t="s">
        <v>633</v>
      </c>
      <c r="I983" s="31"/>
      <c r="J983" s="26" t="s">
        <v>634</v>
      </c>
      <c r="K983" s="27">
        <v>35000</v>
      </c>
      <c r="L983" s="31" t="s">
        <v>601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611</v>
      </c>
      <c r="D984" s="31" t="s">
        <v>646</v>
      </c>
      <c r="E984" s="31"/>
      <c r="F984" s="31" t="s">
        <v>679</v>
      </c>
      <c r="G984" s="27">
        <v>24723</v>
      </c>
      <c r="H984" s="31" t="s">
        <v>54</v>
      </c>
      <c r="I984" s="31"/>
      <c r="J984" s="26" t="s">
        <v>600</v>
      </c>
      <c r="K984" s="27">
        <v>24723</v>
      </c>
      <c r="L984" s="31" t="s">
        <v>601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172</v>
      </c>
      <c r="D985" s="31" t="s">
        <v>656</v>
      </c>
      <c r="E985" s="31"/>
      <c r="F985" s="31" t="s">
        <v>657</v>
      </c>
      <c r="G985" s="27">
        <v>34170</v>
      </c>
      <c r="H985" s="31" t="s">
        <v>636</v>
      </c>
      <c r="I985" s="31"/>
      <c r="J985" s="26" t="s">
        <v>634</v>
      </c>
      <c r="K985" s="27">
        <v>34170</v>
      </c>
      <c r="L985" s="31" t="s">
        <v>601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656</v>
      </c>
      <c r="D986" s="31" t="s">
        <v>172</v>
      </c>
      <c r="E986" s="31"/>
      <c r="F986" s="31" t="s">
        <v>657</v>
      </c>
      <c r="G986" s="27">
        <v>34170</v>
      </c>
      <c r="H986" s="31" t="s">
        <v>633</v>
      </c>
      <c r="I986" s="31"/>
      <c r="J986" s="26" t="s">
        <v>634</v>
      </c>
      <c r="K986" s="27">
        <v>34170</v>
      </c>
      <c r="L986" s="31" t="s">
        <v>601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907</v>
      </c>
      <c r="D987" s="31" t="s">
        <v>172</v>
      </c>
      <c r="E987" s="31"/>
      <c r="F987" s="31" t="s">
        <v>72</v>
      </c>
      <c r="G987" s="27">
        <v>830</v>
      </c>
      <c r="H987" s="31" t="s">
        <v>633</v>
      </c>
      <c r="I987" s="31"/>
      <c r="J987" s="26" t="s">
        <v>634</v>
      </c>
      <c r="K987" s="27">
        <v>830</v>
      </c>
      <c r="L987" s="31" t="s">
        <v>601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172</v>
      </c>
      <c r="D988" s="31" t="s">
        <v>907</v>
      </c>
      <c r="E988" s="31"/>
      <c r="F988" s="31" t="s">
        <v>72</v>
      </c>
      <c r="G988" s="27">
        <v>830</v>
      </c>
      <c r="H988" s="31" t="s">
        <v>636</v>
      </c>
      <c r="I988" s="31"/>
      <c r="J988" s="26" t="s">
        <v>634</v>
      </c>
      <c r="K988" s="27">
        <v>830</v>
      </c>
      <c r="L988" s="31" t="s">
        <v>601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611</v>
      </c>
      <c r="D989" s="31" t="s">
        <v>453</v>
      </c>
      <c r="E989" s="31"/>
      <c r="F989" s="31" t="s">
        <v>453</v>
      </c>
      <c r="G989" s="27">
        <v>5000</v>
      </c>
      <c r="H989" s="31" t="s">
        <v>54</v>
      </c>
      <c r="I989" s="31"/>
      <c r="J989" s="26" t="s">
        <v>609</v>
      </c>
      <c r="K989" s="27">
        <v>5000</v>
      </c>
      <c r="L989" s="31" t="s">
        <v>601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611</v>
      </c>
      <c r="D990" s="31" t="s">
        <v>452</v>
      </c>
      <c r="E990" s="31" t="s">
        <v>714</v>
      </c>
      <c r="F990" s="31" t="s">
        <v>604</v>
      </c>
      <c r="G990" s="27">
        <v>4800</v>
      </c>
      <c r="H990" s="31" t="s">
        <v>54</v>
      </c>
      <c r="I990" s="31" t="s">
        <v>978</v>
      </c>
      <c r="J990" s="26" t="s">
        <v>606</v>
      </c>
      <c r="K990" s="27">
        <v>4800</v>
      </c>
      <c r="L990" s="31" t="s">
        <v>601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611</v>
      </c>
      <c r="D991" s="31" t="s">
        <v>669</v>
      </c>
      <c r="E991" s="31"/>
      <c r="F991" s="31" t="s">
        <v>766</v>
      </c>
      <c r="G991" s="27">
        <v>49900</v>
      </c>
      <c r="H991" s="31" t="s">
        <v>54</v>
      </c>
      <c r="I991" s="31" t="s">
        <v>972</v>
      </c>
      <c r="J991" s="26" t="s">
        <v>617</v>
      </c>
      <c r="K991" s="27">
        <v>49900</v>
      </c>
      <c r="L991" s="31" t="s">
        <v>601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681</v>
      </c>
      <c r="D992" s="31" t="s">
        <v>640</v>
      </c>
      <c r="E992" s="31"/>
      <c r="F992" s="31" t="s">
        <v>365</v>
      </c>
      <c r="G992" s="27">
        <v>29600</v>
      </c>
      <c r="H992" s="31" t="s">
        <v>54</v>
      </c>
      <c r="I992" s="31" t="s">
        <v>979</v>
      </c>
      <c r="J992" s="26" t="s">
        <v>606</v>
      </c>
      <c r="K992" s="27">
        <v>29600</v>
      </c>
      <c r="L992" s="31" t="s">
        <v>601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681</v>
      </c>
      <c r="D993" s="31" t="s">
        <v>452</v>
      </c>
      <c r="E993" s="31" t="s">
        <v>621</v>
      </c>
      <c r="F993" s="31" t="s">
        <v>682</v>
      </c>
      <c r="G993" s="27">
        <v>15300</v>
      </c>
      <c r="H993" s="31" t="s">
        <v>54</v>
      </c>
      <c r="I993" s="31" t="s">
        <v>686</v>
      </c>
      <c r="J993" s="26" t="s">
        <v>606</v>
      </c>
      <c r="K993" s="27">
        <v>15300</v>
      </c>
      <c r="L993" s="31" t="s">
        <v>601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611</v>
      </c>
      <c r="D994" s="31" t="s">
        <v>453</v>
      </c>
      <c r="E994" s="31"/>
      <c r="F994" s="31" t="s">
        <v>453</v>
      </c>
      <c r="G994" s="27">
        <v>5000</v>
      </c>
      <c r="H994" s="31" t="s">
        <v>54</v>
      </c>
      <c r="I994" s="31"/>
      <c r="J994" s="26" t="s">
        <v>609</v>
      </c>
      <c r="K994" s="27">
        <v>5000</v>
      </c>
      <c r="L994" s="31" t="s">
        <v>601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546</v>
      </c>
      <c r="D995" s="31" t="s">
        <v>452</v>
      </c>
      <c r="E995" s="31" t="s">
        <v>603</v>
      </c>
      <c r="F995" s="31" t="s">
        <v>604</v>
      </c>
      <c r="G995" s="27">
        <v>2300</v>
      </c>
      <c r="H995" s="31" t="s">
        <v>54</v>
      </c>
      <c r="I995" s="31" t="s">
        <v>980</v>
      </c>
      <c r="J995" s="26" t="s">
        <v>606</v>
      </c>
      <c r="K995" s="27">
        <v>2300</v>
      </c>
      <c r="L995" s="31" t="s">
        <v>601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184</v>
      </c>
      <c r="D996" s="31" t="s">
        <v>19</v>
      </c>
      <c r="E996" s="31"/>
      <c r="F996" s="31" t="s">
        <v>981</v>
      </c>
      <c r="G996" s="27">
        <v>27</v>
      </c>
      <c r="H996" s="31" t="s">
        <v>397</v>
      </c>
      <c r="I996" s="31"/>
      <c r="J996" s="26" t="s">
        <v>653</v>
      </c>
      <c r="K996" s="27">
        <v>27</v>
      </c>
      <c r="L996" s="31" t="s">
        <v>601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681</v>
      </c>
      <c r="D997" s="31" t="s">
        <v>452</v>
      </c>
      <c r="E997" s="31" t="s">
        <v>615</v>
      </c>
      <c r="F997" s="31" t="s">
        <v>365</v>
      </c>
      <c r="G997" s="27">
        <v>8590</v>
      </c>
      <c r="H997" s="31" t="s">
        <v>54</v>
      </c>
      <c r="I997" s="31" t="s">
        <v>838</v>
      </c>
      <c r="J997" s="26" t="s">
        <v>606</v>
      </c>
      <c r="K997" s="27">
        <v>8590</v>
      </c>
      <c r="L997" s="31" t="s">
        <v>601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611</v>
      </c>
      <c r="D998" s="31" t="s">
        <v>452</v>
      </c>
      <c r="E998" s="31" t="s">
        <v>615</v>
      </c>
      <c r="F998" s="31" t="s">
        <v>604</v>
      </c>
      <c r="G998" s="27">
        <v>1000</v>
      </c>
      <c r="H998" s="31" t="s">
        <v>54</v>
      </c>
      <c r="I998" s="31" t="s">
        <v>838</v>
      </c>
      <c r="J998" s="26" t="s">
        <v>606</v>
      </c>
      <c r="K998" s="27">
        <v>1000</v>
      </c>
      <c r="L998" s="31" t="s">
        <v>601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611</v>
      </c>
      <c r="D999" s="31" t="s">
        <v>453</v>
      </c>
      <c r="E999" s="31"/>
      <c r="F999" s="31" t="s">
        <v>453</v>
      </c>
      <c r="G999" s="27">
        <v>5000</v>
      </c>
      <c r="H999" s="31" t="s">
        <v>54</v>
      </c>
      <c r="I999" s="31"/>
      <c r="J999" s="26" t="s">
        <v>609</v>
      </c>
      <c r="K999" s="27">
        <v>5000</v>
      </c>
      <c r="L999" s="31" t="s">
        <v>601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611</v>
      </c>
      <c r="D1000" s="31" t="s">
        <v>452</v>
      </c>
      <c r="E1000" s="31" t="s">
        <v>603</v>
      </c>
      <c r="F1000" s="31" t="s">
        <v>604</v>
      </c>
      <c r="G1000" s="27">
        <v>4080</v>
      </c>
      <c r="H1000" s="31" t="s">
        <v>54</v>
      </c>
      <c r="I1000" s="31" t="s">
        <v>623</v>
      </c>
      <c r="J1000" s="26" t="s">
        <v>606</v>
      </c>
      <c r="K1000" s="27">
        <v>4080</v>
      </c>
      <c r="L1000" s="31" t="s">
        <v>601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611</v>
      </c>
      <c r="D1001" s="31" t="s">
        <v>625</v>
      </c>
      <c r="E1001" s="31"/>
      <c r="F1001" s="31" t="s">
        <v>626</v>
      </c>
      <c r="G1001" s="27">
        <v>5000</v>
      </c>
      <c r="H1001" s="31" t="s">
        <v>54</v>
      </c>
      <c r="I1001" s="31" t="s">
        <v>139</v>
      </c>
      <c r="J1001" s="26" t="s">
        <v>606</v>
      </c>
      <c r="K1001" s="27">
        <v>5000</v>
      </c>
      <c r="L1001" s="31" t="s">
        <v>601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907</v>
      </c>
      <c r="D1002" s="31" t="s">
        <v>19</v>
      </c>
      <c r="E1002" s="31"/>
      <c r="F1002" s="31" t="s">
        <v>964</v>
      </c>
      <c r="G1002" s="27">
        <v>2867</v>
      </c>
      <c r="H1002" s="31" t="s">
        <v>397</v>
      </c>
      <c r="I1002" s="31"/>
      <c r="J1002" s="26" t="s">
        <v>653</v>
      </c>
      <c r="K1002" s="27">
        <v>2867</v>
      </c>
      <c r="L1002" s="31" t="s">
        <v>601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611</v>
      </c>
      <c r="D1003" s="31" t="s">
        <v>741</v>
      </c>
      <c r="E1003" s="31" t="s">
        <v>457</v>
      </c>
      <c r="F1003" s="31" t="s">
        <v>982</v>
      </c>
      <c r="G1003" s="27">
        <v>62500</v>
      </c>
      <c r="H1003" s="31" t="s">
        <v>54</v>
      </c>
      <c r="I1003" s="31" t="s">
        <v>983</v>
      </c>
      <c r="J1003" s="26" t="s">
        <v>614</v>
      </c>
      <c r="K1003" s="27">
        <v>62500</v>
      </c>
      <c r="L1003" s="31" t="s">
        <v>601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611</v>
      </c>
      <c r="D1004" s="31" t="s">
        <v>735</v>
      </c>
      <c r="E1004" s="31"/>
      <c r="F1004" s="31" t="s">
        <v>849</v>
      </c>
      <c r="G1004" s="27">
        <v>26000</v>
      </c>
      <c r="H1004" s="31" t="s">
        <v>54</v>
      </c>
      <c r="I1004" s="31"/>
      <c r="J1004" s="26" t="s">
        <v>606</v>
      </c>
      <c r="K1004" s="27">
        <v>26000</v>
      </c>
      <c r="L1004" s="31" t="s">
        <v>601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611</v>
      </c>
      <c r="D1005" s="31" t="s">
        <v>453</v>
      </c>
      <c r="E1005" s="31"/>
      <c r="F1005" s="31" t="s">
        <v>453</v>
      </c>
      <c r="G1005" s="27">
        <v>5000</v>
      </c>
      <c r="H1005" s="31" t="s">
        <v>54</v>
      </c>
      <c r="I1005" s="31"/>
      <c r="J1005" s="26" t="s">
        <v>609</v>
      </c>
      <c r="K1005" s="27">
        <v>5000</v>
      </c>
      <c r="L1005" s="31" t="s">
        <v>601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611</v>
      </c>
      <c r="D1006" s="31" t="s">
        <v>741</v>
      </c>
      <c r="E1006" s="31" t="s">
        <v>457</v>
      </c>
      <c r="F1006" s="31" t="s">
        <v>984</v>
      </c>
      <c r="G1006" s="27">
        <v>16600</v>
      </c>
      <c r="H1006" s="31" t="s">
        <v>54</v>
      </c>
      <c r="I1006" s="31" t="s">
        <v>983</v>
      </c>
      <c r="J1006" s="26" t="s">
        <v>614</v>
      </c>
      <c r="K1006" s="27">
        <v>16600</v>
      </c>
      <c r="L1006" s="31" t="s">
        <v>601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611</v>
      </c>
      <c r="D1007" s="31" t="s">
        <v>672</v>
      </c>
      <c r="E1007" s="31" t="s">
        <v>673</v>
      </c>
      <c r="F1007" s="31" t="s">
        <v>985</v>
      </c>
      <c r="G1007" s="27">
        <v>18000</v>
      </c>
      <c r="H1007" s="31" t="s">
        <v>54</v>
      </c>
      <c r="I1007" s="31"/>
      <c r="J1007" s="26" t="s">
        <v>606</v>
      </c>
      <c r="K1007" s="27">
        <v>18000</v>
      </c>
      <c r="L1007" s="31" t="s">
        <v>601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681</v>
      </c>
      <c r="D1008" s="31" t="s">
        <v>452</v>
      </c>
      <c r="E1008" s="31" t="s">
        <v>612</v>
      </c>
      <c r="F1008" s="31" t="s">
        <v>682</v>
      </c>
      <c r="G1008" s="27">
        <v>15000</v>
      </c>
      <c r="H1008" s="31" t="s">
        <v>54</v>
      </c>
      <c r="I1008" s="31" t="s">
        <v>986</v>
      </c>
      <c r="J1008" s="26" t="s">
        <v>606</v>
      </c>
      <c r="K1008" s="27">
        <v>15000</v>
      </c>
      <c r="L1008" s="31" t="s">
        <v>601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611</v>
      </c>
      <c r="D1009" s="31" t="s">
        <v>453</v>
      </c>
      <c r="E1009" s="31"/>
      <c r="F1009" s="31" t="s">
        <v>453</v>
      </c>
      <c r="G1009" s="27">
        <v>5000</v>
      </c>
      <c r="H1009" s="31" t="s">
        <v>54</v>
      </c>
      <c r="I1009" s="31"/>
      <c r="J1009" s="26" t="s">
        <v>609</v>
      </c>
      <c r="K1009" s="27">
        <v>5000</v>
      </c>
      <c r="L1009" s="31" t="s">
        <v>601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611</v>
      </c>
      <c r="D1010" s="31" t="s">
        <v>672</v>
      </c>
      <c r="E1010" s="31" t="s">
        <v>673</v>
      </c>
      <c r="F1010" s="31" t="s">
        <v>987</v>
      </c>
      <c r="G1010" s="27">
        <v>18200</v>
      </c>
      <c r="H1010" s="31" t="s">
        <v>54</v>
      </c>
      <c r="I1010" s="31" t="s">
        <v>988</v>
      </c>
      <c r="J1010" s="26" t="s">
        <v>606</v>
      </c>
      <c r="K1010" s="27">
        <v>18200</v>
      </c>
      <c r="L1010" s="31" t="s">
        <v>601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611</v>
      </c>
      <c r="D1011" s="31" t="s">
        <v>735</v>
      </c>
      <c r="E1011" s="31"/>
      <c r="F1011" s="31" t="s">
        <v>989</v>
      </c>
      <c r="G1011" s="27">
        <v>3200</v>
      </c>
      <c r="H1011" s="31" t="s">
        <v>54</v>
      </c>
      <c r="I1011" s="31" t="s">
        <v>990</v>
      </c>
      <c r="J1011" s="26" t="s">
        <v>606</v>
      </c>
      <c r="K1011" s="27">
        <v>3200</v>
      </c>
      <c r="L1011" s="31" t="s">
        <v>601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611</v>
      </c>
      <c r="D1012" s="31" t="s">
        <v>625</v>
      </c>
      <c r="E1012" s="31"/>
      <c r="F1012" s="31" t="s">
        <v>626</v>
      </c>
      <c r="G1012" s="27">
        <v>4000</v>
      </c>
      <c r="H1012" s="31" t="s">
        <v>54</v>
      </c>
      <c r="I1012" s="31"/>
      <c r="J1012" s="26" t="s">
        <v>606</v>
      </c>
      <c r="K1012" s="27">
        <v>4000</v>
      </c>
      <c r="L1012" s="31" t="s">
        <v>601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611</v>
      </c>
      <c r="D1013" s="31" t="s">
        <v>705</v>
      </c>
      <c r="E1013" s="31"/>
      <c r="F1013" s="31" t="s">
        <v>341</v>
      </c>
      <c r="G1013" s="27">
        <v>48620</v>
      </c>
      <c r="H1013" s="31" t="s">
        <v>54</v>
      </c>
      <c r="I1013" s="31"/>
      <c r="J1013" s="26" t="s">
        <v>600</v>
      </c>
      <c r="K1013" s="27">
        <v>48620</v>
      </c>
      <c r="L1013" s="31" t="s">
        <v>601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611</v>
      </c>
      <c r="D1014" s="31" t="s">
        <v>453</v>
      </c>
      <c r="E1014" s="31"/>
      <c r="F1014" s="31" t="s">
        <v>453</v>
      </c>
      <c r="G1014" s="27">
        <v>5000</v>
      </c>
      <c r="H1014" s="31" t="s">
        <v>54</v>
      </c>
      <c r="I1014" s="31"/>
      <c r="J1014" s="26" t="s">
        <v>609</v>
      </c>
      <c r="K1014" s="27">
        <v>5000</v>
      </c>
      <c r="L1014" s="31" t="s">
        <v>601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611</v>
      </c>
      <c r="D1015" s="31" t="s">
        <v>452</v>
      </c>
      <c r="E1015" s="31" t="s">
        <v>612</v>
      </c>
      <c r="F1015" s="31" t="s">
        <v>731</v>
      </c>
      <c r="G1015" s="27">
        <v>12000</v>
      </c>
      <c r="H1015" s="31" t="s">
        <v>54</v>
      </c>
      <c r="I1015" s="31"/>
      <c r="J1015" s="26" t="s">
        <v>606</v>
      </c>
      <c r="K1015" s="27">
        <v>12000</v>
      </c>
      <c r="L1015" s="31" t="s">
        <v>601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907</v>
      </c>
      <c r="D1016" s="31" t="s">
        <v>546</v>
      </c>
      <c r="E1016" s="31"/>
      <c r="F1016" s="31" t="s">
        <v>657</v>
      </c>
      <c r="G1016" s="27">
        <v>428190</v>
      </c>
      <c r="H1016" s="31" t="s">
        <v>636</v>
      </c>
      <c r="I1016" s="31"/>
      <c r="J1016" s="26" t="s">
        <v>634</v>
      </c>
      <c r="K1016" s="27">
        <v>428190</v>
      </c>
      <c r="L1016" s="31" t="s">
        <v>601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546</v>
      </c>
      <c r="D1017" s="31" t="s">
        <v>907</v>
      </c>
      <c r="E1017" s="31"/>
      <c r="F1017" s="31" t="s">
        <v>657</v>
      </c>
      <c r="G1017" s="27">
        <v>428190</v>
      </c>
      <c r="H1017" s="31" t="s">
        <v>633</v>
      </c>
      <c r="I1017" s="31"/>
      <c r="J1017" s="26" t="s">
        <v>634</v>
      </c>
      <c r="K1017" s="27">
        <v>428190</v>
      </c>
      <c r="L1017" s="31" t="s">
        <v>601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907</v>
      </c>
      <c r="D1018" s="31" t="s">
        <v>19</v>
      </c>
      <c r="E1018" s="31"/>
      <c r="F1018" s="31" t="s">
        <v>964</v>
      </c>
      <c r="G1018" s="27">
        <v>399</v>
      </c>
      <c r="H1018" s="31" t="s">
        <v>397</v>
      </c>
      <c r="I1018" s="31"/>
      <c r="J1018" s="26" t="s">
        <v>653</v>
      </c>
      <c r="K1018" s="27">
        <v>399</v>
      </c>
      <c r="L1018" s="31" t="s">
        <v>601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546</v>
      </c>
      <c r="D1019" s="31" t="s">
        <v>452</v>
      </c>
      <c r="E1019" s="31" t="s">
        <v>615</v>
      </c>
      <c r="F1019" s="31" t="s">
        <v>654</v>
      </c>
      <c r="G1019" s="27">
        <v>36200</v>
      </c>
      <c r="H1019" s="31" t="s">
        <v>54</v>
      </c>
      <c r="I1019" s="31" t="s">
        <v>991</v>
      </c>
      <c r="J1019" s="26" t="s">
        <v>606</v>
      </c>
      <c r="K1019" s="27">
        <v>36200</v>
      </c>
      <c r="L1019" s="31" t="s">
        <v>601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546</v>
      </c>
      <c r="D1020" s="31" t="s">
        <v>452</v>
      </c>
      <c r="E1020" s="31" t="s">
        <v>615</v>
      </c>
      <c r="F1020" s="31" t="s">
        <v>654</v>
      </c>
      <c r="G1020" s="27">
        <v>28470</v>
      </c>
      <c r="H1020" s="31" t="s">
        <v>54</v>
      </c>
      <c r="I1020" s="31" t="s">
        <v>992</v>
      </c>
      <c r="J1020" s="26" t="s">
        <v>606</v>
      </c>
      <c r="K1020" s="27">
        <v>28470</v>
      </c>
      <c r="L1020" s="31" t="s">
        <v>601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681</v>
      </c>
      <c r="D1021" s="31" t="s">
        <v>452</v>
      </c>
      <c r="E1021" s="31" t="s">
        <v>615</v>
      </c>
      <c r="F1021" s="31" t="s">
        <v>365</v>
      </c>
      <c r="G1021" s="27">
        <v>17520</v>
      </c>
      <c r="H1021" s="31" t="s">
        <v>54</v>
      </c>
      <c r="I1021" s="31" t="s">
        <v>616</v>
      </c>
      <c r="J1021" s="26" t="s">
        <v>606</v>
      </c>
      <c r="K1021" s="27">
        <v>17520</v>
      </c>
      <c r="L1021" s="31" t="s">
        <v>601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611</v>
      </c>
      <c r="D1022" s="31" t="s">
        <v>640</v>
      </c>
      <c r="E1022" s="31"/>
      <c r="F1022" s="31" t="s">
        <v>993</v>
      </c>
      <c r="G1022" s="27">
        <v>74700</v>
      </c>
      <c r="H1022" s="31" t="s">
        <v>54</v>
      </c>
      <c r="I1022" s="31" t="s">
        <v>707</v>
      </c>
      <c r="J1022" s="26" t="s">
        <v>600</v>
      </c>
      <c r="K1022" s="27">
        <v>74700</v>
      </c>
      <c r="L1022" s="31" t="s">
        <v>601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611</v>
      </c>
      <c r="D1023" s="31" t="s">
        <v>453</v>
      </c>
      <c r="E1023" s="31"/>
      <c r="F1023" s="31" t="s">
        <v>453</v>
      </c>
      <c r="G1023" s="27">
        <v>5000</v>
      </c>
      <c r="H1023" s="31" t="s">
        <v>54</v>
      </c>
      <c r="I1023" s="31"/>
      <c r="J1023" s="26" t="s">
        <v>609</v>
      </c>
      <c r="K1023" s="27">
        <v>5000</v>
      </c>
      <c r="L1023" s="31" t="s">
        <v>601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907</v>
      </c>
      <c r="D1024" s="31" t="s">
        <v>602</v>
      </c>
      <c r="E1024" s="31"/>
      <c r="F1024" s="31" t="s">
        <v>657</v>
      </c>
      <c r="G1024" s="27">
        <v>12000</v>
      </c>
      <c r="H1024" s="31" t="s">
        <v>636</v>
      </c>
      <c r="I1024" s="31"/>
      <c r="J1024" s="26" t="s">
        <v>634</v>
      </c>
      <c r="K1024" s="27">
        <v>12000</v>
      </c>
      <c r="L1024" s="31" t="s">
        <v>601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602</v>
      </c>
      <c r="D1025" s="31" t="s">
        <v>907</v>
      </c>
      <c r="E1025" s="31"/>
      <c r="F1025" s="31" t="s">
        <v>657</v>
      </c>
      <c r="G1025" s="27">
        <v>12000</v>
      </c>
      <c r="H1025" s="31" t="s">
        <v>633</v>
      </c>
      <c r="I1025" s="31"/>
      <c r="J1025" s="26" t="s">
        <v>634</v>
      </c>
      <c r="K1025" s="27">
        <v>12000</v>
      </c>
      <c r="L1025" s="31" t="s">
        <v>601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598</v>
      </c>
      <c r="D1026" s="31" t="s">
        <v>907</v>
      </c>
      <c r="E1026" s="31"/>
      <c r="F1026" s="31" t="s">
        <v>657</v>
      </c>
      <c r="G1026" s="27">
        <v>666160</v>
      </c>
      <c r="H1026" s="31" t="s">
        <v>633</v>
      </c>
      <c r="I1026" s="31"/>
      <c r="J1026" s="26" t="s">
        <v>634</v>
      </c>
      <c r="K1026" s="27">
        <v>666160</v>
      </c>
      <c r="L1026" s="31" t="s">
        <v>601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907</v>
      </c>
      <c r="D1027" s="31" t="s">
        <v>598</v>
      </c>
      <c r="E1027" s="31"/>
      <c r="F1027" s="31" t="s">
        <v>657</v>
      </c>
      <c r="G1027" s="27">
        <v>666160</v>
      </c>
      <c r="H1027" s="31" t="s">
        <v>636</v>
      </c>
      <c r="I1027" s="31"/>
      <c r="J1027" s="26" t="s">
        <v>634</v>
      </c>
      <c r="K1027" s="27">
        <v>666160</v>
      </c>
      <c r="L1027" s="31" t="s">
        <v>601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598</v>
      </c>
      <c r="D1028" s="31" t="s">
        <v>452</v>
      </c>
      <c r="E1028" s="31" t="s">
        <v>612</v>
      </c>
      <c r="F1028" s="31" t="s">
        <v>782</v>
      </c>
      <c r="G1028" s="27">
        <v>11900</v>
      </c>
      <c r="H1028" s="31" t="s">
        <v>54</v>
      </c>
      <c r="I1028" s="31"/>
      <c r="J1028" s="26" t="s">
        <v>606</v>
      </c>
      <c r="K1028" s="27">
        <v>11900</v>
      </c>
      <c r="L1028" s="31" t="s">
        <v>601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598</v>
      </c>
      <c r="D1029" s="31" t="s">
        <v>452</v>
      </c>
      <c r="E1029" s="31" t="s">
        <v>603</v>
      </c>
      <c r="F1029" s="31" t="s">
        <v>643</v>
      </c>
      <c r="G1029" s="27">
        <v>9200</v>
      </c>
      <c r="H1029" s="31" t="s">
        <v>54</v>
      </c>
      <c r="I1029" s="31"/>
      <c r="J1029" s="26" t="s">
        <v>606</v>
      </c>
      <c r="K1029" s="27">
        <v>9200</v>
      </c>
      <c r="L1029" s="31" t="s">
        <v>601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598</v>
      </c>
      <c r="D1030" s="31" t="s">
        <v>453</v>
      </c>
      <c r="E1030" s="31"/>
      <c r="F1030" s="31" t="s">
        <v>453</v>
      </c>
      <c r="G1030" s="27">
        <v>5000</v>
      </c>
      <c r="H1030" s="31" t="s">
        <v>54</v>
      </c>
      <c r="I1030" s="31"/>
      <c r="J1030" s="26" t="s">
        <v>609</v>
      </c>
      <c r="K1030" s="27">
        <v>5000</v>
      </c>
      <c r="L1030" s="31" t="s">
        <v>601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598</v>
      </c>
      <c r="D1031" s="31" t="s">
        <v>362</v>
      </c>
      <c r="E1031" s="31"/>
      <c r="F1031" s="31" t="s">
        <v>766</v>
      </c>
      <c r="G1031" s="27">
        <v>39900</v>
      </c>
      <c r="H1031" s="31" t="s">
        <v>54</v>
      </c>
      <c r="I1031" s="31" t="s">
        <v>994</v>
      </c>
      <c r="J1031" s="26" t="s">
        <v>600</v>
      </c>
      <c r="K1031" s="27">
        <v>39900</v>
      </c>
      <c r="L1031" s="31" t="s">
        <v>601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598</v>
      </c>
      <c r="D1032" s="31" t="s">
        <v>452</v>
      </c>
      <c r="E1032" s="31" t="s">
        <v>612</v>
      </c>
      <c r="F1032" s="31" t="s">
        <v>739</v>
      </c>
      <c r="G1032" s="27">
        <v>8500</v>
      </c>
      <c r="H1032" s="31" t="s">
        <v>54</v>
      </c>
      <c r="I1032" s="31"/>
      <c r="J1032" s="26" t="s">
        <v>606</v>
      </c>
      <c r="K1032" s="27">
        <v>8500</v>
      </c>
      <c r="L1032" s="31" t="s">
        <v>601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598</v>
      </c>
      <c r="D1033" s="31" t="s">
        <v>672</v>
      </c>
      <c r="E1033" s="31" t="s">
        <v>673</v>
      </c>
      <c r="F1033" s="31" t="s">
        <v>799</v>
      </c>
      <c r="G1033" s="27">
        <v>4000</v>
      </c>
      <c r="H1033" s="31" t="s">
        <v>54</v>
      </c>
      <c r="I1033" s="31" t="s">
        <v>995</v>
      </c>
      <c r="J1033" s="26" t="s">
        <v>606</v>
      </c>
      <c r="K1033" s="27">
        <v>4000</v>
      </c>
      <c r="L1033" s="31" t="s">
        <v>601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907</v>
      </c>
      <c r="D1034" s="31" t="s">
        <v>611</v>
      </c>
      <c r="E1034" s="31"/>
      <c r="F1034" s="31" t="s">
        <v>657</v>
      </c>
      <c r="G1034" s="27">
        <v>725751</v>
      </c>
      <c r="H1034" s="31" t="s">
        <v>636</v>
      </c>
      <c r="I1034" s="31"/>
      <c r="J1034" s="26" t="s">
        <v>634</v>
      </c>
      <c r="K1034" s="27">
        <v>725751</v>
      </c>
      <c r="L1034" s="31" t="s">
        <v>601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611</v>
      </c>
      <c r="D1035" s="31" t="s">
        <v>907</v>
      </c>
      <c r="E1035" s="31"/>
      <c r="F1035" s="31" t="s">
        <v>657</v>
      </c>
      <c r="G1035" s="27">
        <v>725751</v>
      </c>
      <c r="H1035" s="31" t="s">
        <v>633</v>
      </c>
      <c r="I1035" s="31"/>
      <c r="J1035" s="26" t="s">
        <v>634</v>
      </c>
      <c r="K1035" s="27">
        <v>725751</v>
      </c>
      <c r="L1035" s="31" t="s">
        <v>601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907</v>
      </c>
      <c r="D1036" s="31" t="s">
        <v>681</v>
      </c>
      <c r="E1036" s="31"/>
      <c r="F1036" s="31" t="s">
        <v>657</v>
      </c>
      <c r="G1036" s="27">
        <v>257470</v>
      </c>
      <c r="H1036" s="31" t="s">
        <v>636</v>
      </c>
      <c r="I1036" s="31"/>
      <c r="J1036" s="26" t="s">
        <v>634</v>
      </c>
      <c r="K1036" s="27">
        <v>257470</v>
      </c>
      <c r="L1036" s="31" t="s">
        <v>601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681</v>
      </c>
      <c r="D1037" s="31" t="s">
        <v>907</v>
      </c>
      <c r="E1037" s="31"/>
      <c r="F1037" s="31" t="s">
        <v>657</v>
      </c>
      <c r="G1037" s="27">
        <v>257470</v>
      </c>
      <c r="H1037" s="31" t="s">
        <v>633</v>
      </c>
      <c r="I1037" s="31"/>
      <c r="J1037" s="26" t="s">
        <v>634</v>
      </c>
      <c r="K1037" s="27">
        <v>257470</v>
      </c>
      <c r="L1037" s="31" t="s">
        <v>601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598</v>
      </c>
      <c r="D1038" s="31" t="s">
        <v>453</v>
      </c>
      <c r="E1038" s="31"/>
      <c r="F1038" s="31" t="s">
        <v>453</v>
      </c>
      <c r="G1038" s="27">
        <v>5000</v>
      </c>
      <c r="H1038" s="31" t="s">
        <v>54</v>
      </c>
      <c r="I1038" s="31"/>
      <c r="J1038" s="26" t="s">
        <v>609</v>
      </c>
      <c r="K1038" s="27">
        <v>5000</v>
      </c>
      <c r="L1038" s="31" t="s">
        <v>601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598</v>
      </c>
      <c r="D1039" s="31" t="s">
        <v>452</v>
      </c>
      <c r="E1039" s="31" t="s">
        <v>612</v>
      </c>
      <c r="F1039" s="31" t="s">
        <v>740</v>
      </c>
      <c r="G1039" s="27">
        <v>11000</v>
      </c>
      <c r="H1039" s="31" t="s">
        <v>54</v>
      </c>
      <c r="I1039" s="31"/>
      <c r="J1039" s="26" t="s">
        <v>606</v>
      </c>
      <c r="K1039" s="27">
        <v>11000</v>
      </c>
      <c r="L1039" s="31" t="s">
        <v>601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716</v>
      </c>
      <c r="D1040" s="31" t="s">
        <v>907</v>
      </c>
      <c r="E1040" s="31"/>
      <c r="F1040" s="31" t="s">
        <v>657</v>
      </c>
      <c r="G1040" s="27">
        <v>55000</v>
      </c>
      <c r="H1040" s="31" t="s">
        <v>633</v>
      </c>
      <c r="I1040" s="31"/>
      <c r="J1040" s="26" t="s">
        <v>634</v>
      </c>
      <c r="K1040" s="27">
        <v>55000</v>
      </c>
      <c r="L1040" s="31" t="s">
        <v>601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907</v>
      </c>
      <c r="D1041" s="31" t="s">
        <v>716</v>
      </c>
      <c r="E1041" s="31"/>
      <c r="F1041" s="31" t="s">
        <v>657</v>
      </c>
      <c r="G1041" s="27">
        <v>55000</v>
      </c>
      <c r="H1041" s="31" t="s">
        <v>636</v>
      </c>
      <c r="I1041" s="31"/>
      <c r="J1041" s="26" t="s">
        <v>634</v>
      </c>
      <c r="K1041" s="27">
        <v>55000</v>
      </c>
      <c r="L1041" s="31" t="s">
        <v>601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598</v>
      </c>
      <c r="D1042" s="31" t="s">
        <v>625</v>
      </c>
      <c r="E1042" s="31"/>
      <c r="F1042" s="31" t="s">
        <v>626</v>
      </c>
      <c r="G1042" s="27">
        <v>10000</v>
      </c>
      <c r="H1042" s="31" t="s">
        <v>54</v>
      </c>
      <c r="I1042" s="31" t="s">
        <v>996</v>
      </c>
      <c r="J1042" s="26" t="s">
        <v>606</v>
      </c>
      <c r="K1042" s="27">
        <v>10000</v>
      </c>
      <c r="L1042" s="31" t="s">
        <v>601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598</v>
      </c>
      <c r="D1043" s="31" t="s">
        <v>452</v>
      </c>
      <c r="E1043" s="31" t="s">
        <v>603</v>
      </c>
      <c r="F1043" s="31" t="s">
        <v>604</v>
      </c>
      <c r="G1043" s="27">
        <v>1900</v>
      </c>
      <c r="H1043" s="31" t="s">
        <v>54</v>
      </c>
      <c r="I1043" s="31" t="s">
        <v>871</v>
      </c>
      <c r="J1043" s="26" t="s">
        <v>606</v>
      </c>
      <c r="K1043" s="27">
        <v>1900</v>
      </c>
      <c r="L1043" s="31" t="s">
        <v>601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598</v>
      </c>
      <c r="D1044" s="31" t="s">
        <v>705</v>
      </c>
      <c r="E1044" s="31"/>
      <c r="F1044" s="31" t="s">
        <v>717</v>
      </c>
      <c r="G1044" s="27">
        <v>12400</v>
      </c>
      <c r="H1044" s="31" t="s">
        <v>54</v>
      </c>
      <c r="I1044" s="31"/>
      <c r="J1044" s="26" t="s">
        <v>600</v>
      </c>
      <c r="K1044" s="27">
        <v>12400</v>
      </c>
      <c r="L1044" s="31" t="s">
        <v>601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598</v>
      </c>
      <c r="D1045" s="31" t="s">
        <v>453</v>
      </c>
      <c r="E1045" s="31"/>
      <c r="F1045" s="31" t="s">
        <v>453</v>
      </c>
      <c r="G1045" s="27">
        <v>5000</v>
      </c>
      <c r="H1045" s="31" t="s">
        <v>54</v>
      </c>
      <c r="I1045" s="31"/>
      <c r="J1045" s="26" t="s">
        <v>609</v>
      </c>
      <c r="K1045" s="27">
        <v>5000</v>
      </c>
      <c r="L1045" s="31" t="s">
        <v>601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598</v>
      </c>
      <c r="D1046" s="31" t="s">
        <v>453</v>
      </c>
      <c r="E1046" s="31"/>
      <c r="F1046" s="31" t="s">
        <v>453</v>
      </c>
      <c r="G1046" s="27">
        <v>5000</v>
      </c>
      <c r="H1046" s="31" t="s">
        <v>54</v>
      </c>
      <c r="I1046" s="31"/>
      <c r="J1046" s="26" t="s">
        <v>609</v>
      </c>
      <c r="K1046" s="27">
        <v>5000</v>
      </c>
      <c r="L1046" s="31" t="s">
        <v>601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598</v>
      </c>
      <c r="D1047" s="31" t="s">
        <v>452</v>
      </c>
      <c r="E1047" s="31" t="s">
        <v>603</v>
      </c>
      <c r="F1047" s="31" t="s">
        <v>604</v>
      </c>
      <c r="G1047" s="27">
        <v>4300</v>
      </c>
      <c r="H1047" s="31" t="s">
        <v>54</v>
      </c>
      <c r="I1047" s="31" t="s">
        <v>997</v>
      </c>
      <c r="J1047" s="26" t="s">
        <v>606</v>
      </c>
      <c r="K1047" s="27">
        <v>4300</v>
      </c>
      <c r="L1047" s="31" t="s">
        <v>601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598</v>
      </c>
      <c r="D1048" s="31" t="s">
        <v>705</v>
      </c>
      <c r="E1048" s="31"/>
      <c r="F1048" s="31" t="s">
        <v>123</v>
      </c>
      <c r="G1048" s="27">
        <v>16500</v>
      </c>
      <c r="H1048" s="31" t="s">
        <v>54</v>
      </c>
      <c r="I1048" s="31"/>
      <c r="J1048" s="26" t="s">
        <v>600</v>
      </c>
      <c r="K1048" s="27">
        <v>16500</v>
      </c>
      <c r="L1048" s="31" t="s">
        <v>601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187</v>
      </c>
      <c r="D1049" s="31" t="s">
        <v>907</v>
      </c>
      <c r="E1049" s="31"/>
      <c r="F1049" s="31" t="s">
        <v>72</v>
      </c>
      <c r="G1049" s="27">
        <v>50000</v>
      </c>
      <c r="H1049" s="31" t="s">
        <v>636</v>
      </c>
      <c r="I1049" s="31"/>
      <c r="J1049" s="26" t="s">
        <v>634</v>
      </c>
      <c r="K1049" s="27">
        <v>50000</v>
      </c>
      <c r="L1049" s="31" t="s">
        <v>601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907</v>
      </c>
      <c r="D1050" s="31" t="s">
        <v>187</v>
      </c>
      <c r="E1050" s="31"/>
      <c r="F1050" s="31" t="s">
        <v>72</v>
      </c>
      <c r="G1050" s="27">
        <v>50000</v>
      </c>
      <c r="H1050" s="31" t="s">
        <v>633</v>
      </c>
      <c r="I1050" s="31"/>
      <c r="J1050" s="26" t="s">
        <v>634</v>
      </c>
      <c r="K1050" s="27">
        <v>50000</v>
      </c>
      <c r="L1050" s="31" t="s">
        <v>601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907</v>
      </c>
      <c r="D1051" s="31" t="s">
        <v>19</v>
      </c>
      <c r="E1051" s="31"/>
      <c r="F1051" s="31" t="s">
        <v>964</v>
      </c>
      <c r="G1051" s="27">
        <v>5816</v>
      </c>
      <c r="H1051" s="31" t="s">
        <v>397</v>
      </c>
      <c r="I1051" s="31"/>
      <c r="J1051" s="26" t="s">
        <v>653</v>
      </c>
      <c r="K1051" s="27">
        <v>5816</v>
      </c>
      <c r="L1051" s="31" t="s">
        <v>601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907</v>
      </c>
      <c r="D1052" s="31" t="s">
        <v>187</v>
      </c>
      <c r="E1052" s="31"/>
      <c r="F1052" s="31" t="s">
        <v>72</v>
      </c>
      <c r="G1052" s="27">
        <v>313980</v>
      </c>
      <c r="H1052" s="31" t="s">
        <v>636</v>
      </c>
      <c r="I1052" s="31" t="s">
        <v>998</v>
      </c>
      <c r="J1052" s="26" t="s">
        <v>634</v>
      </c>
      <c r="K1052" s="27">
        <v>313980</v>
      </c>
      <c r="L1052" s="31" t="s">
        <v>601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187</v>
      </c>
      <c r="D1053" s="31" t="s">
        <v>907</v>
      </c>
      <c r="E1053" s="31"/>
      <c r="F1053" s="31" t="s">
        <v>72</v>
      </c>
      <c r="G1053" s="27">
        <v>313980</v>
      </c>
      <c r="H1053" s="31" t="s">
        <v>633</v>
      </c>
      <c r="I1053" s="31" t="s">
        <v>998</v>
      </c>
      <c r="J1053" s="26" t="s">
        <v>634</v>
      </c>
      <c r="K1053" s="27">
        <v>313980</v>
      </c>
      <c r="L1053" s="31" t="s">
        <v>601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598</v>
      </c>
      <c r="D1054" s="31" t="s">
        <v>741</v>
      </c>
      <c r="E1054" s="31" t="s">
        <v>457</v>
      </c>
      <c r="F1054" s="31" t="s">
        <v>845</v>
      </c>
      <c r="G1054" s="27">
        <v>1500</v>
      </c>
      <c r="H1054" s="31" t="s">
        <v>54</v>
      </c>
      <c r="I1054" s="31"/>
      <c r="J1054" s="26" t="s">
        <v>614</v>
      </c>
      <c r="K1054" s="27">
        <v>1500</v>
      </c>
      <c r="L1054" s="31" t="s">
        <v>601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681</v>
      </c>
      <c r="D1055" s="31" t="s">
        <v>625</v>
      </c>
      <c r="E1055" s="31"/>
      <c r="F1055" s="31" t="s">
        <v>365</v>
      </c>
      <c r="G1055" s="27">
        <v>5890</v>
      </c>
      <c r="H1055" s="31" t="s">
        <v>54</v>
      </c>
      <c r="I1055" s="31" t="s">
        <v>999</v>
      </c>
      <c r="J1055" s="26" t="s">
        <v>606</v>
      </c>
      <c r="K1055" s="27">
        <v>5890</v>
      </c>
      <c r="L1055" s="31" t="s">
        <v>601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598</v>
      </c>
      <c r="D1056" s="31" t="s">
        <v>452</v>
      </c>
      <c r="E1056" s="31" t="s">
        <v>733</v>
      </c>
      <c r="F1056" s="31" t="s">
        <v>1000</v>
      </c>
      <c r="G1056" s="27">
        <v>8900</v>
      </c>
      <c r="H1056" s="31" t="s">
        <v>54</v>
      </c>
      <c r="I1056" s="31"/>
      <c r="J1056" s="26" t="s">
        <v>606</v>
      </c>
      <c r="K1056" s="27">
        <v>8900</v>
      </c>
      <c r="L1056" s="31" t="s">
        <v>601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598</v>
      </c>
      <c r="D1057" s="31" t="s">
        <v>453</v>
      </c>
      <c r="E1057" s="31"/>
      <c r="F1057" s="31" t="s">
        <v>453</v>
      </c>
      <c r="G1057" s="27">
        <v>5000</v>
      </c>
      <c r="H1057" s="31" t="s">
        <v>54</v>
      </c>
      <c r="I1057" s="31"/>
      <c r="J1057" s="26" t="s">
        <v>609</v>
      </c>
      <c r="K1057" s="27">
        <v>5000</v>
      </c>
      <c r="L1057" s="31" t="s">
        <v>601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598</v>
      </c>
      <c r="D1058" s="31" t="s">
        <v>452</v>
      </c>
      <c r="E1058" s="31" t="s">
        <v>612</v>
      </c>
      <c r="F1058" s="31" t="s">
        <v>833</v>
      </c>
      <c r="G1058" s="27">
        <v>7500</v>
      </c>
      <c r="H1058" s="31" t="s">
        <v>54</v>
      </c>
      <c r="I1058" s="31"/>
      <c r="J1058" s="26" t="s">
        <v>606</v>
      </c>
      <c r="K1058" s="27">
        <v>7500</v>
      </c>
      <c r="L1058" s="31" t="s">
        <v>601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598</v>
      </c>
      <c r="D1059" s="31" t="s">
        <v>452</v>
      </c>
      <c r="E1059" s="31" t="s">
        <v>714</v>
      </c>
      <c r="F1059" s="31" t="s">
        <v>604</v>
      </c>
      <c r="G1059" s="27">
        <v>600</v>
      </c>
      <c r="H1059" s="31" t="s">
        <v>54</v>
      </c>
      <c r="I1059" s="31" t="s">
        <v>758</v>
      </c>
      <c r="J1059" s="26" t="s">
        <v>606</v>
      </c>
      <c r="K1059" s="27">
        <v>600</v>
      </c>
      <c r="L1059" s="31" t="s">
        <v>601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187</v>
      </c>
      <c r="D1060" s="31" t="s">
        <v>19</v>
      </c>
      <c r="E1060" s="31"/>
      <c r="F1060" s="31" t="s">
        <v>1001</v>
      </c>
      <c r="G1060" s="27">
        <v>313980</v>
      </c>
      <c r="H1060" s="31" t="s">
        <v>54</v>
      </c>
      <c r="I1060" s="31" t="s">
        <v>1002</v>
      </c>
      <c r="J1060" s="26" t="s">
        <v>60</v>
      </c>
      <c r="K1060" s="27">
        <v>313980</v>
      </c>
      <c r="L1060" s="31" t="s">
        <v>601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598</v>
      </c>
      <c r="D1061" s="31" t="s">
        <v>453</v>
      </c>
      <c r="E1061" s="31"/>
      <c r="F1061" s="31" t="s">
        <v>453</v>
      </c>
      <c r="G1061" s="27">
        <v>5000</v>
      </c>
      <c r="H1061" s="31" t="s">
        <v>54</v>
      </c>
      <c r="I1061" s="31"/>
      <c r="J1061" s="26" t="s">
        <v>609</v>
      </c>
      <c r="K1061" s="27">
        <v>5000</v>
      </c>
      <c r="L1061" s="31" t="s">
        <v>601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598</v>
      </c>
      <c r="D1062" s="31" t="s">
        <v>452</v>
      </c>
      <c r="E1062" s="31" t="s">
        <v>612</v>
      </c>
      <c r="F1062" s="31" t="s">
        <v>731</v>
      </c>
      <c r="G1062" s="27">
        <v>11000</v>
      </c>
      <c r="H1062" s="31" t="s">
        <v>54</v>
      </c>
      <c r="I1062" s="31"/>
      <c r="J1062" s="26" t="s">
        <v>606</v>
      </c>
      <c r="K1062" s="27">
        <v>11000</v>
      </c>
      <c r="L1062" s="31" t="s">
        <v>601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598</v>
      </c>
      <c r="D1063" s="31" t="s">
        <v>453</v>
      </c>
      <c r="E1063" s="31"/>
      <c r="F1063" s="31" t="s">
        <v>453</v>
      </c>
      <c r="G1063" s="27">
        <v>5000</v>
      </c>
      <c r="H1063" s="31" t="s">
        <v>54</v>
      </c>
      <c r="I1063" s="31"/>
      <c r="J1063" s="26" t="s">
        <v>609</v>
      </c>
      <c r="K1063" s="27">
        <v>5000</v>
      </c>
      <c r="L1063" s="31" t="s">
        <v>601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598</v>
      </c>
      <c r="D1064" s="31" t="s">
        <v>452</v>
      </c>
      <c r="E1064" s="31" t="s">
        <v>612</v>
      </c>
      <c r="F1064" s="31" t="s">
        <v>1003</v>
      </c>
      <c r="G1064" s="27">
        <v>51200</v>
      </c>
      <c r="H1064" s="31" t="s">
        <v>54</v>
      </c>
      <c r="I1064" s="31"/>
      <c r="J1064" s="26" t="s">
        <v>606</v>
      </c>
      <c r="K1064" s="27">
        <v>51200</v>
      </c>
      <c r="L1064" s="31" t="s">
        <v>601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187</v>
      </c>
      <c r="D1065" s="31" t="s">
        <v>452</v>
      </c>
      <c r="E1065" s="31" t="s">
        <v>612</v>
      </c>
      <c r="F1065" s="31" t="s">
        <v>1004</v>
      </c>
      <c r="G1065" s="27">
        <v>-34100</v>
      </c>
      <c r="H1065" s="31" t="s">
        <v>54</v>
      </c>
      <c r="I1065" s="31"/>
      <c r="J1065" s="26" t="s">
        <v>606</v>
      </c>
      <c r="K1065" s="27">
        <v>-34100</v>
      </c>
      <c r="L1065" s="31" t="s">
        <v>601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598</v>
      </c>
      <c r="D1066" s="31" t="s">
        <v>672</v>
      </c>
      <c r="E1066" s="31" t="s">
        <v>1005</v>
      </c>
      <c r="F1066" s="31" t="s">
        <v>1006</v>
      </c>
      <c r="G1066" s="27">
        <v>49585</v>
      </c>
      <c r="H1066" s="31" t="s">
        <v>54</v>
      </c>
      <c r="I1066" s="31"/>
      <c r="J1066" s="26" t="s">
        <v>606</v>
      </c>
      <c r="K1066" s="27">
        <v>49585</v>
      </c>
      <c r="L1066" s="31" t="s">
        <v>601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1007</v>
      </c>
      <c r="D1067" s="31" t="s">
        <v>644</v>
      </c>
      <c r="E1067" s="31"/>
      <c r="F1067" s="31" t="s">
        <v>1008</v>
      </c>
      <c r="G1067" s="27">
        <v>100000</v>
      </c>
      <c r="H1067" s="31" t="s">
        <v>397</v>
      </c>
      <c r="I1067" s="31" t="s">
        <v>1009</v>
      </c>
      <c r="J1067" s="26" t="s">
        <v>644</v>
      </c>
      <c r="K1067" s="27">
        <v>100000</v>
      </c>
      <c r="L1067" s="31" t="s">
        <v>601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598</v>
      </c>
      <c r="D1068" s="31" t="s">
        <v>453</v>
      </c>
      <c r="E1068" s="31"/>
      <c r="F1068" s="31" t="s">
        <v>453</v>
      </c>
      <c r="G1068" s="27">
        <v>5000</v>
      </c>
      <c r="H1068" s="31" t="s">
        <v>54</v>
      </c>
      <c r="I1068" s="31"/>
      <c r="J1068" s="26" t="s">
        <v>609</v>
      </c>
      <c r="K1068" s="27">
        <v>5000</v>
      </c>
      <c r="L1068" s="31" t="s">
        <v>601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598</v>
      </c>
      <c r="D1069" s="31" t="s">
        <v>452</v>
      </c>
      <c r="E1069" s="31" t="s">
        <v>612</v>
      </c>
      <c r="F1069" s="31" t="s">
        <v>1010</v>
      </c>
      <c r="G1069" s="27">
        <v>30000</v>
      </c>
      <c r="H1069" s="31" t="s">
        <v>54</v>
      </c>
      <c r="I1069" s="31"/>
      <c r="J1069" s="26" t="s">
        <v>606</v>
      </c>
      <c r="K1069" s="27">
        <v>30000</v>
      </c>
      <c r="L1069" s="31" t="s">
        <v>601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598</v>
      </c>
      <c r="D1070" s="31" t="s">
        <v>669</v>
      </c>
      <c r="E1070" s="31"/>
      <c r="F1070" s="31" t="s">
        <v>1011</v>
      </c>
      <c r="G1070" s="27">
        <v>2000</v>
      </c>
      <c r="H1070" s="31" t="s">
        <v>54</v>
      </c>
      <c r="I1070" s="31" t="s">
        <v>1012</v>
      </c>
      <c r="J1070" s="26" t="s">
        <v>617</v>
      </c>
      <c r="K1070" s="27">
        <v>2000</v>
      </c>
      <c r="L1070" s="31" t="s">
        <v>601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598</v>
      </c>
      <c r="D1071" s="31" t="s">
        <v>453</v>
      </c>
      <c r="E1071" s="31"/>
      <c r="F1071" s="31" t="s">
        <v>453</v>
      </c>
      <c r="G1071" s="27">
        <v>5000</v>
      </c>
      <c r="H1071" s="31" t="s">
        <v>54</v>
      </c>
      <c r="I1071" s="31"/>
      <c r="J1071" s="26" t="s">
        <v>609</v>
      </c>
      <c r="K1071" s="27">
        <v>5000</v>
      </c>
      <c r="L1071" s="31" t="s">
        <v>601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598</v>
      </c>
      <c r="D1072" s="31" t="s">
        <v>669</v>
      </c>
      <c r="E1072" s="31"/>
      <c r="F1072" s="31" t="s">
        <v>766</v>
      </c>
      <c r="G1072" s="27">
        <v>30000</v>
      </c>
      <c r="H1072" s="31" t="s">
        <v>54</v>
      </c>
      <c r="I1072" s="31" t="s">
        <v>1013</v>
      </c>
      <c r="J1072" s="26" t="s">
        <v>617</v>
      </c>
      <c r="K1072" s="27">
        <v>30000</v>
      </c>
      <c r="L1072" s="31" t="s">
        <v>601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632</v>
      </c>
      <c r="D1073" s="31" t="s">
        <v>57</v>
      </c>
      <c r="E1073" s="31"/>
      <c r="F1073" s="31" t="s">
        <v>57</v>
      </c>
      <c r="G1073" s="27">
        <v>2785740</v>
      </c>
      <c r="H1073" s="31" t="s">
        <v>397</v>
      </c>
      <c r="I1073" s="31"/>
      <c r="J1073" s="26" t="s">
        <v>57</v>
      </c>
      <c r="K1073" s="27">
        <v>2785740</v>
      </c>
      <c r="L1073" s="31" t="s">
        <v>601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1007</v>
      </c>
      <c r="D1074" s="31" t="s">
        <v>452</v>
      </c>
      <c r="E1074" s="31" t="s">
        <v>603</v>
      </c>
      <c r="F1074" s="31" t="s">
        <v>713</v>
      </c>
      <c r="G1074" s="27">
        <v>5200</v>
      </c>
      <c r="H1074" s="31" t="s">
        <v>54</v>
      </c>
      <c r="I1074" s="31"/>
      <c r="J1074" s="26" t="s">
        <v>606</v>
      </c>
      <c r="K1074" s="27">
        <v>5200</v>
      </c>
      <c r="L1074" s="31" t="s">
        <v>1007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598</v>
      </c>
      <c r="D1075" s="31" t="s">
        <v>452</v>
      </c>
      <c r="E1075" s="31" t="s">
        <v>603</v>
      </c>
      <c r="F1075" s="31" t="s">
        <v>643</v>
      </c>
      <c r="G1075" s="27">
        <v>3600</v>
      </c>
      <c r="H1075" s="31" t="s">
        <v>54</v>
      </c>
      <c r="I1075" s="31"/>
      <c r="J1075" s="26" t="s">
        <v>606</v>
      </c>
      <c r="K1075" s="27">
        <v>3600</v>
      </c>
      <c r="L1075" s="31" t="s">
        <v>601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598</v>
      </c>
      <c r="D1076" s="31" t="s">
        <v>741</v>
      </c>
      <c r="E1076" s="31" t="s">
        <v>457</v>
      </c>
      <c r="F1076" s="31" t="s">
        <v>670</v>
      </c>
      <c r="G1076" s="27">
        <v>18900</v>
      </c>
      <c r="H1076" s="31" t="s">
        <v>54</v>
      </c>
      <c r="I1076" s="31" t="s">
        <v>1014</v>
      </c>
      <c r="J1076" s="26" t="s">
        <v>614</v>
      </c>
      <c r="K1076" s="27">
        <v>18900</v>
      </c>
      <c r="L1076" s="31" t="s">
        <v>601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436</v>
      </c>
      <c r="D1077" s="31" t="s">
        <v>19</v>
      </c>
      <c r="E1077" s="31"/>
      <c r="F1077" s="31" t="s">
        <v>846</v>
      </c>
      <c r="G1077" s="27">
        <v>789</v>
      </c>
      <c r="H1077" s="31" t="s">
        <v>397</v>
      </c>
      <c r="I1077" s="31"/>
      <c r="J1077" s="26" t="s">
        <v>653</v>
      </c>
      <c r="K1077" s="27">
        <v>789</v>
      </c>
      <c r="L1077" s="31" t="s">
        <v>601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1007</v>
      </c>
      <c r="D1078" s="31" t="s">
        <v>453</v>
      </c>
      <c r="E1078" s="31"/>
      <c r="F1078" s="31" t="s">
        <v>453</v>
      </c>
      <c r="G1078" s="27">
        <v>5000</v>
      </c>
      <c r="H1078" s="31" t="s">
        <v>54</v>
      </c>
      <c r="I1078" s="31"/>
      <c r="J1078" s="26" t="s">
        <v>609</v>
      </c>
      <c r="K1078" s="27">
        <v>5000</v>
      </c>
      <c r="L1078" s="31" t="s">
        <v>1007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1007</v>
      </c>
      <c r="D1079" s="31" t="s">
        <v>452</v>
      </c>
      <c r="E1079" s="31" t="s">
        <v>603</v>
      </c>
      <c r="F1079" s="31" t="s">
        <v>604</v>
      </c>
      <c r="G1079" s="27">
        <v>3400</v>
      </c>
      <c r="H1079" s="31" t="s">
        <v>54</v>
      </c>
      <c r="I1079" s="31" t="s">
        <v>827</v>
      </c>
      <c r="J1079" s="26" t="s">
        <v>606</v>
      </c>
      <c r="K1079" s="27">
        <v>3400</v>
      </c>
      <c r="L1079" s="31" t="s">
        <v>1007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1007</v>
      </c>
      <c r="D1080" s="31" t="s">
        <v>735</v>
      </c>
      <c r="E1080" s="31"/>
      <c r="F1080" s="31" t="s">
        <v>891</v>
      </c>
      <c r="G1080" s="27">
        <v>10000</v>
      </c>
      <c r="H1080" s="31" t="s">
        <v>54</v>
      </c>
      <c r="I1080" s="31" t="s">
        <v>892</v>
      </c>
      <c r="J1080" s="26" t="s">
        <v>606</v>
      </c>
      <c r="K1080" s="27">
        <v>10000</v>
      </c>
      <c r="L1080" s="31" t="s">
        <v>1007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1007</v>
      </c>
      <c r="D1081" s="31" t="s">
        <v>452</v>
      </c>
      <c r="E1081" s="31" t="s">
        <v>603</v>
      </c>
      <c r="F1081" s="31" t="s">
        <v>604</v>
      </c>
      <c r="G1081" s="27">
        <v>2750</v>
      </c>
      <c r="H1081" s="31" t="s">
        <v>54</v>
      </c>
      <c r="I1081" s="31" t="s">
        <v>1015</v>
      </c>
      <c r="J1081" s="26" t="s">
        <v>606</v>
      </c>
      <c r="K1081" s="27">
        <v>2750</v>
      </c>
      <c r="L1081" s="31" t="s">
        <v>1007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598</v>
      </c>
      <c r="D1082" s="31" t="s">
        <v>741</v>
      </c>
      <c r="E1082" s="31" t="s">
        <v>457</v>
      </c>
      <c r="F1082" s="31" t="s">
        <v>1016</v>
      </c>
      <c r="G1082" s="27">
        <v>10500</v>
      </c>
      <c r="H1082" s="31" t="s">
        <v>54</v>
      </c>
      <c r="I1082" s="31"/>
      <c r="J1082" s="26" t="s">
        <v>614</v>
      </c>
      <c r="K1082" s="27">
        <v>10500</v>
      </c>
      <c r="L1082" s="31" t="s">
        <v>601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598</v>
      </c>
      <c r="D1083" s="31" t="s">
        <v>362</v>
      </c>
      <c r="E1083" s="31"/>
      <c r="F1083" s="31" t="s">
        <v>746</v>
      </c>
      <c r="G1083" s="27">
        <v>6318</v>
      </c>
      <c r="H1083" s="31" t="s">
        <v>54</v>
      </c>
      <c r="I1083" s="31" t="s">
        <v>747</v>
      </c>
      <c r="J1083" s="26" t="s">
        <v>600</v>
      </c>
      <c r="K1083" s="27">
        <v>6318</v>
      </c>
      <c r="L1083" s="31" t="s">
        <v>601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1007</v>
      </c>
      <c r="D1084" s="31" t="s">
        <v>453</v>
      </c>
      <c r="E1084" s="31"/>
      <c r="F1084" s="31" t="s">
        <v>453</v>
      </c>
      <c r="G1084" s="27">
        <v>5000</v>
      </c>
      <c r="H1084" s="31" t="s">
        <v>54</v>
      </c>
      <c r="I1084" s="31"/>
      <c r="J1084" s="26" t="s">
        <v>609</v>
      </c>
      <c r="K1084" s="27">
        <v>5000</v>
      </c>
      <c r="L1084" s="31" t="s">
        <v>1007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1007</v>
      </c>
      <c r="D1085" s="31" t="s">
        <v>452</v>
      </c>
      <c r="E1085" s="31" t="s">
        <v>714</v>
      </c>
      <c r="F1085" s="31" t="s">
        <v>604</v>
      </c>
      <c r="G1085" s="27">
        <v>10200</v>
      </c>
      <c r="H1085" s="31" t="s">
        <v>54</v>
      </c>
      <c r="I1085" s="31" t="s">
        <v>1017</v>
      </c>
      <c r="J1085" s="26" t="s">
        <v>606</v>
      </c>
      <c r="K1085" s="27">
        <v>10200</v>
      </c>
      <c r="L1085" s="31" t="s">
        <v>1007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1007</v>
      </c>
      <c r="D1086" s="31" t="s">
        <v>452</v>
      </c>
      <c r="E1086" s="31" t="s">
        <v>714</v>
      </c>
      <c r="F1086" s="31" t="s">
        <v>604</v>
      </c>
      <c r="G1086" s="27">
        <v>900</v>
      </c>
      <c r="H1086" s="31" t="s">
        <v>54</v>
      </c>
      <c r="I1086" s="31" t="s">
        <v>1018</v>
      </c>
      <c r="J1086" s="26" t="s">
        <v>606</v>
      </c>
      <c r="K1086" s="27">
        <v>900</v>
      </c>
      <c r="L1086" s="31" t="s">
        <v>1007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632</v>
      </c>
      <c r="D1087" s="31" t="s">
        <v>907</v>
      </c>
      <c r="E1087" s="31"/>
      <c r="F1087" s="31" t="s">
        <v>72</v>
      </c>
      <c r="G1087" s="27">
        <v>2785740</v>
      </c>
      <c r="H1087" s="31" t="s">
        <v>636</v>
      </c>
      <c r="I1087" s="31"/>
      <c r="J1087" s="26" t="s">
        <v>634</v>
      </c>
      <c r="K1087" s="27">
        <v>2785740</v>
      </c>
      <c r="L1087" s="31" t="s">
        <v>601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907</v>
      </c>
      <c r="D1088" s="31" t="s">
        <v>632</v>
      </c>
      <c r="E1088" s="31"/>
      <c r="F1088" s="31" t="s">
        <v>72</v>
      </c>
      <c r="G1088" s="27">
        <v>2785740</v>
      </c>
      <c r="H1088" s="31" t="s">
        <v>633</v>
      </c>
      <c r="I1088" s="31"/>
      <c r="J1088" s="26" t="s">
        <v>634</v>
      </c>
      <c r="K1088" s="27">
        <v>2785740</v>
      </c>
      <c r="L1088" s="31" t="s">
        <v>601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907</v>
      </c>
      <c r="D1089" s="31" t="s">
        <v>753</v>
      </c>
      <c r="E1089" s="31"/>
      <c r="F1089" s="31" t="s">
        <v>72</v>
      </c>
      <c r="G1089" s="27">
        <v>200000</v>
      </c>
      <c r="H1089" s="31" t="s">
        <v>636</v>
      </c>
      <c r="I1089" s="31"/>
      <c r="J1089" s="26" t="s">
        <v>671</v>
      </c>
      <c r="K1089" s="27">
        <v>200000</v>
      </c>
      <c r="L1089" s="31" t="s">
        <v>601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753</v>
      </c>
      <c r="D1090" s="31" t="s">
        <v>907</v>
      </c>
      <c r="E1090" s="31"/>
      <c r="F1090" s="31" t="s">
        <v>72</v>
      </c>
      <c r="G1090" s="27">
        <v>200000</v>
      </c>
      <c r="H1090" s="31" t="s">
        <v>633</v>
      </c>
      <c r="I1090" s="31"/>
      <c r="J1090" s="26" t="s">
        <v>634</v>
      </c>
      <c r="K1090" s="27">
        <v>200000</v>
      </c>
      <c r="L1090" s="31" t="s">
        <v>601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907</v>
      </c>
      <c r="D1091" s="31" t="s">
        <v>436</v>
      </c>
      <c r="E1091" s="31"/>
      <c r="F1091" s="31" t="s">
        <v>72</v>
      </c>
      <c r="G1091" s="27">
        <v>20000</v>
      </c>
      <c r="H1091" s="31" t="s">
        <v>636</v>
      </c>
      <c r="I1091" s="31"/>
      <c r="J1091" s="26" t="s">
        <v>668</v>
      </c>
      <c r="K1091" s="27">
        <v>20000</v>
      </c>
      <c r="L1091" s="31" t="s">
        <v>601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436</v>
      </c>
      <c r="D1092" s="31" t="s">
        <v>907</v>
      </c>
      <c r="E1092" s="31"/>
      <c r="F1092" s="31" t="s">
        <v>72</v>
      </c>
      <c r="G1092" s="27">
        <v>20000</v>
      </c>
      <c r="H1092" s="31" t="s">
        <v>633</v>
      </c>
      <c r="I1092" s="31"/>
      <c r="J1092" s="26" t="s">
        <v>634</v>
      </c>
      <c r="K1092" s="27">
        <v>20000</v>
      </c>
      <c r="L1092" s="31" t="s">
        <v>601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436</v>
      </c>
      <c r="D1093" s="31" t="s">
        <v>650</v>
      </c>
      <c r="E1093" s="31"/>
      <c r="F1093" s="31" t="s">
        <v>687</v>
      </c>
      <c r="G1093" s="27">
        <v>40000</v>
      </c>
      <c r="H1093" s="31" t="s">
        <v>397</v>
      </c>
      <c r="I1093" s="31"/>
      <c r="J1093" s="26" t="s">
        <v>650</v>
      </c>
      <c r="K1093" s="27">
        <v>40000</v>
      </c>
      <c r="L1093" s="31" t="s">
        <v>601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907</v>
      </c>
      <c r="D1094" s="31" t="s">
        <v>751</v>
      </c>
      <c r="E1094" s="31"/>
      <c r="F1094" s="31" t="s">
        <v>72</v>
      </c>
      <c r="G1094" s="27">
        <v>150000</v>
      </c>
      <c r="H1094" s="31" t="s">
        <v>636</v>
      </c>
      <c r="I1094" s="31"/>
      <c r="J1094" s="26" t="s">
        <v>658</v>
      </c>
      <c r="K1094" s="27">
        <v>150000</v>
      </c>
      <c r="L1094" s="31" t="s">
        <v>601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751</v>
      </c>
      <c r="D1095" s="31" t="s">
        <v>907</v>
      </c>
      <c r="E1095" s="31"/>
      <c r="F1095" s="31" t="s">
        <v>72</v>
      </c>
      <c r="G1095" s="27">
        <v>150000</v>
      </c>
      <c r="H1095" s="31" t="s">
        <v>633</v>
      </c>
      <c r="I1095" s="31"/>
      <c r="J1095" s="26" t="s">
        <v>634</v>
      </c>
      <c r="K1095" s="27">
        <v>150000</v>
      </c>
      <c r="L1095" s="31" t="s">
        <v>601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404</v>
      </c>
      <c r="D1096" s="31" t="s">
        <v>907</v>
      </c>
      <c r="E1096" s="31"/>
      <c r="F1096" s="31" t="s">
        <v>72</v>
      </c>
      <c r="G1096" s="27">
        <v>20000</v>
      </c>
      <c r="H1096" s="31" t="s">
        <v>633</v>
      </c>
      <c r="I1096" s="31"/>
      <c r="J1096" s="26" t="s">
        <v>634</v>
      </c>
      <c r="K1096" s="27">
        <v>20000</v>
      </c>
      <c r="L1096" s="31" t="s">
        <v>601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907</v>
      </c>
      <c r="D1097" s="31" t="s">
        <v>404</v>
      </c>
      <c r="E1097" s="31"/>
      <c r="F1097" s="31" t="s">
        <v>72</v>
      </c>
      <c r="G1097" s="27">
        <v>20000</v>
      </c>
      <c r="H1097" s="31" t="s">
        <v>636</v>
      </c>
      <c r="I1097" s="31"/>
      <c r="J1097" s="26" t="s">
        <v>659</v>
      </c>
      <c r="K1097" s="27">
        <v>20000</v>
      </c>
      <c r="L1097" s="31" t="s">
        <v>601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835</v>
      </c>
      <c r="D1098" s="31" t="s">
        <v>907</v>
      </c>
      <c r="E1098" s="31"/>
      <c r="F1098" s="31" t="s">
        <v>72</v>
      </c>
      <c r="G1098" s="27">
        <v>60000</v>
      </c>
      <c r="H1098" s="31" t="s">
        <v>633</v>
      </c>
      <c r="I1098" s="31"/>
      <c r="J1098" s="26" t="s">
        <v>634</v>
      </c>
      <c r="K1098" s="27">
        <v>60000</v>
      </c>
      <c r="L1098" s="31" t="s">
        <v>601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907</v>
      </c>
      <c r="D1099" s="31" t="s">
        <v>835</v>
      </c>
      <c r="E1099" s="31"/>
      <c r="F1099" s="31" t="s">
        <v>72</v>
      </c>
      <c r="G1099" s="27">
        <v>60000</v>
      </c>
      <c r="H1099" s="31" t="s">
        <v>636</v>
      </c>
      <c r="I1099" s="31"/>
      <c r="J1099" s="26" t="s">
        <v>662</v>
      </c>
      <c r="K1099" s="27">
        <v>60000</v>
      </c>
      <c r="L1099" s="31" t="s">
        <v>601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907</v>
      </c>
      <c r="D1100" s="31" t="s">
        <v>834</v>
      </c>
      <c r="E1100" s="31"/>
      <c r="F1100" s="31" t="s">
        <v>72</v>
      </c>
      <c r="G1100" s="27">
        <v>60000</v>
      </c>
      <c r="H1100" s="31" t="s">
        <v>636</v>
      </c>
      <c r="I1100" s="31"/>
      <c r="J1100" s="26" t="s">
        <v>662</v>
      </c>
      <c r="K1100" s="27">
        <v>60000</v>
      </c>
      <c r="L1100" s="31" t="s">
        <v>601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834</v>
      </c>
      <c r="D1101" s="31" t="s">
        <v>907</v>
      </c>
      <c r="E1101" s="31"/>
      <c r="F1101" s="31" t="s">
        <v>72</v>
      </c>
      <c r="G1101" s="27">
        <v>60000</v>
      </c>
      <c r="H1101" s="31" t="s">
        <v>633</v>
      </c>
      <c r="I1101" s="31"/>
      <c r="J1101" s="26" t="s">
        <v>634</v>
      </c>
      <c r="K1101" s="27">
        <v>60000</v>
      </c>
      <c r="L1101" s="31" t="s">
        <v>601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834</v>
      </c>
      <c r="D1102" s="31" t="s">
        <v>635</v>
      </c>
      <c r="E1102" s="31"/>
      <c r="F1102" s="31" t="s">
        <v>865</v>
      </c>
      <c r="G1102" s="27">
        <v>58729</v>
      </c>
      <c r="H1102" s="31" t="s">
        <v>54</v>
      </c>
      <c r="I1102" s="31" t="s">
        <v>880</v>
      </c>
      <c r="J1102" s="26" t="s">
        <v>635</v>
      </c>
      <c r="K1102" s="27">
        <v>58729</v>
      </c>
      <c r="L1102" s="31" t="s">
        <v>601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835</v>
      </c>
      <c r="D1103" s="31" t="s">
        <v>635</v>
      </c>
      <c r="E1103" s="31"/>
      <c r="F1103" s="31" t="s">
        <v>865</v>
      </c>
      <c r="G1103" s="27">
        <v>53945</v>
      </c>
      <c r="H1103" s="31" t="s">
        <v>54</v>
      </c>
      <c r="I1103" s="31" t="s">
        <v>880</v>
      </c>
      <c r="J1103" s="26" t="s">
        <v>635</v>
      </c>
      <c r="K1103" s="27">
        <v>53945</v>
      </c>
      <c r="L1103" s="31" t="s">
        <v>601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907</v>
      </c>
      <c r="D1104" s="31" t="s">
        <v>19</v>
      </c>
      <c r="E1104" s="31"/>
      <c r="F1104" s="31" t="s">
        <v>964</v>
      </c>
      <c r="G1104" s="27">
        <v>1137</v>
      </c>
      <c r="H1104" s="31" t="s">
        <v>397</v>
      </c>
      <c r="I1104" s="31"/>
      <c r="J1104" s="26" t="s">
        <v>653</v>
      </c>
      <c r="K1104" s="27">
        <v>1137</v>
      </c>
      <c r="L1104" s="31" t="s">
        <v>601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598</v>
      </c>
      <c r="D1105" s="31" t="s">
        <v>625</v>
      </c>
      <c r="E1105" s="31"/>
      <c r="F1105" s="31" t="s">
        <v>626</v>
      </c>
      <c r="G1105" s="27">
        <v>16200</v>
      </c>
      <c r="H1105" s="31" t="s">
        <v>54</v>
      </c>
      <c r="I1105" s="31"/>
      <c r="J1105" s="26" t="s">
        <v>606</v>
      </c>
      <c r="K1105" s="27">
        <v>16200</v>
      </c>
      <c r="L1105" s="31" t="s">
        <v>601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1007</v>
      </c>
      <c r="D1106" s="31" t="s">
        <v>741</v>
      </c>
      <c r="E1106" s="31" t="s">
        <v>1019</v>
      </c>
      <c r="F1106" s="31" t="s">
        <v>1020</v>
      </c>
      <c r="G1106" s="27">
        <v>15000</v>
      </c>
      <c r="H1106" s="31" t="s">
        <v>54</v>
      </c>
      <c r="I1106" s="31" t="s">
        <v>1021</v>
      </c>
      <c r="J1106" s="26" t="s">
        <v>614</v>
      </c>
      <c r="K1106" s="27">
        <v>15000</v>
      </c>
      <c r="L1106" s="31" t="s">
        <v>1007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598</v>
      </c>
      <c r="D1107" s="31" t="s">
        <v>771</v>
      </c>
      <c r="E1107" s="31"/>
      <c r="F1107" s="31" t="s">
        <v>923</v>
      </c>
      <c r="G1107" s="27">
        <v>13900</v>
      </c>
      <c r="H1107" s="31" t="s">
        <v>54</v>
      </c>
      <c r="I1107" s="31"/>
      <c r="J1107" s="26" t="s">
        <v>606</v>
      </c>
      <c r="K1107" s="27">
        <v>13900</v>
      </c>
      <c r="L1107" s="31" t="s">
        <v>601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1007</v>
      </c>
      <c r="D1108" s="31" t="s">
        <v>453</v>
      </c>
      <c r="E1108" s="31"/>
      <c r="F1108" s="31" t="s">
        <v>453</v>
      </c>
      <c r="G1108" s="27">
        <v>5000</v>
      </c>
      <c r="H1108" s="31" t="s">
        <v>54</v>
      </c>
      <c r="I1108" s="31"/>
      <c r="J1108" s="26" t="s">
        <v>609</v>
      </c>
      <c r="K1108" s="27">
        <v>5000</v>
      </c>
      <c r="L1108" s="31" t="s">
        <v>1007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598</v>
      </c>
      <c r="D1109" s="31" t="s">
        <v>669</v>
      </c>
      <c r="E1109" s="31"/>
      <c r="F1109" s="31" t="s">
        <v>825</v>
      </c>
      <c r="G1109" s="27">
        <v>4960</v>
      </c>
      <c r="H1109" s="31" t="s">
        <v>54</v>
      </c>
      <c r="I1109" s="31"/>
      <c r="J1109" s="26" t="s">
        <v>617</v>
      </c>
      <c r="K1109" s="27">
        <v>4960</v>
      </c>
      <c r="L1109" s="31" t="s">
        <v>601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1007</v>
      </c>
      <c r="D1110" s="31" t="s">
        <v>452</v>
      </c>
      <c r="E1110" s="31" t="s">
        <v>714</v>
      </c>
      <c r="F1110" s="31" t="s">
        <v>604</v>
      </c>
      <c r="G1110" s="27">
        <v>9300</v>
      </c>
      <c r="H1110" s="31" t="s">
        <v>54</v>
      </c>
      <c r="I1110" s="31"/>
      <c r="J1110" s="26" t="s">
        <v>606</v>
      </c>
      <c r="K1110" s="27">
        <v>9300</v>
      </c>
      <c r="L1110" s="31" t="s">
        <v>1007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598</v>
      </c>
      <c r="D1111" s="31" t="s">
        <v>625</v>
      </c>
      <c r="E1111" s="31"/>
      <c r="F1111" s="31" t="s">
        <v>626</v>
      </c>
      <c r="G1111" s="27">
        <v>10500</v>
      </c>
      <c r="H1111" s="31" t="s">
        <v>54</v>
      </c>
      <c r="I1111" s="31"/>
      <c r="J1111" s="26" t="s">
        <v>606</v>
      </c>
      <c r="K1111" s="27">
        <v>10500</v>
      </c>
      <c r="L1111" s="31" t="s">
        <v>601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681</v>
      </c>
      <c r="D1112" s="31" t="s">
        <v>452</v>
      </c>
      <c r="E1112" s="31" t="s">
        <v>621</v>
      </c>
      <c r="F1112" s="31" t="s">
        <v>682</v>
      </c>
      <c r="G1112" s="27">
        <v>13900</v>
      </c>
      <c r="H1112" s="31" t="s">
        <v>54</v>
      </c>
      <c r="I1112" s="31" t="s">
        <v>1022</v>
      </c>
      <c r="J1112" s="26" t="s">
        <v>606</v>
      </c>
      <c r="K1112" s="27">
        <v>13900</v>
      </c>
      <c r="L1112" s="31" t="s">
        <v>601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907</v>
      </c>
      <c r="D1113" s="31" t="s">
        <v>184</v>
      </c>
      <c r="E1113" s="31"/>
      <c r="F1113" s="31" t="s">
        <v>72</v>
      </c>
      <c r="G1113" s="27">
        <v>20000</v>
      </c>
      <c r="H1113" s="31" t="s">
        <v>636</v>
      </c>
      <c r="I1113" s="31"/>
      <c r="J1113" s="26" t="s">
        <v>634</v>
      </c>
      <c r="K1113" s="27">
        <v>20000</v>
      </c>
      <c r="L1113" s="31" t="s">
        <v>601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184</v>
      </c>
      <c r="D1114" s="31" t="s">
        <v>907</v>
      </c>
      <c r="E1114" s="31"/>
      <c r="F1114" s="31" t="s">
        <v>72</v>
      </c>
      <c r="G1114" s="27">
        <v>20000</v>
      </c>
      <c r="H1114" s="31" t="s">
        <v>633</v>
      </c>
      <c r="I1114" s="31"/>
      <c r="J1114" s="26" t="s">
        <v>634</v>
      </c>
      <c r="K1114" s="27">
        <v>20000</v>
      </c>
      <c r="L1114" s="31" t="s">
        <v>601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166</v>
      </c>
      <c r="D1115" s="31" t="s">
        <v>907</v>
      </c>
      <c r="E1115" s="31"/>
      <c r="F1115" s="31" t="s">
        <v>72</v>
      </c>
      <c r="G1115" s="27">
        <v>20000</v>
      </c>
      <c r="H1115" s="31" t="s">
        <v>633</v>
      </c>
      <c r="I1115" s="31"/>
      <c r="J1115" s="26" t="s">
        <v>634</v>
      </c>
      <c r="K1115" s="27">
        <v>20000</v>
      </c>
      <c r="L1115" s="31" t="s">
        <v>601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907</v>
      </c>
      <c r="D1116" s="31" t="s">
        <v>166</v>
      </c>
      <c r="E1116" s="31"/>
      <c r="F1116" s="31" t="s">
        <v>72</v>
      </c>
      <c r="G1116" s="27">
        <v>20000</v>
      </c>
      <c r="H1116" s="31" t="s">
        <v>636</v>
      </c>
      <c r="I1116" s="31"/>
      <c r="J1116" s="26" t="s">
        <v>634</v>
      </c>
      <c r="K1116" s="27">
        <v>20000</v>
      </c>
      <c r="L1116" s="31" t="s">
        <v>601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611</v>
      </c>
      <c r="D1117" s="31" t="s">
        <v>646</v>
      </c>
      <c r="E1117" s="31"/>
      <c r="F1117" s="31" t="s">
        <v>328</v>
      </c>
      <c r="G1117" s="27">
        <v>140640</v>
      </c>
      <c r="H1117" s="31" t="s">
        <v>54</v>
      </c>
      <c r="I1117" s="31"/>
      <c r="J1117" s="26" t="s">
        <v>600</v>
      </c>
      <c r="K1117" s="27">
        <v>140640</v>
      </c>
      <c r="L1117" s="31" t="s">
        <v>601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184</v>
      </c>
      <c r="D1118" s="31" t="s">
        <v>19</v>
      </c>
      <c r="E1118" s="31"/>
      <c r="F1118" s="31" t="s">
        <v>756</v>
      </c>
      <c r="G1118" s="27">
        <v>15214</v>
      </c>
      <c r="H1118" s="31" t="s">
        <v>54</v>
      </c>
      <c r="I1118" s="31"/>
      <c r="J1118" s="26" t="s">
        <v>600</v>
      </c>
      <c r="K1118" s="27">
        <v>15214</v>
      </c>
      <c r="L1118" s="31" t="s">
        <v>601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1007</v>
      </c>
      <c r="D1119" s="31" t="s">
        <v>453</v>
      </c>
      <c r="E1119" s="31"/>
      <c r="F1119" s="31" t="s">
        <v>453</v>
      </c>
      <c r="G1119" s="27">
        <v>5000</v>
      </c>
      <c r="H1119" s="31" t="s">
        <v>54</v>
      </c>
      <c r="I1119" s="31"/>
      <c r="J1119" s="26" t="s">
        <v>609</v>
      </c>
      <c r="K1119" s="27">
        <v>5000</v>
      </c>
      <c r="L1119" s="31" t="s">
        <v>1007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1007</v>
      </c>
      <c r="D1120" s="31" t="s">
        <v>452</v>
      </c>
      <c r="E1120" s="31" t="s">
        <v>612</v>
      </c>
      <c r="F1120" s="31" t="s">
        <v>833</v>
      </c>
      <c r="G1120" s="27">
        <v>7500</v>
      </c>
      <c r="H1120" s="31" t="s">
        <v>54</v>
      </c>
      <c r="I1120" s="31"/>
      <c r="J1120" s="26" t="s">
        <v>606</v>
      </c>
      <c r="K1120" s="27">
        <v>7500</v>
      </c>
      <c r="L1120" s="31" t="s">
        <v>1007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1007</v>
      </c>
      <c r="D1121" s="31" t="s">
        <v>452</v>
      </c>
      <c r="E1121" s="31" t="s">
        <v>714</v>
      </c>
      <c r="F1121" s="31" t="s">
        <v>604</v>
      </c>
      <c r="G1121" s="27">
        <v>4100</v>
      </c>
      <c r="H1121" s="31" t="s">
        <v>54</v>
      </c>
      <c r="I1121" s="31" t="s">
        <v>821</v>
      </c>
      <c r="J1121" s="26" t="s">
        <v>606</v>
      </c>
      <c r="K1121" s="27">
        <v>4100</v>
      </c>
      <c r="L1121" s="31" t="s">
        <v>1007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598</v>
      </c>
      <c r="D1122" s="31" t="s">
        <v>452</v>
      </c>
      <c r="E1122" s="31" t="s">
        <v>603</v>
      </c>
      <c r="F1122" s="31" t="s">
        <v>720</v>
      </c>
      <c r="G1122" s="27">
        <v>3700</v>
      </c>
      <c r="H1122" s="31" t="s">
        <v>54</v>
      </c>
      <c r="I1122" s="31"/>
      <c r="J1122" s="26" t="s">
        <v>606</v>
      </c>
      <c r="K1122" s="27">
        <v>3700</v>
      </c>
      <c r="L1122" s="31" t="s">
        <v>601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598</v>
      </c>
      <c r="D1123" s="31" t="s">
        <v>669</v>
      </c>
      <c r="E1123" s="31"/>
      <c r="F1123" s="31" t="s">
        <v>720</v>
      </c>
      <c r="G1123" s="27">
        <v>30000</v>
      </c>
      <c r="H1123" s="31" t="s">
        <v>54</v>
      </c>
      <c r="I1123" s="31" t="s">
        <v>1023</v>
      </c>
      <c r="J1123" s="26" t="s">
        <v>617</v>
      </c>
      <c r="K1123" s="27">
        <v>30000</v>
      </c>
      <c r="L1123" s="31" t="s">
        <v>601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611</v>
      </c>
      <c r="D1124" s="31" t="s">
        <v>672</v>
      </c>
      <c r="E1124" s="31" t="s">
        <v>761</v>
      </c>
      <c r="F1124" s="31" t="s">
        <v>762</v>
      </c>
      <c r="G1124" s="27">
        <v>138056</v>
      </c>
      <c r="H1124" s="31" t="s">
        <v>54</v>
      </c>
      <c r="I1124" s="31"/>
      <c r="J1124" s="26" t="s">
        <v>600</v>
      </c>
      <c r="K1124" s="27">
        <v>138056</v>
      </c>
      <c r="L1124" s="31" t="s">
        <v>601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598</v>
      </c>
      <c r="D1125" s="31" t="s">
        <v>362</v>
      </c>
      <c r="E1125" s="31"/>
      <c r="F1125" s="31" t="s">
        <v>755</v>
      </c>
      <c r="G1125" s="27">
        <v>4890</v>
      </c>
      <c r="H1125" s="31" t="s">
        <v>54</v>
      </c>
      <c r="I1125" s="31"/>
      <c r="J1125" s="26" t="s">
        <v>600</v>
      </c>
      <c r="K1125" s="27">
        <v>4890</v>
      </c>
      <c r="L1125" s="31" t="s">
        <v>601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184</v>
      </c>
      <c r="D1126" s="31" t="s">
        <v>907</v>
      </c>
      <c r="E1126" s="31"/>
      <c r="F1126" s="31" t="s">
        <v>72</v>
      </c>
      <c r="G1126" s="27">
        <v>4786</v>
      </c>
      <c r="H1126" s="31" t="s">
        <v>636</v>
      </c>
      <c r="I1126" s="31"/>
      <c r="J1126" s="26" t="s">
        <v>634</v>
      </c>
      <c r="K1126" s="27">
        <v>4786</v>
      </c>
      <c r="L1126" s="31" t="s">
        <v>601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907</v>
      </c>
      <c r="D1127" s="31" t="s">
        <v>184</v>
      </c>
      <c r="E1127" s="31"/>
      <c r="F1127" s="31" t="s">
        <v>72</v>
      </c>
      <c r="G1127" s="27">
        <v>4786</v>
      </c>
      <c r="H1127" s="31" t="s">
        <v>633</v>
      </c>
      <c r="I1127" s="31"/>
      <c r="J1127" s="26" t="s">
        <v>634</v>
      </c>
      <c r="K1127" s="27">
        <v>4786</v>
      </c>
      <c r="L1127" s="31" t="s">
        <v>601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681</v>
      </c>
      <c r="D1128" s="31" t="s">
        <v>625</v>
      </c>
      <c r="E1128" s="31"/>
      <c r="F1128" s="31" t="s">
        <v>365</v>
      </c>
      <c r="G1128" s="27">
        <v>8470</v>
      </c>
      <c r="H1128" s="31" t="s">
        <v>54</v>
      </c>
      <c r="I1128" s="31" t="s">
        <v>702</v>
      </c>
      <c r="J1128" s="26" t="s">
        <v>606</v>
      </c>
      <c r="K1128" s="27">
        <v>8470</v>
      </c>
      <c r="L1128" s="31" t="s">
        <v>601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1007</v>
      </c>
      <c r="D1129" s="31" t="s">
        <v>453</v>
      </c>
      <c r="E1129" s="31"/>
      <c r="F1129" s="31" t="s">
        <v>453</v>
      </c>
      <c r="G1129" s="27">
        <v>5000</v>
      </c>
      <c r="H1129" s="31" t="s">
        <v>54</v>
      </c>
      <c r="I1129" s="31"/>
      <c r="J1129" s="26" t="s">
        <v>609</v>
      </c>
      <c r="K1129" s="27">
        <v>5000</v>
      </c>
      <c r="L1129" s="31" t="s">
        <v>1007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1007</v>
      </c>
      <c r="D1130" s="31" t="s">
        <v>452</v>
      </c>
      <c r="E1130" s="31" t="s">
        <v>714</v>
      </c>
      <c r="F1130" s="31" t="s">
        <v>604</v>
      </c>
      <c r="G1130" s="27">
        <v>3600</v>
      </c>
      <c r="H1130" s="31" t="s">
        <v>54</v>
      </c>
      <c r="I1130" s="31" t="s">
        <v>821</v>
      </c>
      <c r="J1130" s="26" t="s">
        <v>606</v>
      </c>
      <c r="K1130" s="27">
        <v>3600</v>
      </c>
      <c r="L1130" s="31" t="s">
        <v>1007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681</v>
      </c>
      <c r="D1131" s="31" t="s">
        <v>452</v>
      </c>
      <c r="E1131" s="31" t="s">
        <v>612</v>
      </c>
      <c r="F1131" s="31" t="s">
        <v>682</v>
      </c>
      <c r="G1131" s="27">
        <v>23500</v>
      </c>
      <c r="H1131" s="31" t="s">
        <v>54</v>
      </c>
      <c r="I1131" s="31" t="s">
        <v>1024</v>
      </c>
      <c r="J1131" s="26" t="s">
        <v>606</v>
      </c>
      <c r="K1131" s="27">
        <v>23500</v>
      </c>
      <c r="L1131" s="31" t="s">
        <v>601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187</v>
      </c>
      <c r="D1132" s="31" t="s">
        <v>452</v>
      </c>
      <c r="E1132" s="31" t="s">
        <v>612</v>
      </c>
      <c r="F1132" s="31" t="s">
        <v>683</v>
      </c>
      <c r="G1132" s="27">
        <v>-13000</v>
      </c>
      <c r="H1132" s="31" t="s">
        <v>54</v>
      </c>
      <c r="I1132" s="31"/>
      <c r="J1132" s="26" t="s">
        <v>606</v>
      </c>
      <c r="K1132" s="27">
        <v>-13000</v>
      </c>
      <c r="L1132" s="31" t="s">
        <v>601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1007</v>
      </c>
      <c r="D1133" s="31" t="s">
        <v>453</v>
      </c>
      <c r="E1133" s="31"/>
      <c r="F1133" s="31" t="s">
        <v>453</v>
      </c>
      <c r="G1133" s="27">
        <v>3050</v>
      </c>
      <c r="H1133" s="31" t="s">
        <v>54</v>
      </c>
      <c r="I1133" s="31"/>
      <c r="J1133" s="26" t="s">
        <v>609</v>
      </c>
      <c r="K1133" s="27">
        <v>3050</v>
      </c>
      <c r="L1133" s="31" t="s">
        <v>1007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598</v>
      </c>
      <c r="D1134" s="31" t="s">
        <v>453</v>
      </c>
      <c r="E1134" s="31"/>
      <c r="F1134" s="31" t="s">
        <v>453</v>
      </c>
      <c r="G1134" s="27">
        <v>1950</v>
      </c>
      <c r="H1134" s="31" t="s">
        <v>54</v>
      </c>
      <c r="I1134" s="31"/>
      <c r="J1134" s="26" t="s">
        <v>609</v>
      </c>
      <c r="K1134" s="27">
        <v>1950</v>
      </c>
      <c r="L1134" s="31" t="s">
        <v>601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187</v>
      </c>
      <c r="D1135" s="31" t="s">
        <v>19</v>
      </c>
      <c r="E1135" s="31"/>
      <c r="F1135" s="31" t="s">
        <v>836</v>
      </c>
      <c r="G1135" s="27">
        <v>130</v>
      </c>
      <c r="H1135" s="31" t="s">
        <v>397</v>
      </c>
      <c r="I1135" s="31"/>
      <c r="J1135" s="26" t="s">
        <v>653</v>
      </c>
      <c r="K1135" s="27">
        <v>130</v>
      </c>
      <c r="L1135" s="31" t="s">
        <v>601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598</v>
      </c>
      <c r="D1136" s="31" t="s">
        <v>453</v>
      </c>
      <c r="E1136" s="31"/>
      <c r="F1136" s="31" t="s">
        <v>453</v>
      </c>
      <c r="G1136" s="27">
        <v>5000</v>
      </c>
      <c r="H1136" s="31" t="s">
        <v>54</v>
      </c>
      <c r="I1136" s="31"/>
      <c r="J1136" s="26" t="s">
        <v>609</v>
      </c>
      <c r="K1136" s="27">
        <v>5000</v>
      </c>
      <c r="L1136" s="31" t="s">
        <v>601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598</v>
      </c>
      <c r="D1137" s="31" t="s">
        <v>362</v>
      </c>
      <c r="E1137" s="31"/>
      <c r="F1137" s="31" t="s">
        <v>363</v>
      </c>
      <c r="G1137" s="27">
        <v>7890</v>
      </c>
      <c r="H1137" s="31" t="s">
        <v>54</v>
      </c>
      <c r="I1137" s="31"/>
      <c r="J1137" s="26" t="s">
        <v>600</v>
      </c>
      <c r="K1137" s="27">
        <v>7890</v>
      </c>
      <c r="L1137" s="31" t="s">
        <v>601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598</v>
      </c>
      <c r="D1138" s="31" t="s">
        <v>452</v>
      </c>
      <c r="E1138" s="31" t="s">
        <v>612</v>
      </c>
      <c r="F1138" s="31" t="s">
        <v>822</v>
      </c>
      <c r="G1138" s="27">
        <v>9500</v>
      </c>
      <c r="H1138" s="31" t="s">
        <v>54</v>
      </c>
      <c r="I1138" s="31"/>
      <c r="J1138" s="26" t="s">
        <v>606</v>
      </c>
      <c r="K1138" s="27">
        <v>9500</v>
      </c>
      <c r="L1138" s="31" t="s">
        <v>601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598</v>
      </c>
      <c r="D1139" s="31" t="s">
        <v>453</v>
      </c>
      <c r="E1139" s="31"/>
      <c r="F1139" s="31" t="s">
        <v>453</v>
      </c>
      <c r="G1139" s="27">
        <v>5000</v>
      </c>
      <c r="H1139" s="31" t="s">
        <v>54</v>
      </c>
      <c r="I1139" s="31"/>
      <c r="J1139" s="26" t="s">
        <v>609</v>
      </c>
      <c r="K1139" s="27">
        <v>5000</v>
      </c>
      <c r="L1139" s="31" t="s">
        <v>601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598</v>
      </c>
      <c r="D1140" s="31" t="s">
        <v>775</v>
      </c>
      <c r="E1140" s="31"/>
      <c r="F1140" s="31" t="s">
        <v>806</v>
      </c>
      <c r="G1140" s="27">
        <v>17000</v>
      </c>
      <c r="H1140" s="31" t="s">
        <v>54</v>
      </c>
      <c r="I1140" s="31"/>
      <c r="J1140" s="26" t="s">
        <v>606</v>
      </c>
      <c r="K1140" s="27">
        <v>17000</v>
      </c>
      <c r="L1140" s="31" t="s">
        <v>601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598</v>
      </c>
      <c r="D1141" s="31" t="s">
        <v>452</v>
      </c>
      <c r="E1141" s="31" t="s">
        <v>733</v>
      </c>
      <c r="F1141" s="31" t="s">
        <v>921</v>
      </c>
      <c r="G1141" s="27">
        <v>11000</v>
      </c>
      <c r="H1141" s="31" t="s">
        <v>54</v>
      </c>
      <c r="I1141" s="31"/>
      <c r="J1141" s="26" t="s">
        <v>606</v>
      </c>
      <c r="K1141" s="27">
        <v>11000</v>
      </c>
      <c r="L1141" s="31" t="s">
        <v>601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598</v>
      </c>
      <c r="D1142" s="31" t="s">
        <v>625</v>
      </c>
      <c r="E1142" s="31"/>
      <c r="F1142" s="31" t="s">
        <v>626</v>
      </c>
      <c r="G1142" s="27">
        <v>21000</v>
      </c>
      <c r="H1142" s="31" t="s">
        <v>54</v>
      </c>
      <c r="I1142" s="31"/>
      <c r="J1142" s="26" t="s">
        <v>606</v>
      </c>
      <c r="K1142" s="27">
        <v>21000</v>
      </c>
      <c r="L1142" s="31" t="s">
        <v>601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598</v>
      </c>
      <c r="D1143" s="31" t="s">
        <v>453</v>
      </c>
      <c r="E1143" s="31"/>
      <c r="F1143" s="31" t="s">
        <v>453</v>
      </c>
      <c r="G1143" s="27">
        <v>5000</v>
      </c>
      <c r="H1143" s="31" t="s">
        <v>54</v>
      </c>
      <c r="I1143" s="31"/>
      <c r="J1143" s="26" t="s">
        <v>609</v>
      </c>
      <c r="K1143" s="27">
        <v>5000</v>
      </c>
      <c r="L1143" s="31" t="s">
        <v>601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598</v>
      </c>
      <c r="D1144" s="31" t="s">
        <v>741</v>
      </c>
      <c r="E1144" s="31" t="s">
        <v>457</v>
      </c>
      <c r="F1144" s="31" t="s">
        <v>845</v>
      </c>
      <c r="G1144" s="27">
        <v>7900</v>
      </c>
      <c r="H1144" s="31" t="s">
        <v>54</v>
      </c>
      <c r="I1144" s="31"/>
      <c r="J1144" s="26" t="s">
        <v>614</v>
      </c>
      <c r="K1144" s="27">
        <v>7900</v>
      </c>
      <c r="L1144" s="31" t="s">
        <v>601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598</v>
      </c>
      <c r="D1145" s="31" t="s">
        <v>452</v>
      </c>
      <c r="E1145" s="31" t="s">
        <v>603</v>
      </c>
      <c r="F1145" s="31" t="s">
        <v>946</v>
      </c>
      <c r="G1145" s="27">
        <v>2500</v>
      </c>
      <c r="H1145" s="31" t="s">
        <v>54</v>
      </c>
      <c r="I1145" s="31" t="s">
        <v>838</v>
      </c>
      <c r="J1145" s="26" t="s">
        <v>606</v>
      </c>
      <c r="K1145" s="27">
        <v>2500</v>
      </c>
      <c r="L1145" s="31" t="s">
        <v>601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716</v>
      </c>
      <c r="D1146" s="31" t="s">
        <v>771</v>
      </c>
      <c r="E1146" s="31"/>
      <c r="F1146" s="31" t="s">
        <v>772</v>
      </c>
      <c r="G1146" s="27">
        <v>56770</v>
      </c>
      <c r="H1146" s="31" t="s">
        <v>54</v>
      </c>
      <c r="I1146" s="31" t="s">
        <v>1025</v>
      </c>
      <c r="J1146" s="26" t="s">
        <v>600</v>
      </c>
      <c r="K1146" s="27">
        <v>56770</v>
      </c>
      <c r="L1146" s="31" t="s">
        <v>601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656</v>
      </c>
      <c r="D1147" s="31" t="s">
        <v>771</v>
      </c>
      <c r="E1147" s="31"/>
      <c r="F1147" s="31" t="s">
        <v>1026</v>
      </c>
      <c r="G1147" s="27">
        <v>1200</v>
      </c>
      <c r="H1147" s="31" t="s">
        <v>54</v>
      </c>
      <c r="I1147" s="31"/>
      <c r="J1147" s="26" t="s">
        <v>600</v>
      </c>
      <c r="K1147" s="27">
        <v>1200</v>
      </c>
      <c r="L1147" s="31" t="s">
        <v>601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598</v>
      </c>
      <c r="D1148" s="31" t="s">
        <v>19</v>
      </c>
      <c r="E1148" s="31"/>
      <c r="F1148" s="31" t="s">
        <v>770</v>
      </c>
      <c r="G1148" s="27">
        <v>-21000</v>
      </c>
      <c r="H1148" s="31" t="s">
        <v>54</v>
      </c>
      <c r="I1148" s="31"/>
      <c r="J1148" s="26" t="s">
        <v>678</v>
      </c>
      <c r="K1148" s="27">
        <v>-21000</v>
      </c>
      <c r="L1148" s="31" t="s">
        <v>601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598</v>
      </c>
      <c r="D1149" s="31" t="s">
        <v>776</v>
      </c>
      <c r="E1149" s="31"/>
      <c r="F1149" s="31" t="s">
        <v>1027</v>
      </c>
      <c r="G1149" s="27">
        <v>-200</v>
      </c>
      <c r="H1149" s="31" t="s">
        <v>54</v>
      </c>
      <c r="I1149" s="31" t="s">
        <v>777</v>
      </c>
      <c r="J1149" s="26" t="s">
        <v>606</v>
      </c>
      <c r="K1149" s="27">
        <v>-200</v>
      </c>
      <c r="L1149" s="31" t="s">
        <v>601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753</v>
      </c>
      <c r="D1150" s="31" t="s">
        <v>19</v>
      </c>
      <c r="E1150" s="31"/>
      <c r="F1150" s="31" t="s">
        <v>779</v>
      </c>
      <c r="G1150" s="27">
        <v>11795</v>
      </c>
      <c r="H1150" s="31" t="s">
        <v>54</v>
      </c>
      <c r="I1150" s="31"/>
      <c r="J1150" s="26" t="s">
        <v>600</v>
      </c>
      <c r="K1150" s="27">
        <v>11795</v>
      </c>
      <c r="L1150" s="31" t="s">
        <v>601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598</v>
      </c>
      <c r="D1151" s="31" t="s">
        <v>882</v>
      </c>
      <c r="E1151" s="31"/>
      <c r="F1151" s="31" t="s">
        <v>825</v>
      </c>
      <c r="G1151" s="27">
        <v>14450</v>
      </c>
      <c r="H1151" s="31" t="s">
        <v>54</v>
      </c>
      <c r="I1151" s="31"/>
      <c r="J1151" s="26" t="s">
        <v>606</v>
      </c>
      <c r="K1151" s="27">
        <v>14450</v>
      </c>
      <c r="L1151" s="31" t="s">
        <v>601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681</v>
      </c>
      <c r="D1152" s="31" t="s">
        <v>452</v>
      </c>
      <c r="E1152" s="31" t="s">
        <v>621</v>
      </c>
      <c r="F1152" s="31" t="s">
        <v>682</v>
      </c>
      <c r="G1152" s="27">
        <v>11900</v>
      </c>
      <c r="H1152" s="31" t="s">
        <v>54</v>
      </c>
      <c r="I1152" s="31"/>
      <c r="J1152" s="26" t="s">
        <v>606</v>
      </c>
      <c r="K1152" s="27">
        <v>11900</v>
      </c>
      <c r="L1152" s="31" t="s">
        <v>601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598</v>
      </c>
      <c r="D1153" s="31" t="s">
        <v>452</v>
      </c>
      <c r="E1153" s="31" t="s">
        <v>603</v>
      </c>
      <c r="F1153" s="31" t="s">
        <v>713</v>
      </c>
      <c r="G1153" s="27">
        <v>3300</v>
      </c>
      <c r="H1153" s="31" t="s">
        <v>54</v>
      </c>
      <c r="I1153" s="31"/>
      <c r="J1153" s="26" t="s">
        <v>606</v>
      </c>
      <c r="K1153" s="27">
        <v>3300</v>
      </c>
      <c r="L1153" s="31" t="s">
        <v>601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907</v>
      </c>
      <c r="D1154" s="31" t="s">
        <v>19</v>
      </c>
      <c r="E1154" s="31"/>
      <c r="F1154" s="31" t="s">
        <v>964</v>
      </c>
      <c r="G1154" s="27">
        <v>1648</v>
      </c>
      <c r="H1154" s="31" t="s">
        <v>397</v>
      </c>
      <c r="I1154" s="31"/>
      <c r="J1154" s="26" t="s">
        <v>653</v>
      </c>
      <c r="K1154" s="27">
        <v>1648</v>
      </c>
      <c r="L1154" s="31" t="s">
        <v>601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907</v>
      </c>
      <c r="D1155" s="31" t="s">
        <v>154</v>
      </c>
      <c r="E1155" s="31"/>
      <c r="F1155" s="31" t="s">
        <v>72</v>
      </c>
      <c r="G1155" s="27">
        <v>4705400</v>
      </c>
      <c r="H1155" s="31" t="s">
        <v>636</v>
      </c>
      <c r="I1155" s="31"/>
      <c r="J1155" s="26" t="s">
        <v>634</v>
      </c>
      <c r="K1155" s="27">
        <v>4705400</v>
      </c>
      <c r="L1155" s="31" t="s">
        <v>601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154</v>
      </c>
      <c r="D1156" s="31" t="s">
        <v>907</v>
      </c>
      <c r="E1156" s="31"/>
      <c r="F1156" s="31" t="s">
        <v>72</v>
      </c>
      <c r="G1156" s="27">
        <v>4705400</v>
      </c>
      <c r="H1156" s="31" t="s">
        <v>633</v>
      </c>
      <c r="I1156" s="31"/>
      <c r="J1156" s="26" t="s">
        <v>634</v>
      </c>
      <c r="K1156" s="27">
        <v>4705400</v>
      </c>
      <c r="L1156" s="31" t="s">
        <v>601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154</v>
      </c>
      <c r="D1157" s="31" t="s">
        <v>19</v>
      </c>
      <c r="E1157" s="31"/>
      <c r="F1157" s="31" t="s">
        <v>179</v>
      </c>
      <c r="G1157" s="27">
        <v>739</v>
      </c>
      <c r="H1157" s="31" t="s">
        <v>397</v>
      </c>
      <c r="I1157" s="31"/>
      <c r="J1157" s="26" t="s">
        <v>653</v>
      </c>
      <c r="K1157" s="27">
        <v>739</v>
      </c>
      <c r="L1157" s="31" t="s">
        <v>601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598</v>
      </c>
      <c r="D1158" s="31" t="s">
        <v>453</v>
      </c>
      <c r="E1158" s="31"/>
      <c r="F1158" s="31" t="s">
        <v>453</v>
      </c>
      <c r="G1158" s="27">
        <v>5000</v>
      </c>
      <c r="H1158" s="31" t="s">
        <v>54</v>
      </c>
      <c r="I1158" s="31" t="s">
        <v>1028</v>
      </c>
      <c r="J1158" s="26" t="s">
        <v>609</v>
      </c>
      <c r="K1158" s="27">
        <v>5000</v>
      </c>
      <c r="L1158" s="31" t="s">
        <v>601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598</v>
      </c>
      <c r="D1159" s="31" t="s">
        <v>452</v>
      </c>
      <c r="E1159" s="31" t="s">
        <v>603</v>
      </c>
      <c r="F1159" s="31" t="s">
        <v>604</v>
      </c>
      <c r="G1159" s="27">
        <v>2100</v>
      </c>
      <c r="H1159" s="31" t="s">
        <v>54</v>
      </c>
      <c r="I1159" s="31" t="s">
        <v>1029</v>
      </c>
      <c r="J1159" s="26" t="s">
        <v>606</v>
      </c>
      <c r="K1159" s="27">
        <v>2100</v>
      </c>
      <c r="L1159" s="31" t="s">
        <v>601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598</v>
      </c>
      <c r="D1160" s="31" t="s">
        <v>453</v>
      </c>
      <c r="E1160" s="31"/>
      <c r="F1160" s="31" t="s">
        <v>453</v>
      </c>
      <c r="G1160" s="27">
        <v>5000</v>
      </c>
      <c r="H1160" s="31" t="s">
        <v>54</v>
      </c>
      <c r="I1160" s="31" t="s">
        <v>1030</v>
      </c>
      <c r="J1160" s="26" t="s">
        <v>609</v>
      </c>
      <c r="K1160" s="27">
        <v>5000</v>
      </c>
      <c r="L1160" s="31" t="s">
        <v>601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611</v>
      </c>
      <c r="D1161" s="31" t="s">
        <v>453</v>
      </c>
      <c r="E1161" s="31"/>
      <c r="F1161" s="31" t="s">
        <v>453</v>
      </c>
      <c r="G1161" s="27">
        <v>5000</v>
      </c>
      <c r="H1161" s="31" t="s">
        <v>54</v>
      </c>
      <c r="I1161" s="31"/>
      <c r="J1161" s="26" t="s">
        <v>609</v>
      </c>
      <c r="K1161" s="27">
        <v>5000</v>
      </c>
      <c r="L1161" s="31" t="s">
        <v>601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598</v>
      </c>
      <c r="D1162" s="31" t="s">
        <v>362</v>
      </c>
      <c r="E1162" s="31"/>
      <c r="F1162" s="31" t="s">
        <v>599</v>
      </c>
      <c r="G1162" s="27">
        <v>2446</v>
      </c>
      <c r="H1162" s="31" t="s">
        <v>54</v>
      </c>
      <c r="I1162" s="31"/>
      <c r="J1162" s="26" t="s">
        <v>600</v>
      </c>
      <c r="K1162" s="27">
        <v>2446</v>
      </c>
      <c r="L1162" s="31" t="s">
        <v>601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166</v>
      </c>
      <c r="D1163" s="31" t="s">
        <v>19</v>
      </c>
      <c r="E1163" s="31"/>
      <c r="F1163" s="31" t="s">
        <v>767</v>
      </c>
      <c r="G1163" s="27">
        <v>17476</v>
      </c>
      <c r="H1163" s="31" t="s">
        <v>54</v>
      </c>
      <c r="I1163" s="31"/>
      <c r="J1163" s="26" t="s">
        <v>600</v>
      </c>
      <c r="K1163" s="27">
        <v>17476</v>
      </c>
      <c r="L1163" s="31" t="s">
        <v>601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611</v>
      </c>
      <c r="D1164" s="31" t="s">
        <v>452</v>
      </c>
      <c r="E1164" s="31" t="s">
        <v>714</v>
      </c>
      <c r="F1164" s="31" t="s">
        <v>820</v>
      </c>
      <c r="G1164" s="27">
        <v>5800</v>
      </c>
      <c r="H1164" s="31" t="s">
        <v>54</v>
      </c>
      <c r="I1164" s="31"/>
      <c r="J1164" s="26" t="s">
        <v>606</v>
      </c>
      <c r="K1164" s="27">
        <v>5800</v>
      </c>
      <c r="L1164" s="31" t="s">
        <v>601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598</v>
      </c>
      <c r="D1165" s="31" t="s">
        <v>452</v>
      </c>
      <c r="E1165" s="31" t="s">
        <v>603</v>
      </c>
      <c r="F1165" s="31" t="s">
        <v>604</v>
      </c>
      <c r="G1165" s="27">
        <v>2300</v>
      </c>
      <c r="H1165" s="31" t="s">
        <v>54</v>
      </c>
      <c r="I1165" s="31" t="s">
        <v>1031</v>
      </c>
      <c r="J1165" s="26" t="s">
        <v>606</v>
      </c>
      <c r="K1165" s="27">
        <v>2300</v>
      </c>
      <c r="L1165" s="31" t="s">
        <v>601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598</v>
      </c>
      <c r="D1166" s="31" t="s">
        <v>452</v>
      </c>
      <c r="E1166" s="31" t="s">
        <v>714</v>
      </c>
      <c r="F1166" s="31" t="s">
        <v>604</v>
      </c>
      <c r="G1166" s="27">
        <v>7200</v>
      </c>
      <c r="H1166" s="31" t="s">
        <v>54</v>
      </c>
      <c r="I1166" s="31" t="s">
        <v>1032</v>
      </c>
      <c r="J1166" s="26" t="s">
        <v>606</v>
      </c>
      <c r="K1166" s="27">
        <v>7200</v>
      </c>
      <c r="L1166" s="31" t="s">
        <v>601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611</v>
      </c>
      <c r="D1167" s="31" t="s">
        <v>453</v>
      </c>
      <c r="E1167" s="31"/>
      <c r="F1167" s="31" t="s">
        <v>453</v>
      </c>
      <c r="G1167" s="27">
        <v>5000</v>
      </c>
      <c r="H1167" s="31" t="s">
        <v>54</v>
      </c>
      <c r="I1167" s="31"/>
      <c r="J1167" s="26" t="s">
        <v>609</v>
      </c>
      <c r="K1167" s="27">
        <v>5000</v>
      </c>
      <c r="L1167" s="31" t="s">
        <v>601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611</v>
      </c>
      <c r="D1168" s="31" t="s">
        <v>452</v>
      </c>
      <c r="E1168" s="31" t="s">
        <v>603</v>
      </c>
      <c r="F1168" s="31" t="s">
        <v>720</v>
      </c>
      <c r="G1168" s="27">
        <v>4400</v>
      </c>
      <c r="H1168" s="31" t="s">
        <v>54</v>
      </c>
      <c r="I1168" s="31"/>
      <c r="J1168" s="26" t="s">
        <v>606</v>
      </c>
      <c r="K1168" s="27">
        <v>4400</v>
      </c>
      <c r="L1168" s="31" t="s">
        <v>601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611</v>
      </c>
      <c r="D1169" s="31" t="s">
        <v>452</v>
      </c>
      <c r="E1169" s="31" t="s">
        <v>612</v>
      </c>
      <c r="F1169" s="31" t="s">
        <v>739</v>
      </c>
      <c r="G1169" s="27">
        <v>15000</v>
      </c>
      <c r="H1169" s="31" t="s">
        <v>54</v>
      </c>
      <c r="I1169" s="31"/>
      <c r="J1169" s="26" t="s">
        <v>606</v>
      </c>
      <c r="K1169" s="27">
        <v>15000</v>
      </c>
      <c r="L1169" s="31" t="s">
        <v>601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598</v>
      </c>
      <c r="D1170" s="31" t="s">
        <v>362</v>
      </c>
      <c r="E1170" s="31"/>
      <c r="F1170" s="31" t="s">
        <v>608</v>
      </c>
      <c r="G1170" s="27">
        <v>9000</v>
      </c>
      <c r="H1170" s="31" t="s">
        <v>54</v>
      </c>
      <c r="I1170" s="31"/>
      <c r="J1170" s="26" t="s">
        <v>600</v>
      </c>
      <c r="K1170" s="27">
        <v>9000</v>
      </c>
      <c r="L1170" s="31" t="s">
        <v>601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611</v>
      </c>
      <c r="D1171" s="31" t="s">
        <v>452</v>
      </c>
      <c r="E1171" s="31" t="s">
        <v>603</v>
      </c>
      <c r="F1171" s="31" t="s">
        <v>643</v>
      </c>
      <c r="G1171" s="27">
        <v>9200</v>
      </c>
      <c r="H1171" s="31" t="s">
        <v>54</v>
      </c>
      <c r="I1171" s="31"/>
      <c r="J1171" s="26" t="s">
        <v>606</v>
      </c>
      <c r="K1171" s="27">
        <v>9200</v>
      </c>
      <c r="L1171" s="31" t="s">
        <v>601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598</v>
      </c>
      <c r="D1172" s="31" t="s">
        <v>452</v>
      </c>
      <c r="E1172" s="31" t="s">
        <v>733</v>
      </c>
      <c r="F1172" s="31" t="s">
        <v>1000</v>
      </c>
      <c r="G1172" s="27">
        <v>8900</v>
      </c>
      <c r="H1172" s="31" t="s">
        <v>54</v>
      </c>
      <c r="I1172" s="31"/>
      <c r="J1172" s="26" t="s">
        <v>606</v>
      </c>
      <c r="K1172" s="27">
        <v>8900</v>
      </c>
      <c r="L1172" s="31" t="s">
        <v>601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611</v>
      </c>
      <c r="D1173" s="31" t="s">
        <v>452</v>
      </c>
      <c r="E1173" s="31" t="s">
        <v>603</v>
      </c>
      <c r="F1173" s="31" t="s">
        <v>604</v>
      </c>
      <c r="G1173" s="27">
        <v>3800</v>
      </c>
      <c r="H1173" s="31" t="s">
        <v>54</v>
      </c>
      <c r="I1173" s="31" t="s">
        <v>1033</v>
      </c>
      <c r="J1173" s="26" t="s">
        <v>606</v>
      </c>
      <c r="K1173" s="27">
        <v>3800</v>
      </c>
      <c r="L1173" s="31" t="s">
        <v>601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681</v>
      </c>
      <c r="D1174" s="31" t="s">
        <v>452</v>
      </c>
      <c r="E1174" s="31" t="s">
        <v>621</v>
      </c>
      <c r="F1174" s="31" t="s">
        <v>682</v>
      </c>
      <c r="G1174" s="27">
        <v>12800</v>
      </c>
      <c r="H1174" s="31" t="s">
        <v>54</v>
      </c>
      <c r="I1174" s="31" t="s">
        <v>824</v>
      </c>
      <c r="J1174" s="26" t="s">
        <v>606</v>
      </c>
      <c r="K1174" s="27">
        <v>12800</v>
      </c>
      <c r="L1174" s="31" t="s">
        <v>601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611</v>
      </c>
      <c r="D1175" s="31" t="s">
        <v>452</v>
      </c>
      <c r="E1175" s="31" t="s">
        <v>603</v>
      </c>
      <c r="F1175" s="31" t="s">
        <v>604</v>
      </c>
      <c r="G1175" s="27">
        <v>2780</v>
      </c>
      <c r="H1175" s="31" t="s">
        <v>54</v>
      </c>
      <c r="I1175" s="31" t="s">
        <v>688</v>
      </c>
      <c r="J1175" s="26" t="s">
        <v>606</v>
      </c>
      <c r="K1175" s="27">
        <v>2780</v>
      </c>
      <c r="L1175" s="31" t="s">
        <v>601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611</v>
      </c>
      <c r="D1176" s="31" t="s">
        <v>453</v>
      </c>
      <c r="E1176" s="31"/>
      <c r="F1176" s="31" t="s">
        <v>453</v>
      </c>
      <c r="G1176" s="27">
        <v>5000</v>
      </c>
      <c r="H1176" s="31" t="s">
        <v>54</v>
      </c>
      <c r="I1176" s="31"/>
      <c r="J1176" s="26" t="s">
        <v>609</v>
      </c>
      <c r="K1176" s="27">
        <v>5000</v>
      </c>
      <c r="L1176" s="31" t="s">
        <v>601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598</v>
      </c>
      <c r="D1177" s="31" t="s">
        <v>625</v>
      </c>
      <c r="E1177" s="31"/>
      <c r="F1177" s="31" t="s">
        <v>626</v>
      </c>
      <c r="G1177" s="27">
        <v>42000</v>
      </c>
      <c r="H1177" s="31" t="s">
        <v>54</v>
      </c>
      <c r="I1177" s="31"/>
      <c r="J1177" s="26" t="s">
        <v>606</v>
      </c>
      <c r="K1177" s="27">
        <v>42000</v>
      </c>
      <c r="L1177" s="31" t="s">
        <v>601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611</v>
      </c>
      <c r="D1178" s="31" t="s">
        <v>453</v>
      </c>
      <c r="E1178" s="31"/>
      <c r="F1178" s="31" t="s">
        <v>453</v>
      </c>
      <c r="G1178" s="27">
        <v>5000</v>
      </c>
      <c r="H1178" s="31" t="s">
        <v>54</v>
      </c>
      <c r="I1178" s="31"/>
      <c r="J1178" s="26" t="s">
        <v>609</v>
      </c>
      <c r="K1178" s="27">
        <v>5000</v>
      </c>
      <c r="L1178" s="31" t="s">
        <v>601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598</v>
      </c>
      <c r="D1179" s="31" t="s">
        <v>362</v>
      </c>
      <c r="E1179" s="31"/>
      <c r="F1179" s="31" t="s">
        <v>637</v>
      </c>
      <c r="G1179" s="27">
        <v>8245</v>
      </c>
      <c r="H1179" s="31" t="s">
        <v>54</v>
      </c>
      <c r="I1179" s="31"/>
      <c r="J1179" s="26" t="s">
        <v>600</v>
      </c>
      <c r="K1179" s="27">
        <v>8245</v>
      </c>
      <c r="L1179" s="31" t="s">
        <v>601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598</v>
      </c>
      <c r="D1180" s="31" t="s">
        <v>362</v>
      </c>
      <c r="E1180" s="31"/>
      <c r="F1180" s="31" t="s">
        <v>561</v>
      </c>
      <c r="G1180" s="27">
        <v>1800</v>
      </c>
      <c r="H1180" s="31" t="s">
        <v>54</v>
      </c>
      <c r="I1180" s="31" t="s">
        <v>639</v>
      </c>
      <c r="J1180" s="26" t="s">
        <v>600</v>
      </c>
      <c r="K1180" s="27">
        <v>1800</v>
      </c>
      <c r="L1180" s="31" t="s">
        <v>601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611</v>
      </c>
      <c r="D1181" s="31" t="s">
        <v>452</v>
      </c>
      <c r="E1181" s="31" t="s">
        <v>612</v>
      </c>
      <c r="F1181" s="31" t="s">
        <v>701</v>
      </c>
      <c r="G1181" s="27">
        <v>12000</v>
      </c>
      <c r="H1181" s="31" t="s">
        <v>54</v>
      </c>
      <c r="I1181" s="31"/>
      <c r="J1181" s="26" t="s">
        <v>606</v>
      </c>
      <c r="K1181" s="27">
        <v>12000</v>
      </c>
      <c r="L1181" s="31" t="s">
        <v>601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154</v>
      </c>
      <c r="D1182" s="31" t="s">
        <v>656</v>
      </c>
      <c r="E1182" s="31"/>
      <c r="F1182" s="31" t="s">
        <v>657</v>
      </c>
      <c r="G1182" s="27">
        <v>1200</v>
      </c>
      <c r="H1182" s="31" t="s">
        <v>636</v>
      </c>
      <c r="I1182" s="31"/>
      <c r="J1182" s="26" t="s">
        <v>634</v>
      </c>
      <c r="K1182" s="27">
        <v>1200</v>
      </c>
      <c r="L1182" s="31" t="s">
        <v>601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656</v>
      </c>
      <c r="D1183" s="31" t="s">
        <v>154</v>
      </c>
      <c r="E1183" s="31"/>
      <c r="F1183" s="31" t="s">
        <v>657</v>
      </c>
      <c r="G1183" s="27">
        <v>1200</v>
      </c>
      <c r="H1183" s="31" t="s">
        <v>633</v>
      </c>
      <c r="I1183" s="31"/>
      <c r="J1183" s="26" t="s">
        <v>634</v>
      </c>
      <c r="K1183" s="27">
        <v>1200</v>
      </c>
      <c r="L1183" s="31" t="s">
        <v>601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611</v>
      </c>
      <c r="D1184" s="31" t="s">
        <v>640</v>
      </c>
      <c r="E1184" s="31"/>
      <c r="F1184" s="31" t="s">
        <v>1034</v>
      </c>
      <c r="G1184" s="27">
        <v>10200</v>
      </c>
      <c r="H1184" s="31" t="s">
        <v>54</v>
      </c>
      <c r="I1184" s="31" t="s">
        <v>496</v>
      </c>
      <c r="J1184" s="26" t="s">
        <v>600</v>
      </c>
      <c r="K1184" s="27">
        <v>10200</v>
      </c>
      <c r="L1184" s="31" t="s">
        <v>601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611</v>
      </c>
      <c r="D1185" s="31" t="s">
        <v>453</v>
      </c>
      <c r="E1185" s="31"/>
      <c r="F1185" s="31" t="s">
        <v>453</v>
      </c>
      <c r="G1185" s="27">
        <v>4500</v>
      </c>
      <c r="H1185" s="31" t="s">
        <v>54</v>
      </c>
      <c r="I1185" s="31"/>
      <c r="J1185" s="26" t="s">
        <v>609</v>
      </c>
      <c r="K1185" s="27">
        <v>4500</v>
      </c>
      <c r="L1185" s="31" t="s">
        <v>601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154</v>
      </c>
      <c r="D1186" s="31" t="s">
        <v>452</v>
      </c>
      <c r="E1186" s="31" t="s">
        <v>612</v>
      </c>
      <c r="F1186" s="31" t="s">
        <v>94</v>
      </c>
      <c r="G1186" s="27">
        <v>14000</v>
      </c>
      <c r="H1186" s="31" t="s">
        <v>54</v>
      </c>
      <c r="I1186" s="31"/>
      <c r="J1186" s="26" t="s">
        <v>606</v>
      </c>
      <c r="K1186" s="27">
        <v>14000</v>
      </c>
      <c r="L1186" s="31" t="s">
        <v>601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611</v>
      </c>
      <c r="D1187" s="31" t="s">
        <v>452</v>
      </c>
      <c r="E1187" s="31" t="s">
        <v>603</v>
      </c>
      <c r="F1187" s="31" t="s">
        <v>643</v>
      </c>
      <c r="G1187" s="27">
        <v>10000</v>
      </c>
      <c r="H1187" s="31" t="s">
        <v>54</v>
      </c>
      <c r="I1187" s="31"/>
      <c r="J1187" s="26" t="s">
        <v>606</v>
      </c>
      <c r="K1187" s="27">
        <v>10000</v>
      </c>
      <c r="L1187" s="31" t="s">
        <v>601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611</v>
      </c>
      <c r="D1188" s="31" t="s">
        <v>672</v>
      </c>
      <c r="E1188" s="31" t="s">
        <v>673</v>
      </c>
      <c r="F1188" s="31" t="s">
        <v>1035</v>
      </c>
      <c r="G1188" s="27">
        <v>5000</v>
      </c>
      <c r="H1188" s="31" t="s">
        <v>54</v>
      </c>
      <c r="I1188" s="31"/>
      <c r="J1188" s="26" t="s">
        <v>606</v>
      </c>
      <c r="K1188" s="27">
        <v>5000</v>
      </c>
      <c r="L1188" s="31" t="s">
        <v>601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598</v>
      </c>
      <c r="D1189" s="31" t="s">
        <v>735</v>
      </c>
      <c r="E1189" s="31"/>
      <c r="F1189" s="31" t="s">
        <v>1036</v>
      </c>
      <c r="G1189" s="27">
        <v>16000</v>
      </c>
      <c r="H1189" s="31" t="s">
        <v>54</v>
      </c>
      <c r="I1189" s="31" t="s">
        <v>1037</v>
      </c>
      <c r="J1189" s="26" t="s">
        <v>606</v>
      </c>
      <c r="K1189" s="27">
        <v>16000</v>
      </c>
      <c r="L1189" s="31" t="s">
        <v>601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611</v>
      </c>
      <c r="D1190" s="31" t="s">
        <v>625</v>
      </c>
      <c r="E1190" s="31"/>
      <c r="F1190" s="31" t="s">
        <v>1038</v>
      </c>
      <c r="G1190" s="27">
        <v>3000</v>
      </c>
      <c r="H1190" s="31" t="s">
        <v>54</v>
      </c>
      <c r="I1190" s="31" t="s">
        <v>626</v>
      </c>
      <c r="J1190" s="26" t="s">
        <v>606</v>
      </c>
      <c r="K1190" s="27">
        <v>3000</v>
      </c>
      <c r="L1190" s="31" t="s">
        <v>601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611</v>
      </c>
      <c r="D1191" s="31" t="s">
        <v>741</v>
      </c>
      <c r="E1191" s="31" t="s">
        <v>1019</v>
      </c>
      <c r="F1191" s="31" t="s">
        <v>1039</v>
      </c>
      <c r="G1191" s="27">
        <v>13000</v>
      </c>
      <c r="H1191" s="31" t="s">
        <v>54</v>
      </c>
      <c r="I1191" s="31" t="s">
        <v>1040</v>
      </c>
      <c r="J1191" s="26" t="s">
        <v>614</v>
      </c>
      <c r="K1191" s="27">
        <v>13000</v>
      </c>
      <c r="L1191" s="31" t="s">
        <v>601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187</v>
      </c>
      <c r="D1192" s="31" t="s">
        <v>19</v>
      </c>
      <c r="E1192" s="31"/>
      <c r="F1192" s="31" t="s">
        <v>1041</v>
      </c>
      <c r="G1192" s="27">
        <v>30000000</v>
      </c>
      <c r="H1192" s="31" t="s">
        <v>397</v>
      </c>
      <c r="I1192" s="31"/>
      <c r="J1192" s="26" t="s">
        <v>647</v>
      </c>
      <c r="K1192" s="27">
        <v>30000000</v>
      </c>
      <c r="L1192" s="31" t="s">
        <v>601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154</v>
      </c>
      <c r="D1193" s="31" t="s">
        <v>646</v>
      </c>
      <c r="E1193" s="31"/>
      <c r="F1193" s="31" t="s">
        <v>73</v>
      </c>
      <c r="G1193" s="27">
        <v>550000</v>
      </c>
      <c r="H1193" s="31" t="s">
        <v>54</v>
      </c>
      <c r="I1193" s="31"/>
      <c r="J1193" s="26" t="s">
        <v>600</v>
      </c>
      <c r="K1193" s="27">
        <v>550000</v>
      </c>
      <c r="L1193" s="31" t="s">
        <v>601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611</v>
      </c>
      <c r="D1194" s="31" t="s">
        <v>453</v>
      </c>
      <c r="E1194" s="31"/>
      <c r="F1194" s="31" t="s">
        <v>453</v>
      </c>
      <c r="G1194" s="27">
        <v>4500</v>
      </c>
      <c r="H1194" s="31" t="s">
        <v>54</v>
      </c>
      <c r="I1194" s="31"/>
      <c r="J1194" s="26" t="s">
        <v>609</v>
      </c>
      <c r="K1194" s="27">
        <v>4500</v>
      </c>
      <c r="L1194" s="31" t="s">
        <v>601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598</v>
      </c>
      <c r="D1195" s="31" t="s">
        <v>741</v>
      </c>
      <c r="E1195" s="31" t="s">
        <v>1019</v>
      </c>
      <c r="F1195" s="31" t="s">
        <v>1042</v>
      </c>
      <c r="G1195" s="27">
        <v>39000</v>
      </c>
      <c r="H1195" s="31" t="s">
        <v>54</v>
      </c>
      <c r="I1195" s="31" t="s">
        <v>95</v>
      </c>
      <c r="J1195" s="26" t="s">
        <v>614</v>
      </c>
      <c r="K1195" s="27">
        <v>39000</v>
      </c>
      <c r="L1195" s="31" t="s">
        <v>601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681</v>
      </c>
      <c r="D1196" s="31" t="s">
        <v>452</v>
      </c>
      <c r="E1196" s="31" t="s">
        <v>621</v>
      </c>
      <c r="F1196" s="31" t="s">
        <v>682</v>
      </c>
      <c r="G1196" s="27">
        <v>12000</v>
      </c>
      <c r="H1196" s="31" t="s">
        <v>54</v>
      </c>
      <c r="I1196" s="31" t="s">
        <v>824</v>
      </c>
      <c r="J1196" s="26" t="s">
        <v>606</v>
      </c>
      <c r="K1196" s="27">
        <v>12000</v>
      </c>
      <c r="L1196" s="31" t="s">
        <v>601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611</v>
      </c>
      <c r="D1197" s="31" t="s">
        <v>452</v>
      </c>
      <c r="E1197" s="31" t="s">
        <v>603</v>
      </c>
      <c r="F1197" s="31" t="s">
        <v>604</v>
      </c>
      <c r="G1197" s="27">
        <v>2500</v>
      </c>
      <c r="H1197" s="31" t="s">
        <v>54</v>
      </c>
      <c r="I1197" s="31" t="s">
        <v>1043</v>
      </c>
      <c r="J1197" s="26" t="s">
        <v>606</v>
      </c>
      <c r="K1197" s="27">
        <v>2500</v>
      </c>
      <c r="L1197" s="31" t="s">
        <v>601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611</v>
      </c>
      <c r="D1198" s="31" t="s">
        <v>452</v>
      </c>
      <c r="E1198" s="31" t="s">
        <v>603</v>
      </c>
      <c r="F1198" s="31" t="s">
        <v>604</v>
      </c>
      <c r="G1198" s="27">
        <v>3400</v>
      </c>
      <c r="H1198" s="31" t="s">
        <v>54</v>
      </c>
      <c r="I1198" s="31" t="s">
        <v>623</v>
      </c>
      <c r="J1198" s="26" t="s">
        <v>606</v>
      </c>
      <c r="K1198" s="27">
        <v>3400</v>
      </c>
      <c r="L1198" s="31" t="s">
        <v>601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611</v>
      </c>
      <c r="D1199" s="31" t="s">
        <v>453</v>
      </c>
      <c r="E1199" s="31"/>
      <c r="F1199" s="31" t="s">
        <v>453</v>
      </c>
      <c r="G1199" s="27">
        <v>5000</v>
      </c>
      <c r="H1199" s="31" t="s">
        <v>54</v>
      </c>
      <c r="I1199" s="31"/>
      <c r="J1199" s="26" t="s">
        <v>609</v>
      </c>
      <c r="K1199" s="27">
        <v>5000</v>
      </c>
      <c r="L1199" s="31" t="s">
        <v>601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154</v>
      </c>
      <c r="D1200" s="31" t="s">
        <v>19</v>
      </c>
      <c r="E1200" s="31"/>
      <c r="F1200" s="31" t="s">
        <v>179</v>
      </c>
      <c r="G1200" s="27">
        <v>679</v>
      </c>
      <c r="H1200" s="31" t="s">
        <v>397</v>
      </c>
      <c r="I1200" s="31"/>
      <c r="J1200" s="26" t="s">
        <v>653</v>
      </c>
      <c r="K1200" s="27">
        <v>679</v>
      </c>
      <c r="L1200" s="31" t="s">
        <v>601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681</v>
      </c>
      <c r="D1201" s="31" t="s">
        <v>452</v>
      </c>
      <c r="E1201" s="31" t="s">
        <v>621</v>
      </c>
      <c r="F1201" s="31" t="s">
        <v>682</v>
      </c>
      <c r="G1201" s="27">
        <v>11900</v>
      </c>
      <c r="H1201" s="31" t="s">
        <v>54</v>
      </c>
      <c r="I1201" s="31" t="s">
        <v>1044</v>
      </c>
      <c r="J1201" s="26" t="s">
        <v>606</v>
      </c>
      <c r="K1201" s="27">
        <v>11900</v>
      </c>
      <c r="L1201" s="31" t="s">
        <v>601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611</v>
      </c>
      <c r="D1202" s="31" t="s">
        <v>453</v>
      </c>
      <c r="E1202" s="31"/>
      <c r="F1202" s="31" t="s">
        <v>453</v>
      </c>
      <c r="G1202" s="27">
        <v>4500</v>
      </c>
      <c r="H1202" s="31" t="s">
        <v>54</v>
      </c>
      <c r="I1202" s="31"/>
      <c r="J1202" s="26" t="s">
        <v>609</v>
      </c>
      <c r="K1202" s="27">
        <v>4500</v>
      </c>
      <c r="L1202" s="31" t="s">
        <v>601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611</v>
      </c>
      <c r="D1203" s="31" t="s">
        <v>453</v>
      </c>
      <c r="E1203" s="31"/>
      <c r="F1203" s="31" t="s">
        <v>453</v>
      </c>
      <c r="G1203" s="27">
        <v>5000</v>
      </c>
      <c r="H1203" s="31" t="s">
        <v>54</v>
      </c>
      <c r="I1203" s="31"/>
      <c r="J1203" s="26" t="s">
        <v>609</v>
      </c>
      <c r="K1203" s="27">
        <v>5000</v>
      </c>
      <c r="L1203" s="31" t="s">
        <v>601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611</v>
      </c>
      <c r="D1204" s="31" t="s">
        <v>646</v>
      </c>
      <c r="E1204" s="31"/>
      <c r="F1204" s="31" t="s">
        <v>679</v>
      </c>
      <c r="G1204" s="27">
        <v>7650</v>
      </c>
      <c r="H1204" s="31" t="s">
        <v>54</v>
      </c>
      <c r="I1204" s="31"/>
      <c r="J1204" s="26" t="s">
        <v>600</v>
      </c>
      <c r="K1204" s="27">
        <v>7650</v>
      </c>
      <c r="L1204" s="31" t="s">
        <v>601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611</v>
      </c>
      <c r="D1205" s="31" t="s">
        <v>452</v>
      </c>
      <c r="E1205" s="31" t="s">
        <v>714</v>
      </c>
      <c r="F1205" s="31" t="s">
        <v>604</v>
      </c>
      <c r="G1205" s="27">
        <v>4700</v>
      </c>
      <c r="H1205" s="31" t="s">
        <v>54</v>
      </c>
      <c r="I1205" s="31"/>
      <c r="J1205" s="26" t="s">
        <v>606</v>
      </c>
      <c r="K1205" s="27">
        <v>4700</v>
      </c>
      <c r="L1205" s="31" t="s">
        <v>601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187</v>
      </c>
      <c r="D1206" s="31" t="s">
        <v>646</v>
      </c>
      <c r="E1206" s="31"/>
      <c r="F1206" s="31" t="s">
        <v>1041</v>
      </c>
      <c r="G1206" s="27">
        <v>25500000</v>
      </c>
      <c r="H1206" s="31" t="s">
        <v>54</v>
      </c>
      <c r="I1206" s="31"/>
      <c r="J1206" s="26" t="s">
        <v>638</v>
      </c>
      <c r="K1206" s="27">
        <v>25500000</v>
      </c>
      <c r="L1206" s="31" t="s">
        <v>601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187</v>
      </c>
      <c r="D1207" s="31" t="s">
        <v>19</v>
      </c>
      <c r="E1207" s="31"/>
      <c r="F1207" s="31" t="s">
        <v>763</v>
      </c>
      <c r="G1207" s="27">
        <v>1</v>
      </c>
      <c r="H1207" s="31" t="s">
        <v>397</v>
      </c>
      <c r="I1207" s="31"/>
      <c r="J1207" s="26" t="s">
        <v>653</v>
      </c>
      <c r="K1207" s="27">
        <v>1</v>
      </c>
      <c r="L1207" s="31" t="s">
        <v>601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611</v>
      </c>
      <c r="D1208" s="31" t="s">
        <v>453</v>
      </c>
      <c r="E1208" s="31"/>
      <c r="F1208" s="31" t="s">
        <v>453</v>
      </c>
      <c r="G1208" s="27">
        <v>5000</v>
      </c>
      <c r="H1208" s="31" t="s">
        <v>54</v>
      </c>
      <c r="I1208" s="31"/>
      <c r="J1208" s="26" t="s">
        <v>609</v>
      </c>
      <c r="K1208" s="27">
        <v>5000</v>
      </c>
      <c r="L1208" s="31" t="s">
        <v>601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611</v>
      </c>
      <c r="D1209" s="31" t="s">
        <v>452</v>
      </c>
      <c r="E1209" s="31" t="s">
        <v>603</v>
      </c>
      <c r="F1209" s="31" t="s">
        <v>946</v>
      </c>
      <c r="G1209" s="27">
        <v>3600</v>
      </c>
      <c r="H1209" s="31" t="s">
        <v>54</v>
      </c>
      <c r="I1209" s="31" t="s">
        <v>1045</v>
      </c>
      <c r="J1209" s="26" t="s">
        <v>606</v>
      </c>
      <c r="K1209" s="27">
        <v>3600</v>
      </c>
      <c r="L1209" s="31" t="s">
        <v>601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611</v>
      </c>
      <c r="D1210" s="31" t="s">
        <v>669</v>
      </c>
      <c r="E1210" s="31"/>
      <c r="F1210" s="31" t="s">
        <v>1046</v>
      </c>
      <c r="G1210" s="27">
        <v>34810</v>
      </c>
      <c r="H1210" s="31" t="s">
        <v>54</v>
      </c>
      <c r="I1210" s="31" t="s">
        <v>1047</v>
      </c>
      <c r="J1210" s="26" t="s">
        <v>617</v>
      </c>
      <c r="K1210" s="27">
        <v>34810</v>
      </c>
      <c r="L1210" s="31" t="s">
        <v>601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611</v>
      </c>
      <c r="D1211" s="31" t="s">
        <v>452</v>
      </c>
      <c r="E1211" s="31" t="s">
        <v>612</v>
      </c>
      <c r="F1211" s="31" t="s">
        <v>731</v>
      </c>
      <c r="G1211" s="27">
        <v>11000</v>
      </c>
      <c r="H1211" s="31" t="s">
        <v>54</v>
      </c>
      <c r="I1211" s="31"/>
      <c r="J1211" s="26" t="s">
        <v>606</v>
      </c>
      <c r="K1211" s="27">
        <v>11000</v>
      </c>
      <c r="L1211" s="31" t="s">
        <v>601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611</v>
      </c>
      <c r="D1212" s="31" t="s">
        <v>452</v>
      </c>
      <c r="E1212" s="31" t="s">
        <v>714</v>
      </c>
      <c r="F1212" s="31" t="s">
        <v>604</v>
      </c>
      <c r="G1212" s="27">
        <v>5200</v>
      </c>
      <c r="H1212" s="31" t="s">
        <v>54</v>
      </c>
      <c r="I1212" s="31" t="s">
        <v>821</v>
      </c>
      <c r="J1212" s="26" t="s">
        <v>606</v>
      </c>
      <c r="K1212" s="27">
        <v>5200</v>
      </c>
      <c r="L1212" s="31" t="s">
        <v>601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681</v>
      </c>
      <c r="D1213" s="31" t="s">
        <v>625</v>
      </c>
      <c r="E1213" s="31"/>
      <c r="F1213" s="31" t="s">
        <v>1048</v>
      </c>
      <c r="G1213" s="27">
        <v>7290</v>
      </c>
      <c r="H1213" s="31" t="s">
        <v>54</v>
      </c>
      <c r="I1213" s="31"/>
      <c r="J1213" s="26" t="s">
        <v>606</v>
      </c>
      <c r="K1213" s="27">
        <v>7290</v>
      </c>
      <c r="L1213" s="31" t="s">
        <v>601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611</v>
      </c>
      <c r="D1214" s="31" t="s">
        <v>452</v>
      </c>
      <c r="E1214" s="31" t="s">
        <v>603</v>
      </c>
      <c r="F1214" s="31" t="s">
        <v>1049</v>
      </c>
      <c r="G1214" s="27">
        <v>3300</v>
      </c>
      <c r="H1214" s="31" t="s">
        <v>54</v>
      </c>
      <c r="I1214" s="31"/>
      <c r="J1214" s="26" t="s">
        <v>606</v>
      </c>
      <c r="K1214" s="27">
        <v>3300</v>
      </c>
      <c r="L1214" s="31" t="s">
        <v>601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611</v>
      </c>
      <c r="D1215" s="31" t="s">
        <v>452</v>
      </c>
      <c r="E1215" s="31" t="s">
        <v>603</v>
      </c>
      <c r="F1215" s="31" t="s">
        <v>604</v>
      </c>
      <c r="G1215" s="27">
        <v>2600</v>
      </c>
      <c r="H1215" s="31" t="s">
        <v>54</v>
      </c>
      <c r="I1215" s="31" t="s">
        <v>1050</v>
      </c>
      <c r="J1215" s="26" t="s">
        <v>606</v>
      </c>
      <c r="K1215" s="27">
        <v>2600</v>
      </c>
      <c r="L1215" s="31" t="s">
        <v>601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611</v>
      </c>
      <c r="D1216" s="31" t="s">
        <v>741</v>
      </c>
      <c r="E1216" s="31" t="s">
        <v>1019</v>
      </c>
      <c r="F1216" s="31" t="s">
        <v>1051</v>
      </c>
      <c r="G1216" s="27">
        <v>12900</v>
      </c>
      <c r="H1216" s="31" t="s">
        <v>54</v>
      </c>
      <c r="I1216" s="31" t="s">
        <v>95</v>
      </c>
      <c r="J1216" s="26" t="s">
        <v>614</v>
      </c>
      <c r="K1216" s="27">
        <v>12900</v>
      </c>
      <c r="L1216" s="31" t="s">
        <v>601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611</v>
      </c>
      <c r="D1217" s="31" t="s">
        <v>453</v>
      </c>
      <c r="E1217" s="31"/>
      <c r="F1217" s="31" t="s">
        <v>453</v>
      </c>
      <c r="G1217" s="27">
        <v>5000</v>
      </c>
      <c r="H1217" s="31" t="s">
        <v>54</v>
      </c>
      <c r="I1217" s="31"/>
      <c r="J1217" s="26" t="s">
        <v>609</v>
      </c>
      <c r="K1217" s="27">
        <v>5000</v>
      </c>
      <c r="L1217" s="31" t="s">
        <v>601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611</v>
      </c>
      <c r="D1218" s="31" t="s">
        <v>735</v>
      </c>
      <c r="E1218" s="31"/>
      <c r="F1218" s="31" t="s">
        <v>989</v>
      </c>
      <c r="G1218" s="27">
        <v>600</v>
      </c>
      <c r="H1218" s="31" t="s">
        <v>54</v>
      </c>
      <c r="I1218" s="31" t="s">
        <v>1052</v>
      </c>
      <c r="J1218" s="26" t="s">
        <v>628</v>
      </c>
      <c r="K1218" s="27">
        <v>600</v>
      </c>
      <c r="L1218" s="31" t="s">
        <v>601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166</v>
      </c>
      <c r="D1219" s="31" t="s">
        <v>19</v>
      </c>
      <c r="E1219" s="31"/>
      <c r="F1219" s="31" t="s">
        <v>763</v>
      </c>
      <c r="G1219" s="27">
        <v>2</v>
      </c>
      <c r="H1219" s="31" t="s">
        <v>397</v>
      </c>
      <c r="I1219" s="31"/>
      <c r="J1219" s="26" t="s">
        <v>653</v>
      </c>
      <c r="K1219" s="27">
        <v>2</v>
      </c>
      <c r="L1219" s="31" t="s">
        <v>601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187</v>
      </c>
      <c r="D1220" s="31" t="s">
        <v>19</v>
      </c>
      <c r="E1220" s="31"/>
      <c r="F1220" s="31" t="s">
        <v>763</v>
      </c>
      <c r="G1220" s="27">
        <v>3</v>
      </c>
      <c r="H1220" s="31" t="s">
        <v>397</v>
      </c>
      <c r="I1220" s="31"/>
      <c r="J1220" s="26" t="s">
        <v>653</v>
      </c>
      <c r="K1220" s="27">
        <v>3</v>
      </c>
      <c r="L1220" s="31" t="s">
        <v>601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656</v>
      </c>
      <c r="D1221" s="31" t="s">
        <v>771</v>
      </c>
      <c r="E1221" s="31"/>
      <c r="F1221" s="31" t="s">
        <v>1053</v>
      </c>
      <c r="G1221" s="27">
        <v>1000</v>
      </c>
      <c r="H1221" s="31" t="s">
        <v>54</v>
      </c>
      <c r="I1221" s="31" t="s">
        <v>1054</v>
      </c>
      <c r="J1221" s="26" t="s">
        <v>600</v>
      </c>
      <c r="K1221" s="27">
        <v>1000</v>
      </c>
      <c r="L1221" s="31" t="s">
        <v>601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611</v>
      </c>
      <c r="D1222" s="31" t="s">
        <v>453</v>
      </c>
      <c r="E1222" s="31"/>
      <c r="F1222" s="31" t="s">
        <v>453</v>
      </c>
      <c r="G1222" s="27">
        <v>5000</v>
      </c>
      <c r="H1222" s="31" t="s">
        <v>54</v>
      </c>
      <c r="I1222" s="31"/>
      <c r="J1222" s="26" t="s">
        <v>609</v>
      </c>
      <c r="K1222" s="27">
        <v>5000</v>
      </c>
      <c r="L1222" s="31" t="s">
        <v>601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611</v>
      </c>
      <c r="D1223" s="31" t="s">
        <v>452</v>
      </c>
      <c r="E1223" s="31" t="s">
        <v>603</v>
      </c>
      <c r="F1223" s="31" t="s">
        <v>946</v>
      </c>
      <c r="G1223" s="27">
        <v>2400</v>
      </c>
      <c r="H1223" s="31" t="s">
        <v>54</v>
      </c>
      <c r="I1223" s="31" t="s">
        <v>1050</v>
      </c>
      <c r="J1223" s="26" t="s">
        <v>606</v>
      </c>
      <c r="K1223" s="27">
        <v>2400</v>
      </c>
      <c r="L1223" s="31" t="s">
        <v>601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611</v>
      </c>
      <c r="D1224" s="31" t="s">
        <v>452</v>
      </c>
      <c r="E1224" s="31" t="s">
        <v>603</v>
      </c>
      <c r="F1224" s="31" t="s">
        <v>1049</v>
      </c>
      <c r="G1224" s="27">
        <v>3300</v>
      </c>
      <c r="H1224" s="31" t="s">
        <v>54</v>
      </c>
      <c r="I1224" s="31"/>
      <c r="J1224" s="26" t="s">
        <v>606</v>
      </c>
      <c r="K1224" s="27">
        <v>3300</v>
      </c>
      <c r="L1224" s="31" t="s">
        <v>601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611</v>
      </c>
      <c r="D1225" s="31" t="s">
        <v>452</v>
      </c>
      <c r="E1225" s="31" t="s">
        <v>612</v>
      </c>
      <c r="F1225" s="31" t="s">
        <v>1055</v>
      </c>
      <c r="G1225" s="27">
        <v>9966</v>
      </c>
      <c r="H1225" s="31" t="s">
        <v>54</v>
      </c>
      <c r="I1225" s="31"/>
      <c r="J1225" s="26" t="s">
        <v>606</v>
      </c>
      <c r="K1225" s="27">
        <v>9966</v>
      </c>
      <c r="L1225" s="31" t="s">
        <v>601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611</v>
      </c>
      <c r="D1226" s="31" t="s">
        <v>705</v>
      </c>
      <c r="E1226" s="31"/>
      <c r="F1226" s="31" t="s">
        <v>341</v>
      </c>
      <c r="G1226" s="27">
        <v>48620</v>
      </c>
      <c r="H1226" s="31" t="s">
        <v>54</v>
      </c>
      <c r="I1226" s="31"/>
      <c r="J1226" s="26" t="s">
        <v>600</v>
      </c>
      <c r="K1226" s="27">
        <v>48620</v>
      </c>
      <c r="L1226" s="31" t="s">
        <v>601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611</v>
      </c>
      <c r="D1227" s="31" t="s">
        <v>452</v>
      </c>
      <c r="E1227" s="31" t="s">
        <v>714</v>
      </c>
      <c r="F1227" s="31" t="s">
        <v>820</v>
      </c>
      <c r="G1227" s="27">
        <v>5300</v>
      </c>
      <c r="H1227" s="31" t="s">
        <v>54</v>
      </c>
      <c r="I1227" s="31"/>
      <c r="J1227" s="26" t="s">
        <v>606</v>
      </c>
      <c r="K1227" s="27">
        <v>5300</v>
      </c>
      <c r="L1227" s="31" t="s">
        <v>601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598</v>
      </c>
      <c r="D1228" s="31" t="s">
        <v>452</v>
      </c>
      <c r="E1228" s="31" t="s">
        <v>603</v>
      </c>
      <c r="F1228" s="31" t="s">
        <v>604</v>
      </c>
      <c r="G1228" s="27">
        <v>2200</v>
      </c>
      <c r="H1228" s="31" t="s">
        <v>54</v>
      </c>
      <c r="I1228" s="31" t="s">
        <v>890</v>
      </c>
      <c r="J1228" s="26" t="s">
        <v>606</v>
      </c>
      <c r="K1228" s="27">
        <v>2200</v>
      </c>
      <c r="L1228" s="31" t="s">
        <v>601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611</v>
      </c>
      <c r="D1229" s="31" t="s">
        <v>453</v>
      </c>
      <c r="E1229" s="31"/>
      <c r="F1229" s="31" t="s">
        <v>453</v>
      </c>
      <c r="G1229" s="27">
        <v>5000</v>
      </c>
      <c r="H1229" s="31" t="s">
        <v>54</v>
      </c>
      <c r="I1229" s="31"/>
      <c r="J1229" s="26" t="s">
        <v>609</v>
      </c>
      <c r="K1229" s="27">
        <v>5000</v>
      </c>
      <c r="L1229" s="31" t="s">
        <v>601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611</v>
      </c>
      <c r="D1230" s="31" t="s">
        <v>452</v>
      </c>
      <c r="E1230" s="31" t="s">
        <v>603</v>
      </c>
      <c r="F1230" s="31" t="s">
        <v>1049</v>
      </c>
      <c r="G1230" s="27">
        <v>3300</v>
      </c>
      <c r="H1230" s="31" t="s">
        <v>54</v>
      </c>
      <c r="I1230" s="31"/>
      <c r="J1230" s="26" t="s">
        <v>606</v>
      </c>
      <c r="K1230" s="27">
        <v>3300</v>
      </c>
      <c r="L1230" s="31" t="s">
        <v>601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611</v>
      </c>
      <c r="D1231" s="31" t="s">
        <v>452</v>
      </c>
      <c r="E1231" s="31" t="s">
        <v>603</v>
      </c>
      <c r="F1231" s="31" t="s">
        <v>604</v>
      </c>
      <c r="G1231" s="27">
        <v>2000</v>
      </c>
      <c r="H1231" s="31" t="s">
        <v>54</v>
      </c>
      <c r="I1231" s="31" t="s">
        <v>1050</v>
      </c>
      <c r="J1231" s="26" t="s">
        <v>606</v>
      </c>
      <c r="K1231" s="27">
        <v>2000</v>
      </c>
      <c r="L1231" s="31" t="s">
        <v>601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611</v>
      </c>
      <c r="D1232" s="31" t="s">
        <v>452</v>
      </c>
      <c r="E1232" s="31" t="s">
        <v>603</v>
      </c>
      <c r="F1232" s="31" t="s">
        <v>886</v>
      </c>
      <c r="G1232" s="27">
        <v>6300</v>
      </c>
      <c r="H1232" s="31" t="s">
        <v>54</v>
      </c>
      <c r="I1232" s="31"/>
      <c r="J1232" s="26" t="s">
        <v>606</v>
      </c>
      <c r="K1232" s="27">
        <v>6300</v>
      </c>
      <c r="L1232" s="31" t="s">
        <v>601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611</v>
      </c>
      <c r="D1233" s="31" t="s">
        <v>741</v>
      </c>
      <c r="E1233" s="31" t="s">
        <v>1019</v>
      </c>
      <c r="F1233" s="31" t="s">
        <v>1056</v>
      </c>
      <c r="G1233" s="27">
        <v>14000</v>
      </c>
      <c r="H1233" s="31" t="s">
        <v>54</v>
      </c>
      <c r="I1233" s="31" t="s">
        <v>95</v>
      </c>
      <c r="J1233" s="26" t="s">
        <v>614</v>
      </c>
      <c r="K1233" s="27">
        <v>14000</v>
      </c>
      <c r="L1233" s="31" t="s">
        <v>601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611</v>
      </c>
      <c r="D1234" s="31" t="s">
        <v>882</v>
      </c>
      <c r="E1234" s="31"/>
      <c r="F1234" s="31" t="s">
        <v>825</v>
      </c>
      <c r="G1234" s="27">
        <v>28210</v>
      </c>
      <c r="H1234" s="31" t="s">
        <v>54</v>
      </c>
      <c r="I1234" s="31" t="s">
        <v>1057</v>
      </c>
      <c r="J1234" s="26" t="s">
        <v>606</v>
      </c>
      <c r="K1234" s="27">
        <v>28210</v>
      </c>
      <c r="L1234" s="31" t="s">
        <v>601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611</v>
      </c>
      <c r="D1235" s="31" t="s">
        <v>741</v>
      </c>
      <c r="E1235" s="31" t="s">
        <v>1019</v>
      </c>
      <c r="F1235" s="31" t="s">
        <v>818</v>
      </c>
      <c r="G1235" s="27">
        <v>8890</v>
      </c>
      <c r="H1235" s="31" t="s">
        <v>54</v>
      </c>
      <c r="I1235" s="31" t="s">
        <v>95</v>
      </c>
      <c r="J1235" s="26" t="s">
        <v>614</v>
      </c>
      <c r="K1235" s="27">
        <v>8890</v>
      </c>
      <c r="L1235" s="31" t="s">
        <v>601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154</v>
      </c>
      <c r="D1236" s="31" t="s">
        <v>716</v>
      </c>
      <c r="E1236" s="31"/>
      <c r="F1236" s="31" t="s">
        <v>657</v>
      </c>
      <c r="G1236" s="27">
        <v>56770</v>
      </c>
      <c r="H1236" s="31" t="s">
        <v>636</v>
      </c>
      <c r="I1236" s="31"/>
      <c r="J1236" s="26" t="s">
        <v>634</v>
      </c>
      <c r="K1236" s="27">
        <v>56770</v>
      </c>
      <c r="L1236" s="31" t="s">
        <v>601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716</v>
      </c>
      <c r="D1237" s="31" t="s">
        <v>154</v>
      </c>
      <c r="E1237" s="31"/>
      <c r="F1237" s="31" t="s">
        <v>657</v>
      </c>
      <c r="G1237" s="27">
        <v>56770</v>
      </c>
      <c r="H1237" s="31" t="s">
        <v>633</v>
      </c>
      <c r="I1237" s="31"/>
      <c r="J1237" s="26" t="s">
        <v>634</v>
      </c>
      <c r="K1237" s="27">
        <v>56770</v>
      </c>
      <c r="L1237" s="31" t="s">
        <v>601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546</v>
      </c>
      <c r="D1238" s="31" t="s">
        <v>154</v>
      </c>
      <c r="E1238" s="31"/>
      <c r="F1238" s="31" t="s">
        <v>657</v>
      </c>
      <c r="G1238" s="27">
        <v>178820</v>
      </c>
      <c r="H1238" s="31" t="s">
        <v>633</v>
      </c>
      <c r="I1238" s="31"/>
      <c r="J1238" s="26" t="s">
        <v>634</v>
      </c>
      <c r="K1238" s="27">
        <v>178820</v>
      </c>
      <c r="L1238" s="31" t="s">
        <v>601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154</v>
      </c>
      <c r="D1239" s="31" t="s">
        <v>546</v>
      </c>
      <c r="E1239" s="31"/>
      <c r="F1239" s="31" t="s">
        <v>657</v>
      </c>
      <c r="G1239" s="27">
        <v>178820</v>
      </c>
      <c r="H1239" s="31" t="s">
        <v>636</v>
      </c>
      <c r="I1239" s="31"/>
      <c r="J1239" s="26" t="s">
        <v>634</v>
      </c>
      <c r="K1239" s="27">
        <v>178820</v>
      </c>
      <c r="L1239" s="31" t="s">
        <v>601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611</v>
      </c>
      <c r="D1240" s="31" t="s">
        <v>640</v>
      </c>
      <c r="E1240" s="31"/>
      <c r="F1240" s="31" t="s">
        <v>1058</v>
      </c>
      <c r="G1240" s="27">
        <v>74700</v>
      </c>
      <c r="H1240" s="31" t="s">
        <v>54</v>
      </c>
      <c r="I1240" s="31" t="s">
        <v>707</v>
      </c>
      <c r="J1240" s="26" t="s">
        <v>600</v>
      </c>
      <c r="K1240" s="27">
        <v>74700</v>
      </c>
      <c r="L1240" s="31" t="s">
        <v>601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656</v>
      </c>
      <c r="D1241" s="31" t="s">
        <v>771</v>
      </c>
      <c r="E1241" s="31"/>
      <c r="F1241" s="31" t="s">
        <v>1059</v>
      </c>
      <c r="G1241" s="27">
        <v>1450</v>
      </c>
      <c r="H1241" s="31" t="s">
        <v>54</v>
      </c>
      <c r="I1241" s="31" t="s">
        <v>1054</v>
      </c>
      <c r="J1241" s="26" t="s">
        <v>606</v>
      </c>
      <c r="K1241" s="27">
        <v>1450</v>
      </c>
      <c r="L1241" s="31" t="s">
        <v>601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172</v>
      </c>
      <c r="D1242" s="31" t="s">
        <v>19</v>
      </c>
      <c r="E1242" s="31"/>
      <c r="F1242" s="31" t="s">
        <v>1060</v>
      </c>
      <c r="G1242" s="27">
        <v>3</v>
      </c>
      <c r="H1242" s="31" t="s">
        <v>397</v>
      </c>
      <c r="I1242" s="31"/>
      <c r="J1242" s="26" t="s">
        <v>653</v>
      </c>
      <c r="K1242" s="27">
        <v>3</v>
      </c>
      <c r="L1242" s="31" t="s">
        <v>601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598</v>
      </c>
      <c r="D1243" s="31" t="s">
        <v>453</v>
      </c>
      <c r="E1243" s="31"/>
      <c r="F1243" s="31" t="s">
        <v>453</v>
      </c>
      <c r="G1243" s="27">
        <v>5000</v>
      </c>
      <c r="H1243" s="31" t="s">
        <v>54</v>
      </c>
      <c r="I1243" s="31"/>
      <c r="J1243" s="26" t="s">
        <v>609</v>
      </c>
      <c r="K1243" s="27">
        <v>5000</v>
      </c>
      <c r="L1243" s="31" t="s">
        <v>601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598</v>
      </c>
      <c r="D1244" s="31" t="s">
        <v>452</v>
      </c>
      <c r="E1244" s="31" t="s">
        <v>714</v>
      </c>
      <c r="F1244" s="31" t="s">
        <v>604</v>
      </c>
      <c r="G1244" s="27">
        <v>12300</v>
      </c>
      <c r="H1244" s="31" t="s">
        <v>54</v>
      </c>
      <c r="I1244" s="31" t="s">
        <v>1061</v>
      </c>
      <c r="J1244" s="26" t="s">
        <v>606</v>
      </c>
      <c r="K1244" s="27">
        <v>12300</v>
      </c>
      <c r="L1244" s="31" t="s">
        <v>601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681</v>
      </c>
      <c r="D1245" s="31" t="s">
        <v>625</v>
      </c>
      <c r="E1245" s="31"/>
      <c r="F1245" s="31" t="s">
        <v>365</v>
      </c>
      <c r="G1245" s="27">
        <v>16800</v>
      </c>
      <c r="H1245" s="31" t="s">
        <v>54</v>
      </c>
      <c r="I1245" s="31" t="s">
        <v>1062</v>
      </c>
      <c r="J1245" s="26" t="s">
        <v>606</v>
      </c>
      <c r="K1245" s="27">
        <v>16800</v>
      </c>
      <c r="L1245" s="31" t="s">
        <v>601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598</v>
      </c>
      <c r="D1246" s="31" t="s">
        <v>741</v>
      </c>
      <c r="E1246" s="31" t="s">
        <v>457</v>
      </c>
      <c r="F1246" s="31" t="s">
        <v>1063</v>
      </c>
      <c r="G1246" s="27">
        <v>5800</v>
      </c>
      <c r="H1246" s="31" t="s">
        <v>54</v>
      </c>
      <c r="I1246" s="31" t="s">
        <v>95</v>
      </c>
      <c r="J1246" s="26" t="s">
        <v>614</v>
      </c>
      <c r="K1246" s="27">
        <v>5800</v>
      </c>
      <c r="L1246" s="31" t="s">
        <v>601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598</v>
      </c>
      <c r="D1247" s="31" t="s">
        <v>741</v>
      </c>
      <c r="E1247" s="31" t="s">
        <v>457</v>
      </c>
      <c r="F1247" s="31" t="s">
        <v>823</v>
      </c>
      <c r="G1247" s="27">
        <v>10700</v>
      </c>
      <c r="H1247" s="31" t="s">
        <v>54</v>
      </c>
      <c r="I1247" s="31" t="s">
        <v>95</v>
      </c>
      <c r="J1247" s="26" t="s">
        <v>614</v>
      </c>
      <c r="K1247" s="27">
        <v>10700</v>
      </c>
      <c r="L1247" s="31" t="s">
        <v>601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154</v>
      </c>
      <c r="D1248" s="31" t="s">
        <v>19</v>
      </c>
      <c r="E1248" s="31"/>
      <c r="F1248" s="31" t="s">
        <v>179</v>
      </c>
      <c r="G1248" s="27">
        <v>1293</v>
      </c>
      <c r="H1248" s="31" t="s">
        <v>397</v>
      </c>
      <c r="I1248" s="31"/>
      <c r="J1248" s="26" t="s">
        <v>653</v>
      </c>
      <c r="K1248" s="27">
        <v>1293</v>
      </c>
      <c r="L1248" s="31" t="s">
        <v>601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598</v>
      </c>
      <c r="D1249" s="31" t="s">
        <v>453</v>
      </c>
      <c r="E1249" s="31"/>
      <c r="F1249" s="31" t="s">
        <v>453</v>
      </c>
      <c r="G1249" s="27">
        <v>5000</v>
      </c>
      <c r="H1249" s="31" t="s">
        <v>54</v>
      </c>
      <c r="I1249" s="31"/>
      <c r="J1249" s="26" t="s">
        <v>609</v>
      </c>
      <c r="K1249" s="27">
        <v>5000</v>
      </c>
      <c r="L1249" s="31" t="s">
        <v>601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598</v>
      </c>
      <c r="D1250" s="31" t="s">
        <v>741</v>
      </c>
      <c r="E1250" s="31" t="s">
        <v>1019</v>
      </c>
      <c r="F1250" s="31" t="s">
        <v>1064</v>
      </c>
      <c r="G1250" s="27">
        <v>11800</v>
      </c>
      <c r="H1250" s="31" t="s">
        <v>54</v>
      </c>
      <c r="I1250" s="31" t="s">
        <v>95</v>
      </c>
      <c r="J1250" s="26" t="s">
        <v>614</v>
      </c>
      <c r="K1250" s="27">
        <v>11800</v>
      </c>
      <c r="L1250" s="31" t="s">
        <v>601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598</v>
      </c>
      <c r="D1251" s="31" t="s">
        <v>452</v>
      </c>
      <c r="E1251" s="31" t="s">
        <v>714</v>
      </c>
      <c r="F1251" s="31" t="s">
        <v>604</v>
      </c>
      <c r="G1251" s="27">
        <v>4400</v>
      </c>
      <c r="H1251" s="31" t="s">
        <v>54</v>
      </c>
      <c r="I1251" s="31" t="s">
        <v>1065</v>
      </c>
      <c r="J1251" s="26" t="s">
        <v>606</v>
      </c>
      <c r="K1251" s="27">
        <v>4400</v>
      </c>
      <c r="L1251" s="31" t="s">
        <v>601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632</v>
      </c>
      <c r="D1252" s="31" t="s">
        <v>19</v>
      </c>
      <c r="E1252" s="31"/>
      <c r="F1252" s="31" t="s">
        <v>1066</v>
      </c>
      <c r="G1252" s="27">
        <v>64</v>
      </c>
      <c r="H1252" s="31" t="s">
        <v>397</v>
      </c>
      <c r="I1252" s="31"/>
      <c r="J1252" s="26" t="s">
        <v>653</v>
      </c>
      <c r="K1252" s="27">
        <v>64</v>
      </c>
      <c r="L1252" s="31" t="s">
        <v>601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154</v>
      </c>
      <c r="D1253" s="31" t="s">
        <v>178</v>
      </c>
      <c r="E1253" s="31"/>
      <c r="F1253" s="31" t="s">
        <v>72</v>
      </c>
      <c r="G1253" s="27">
        <v>601612</v>
      </c>
      <c r="H1253" s="31" t="s">
        <v>636</v>
      </c>
      <c r="I1253" s="31"/>
      <c r="J1253" s="26" t="s">
        <v>634</v>
      </c>
      <c r="K1253" s="27">
        <v>601612</v>
      </c>
      <c r="L1253" s="31" t="s">
        <v>601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178</v>
      </c>
      <c r="D1254" s="31" t="s">
        <v>154</v>
      </c>
      <c r="E1254" s="31"/>
      <c r="F1254" s="31" t="s">
        <v>72</v>
      </c>
      <c r="G1254" s="27">
        <v>601612</v>
      </c>
      <c r="H1254" s="31" t="s">
        <v>633</v>
      </c>
      <c r="I1254" s="31"/>
      <c r="J1254" s="26" t="s">
        <v>634</v>
      </c>
      <c r="K1254" s="27">
        <v>601612</v>
      </c>
      <c r="L1254" s="31" t="s">
        <v>601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154</v>
      </c>
      <c r="D1255" s="31" t="s">
        <v>166</v>
      </c>
      <c r="E1255" s="31"/>
      <c r="F1255" s="31" t="s">
        <v>72</v>
      </c>
      <c r="G1255" s="27">
        <v>821239</v>
      </c>
      <c r="H1255" s="31" t="s">
        <v>636</v>
      </c>
      <c r="I1255" s="31"/>
      <c r="J1255" s="26" t="s">
        <v>634</v>
      </c>
      <c r="K1255" s="27">
        <v>821239</v>
      </c>
      <c r="L1255" s="31" t="s">
        <v>601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166</v>
      </c>
      <c r="D1256" s="31" t="s">
        <v>154</v>
      </c>
      <c r="E1256" s="31"/>
      <c r="F1256" s="31" t="s">
        <v>72</v>
      </c>
      <c r="G1256" s="27">
        <v>821239</v>
      </c>
      <c r="H1256" s="31" t="s">
        <v>633</v>
      </c>
      <c r="I1256" s="31"/>
      <c r="J1256" s="26" t="s">
        <v>634</v>
      </c>
      <c r="K1256" s="27">
        <v>821239</v>
      </c>
      <c r="L1256" s="31" t="s">
        <v>601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154</v>
      </c>
      <c r="D1257" s="31" t="s">
        <v>172</v>
      </c>
      <c r="E1257" s="31"/>
      <c r="F1257" s="31" t="s">
        <v>72</v>
      </c>
      <c r="G1257" s="27">
        <v>177820</v>
      </c>
      <c r="H1257" s="31" t="s">
        <v>636</v>
      </c>
      <c r="I1257" s="31"/>
      <c r="J1257" s="26" t="s">
        <v>634</v>
      </c>
      <c r="K1257" s="27">
        <v>177820</v>
      </c>
      <c r="L1257" s="31" t="s">
        <v>601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172</v>
      </c>
      <c r="D1258" s="31" t="s">
        <v>154</v>
      </c>
      <c r="E1258" s="31"/>
      <c r="F1258" s="31" t="s">
        <v>72</v>
      </c>
      <c r="G1258" s="27">
        <v>177820</v>
      </c>
      <c r="H1258" s="31" t="s">
        <v>633</v>
      </c>
      <c r="I1258" s="31"/>
      <c r="J1258" s="26" t="s">
        <v>634</v>
      </c>
      <c r="K1258" s="27">
        <v>177820</v>
      </c>
      <c r="L1258" s="31" t="s">
        <v>601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598</v>
      </c>
      <c r="D1259" s="31" t="s">
        <v>741</v>
      </c>
      <c r="E1259" s="31" t="s">
        <v>457</v>
      </c>
      <c r="F1259" s="31" t="s">
        <v>1067</v>
      </c>
      <c r="G1259" s="27">
        <v>11500</v>
      </c>
      <c r="H1259" s="31" t="s">
        <v>54</v>
      </c>
      <c r="I1259" s="31"/>
      <c r="J1259" s="26" t="s">
        <v>614</v>
      </c>
      <c r="K1259" s="27">
        <v>11500</v>
      </c>
      <c r="L1259" s="31" t="s">
        <v>601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681</v>
      </c>
      <c r="D1260" s="31" t="s">
        <v>640</v>
      </c>
      <c r="E1260" s="31"/>
      <c r="F1260" s="31" t="s">
        <v>365</v>
      </c>
      <c r="G1260" s="27">
        <v>8730</v>
      </c>
      <c r="H1260" s="31" t="s">
        <v>54</v>
      </c>
      <c r="I1260" s="31" t="s">
        <v>1068</v>
      </c>
      <c r="J1260" s="26" t="s">
        <v>606</v>
      </c>
      <c r="K1260" s="27">
        <v>8730</v>
      </c>
      <c r="L1260" s="31" t="s">
        <v>601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178</v>
      </c>
      <c r="D1261" s="31" t="s">
        <v>598</v>
      </c>
      <c r="E1261" s="31"/>
      <c r="F1261" s="31" t="s">
        <v>657</v>
      </c>
      <c r="G1261" s="27">
        <v>601612</v>
      </c>
      <c r="H1261" s="31" t="s">
        <v>636</v>
      </c>
      <c r="I1261" s="31"/>
      <c r="J1261" s="26" t="s">
        <v>634</v>
      </c>
      <c r="K1261" s="27">
        <v>601612</v>
      </c>
      <c r="L1261" s="31" t="s">
        <v>601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598</v>
      </c>
      <c r="D1262" s="31" t="s">
        <v>178</v>
      </c>
      <c r="E1262" s="31"/>
      <c r="F1262" s="31" t="s">
        <v>657</v>
      </c>
      <c r="G1262" s="27">
        <v>601612</v>
      </c>
      <c r="H1262" s="31" t="s">
        <v>633</v>
      </c>
      <c r="I1262" s="31"/>
      <c r="J1262" s="26" t="s">
        <v>634</v>
      </c>
      <c r="K1262" s="27">
        <v>601612</v>
      </c>
      <c r="L1262" s="31" t="s">
        <v>601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598</v>
      </c>
      <c r="D1263" s="31" t="s">
        <v>705</v>
      </c>
      <c r="E1263" s="31"/>
      <c r="F1263" s="31" t="s">
        <v>717</v>
      </c>
      <c r="G1263" s="27">
        <v>12400</v>
      </c>
      <c r="H1263" s="31" t="s">
        <v>54</v>
      </c>
      <c r="I1263" s="31"/>
      <c r="J1263" s="26" t="s">
        <v>600</v>
      </c>
      <c r="K1263" s="27">
        <v>12400</v>
      </c>
      <c r="L1263" s="31" t="s">
        <v>601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166</v>
      </c>
      <c r="D1264" s="31" t="s">
        <v>611</v>
      </c>
      <c r="E1264" s="31"/>
      <c r="F1264" s="31" t="s">
        <v>657</v>
      </c>
      <c r="G1264" s="27">
        <v>821239</v>
      </c>
      <c r="H1264" s="31" t="s">
        <v>636</v>
      </c>
      <c r="I1264" s="31"/>
      <c r="J1264" s="26" t="s">
        <v>634</v>
      </c>
      <c r="K1264" s="27">
        <v>821239</v>
      </c>
      <c r="L1264" s="31" t="s">
        <v>601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611</v>
      </c>
      <c r="D1265" s="31" t="s">
        <v>166</v>
      </c>
      <c r="E1265" s="31"/>
      <c r="F1265" s="31" t="s">
        <v>657</v>
      </c>
      <c r="G1265" s="27">
        <v>821239</v>
      </c>
      <c r="H1265" s="31" t="s">
        <v>633</v>
      </c>
      <c r="I1265" s="31"/>
      <c r="J1265" s="26" t="s">
        <v>634</v>
      </c>
      <c r="K1265" s="27">
        <v>821239</v>
      </c>
      <c r="L1265" s="31" t="s">
        <v>601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172</v>
      </c>
      <c r="D1266" s="31" t="s">
        <v>681</v>
      </c>
      <c r="E1266" s="31"/>
      <c r="F1266" s="31" t="s">
        <v>657</v>
      </c>
      <c r="G1266" s="27">
        <v>177820</v>
      </c>
      <c r="H1266" s="31" t="s">
        <v>636</v>
      </c>
      <c r="I1266" s="31"/>
      <c r="J1266" s="26" t="s">
        <v>634</v>
      </c>
      <c r="K1266" s="27">
        <v>177820</v>
      </c>
      <c r="L1266" s="31" t="s">
        <v>601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681</v>
      </c>
      <c r="D1267" s="31" t="s">
        <v>172</v>
      </c>
      <c r="E1267" s="31"/>
      <c r="F1267" s="31" t="s">
        <v>657</v>
      </c>
      <c r="G1267" s="27">
        <v>177820</v>
      </c>
      <c r="H1267" s="31" t="s">
        <v>633</v>
      </c>
      <c r="I1267" s="31"/>
      <c r="J1267" s="26" t="s">
        <v>634</v>
      </c>
      <c r="K1267" s="27">
        <v>177820</v>
      </c>
      <c r="L1267" s="31" t="s">
        <v>601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598</v>
      </c>
      <c r="D1268" s="31" t="s">
        <v>453</v>
      </c>
      <c r="E1268" s="31"/>
      <c r="F1268" s="31" t="s">
        <v>453</v>
      </c>
      <c r="G1268" s="27">
        <v>5000</v>
      </c>
      <c r="H1268" s="31" t="s">
        <v>54</v>
      </c>
      <c r="I1268" s="31"/>
      <c r="J1268" s="26" t="s">
        <v>609</v>
      </c>
      <c r="K1268" s="27">
        <v>5000</v>
      </c>
      <c r="L1268" s="31" t="s">
        <v>601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598</v>
      </c>
      <c r="D1269" s="31" t="s">
        <v>452</v>
      </c>
      <c r="E1269" s="31" t="s">
        <v>603</v>
      </c>
      <c r="F1269" s="31" t="s">
        <v>604</v>
      </c>
      <c r="G1269" s="27">
        <v>6100</v>
      </c>
      <c r="H1269" s="31" t="s">
        <v>54</v>
      </c>
      <c r="I1269" s="31" t="s">
        <v>1069</v>
      </c>
      <c r="J1269" s="26" t="s">
        <v>606</v>
      </c>
      <c r="K1269" s="27">
        <v>6100</v>
      </c>
      <c r="L1269" s="31" t="s">
        <v>601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598</v>
      </c>
      <c r="D1270" s="31" t="s">
        <v>705</v>
      </c>
      <c r="E1270" s="31"/>
      <c r="F1270" s="31" t="s">
        <v>123</v>
      </c>
      <c r="G1270" s="27">
        <v>16500</v>
      </c>
      <c r="H1270" s="31" t="s">
        <v>54</v>
      </c>
      <c r="I1270" s="31"/>
      <c r="J1270" s="26" t="s">
        <v>600</v>
      </c>
      <c r="K1270" s="27">
        <v>16500</v>
      </c>
      <c r="L1270" s="31" t="s">
        <v>601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187</v>
      </c>
      <c r="D1271" s="31" t="s">
        <v>1070</v>
      </c>
      <c r="E1271" s="31"/>
      <c r="F1271" s="31" t="s">
        <v>72</v>
      </c>
      <c r="G1271" s="27">
        <v>300000</v>
      </c>
      <c r="H1271" s="31" t="s">
        <v>636</v>
      </c>
      <c r="I1271" s="31"/>
      <c r="J1271" s="26" t="s">
        <v>663</v>
      </c>
      <c r="K1271" s="27">
        <v>300000</v>
      </c>
      <c r="L1271" s="31" t="s">
        <v>601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1070</v>
      </c>
      <c r="D1272" s="31" t="s">
        <v>187</v>
      </c>
      <c r="E1272" s="31"/>
      <c r="F1272" s="31" t="s">
        <v>72</v>
      </c>
      <c r="G1272" s="27">
        <v>300000</v>
      </c>
      <c r="H1272" s="31" t="s">
        <v>633</v>
      </c>
      <c r="I1272" s="31"/>
      <c r="J1272" s="26" t="s">
        <v>634</v>
      </c>
      <c r="K1272" s="27">
        <v>300000</v>
      </c>
      <c r="L1272" s="31" t="s">
        <v>601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598</v>
      </c>
      <c r="D1273" s="31" t="s">
        <v>453</v>
      </c>
      <c r="E1273" s="31"/>
      <c r="F1273" s="31" t="s">
        <v>453</v>
      </c>
      <c r="G1273" s="27">
        <v>5000</v>
      </c>
      <c r="H1273" s="31" t="s">
        <v>54</v>
      </c>
      <c r="I1273" s="31"/>
      <c r="J1273" s="26" t="s">
        <v>609</v>
      </c>
      <c r="K1273" s="27">
        <v>5000</v>
      </c>
      <c r="L1273" s="31" t="s">
        <v>601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598</v>
      </c>
      <c r="D1274" s="31" t="s">
        <v>452</v>
      </c>
      <c r="E1274" s="31" t="s">
        <v>603</v>
      </c>
      <c r="F1274" s="31" t="s">
        <v>604</v>
      </c>
      <c r="G1274" s="27">
        <v>2000</v>
      </c>
      <c r="H1274" s="31" t="s">
        <v>54</v>
      </c>
      <c r="I1274" s="31" t="s">
        <v>1050</v>
      </c>
      <c r="J1274" s="26" t="s">
        <v>606</v>
      </c>
      <c r="K1274" s="27">
        <v>2000</v>
      </c>
      <c r="L1274" s="31" t="s">
        <v>601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598</v>
      </c>
      <c r="D1275" s="31" t="s">
        <v>452</v>
      </c>
      <c r="E1275" s="31" t="s">
        <v>603</v>
      </c>
      <c r="F1275" s="31" t="s">
        <v>886</v>
      </c>
      <c r="G1275" s="27">
        <v>2000</v>
      </c>
      <c r="H1275" s="31" t="s">
        <v>54</v>
      </c>
      <c r="I1275" s="31" t="s">
        <v>1071</v>
      </c>
      <c r="J1275" s="26" t="s">
        <v>606</v>
      </c>
      <c r="K1275" s="27">
        <v>2000</v>
      </c>
      <c r="L1275" s="31" t="s">
        <v>601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598</v>
      </c>
      <c r="D1276" s="31" t="s">
        <v>452</v>
      </c>
      <c r="E1276" s="31" t="s">
        <v>603</v>
      </c>
      <c r="F1276" s="31" t="s">
        <v>643</v>
      </c>
      <c r="G1276" s="27">
        <v>1200</v>
      </c>
      <c r="H1276" s="31" t="s">
        <v>54</v>
      </c>
      <c r="I1276" s="31"/>
      <c r="J1276" s="26" t="s">
        <v>606</v>
      </c>
      <c r="K1276" s="27">
        <v>1200</v>
      </c>
      <c r="L1276" s="31" t="s">
        <v>601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598</v>
      </c>
      <c r="D1277" s="31" t="s">
        <v>672</v>
      </c>
      <c r="E1277" s="31" t="s">
        <v>673</v>
      </c>
      <c r="F1277" s="31" t="s">
        <v>1072</v>
      </c>
      <c r="G1277" s="27">
        <v>5000</v>
      </c>
      <c r="H1277" s="31" t="s">
        <v>54</v>
      </c>
      <c r="I1277" s="31" t="s">
        <v>995</v>
      </c>
      <c r="J1277" s="26" t="s">
        <v>606</v>
      </c>
      <c r="K1277" s="27">
        <v>5000</v>
      </c>
      <c r="L1277" s="31" t="s">
        <v>601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598</v>
      </c>
      <c r="D1278" s="31" t="s">
        <v>741</v>
      </c>
      <c r="E1278" s="31" t="s">
        <v>457</v>
      </c>
      <c r="F1278" s="31" t="s">
        <v>1003</v>
      </c>
      <c r="G1278" s="27">
        <v>7400</v>
      </c>
      <c r="H1278" s="31" t="s">
        <v>54</v>
      </c>
      <c r="I1278" s="31"/>
      <c r="J1278" s="26" t="s">
        <v>614</v>
      </c>
      <c r="K1278" s="27">
        <v>7400</v>
      </c>
      <c r="L1278" s="31" t="s">
        <v>601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598</v>
      </c>
      <c r="D1279" s="31" t="s">
        <v>452</v>
      </c>
      <c r="E1279" s="31" t="s">
        <v>603</v>
      </c>
      <c r="F1279" s="31" t="s">
        <v>604</v>
      </c>
      <c r="G1279" s="27">
        <v>2000</v>
      </c>
      <c r="H1279" s="31" t="s">
        <v>54</v>
      </c>
      <c r="I1279" s="31" t="s">
        <v>1073</v>
      </c>
      <c r="J1279" s="26" t="s">
        <v>606</v>
      </c>
      <c r="K1279" s="27">
        <v>2000</v>
      </c>
      <c r="L1279" s="31" t="s">
        <v>601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598</v>
      </c>
      <c r="D1280" s="31" t="s">
        <v>453</v>
      </c>
      <c r="E1280" s="31"/>
      <c r="F1280" s="31" t="s">
        <v>453</v>
      </c>
      <c r="G1280" s="27">
        <v>5000</v>
      </c>
      <c r="H1280" s="31" t="s">
        <v>54</v>
      </c>
      <c r="I1280" s="31"/>
      <c r="J1280" s="26" t="s">
        <v>609</v>
      </c>
      <c r="K1280" s="27">
        <v>5000</v>
      </c>
      <c r="L1280" s="31" t="s">
        <v>601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133</v>
      </c>
      <c r="D1281" s="31" t="s">
        <v>19</v>
      </c>
      <c r="E1281" s="31"/>
      <c r="F1281" s="31" t="s">
        <v>1074</v>
      </c>
      <c r="G1281" s="27">
        <v>33000</v>
      </c>
      <c r="H1281" s="31" t="s">
        <v>54</v>
      </c>
      <c r="I1281" s="31" t="s">
        <v>1075</v>
      </c>
      <c r="J1281" s="26" t="s">
        <v>628</v>
      </c>
      <c r="K1281" s="27">
        <v>33000</v>
      </c>
      <c r="L1281" s="31" t="s">
        <v>601</v>
      </c>
      <c r="M1281" s="31" t="s">
        <v>1076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1070</v>
      </c>
      <c r="D1282" s="31" t="s">
        <v>19</v>
      </c>
      <c r="E1282" s="31"/>
      <c r="F1282" s="31" t="s">
        <v>1077</v>
      </c>
      <c r="G1282" s="27">
        <v>287523</v>
      </c>
      <c r="H1282" s="31" t="s">
        <v>54</v>
      </c>
      <c r="I1282" s="31"/>
      <c r="J1282" s="26" t="s">
        <v>635</v>
      </c>
      <c r="K1282" s="27">
        <v>287523</v>
      </c>
      <c r="L1282" s="31" t="s">
        <v>601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598</v>
      </c>
      <c r="D1283" s="31" t="s">
        <v>625</v>
      </c>
      <c r="E1283" s="31"/>
      <c r="F1283" s="31" t="s">
        <v>1078</v>
      </c>
      <c r="G1283" s="27">
        <v>14150</v>
      </c>
      <c r="H1283" s="31" t="s">
        <v>54</v>
      </c>
      <c r="I1283" s="31" t="s">
        <v>1079</v>
      </c>
      <c r="J1283" s="26" t="s">
        <v>606</v>
      </c>
      <c r="K1283" s="27">
        <v>14150</v>
      </c>
      <c r="L1283" s="31" t="s">
        <v>601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598</v>
      </c>
      <c r="D1284" s="31" t="s">
        <v>452</v>
      </c>
      <c r="E1284" s="31" t="s">
        <v>612</v>
      </c>
      <c r="F1284" s="31" t="s">
        <v>1080</v>
      </c>
      <c r="G1284" s="27">
        <v>9000</v>
      </c>
      <c r="H1284" s="31" t="s">
        <v>54</v>
      </c>
      <c r="I1284" s="31"/>
      <c r="J1284" s="26" t="s">
        <v>606</v>
      </c>
      <c r="K1284" s="27">
        <v>9000</v>
      </c>
      <c r="L1284" s="31" t="s">
        <v>601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598</v>
      </c>
      <c r="D1285" s="31" t="s">
        <v>453</v>
      </c>
      <c r="E1285" s="31"/>
      <c r="F1285" s="31" t="s">
        <v>453</v>
      </c>
      <c r="G1285" s="27">
        <v>5000</v>
      </c>
      <c r="H1285" s="31" t="s">
        <v>54</v>
      </c>
      <c r="I1285" s="31"/>
      <c r="J1285" s="26" t="s">
        <v>609</v>
      </c>
      <c r="K1285" s="27">
        <v>5000</v>
      </c>
      <c r="L1285" s="31" t="s">
        <v>601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598</v>
      </c>
      <c r="D1286" s="31" t="s">
        <v>452</v>
      </c>
      <c r="E1286" s="31" t="s">
        <v>714</v>
      </c>
      <c r="F1286" s="31" t="s">
        <v>820</v>
      </c>
      <c r="G1286" s="27">
        <v>1650</v>
      </c>
      <c r="H1286" s="31" t="s">
        <v>54</v>
      </c>
      <c r="I1286" s="31" t="s">
        <v>821</v>
      </c>
      <c r="J1286" s="26" t="s">
        <v>606</v>
      </c>
      <c r="K1286" s="27">
        <v>1650</v>
      </c>
      <c r="L1286" s="31" t="s">
        <v>601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598</v>
      </c>
      <c r="D1287" s="31" t="s">
        <v>452</v>
      </c>
      <c r="E1287" s="31" t="s">
        <v>603</v>
      </c>
      <c r="F1287" s="31" t="s">
        <v>604</v>
      </c>
      <c r="G1287" s="27">
        <v>1600</v>
      </c>
      <c r="H1287" s="31" t="s">
        <v>54</v>
      </c>
      <c r="I1287" s="31" t="s">
        <v>1073</v>
      </c>
      <c r="J1287" s="26" t="s">
        <v>606</v>
      </c>
      <c r="K1287" s="27">
        <v>1600</v>
      </c>
      <c r="L1287" s="31" t="s">
        <v>601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656</v>
      </c>
      <c r="D1288" s="31" t="s">
        <v>771</v>
      </c>
      <c r="E1288" s="31"/>
      <c r="F1288" s="31" t="s">
        <v>1081</v>
      </c>
      <c r="G1288" s="27">
        <v>1200</v>
      </c>
      <c r="H1288" s="31" t="s">
        <v>54</v>
      </c>
      <c r="I1288" s="31" t="s">
        <v>1082</v>
      </c>
      <c r="J1288" s="26" t="s">
        <v>606</v>
      </c>
      <c r="K1288" s="27">
        <v>1200</v>
      </c>
      <c r="L1288" s="31" t="s">
        <v>601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598</v>
      </c>
      <c r="D1289" s="31" t="s">
        <v>452</v>
      </c>
      <c r="E1289" s="31" t="s">
        <v>603</v>
      </c>
      <c r="F1289" s="31" t="s">
        <v>604</v>
      </c>
      <c r="G1289" s="27">
        <v>3900</v>
      </c>
      <c r="H1289" s="31" t="s">
        <v>54</v>
      </c>
      <c r="I1289" s="31" t="s">
        <v>1083</v>
      </c>
      <c r="J1289" s="26" t="s">
        <v>606</v>
      </c>
      <c r="K1289" s="27">
        <v>3900</v>
      </c>
      <c r="L1289" s="31" t="s">
        <v>601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598</v>
      </c>
      <c r="D1290" s="31" t="s">
        <v>453</v>
      </c>
      <c r="E1290" s="31"/>
      <c r="F1290" s="31" t="s">
        <v>453</v>
      </c>
      <c r="G1290" s="27">
        <v>5000</v>
      </c>
      <c r="H1290" s="31" t="s">
        <v>54</v>
      </c>
      <c r="I1290" s="31"/>
      <c r="J1290" s="26" t="s">
        <v>609</v>
      </c>
      <c r="K1290" s="27">
        <v>5000</v>
      </c>
      <c r="L1290" s="31" t="s">
        <v>601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598</v>
      </c>
      <c r="D1291" s="31" t="s">
        <v>452</v>
      </c>
      <c r="E1291" s="31" t="s">
        <v>714</v>
      </c>
      <c r="F1291" s="31" t="s">
        <v>820</v>
      </c>
      <c r="G1291" s="27">
        <v>4500</v>
      </c>
      <c r="H1291" s="31" t="s">
        <v>54</v>
      </c>
      <c r="I1291" s="31"/>
      <c r="J1291" s="26" t="s">
        <v>606</v>
      </c>
      <c r="K1291" s="27">
        <v>4500</v>
      </c>
      <c r="L1291" s="31" t="s">
        <v>601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598</v>
      </c>
      <c r="D1292" s="31" t="s">
        <v>452</v>
      </c>
      <c r="E1292" s="31" t="s">
        <v>612</v>
      </c>
      <c r="F1292" s="31" t="s">
        <v>881</v>
      </c>
      <c r="G1292" s="27">
        <v>8200</v>
      </c>
      <c r="H1292" s="31" t="s">
        <v>54</v>
      </c>
      <c r="I1292" s="31"/>
      <c r="J1292" s="26" t="s">
        <v>606</v>
      </c>
      <c r="K1292" s="27">
        <v>8200</v>
      </c>
      <c r="L1292" s="31" t="s">
        <v>601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598</v>
      </c>
      <c r="D1293" s="31" t="s">
        <v>452</v>
      </c>
      <c r="E1293" s="31" t="s">
        <v>603</v>
      </c>
      <c r="F1293" s="31" t="s">
        <v>604</v>
      </c>
      <c r="G1293" s="27">
        <v>2900</v>
      </c>
      <c r="H1293" s="31" t="s">
        <v>54</v>
      </c>
      <c r="I1293" s="31" t="s">
        <v>897</v>
      </c>
      <c r="J1293" s="26" t="s">
        <v>606</v>
      </c>
      <c r="K1293" s="27">
        <v>2900</v>
      </c>
      <c r="L1293" s="31" t="s">
        <v>601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598</v>
      </c>
      <c r="D1294" s="31" t="s">
        <v>453</v>
      </c>
      <c r="E1294" s="31"/>
      <c r="F1294" s="31" t="s">
        <v>453</v>
      </c>
      <c r="G1294" s="27">
        <v>5000</v>
      </c>
      <c r="H1294" s="31" t="s">
        <v>54</v>
      </c>
      <c r="I1294" s="31"/>
      <c r="J1294" s="26" t="s">
        <v>609</v>
      </c>
      <c r="K1294" s="27">
        <v>5000</v>
      </c>
      <c r="L1294" s="31" t="s">
        <v>601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598</v>
      </c>
      <c r="D1295" s="31" t="s">
        <v>452</v>
      </c>
      <c r="E1295" s="31" t="s">
        <v>603</v>
      </c>
      <c r="F1295" s="31" t="s">
        <v>604</v>
      </c>
      <c r="G1295" s="27">
        <v>3000</v>
      </c>
      <c r="H1295" s="31" t="s">
        <v>54</v>
      </c>
      <c r="I1295" s="31" t="s">
        <v>1084</v>
      </c>
      <c r="J1295" s="26" t="s">
        <v>606</v>
      </c>
      <c r="K1295" s="27">
        <v>3000</v>
      </c>
      <c r="L1295" s="31" t="s">
        <v>601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598</v>
      </c>
      <c r="D1296" s="31" t="s">
        <v>452</v>
      </c>
      <c r="E1296" s="31" t="s">
        <v>612</v>
      </c>
      <c r="F1296" s="31" t="s">
        <v>740</v>
      </c>
      <c r="G1296" s="27">
        <v>11000</v>
      </c>
      <c r="H1296" s="31" t="s">
        <v>54</v>
      </c>
      <c r="I1296" s="31" t="s">
        <v>1085</v>
      </c>
      <c r="J1296" s="26" t="s">
        <v>606</v>
      </c>
      <c r="K1296" s="27">
        <v>11000</v>
      </c>
      <c r="L1296" s="31" t="s">
        <v>601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598</v>
      </c>
      <c r="D1297" s="31" t="s">
        <v>452</v>
      </c>
      <c r="E1297" s="31" t="s">
        <v>603</v>
      </c>
      <c r="F1297" s="31" t="s">
        <v>867</v>
      </c>
      <c r="G1297" s="27">
        <v>16110</v>
      </c>
      <c r="H1297" s="31" t="s">
        <v>54</v>
      </c>
      <c r="I1297" s="31"/>
      <c r="J1297" s="26" t="s">
        <v>606</v>
      </c>
      <c r="K1297" s="27">
        <v>16110</v>
      </c>
      <c r="L1297" s="31" t="s">
        <v>601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681</v>
      </c>
      <c r="D1298" s="31" t="s">
        <v>452</v>
      </c>
      <c r="E1298" s="31" t="s">
        <v>621</v>
      </c>
      <c r="F1298" s="31" t="s">
        <v>682</v>
      </c>
      <c r="G1298" s="27">
        <v>15600</v>
      </c>
      <c r="H1298" s="31" t="s">
        <v>54</v>
      </c>
      <c r="I1298" s="31" t="s">
        <v>829</v>
      </c>
      <c r="J1298" s="26" t="s">
        <v>606</v>
      </c>
      <c r="K1298" s="27">
        <v>15600</v>
      </c>
      <c r="L1298" s="31" t="s">
        <v>601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598</v>
      </c>
      <c r="D1299" s="31" t="s">
        <v>452</v>
      </c>
      <c r="E1299" s="31" t="s">
        <v>603</v>
      </c>
      <c r="F1299" s="31" t="s">
        <v>604</v>
      </c>
      <c r="G1299" s="27">
        <v>3900</v>
      </c>
      <c r="H1299" s="31" t="s">
        <v>54</v>
      </c>
      <c r="I1299" s="31" t="s">
        <v>1086</v>
      </c>
      <c r="J1299" s="26" t="s">
        <v>606</v>
      </c>
      <c r="K1299" s="27">
        <v>3900</v>
      </c>
      <c r="L1299" s="31" t="s">
        <v>601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598</v>
      </c>
      <c r="D1300" s="31" t="s">
        <v>741</v>
      </c>
      <c r="E1300" s="31" t="s">
        <v>1019</v>
      </c>
      <c r="F1300" s="31" t="s">
        <v>954</v>
      </c>
      <c r="G1300" s="27">
        <v>3900</v>
      </c>
      <c r="H1300" s="31" t="s">
        <v>54</v>
      </c>
      <c r="I1300" s="31" t="s">
        <v>95</v>
      </c>
      <c r="J1300" s="26" t="s">
        <v>614</v>
      </c>
      <c r="K1300" s="27">
        <v>3900</v>
      </c>
      <c r="L1300" s="31" t="s">
        <v>601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598</v>
      </c>
      <c r="D1301" s="31" t="s">
        <v>452</v>
      </c>
      <c r="E1301" s="31" t="s">
        <v>603</v>
      </c>
      <c r="F1301" s="31" t="s">
        <v>604</v>
      </c>
      <c r="G1301" s="27">
        <v>2200</v>
      </c>
      <c r="H1301" s="31" t="s">
        <v>54</v>
      </c>
      <c r="I1301" s="31" t="s">
        <v>1087</v>
      </c>
      <c r="J1301" s="26" t="s">
        <v>606</v>
      </c>
      <c r="K1301" s="27">
        <v>2200</v>
      </c>
      <c r="L1301" s="31" t="s">
        <v>601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598</v>
      </c>
      <c r="D1302" s="31" t="s">
        <v>452</v>
      </c>
      <c r="E1302" s="31" t="s">
        <v>603</v>
      </c>
      <c r="F1302" s="31" t="s">
        <v>604</v>
      </c>
      <c r="G1302" s="27">
        <v>3600</v>
      </c>
      <c r="H1302" s="31" t="s">
        <v>54</v>
      </c>
      <c r="I1302" s="31" t="s">
        <v>688</v>
      </c>
      <c r="J1302" s="26" t="s">
        <v>606</v>
      </c>
      <c r="K1302" s="27">
        <v>3600</v>
      </c>
      <c r="L1302" s="31" t="s">
        <v>601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178</v>
      </c>
      <c r="D1303" s="31" t="s">
        <v>19</v>
      </c>
      <c r="E1303" s="31"/>
      <c r="F1303" s="31" t="s">
        <v>1088</v>
      </c>
      <c r="G1303" s="27">
        <v>1</v>
      </c>
      <c r="H1303" s="31" t="s">
        <v>397</v>
      </c>
      <c r="I1303" s="31"/>
      <c r="J1303" s="26" t="s">
        <v>653</v>
      </c>
      <c r="K1303" s="27">
        <v>1</v>
      </c>
      <c r="L1303" s="31" t="s">
        <v>601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187</v>
      </c>
      <c r="D1304" s="31" t="s">
        <v>19</v>
      </c>
      <c r="E1304" s="31"/>
      <c r="F1304" s="31" t="s">
        <v>1089</v>
      </c>
      <c r="G1304" s="27">
        <v>349</v>
      </c>
      <c r="H1304" s="31" t="s">
        <v>397</v>
      </c>
      <c r="I1304" s="31"/>
      <c r="J1304" s="26" t="s">
        <v>653</v>
      </c>
      <c r="K1304" s="27">
        <v>349</v>
      </c>
      <c r="L1304" s="31" t="s">
        <v>601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187</v>
      </c>
      <c r="D1305" s="31" t="s">
        <v>19</v>
      </c>
      <c r="E1305" s="31"/>
      <c r="F1305" s="31" t="s">
        <v>1090</v>
      </c>
      <c r="G1305" s="27">
        <v>1</v>
      </c>
      <c r="H1305" s="31" t="s">
        <v>54</v>
      </c>
      <c r="I1305" s="31" t="s">
        <v>1091</v>
      </c>
      <c r="J1305" s="26" t="s">
        <v>628</v>
      </c>
      <c r="K1305" s="27">
        <v>1</v>
      </c>
      <c r="L1305" s="31" t="s">
        <v>601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598</v>
      </c>
      <c r="D1306" s="31" t="s">
        <v>452</v>
      </c>
      <c r="E1306" s="31" t="s">
        <v>714</v>
      </c>
      <c r="F1306" s="31" t="s">
        <v>604</v>
      </c>
      <c r="G1306" s="27">
        <v>8800</v>
      </c>
      <c r="H1306" s="31" t="s">
        <v>54</v>
      </c>
      <c r="I1306" s="31" t="s">
        <v>63</v>
      </c>
      <c r="J1306" s="26" t="s">
        <v>606</v>
      </c>
      <c r="K1306" s="27">
        <v>8800</v>
      </c>
      <c r="L1306" s="31" t="s">
        <v>601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598</v>
      </c>
      <c r="D1307" s="31" t="s">
        <v>453</v>
      </c>
      <c r="E1307" s="31"/>
      <c r="F1307" s="31" t="s">
        <v>453</v>
      </c>
      <c r="G1307" s="27">
        <v>4500</v>
      </c>
      <c r="H1307" s="31" t="s">
        <v>54</v>
      </c>
      <c r="I1307" s="31"/>
      <c r="J1307" s="26" t="s">
        <v>609</v>
      </c>
      <c r="K1307" s="27">
        <v>4500</v>
      </c>
      <c r="L1307" s="31" t="s">
        <v>601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598</v>
      </c>
      <c r="D1308" s="31" t="s">
        <v>625</v>
      </c>
      <c r="E1308" s="31"/>
      <c r="F1308" s="31" t="s">
        <v>604</v>
      </c>
      <c r="G1308" s="27">
        <v>900</v>
      </c>
      <c r="H1308" s="31" t="s">
        <v>54</v>
      </c>
      <c r="I1308" s="31" t="s">
        <v>948</v>
      </c>
      <c r="J1308" s="26" t="s">
        <v>606</v>
      </c>
      <c r="K1308" s="27">
        <v>900</v>
      </c>
      <c r="L1308" s="31" t="s">
        <v>601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154</v>
      </c>
      <c r="D1309" s="31" t="s">
        <v>741</v>
      </c>
      <c r="E1309" s="31" t="s">
        <v>457</v>
      </c>
      <c r="F1309" s="31" t="s">
        <v>1092</v>
      </c>
      <c r="G1309" s="27">
        <v>14000</v>
      </c>
      <c r="H1309" s="31" t="s">
        <v>54</v>
      </c>
      <c r="I1309" s="31" t="s">
        <v>95</v>
      </c>
      <c r="J1309" s="26" t="s">
        <v>614</v>
      </c>
      <c r="K1309" s="27">
        <v>14000</v>
      </c>
      <c r="L1309" s="31" t="s">
        <v>601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598</v>
      </c>
      <c r="D1310" s="31" t="s">
        <v>741</v>
      </c>
      <c r="E1310" s="31" t="s">
        <v>1019</v>
      </c>
      <c r="F1310" s="31" t="s">
        <v>1093</v>
      </c>
      <c r="G1310" s="27">
        <v>14000</v>
      </c>
      <c r="H1310" s="31" t="s">
        <v>54</v>
      </c>
      <c r="I1310" s="31" t="s">
        <v>95</v>
      </c>
      <c r="J1310" s="26" t="s">
        <v>614</v>
      </c>
      <c r="K1310" s="27">
        <v>14000</v>
      </c>
      <c r="L1310" s="31" t="s">
        <v>601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598</v>
      </c>
      <c r="D1311" s="31" t="s">
        <v>741</v>
      </c>
      <c r="E1311" s="31" t="s">
        <v>457</v>
      </c>
      <c r="F1311" s="31" t="s">
        <v>1094</v>
      </c>
      <c r="G1311" s="27">
        <v>15250</v>
      </c>
      <c r="H1311" s="31" t="s">
        <v>54</v>
      </c>
      <c r="I1311" s="31"/>
      <c r="J1311" s="26" t="s">
        <v>614</v>
      </c>
      <c r="K1311" s="27">
        <v>15250</v>
      </c>
      <c r="L1311" s="31" t="s">
        <v>601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598</v>
      </c>
      <c r="D1312" s="31" t="s">
        <v>669</v>
      </c>
      <c r="E1312" s="31"/>
      <c r="F1312" s="31" t="s">
        <v>654</v>
      </c>
      <c r="G1312" s="27">
        <v>10109</v>
      </c>
      <c r="H1312" s="31" t="s">
        <v>54</v>
      </c>
      <c r="I1312" s="31" t="s">
        <v>1095</v>
      </c>
      <c r="J1312" s="26" t="s">
        <v>617</v>
      </c>
      <c r="K1312" s="27">
        <v>10109</v>
      </c>
      <c r="L1312" s="31" t="s">
        <v>601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598</v>
      </c>
      <c r="D1313" s="31" t="s">
        <v>741</v>
      </c>
      <c r="E1313" s="31" t="s">
        <v>457</v>
      </c>
      <c r="F1313" s="31" t="s">
        <v>1096</v>
      </c>
      <c r="G1313" s="27">
        <v>23000</v>
      </c>
      <c r="H1313" s="31" t="s">
        <v>54</v>
      </c>
      <c r="I1313" s="31" t="s">
        <v>1097</v>
      </c>
      <c r="J1313" s="26" t="s">
        <v>614</v>
      </c>
      <c r="K1313" s="27">
        <v>23000</v>
      </c>
      <c r="L1313" s="31" t="s">
        <v>601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598</v>
      </c>
      <c r="D1314" s="31" t="s">
        <v>741</v>
      </c>
      <c r="E1314" s="31" t="s">
        <v>457</v>
      </c>
      <c r="F1314" s="31" t="s">
        <v>713</v>
      </c>
      <c r="G1314" s="27">
        <v>8000</v>
      </c>
      <c r="H1314" s="31" t="s">
        <v>54</v>
      </c>
      <c r="I1314" s="31" t="s">
        <v>1097</v>
      </c>
      <c r="J1314" s="26" t="s">
        <v>614</v>
      </c>
      <c r="K1314" s="27">
        <v>8000</v>
      </c>
      <c r="L1314" s="31" t="s">
        <v>601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598</v>
      </c>
      <c r="D1315" s="31" t="s">
        <v>453</v>
      </c>
      <c r="E1315" s="31"/>
      <c r="F1315" s="31" t="s">
        <v>453</v>
      </c>
      <c r="G1315" s="27">
        <v>4500</v>
      </c>
      <c r="H1315" s="31" t="s">
        <v>54</v>
      </c>
      <c r="I1315" s="31"/>
      <c r="J1315" s="26" t="s">
        <v>609</v>
      </c>
      <c r="K1315" s="27">
        <v>4500</v>
      </c>
      <c r="L1315" s="31" t="s">
        <v>601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598</v>
      </c>
      <c r="D1316" s="31" t="s">
        <v>741</v>
      </c>
      <c r="E1316" s="31" t="s">
        <v>1019</v>
      </c>
      <c r="F1316" s="31" t="s">
        <v>1098</v>
      </c>
      <c r="G1316" s="27">
        <v>16800</v>
      </c>
      <c r="H1316" s="31" t="s">
        <v>54</v>
      </c>
      <c r="I1316" s="31" t="s">
        <v>95</v>
      </c>
      <c r="J1316" s="26" t="s">
        <v>614</v>
      </c>
      <c r="K1316" s="27">
        <v>16800</v>
      </c>
      <c r="L1316" s="31" t="s">
        <v>601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154</v>
      </c>
      <c r="D1317" s="31" t="s">
        <v>19</v>
      </c>
      <c r="E1317" s="31"/>
      <c r="F1317" s="31" t="s">
        <v>179</v>
      </c>
      <c r="G1317" s="27">
        <v>1049</v>
      </c>
      <c r="H1317" s="31" t="s">
        <v>397</v>
      </c>
      <c r="I1317" s="31"/>
      <c r="J1317" s="26" t="s">
        <v>653</v>
      </c>
      <c r="K1317" s="27">
        <v>1049</v>
      </c>
      <c r="L1317" s="31" t="s">
        <v>601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598</v>
      </c>
      <c r="D1318" s="31" t="s">
        <v>453</v>
      </c>
      <c r="E1318" s="31"/>
      <c r="F1318" s="31" t="s">
        <v>453</v>
      </c>
      <c r="G1318" s="27">
        <v>5000</v>
      </c>
      <c r="H1318" s="31" t="s">
        <v>54</v>
      </c>
      <c r="I1318" s="31"/>
      <c r="J1318" s="26" t="s">
        <v>609</v>
      </c>
      <c r="K1318" s="27">
        <v>5000</v>
      </c>
      <c r="L1318" s="31" t="s">
        <v>601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598</v>
      </c>
      <c r="D1319" s="31" t="s">
        <v>452</v>
      </c>
      <c r="E1319" s="31" t="s">
        <v>603</v>
      </c>
      <c r="F1319" s="31" t="s">
        <v>604</v>
      </c>
      <c r="G1319" s="27">
        <v>2000</v>
      </c>
      <c r="H1319" s="31" t="s">
        <v>54</v>
      </c>
      <c r="I1319" s="31" t="s">
        <v>1050</v>
      </c>
      <c r="J1319" s="26" t="s">
        <v>606</v>
      </c>
      <c r="K1319" s="27">
        <v>2000</v>
      </c>
      <c r="L1319" s="31" t="s">
        <v>601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598</v>
      </c>
      <c r="D1320" s="31" t="s">
        <v>452</v>
      </c>
      <c r="E1320" s="31" t="s">
        <v>612</v>
      </c>
      <c r="F1320" s="31" t="s">
        <v>731</v>
      </c>
      <c r="G1320" s="27">
        <v>12000</v>
      </c>
      <c r="H1320" s="31" t="s">
        <v>54</v>
      </c>
      <c r="I1320" s="31"/>
      <c r="J1320" s="26" t="s">
        <v>606</v>
      </c>
      <c r="K1320" s="27">
        <v>12000</v>
      </c>
      <c r="L1320" s="31" t="s">
        <v>601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681</v>
      </c>
      <c r="D1321" s="31" t="s">
        <v>672</v>
      </c>
      <c r="E1321" s="31" t="s">
        <v>673</v>
      </c>
      <c r="F1321" s="31" t="s">
        <v>365</v>
      </c>
      <c r="G1321" s="27">
        <v>45000</v>
      </c>
      <c r="H1321" s="31" t="s">
        <v>54</v>
      </c>
      <c r="I1321" s="31" t="s">
        <v>1099</v>
      </c>
      <c r="J1321" s="26" t="s">
        <v>606</v>
      </c>
      <c r="K1321" s="27">
        <v>45000</v>
      </c>
      <c r="L1321" s="31" t="s">
        <v>601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598</v>
      </c>
      <c r="D1322" s="31" t="s">
        <v>452</v>
      </c>
      <c r="E1322" s="31" t="s">
        <v>714</v>
      </c>
      <c r="F1322" s="31" t="s">
        <v>604</v>
      </c>
      <c r="G1322" s="27">
        <v>4500</v>
      </c>
      <c r="H1322" s="31" t="s">
        <v>54</v>
      </c>
      <c r="I1322" s="31" t="s">
        <v>821</v>
      </c>
      <c r="J1322" s="26" t="s">
        <v>606</v>
      </c>
      <c r="K1322" s="27">
        <v>4500</v>
      </c>
      <c r="L1322" s="31" t="s">
        <v>601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681</v>
      </c>
      <c r="D1323" s="31" t="s">
        <v>625</v>
      </c>
      <c r="E1323" s="31"/>
      <c r="F1323" s="31" t="s">
        <v>365</v>
      </c>
      <c r="G1323" s="27">
        <v>8470</v>
      </c>
      <c r="H1323" s="31" t="s">
        <v>54</v>
      </c>
      <c r="I1323" s="31" t="s">
        <v>1100</v>
      </c>
      <c r="J1323" s="26" t="s">
        <v>606</v>
      </c>
      <c r="K1323" s="27">
        <v>8470</v>
      </c>
      <c r="L1323" s="31" t="s">
        <v>601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598</v>
      </c>
      <c r="D1324" s="31" t="s">
        <v>741</v>
      </c>
      <c r="E1324" s="31" t="s">
        <v>1019</v>
      </c>
      <c r="F1324" s="31" t="s">
        <v>1101</v>
      </c>
      <c r="G1324" s="27">
        <v>20000</v>
      </c>
      <c r="H1324" s="31" t="s">
        <v>54</v>
      </c>
      <c r="I1324" s="31" t="s">
        <v>95</v>
      </c>
      <c r="J1324" s="26" t="s">
        <v>614</v>
      </c>
      <c r="K1324" s="27">
        <v>20000</v>
      </c>
      <c r="L1324" s="31" t="s">
        <v>601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598</v>
      </c>
      <c r="D1325" s="31" t="s">
        <v>453</v>
      </c>
      <c r="E1325" s="31"/>
      <c r="F1325" s="31" t="s">
        <v>453</v>
      </c>
      <c r="G1325" s="27">
        <v>5000</v>
      </c>
      <c r="H1325" s="31" t="s">
        <v>54</v>
      </c>
      <c r="I1325" s="31"/>
      <c r="J1325" s="26" t="s">
        <v>609</v>
      </c>
      <c r="K1325" s="27">
        <v>5000</v>
      </c>
      <c r="L1325" s="31" t="s">
        <v>601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598</v>
      </c>
      <c r="D1326" s="31" t="s">
        <v>452</v>
      </c>
      <c r="E1326" s="31" t="s">
        <v>603</v>
      </c>
      <c r="F1326" s="31" t="s">
        <v>604</v>
      </c>
      <c r="G1326" s="27">
        <v>2000</v>
      </c>
      <c r="H1326" s="31" t="s">
        <v>54</v>
      </c>
      <c r="I1326" s="31" t="s">
        <v>1050</v>
      </c>
      <c r="J1326" s="26" t="s">
        <v>606</v>
      </c>
      <c r="K1326" s="27">
        <v>2000</v>
      </c>
      <c r="L1326" s="31" t="s">
        <v>601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598</v>
      </c>
      <c r="D1327" s="31" t="s">
        <v>452</v>
      </c>
      <c r="E1327" s="31" t="s">
        <v>603</v>
      </c>
      <c r="F1327" s="31" t="s">
        <v>643</v>
      </c>
      <c r="G1327" s="27">
        <v>4900</v>
      </c>
      <c r="H1327" s="31" t="s">
        <v>54</v>
      </c>
      <c r="I1327" s="31"/>
      <c r="J1327" s="26" t="s">
        <v>606</v>
      </c>
      <c r="K1327" s="27">
        <v>4900</v>
      </c>
      <c r="L1327" s="31" t="s">
        <v>601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681</v>
      </c>
      <c r="D1328" s="31" t="s">
        <v>452</v>
      </c>
      <c r="E1328" s="31" t="s">
        <v>612</v>
      </c>
      <c r="F1328" s="31" t="s">
        <v>682</v>
      </c>
      <c r="G1328" s="27">
        <v>4200</v>
      </c>
      <c r="H1328" s="31" t="s">
        <v>54</v>
      </c>
      <c r="I1328" s="31" t="s">
        <v>1102</v>
      </c>
      <c r="J1328" s="26" t="s">
        <v>606</v>
      </c>
      <c r="K1328" s="27">
        <v>4200</v>
      </c>
      <c r="L1328" s="31" t="s">
        <v>601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154</v>
      </c>
      <c r="D1329" s="31" t="s">
        <v>452</v>
      </c>
      <c r="E1329" s="31" t="s">
        <v>603</v>
      </c>
      <c r="F1329" s="31" t="s">
        <v>1103</v>
      </c>
      <c r="G1329" s="27">
        <v>5000</v>
      </c>
      <c r="H1329" s="31" t="s">
        <v>54</v>
      </c>
      <c r="I1329" s="31"/>
      <c r="J1329" s="26" t="s">
        <v>606</v>
      </c>
      <c r="K1329" s="27">
        <v>5000</v>
      </c>
      <c r="L1329" s="31" t="s">
        <v>601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598</v>
      </c>
      <c r="D1330" s="31" t="s">
        <v>362</v>
      </c>
      <c r="E1330" s="31"/>
      <c r="F1330" s="31" t="s">
        <v>746</v>
      </c>
      <c r="G1330" s="27">
        <v>7989</v>
      </c>
      <c r="H1330" s="31" t="s">
        <v>54</v>
      </c>
      <c r="I1330" s="31" t="s">
        <v>747</v>
      </c>
      <c r="J1330" s="26" t="s">
        <v>600</v>
      </c>
      <c r="K1330" s="27">
        <v>7989</v>
      </c>
      <c r="L1330" s="31" t="s">
        <v>601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598</v>
      </c>
      <c r="D1331" s="31" t="s">
        <v>452</v>
      </c>
      <c r="E1331" s="31" t="s">
        <v>603</v>
      </c>
      <c r="F1331" s="31" t="s">
        <v>713</v>
      </c>
      <c r="G1331" s="27">
        <v>2000</v>
      </c>
      <c r="H1331" s="31" t="s">
        <v>54</v>
      </c>
      <c r="I1331" s="31"/>
      <c r="J1331" s="26" t="s">
        <v>606</v>
      </c>
      <c r="K1331" s="27">
        <v>2000</v>
      </c>
      <c r="L1331" s="31" t="s">
        <v>601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598</v>
      </c>
      <c r="D1332" s="31" t="s">
        <v>453</v>
      </c>
      <c r="E1332" s="31"/>
      <c r="F1332" s="31" t="s">
        <v>453</v>
      </c>
      <c r="G1332" s="27">
        <v>5000</v>
      </c>
      <c r="H1332" s="31" t="s">
        <v>54</v>
      </c>
      <c r="I1332" s="31"/>
      <c r="J1332" s="26" t="s">
        <v>609</v>
      </c>
      <c r="K1332" s="27">
        <v>5000</v>
      </c>
      <c r="L1332" s="31" t="s">
        <v>601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598</v>
      </c>
      <c r="D1333" s="31" t="s">
        <v>452</v>
      </c>
      <c r="E1333" s="31" t="s">
        <v>603</v>
      </c>
      <c r="F1333" s="31" t="s">
        <v>604</v>
      </c>
      <c r="G1333" s="27">
        <v>2000</v>
      </c>
      <c r="H1333" s="31" t="s">
        <v>54</v>
      </c>
      <c r="I1333" s="31" t="s">
        <v>1050</v>
      </c>
      <c r="J1333" s="26" t="s">
        <v>606</v>
      </c>
      <c r="K1333" s="27">
        <v>2000</v>
      </c>
      <c r="L1333" s="31" t="s">
        <v>601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154</v>
      </c>
      <c r="D1334" s="31" t="s">
        <v>452</v>
      </c>
      <c r="E1334" s="31" t="s">
        <v>612</v>
      </c>
      <c r="F1334" s="31" t="s">
        <v>1104</v>
      </c>
      <c r="G1334" s="27">
        <v>12000</v>
      </c>
      <c r="H1334" s="31" t="s">
        <v>54</v>
      </c>
      <c r="I1334" s="31"/>
      <c r="J1334" s="26" t="s">
        <v>606</v>
      </c>
      <c r="K1334" s="27">
        <v>12000</v>
      </c>
      <c r="L1334" s="31" t="s">
        <v>601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598</v>
      </c>
      <c r="D1335" s="31" t="s">
        <v>775</v>
      </c>
      <c r="E1335" s="31"/>
      <c r="F1335" s="31" t="s">
        <v>1105</v>
      </c>
      <c r="G1335" s="27">
        <v>68370</v>
      </c>
      <c r="H1335" s="31" t="s">
        <v>54</v>
      </c>
      <c r="I1335" s="31" t="s">
        <v>1106</v>
      </c>
      <c r="J1335" s="26" t="s">
        <v>606</v>
      </c>
      <c r="K1335" s="27">
        <v>68370</v>
      </c>
      <c r="L1335" s="31" t="s">
        <v>601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598</v>
      </c>
      <c r="D1336" s="31" t="s">
        <v>775</v>
      </c>
      <c r="E1336" s="31"/>
      <c r="F1336" s="31" t="s">
        <v>1107</v>
      </c>
      <c r="G1336" s="27">
        <v>54800</v>
      </c>
      <c r="H1336" s="31" t="s">
        <v>54</v>
      </c>
      <c r="I1336" s="31" t="s">
        <v>1106</v>
      </c>
      <c r="J1336" s="26" t="s">
        <v>606</v>
      </c>
      <c r="K1336" s="27">
        <v>54800</v>
      </c>
      <c r="L1336" s="31" t="s">
        <v>601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611</v>
      </c>
      <c r="D1337" s="31" t="s">
        <v>646</v>
      </c>
      <c r="E1337" s="31"/>
      <c r="F1337" s="31" t="s">
        <v>328</v>
      </c>
      <c r="G1337" s="27">
        <v>148870</v>
      </c>
      <c r="H1337" s="31" t="s">
        <v>54</v>
      </c>
      <c r="I1337" s="31"/>
      <c r="J1337" s="26" t="s">
        <v>600</v>
      </c>
      <c r="K1337" s="27">
        <v>148870</v>
      </c>
      <c r="L1337" s="31" t="s">
        <v>601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598</v>
      </c>
      <c r="D1338" s="31" t="s">
        <v>452</v>
      </c>
      <c r="E1338" s="31" t="s">
        <v>714</v>
      </c>
      <c r="F1338" s="31" t="s">
        <v>604</v>
      </c>
      <c r="G1338" s="27">
        <v>7300</v>
      </c>
      <c r="H1338" s="31" t="s">
        <v>54</v>
      </c>
      <c r="I1338" s="31" t="s">
        <v>821</v>
      </c>
      <c r="J1338" s="26" t="s">
        <v>606</v>
      </c>
      <c r="K1338" s="27">
        <v>7300</v>
      </c>
      <c r="L1338" s="31" t="s">
        <v>601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598</v>
      </c>
      <c r="D1339" s="31" t="s">
        <v>453</v>
      </c>
      <c r="E1339" s="31"/>
      <c r="F1339" s="31" t="s">
        <v>453</v>
      </c>
      <c r="G1339" s="27">
        <v>4500</v>
      </c>
      <c r="H1339" s="31" t="s">
        <v>54</v>
      </c>
      <c r="I1339" s="31"/>
      <c r="J1339" s="26" t="s">
        <v>609</v>
      </c>
      <c r="K1339" s="27">
        <v>4500</v>
      </c>
      <c r="L1339" s="31" t="s">
        <v>601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632</v>
      </c>
      <c r="D1340" s="31" t="s">
        <v>57</v>
      </c>
      <c r="E1340" s="31"/>
      <c r="F1340" s="31" t="s">
        <v>57</v>
      </c>
      <c r="G1340" s="27">
        <v>2785740</v>
      </c>
      <c r="H1340" s="31" t="s">
        <v>397</v>
      </c>
      <c r="I1340" s="31"/>
      <c r="J1340" s="26" t="s">
        <v>57</v>
      </c>
      <c r="K1340" s="27">
        <v>2785740</v>
      </c>
      <c r="L1340" s="31" t="s">
        <v>601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751</v>
      </c>
      <c r="D1341" s="31" t="s">
        <v>187</v>
      </c>
      <c r="E1341" s="31"/>
      <c r="F1341" s="31" t="s">
        <v>72</v>
      </c>
      <c r="G1341" s="27">
        <v>150000</v>
      </c>
      <c r="H1341" s="31" t="s">
        <v>633</v>
      </c>
      <c r="I1341" s="31"/>
      <c r="J1341" s="26" t="s">
        <v>634</v>
      </c>
      <c r="K1341" s="27">
        <v>150000</v>
      </c>
      <c r="L1341" s="31" t="s">
        <v>601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187</v>
      </c>
      <c r="D1342" s="31" t="s">
        <v>751</v>
      </c>
      <c r="E1342" s="31"/>
      <c r="F1342" s="31" t="s">
        <v>72</v>
      </c>
      <c r="G1342" s="27">
        <v>150000</v>
      </c>
      <c r="H1342" s="31" t="s">
        <v>636</v>
      </c>
      <c r="I1342" s="31"/>
      <c r="J1342" s="26" t="s">
        <v>658</v>
      </c>
      <c r="K1342" s="27">
        <v>150000</v>
      </c>
      <c r="L1342" s="31" t="s">
        <v>601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184</v>
      </c>
      <c r="D1343" s="31" t="s">
        <v>154</v>
      </c>
      <c r="E1343" s="31"/>
      <c r="F1343" s="31" t="s">
        <v>72</v>
      </c>
      <c r="G1343" s="27">
        <v>18387</v>
      </c>
      <c r="H1343" s="31" t="s">
        <v>633</v>
      </c>
      <c r="I1343" s="31"/>
      <c r="J1343" s="26" t="s">
        <v>634</v>
      </c>
      <c r="K1343" s="27">
        <v>18387</v>
      </c>
      <c r="L1343" s="31" t="s">
        <v>601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154</v>
      </c>
      <c r="D1344" s="31" t="s">
        <v>184</v>
      </c>
      <c r="E1344" s="31"/>
      <c r="F1344" s="31" t="s">
        <v>72</v>
      </c>
      <c r="G1344" s="27">
        <v>18387</v>
      </c>
      <c r="H1344" s="31" t="s">
        <v>636</v>
      </c>
      <c r="I1344" s="31"/>
      <c r="J1344" s="26" t="s">
        <v>634</v>
      </c>
      <c r="K1344" s="27">
        <v>18387</v>
      </c>
      <c r="L1344" s="31" t="s">
        <v>601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681</v>
      </c>
      <c r="D1345" s="31" t="s">
        <v>775</v>
      </c>
      <c r="E1345" s="31"/>
      <c r="F1345" s="31" t="s">
        <v>365</v>
      </c>
      <c r="G1345" s="27">
        <v>19900</v>
      </c>
      <c r="H1345" s="31" t="s">
        <v>54</v>
      </c>
      <c r="I1345" s="31" t="s">
        <v>1106</v>
      </c>
      <c r="J1345" s="26" t="s">
        <v>606</v>
      </c>
      <c r="K1345" s="27">
        <v>19900</v>
      </c>
      <c r="L1345" s="31" t="s">
        <v>601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602</v>
      </c>
      <c r="D1346" s="31" t="s">
        <v>453</v>
      </c>
      <c r="E1346" s="31"/>
      <c r="F1346" s="31" t="s">
        <v>453</v>
      </c>
      <c r="G1346" s="27">
        <v>5000</v>
      </c>
      <c r="H1346" s="31" t="s">
        <v>54</v>
      </c>
      <c r="I1346" s="31"/>
      <c r="J1346" s="26" t="s">
        <v>609</v>
      </c>
      <c r="K1346" s="27">
        <v>5000</v>
      </c>
      <c r="L1346" s="31" t="s">
        <v>601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602</v>
      </c>
      <c r="D1347" s="31" t="s">
        <v>452</v>
      </c>
      <c r="E1347" s="31" t="s">
        <v>603</v>
      </c>
      <c r="F1347" s="31" t="s">
        <v>604</v>
      </c>
      <c r="G1347" s="27">
        <v>10000</v>
      </c>
      <c r="H1347" s="31" t="s">
        <v>54</v>
      </c>
      <c r="I1347" s="31"/>
      <c r="J1347" s="26" t="s">
        <v>606</v>
      </c>
      <c r="K1347" s="27">
        <v>10000</v>
      </c>
      <c r="L1347" s="31" t="s">
        <v>601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598</v>
      </c>
      <c r="D1348" s="31" t="s">
        <v>672</v>
      </c>
      <c r="E1348" s="31" t="s">
        <v>673</v>
      </c>
      <c r="F1348" s="31" t="s">
        <v>799</v>
      </c>
      <c r="G1348" s="27">
        <v>4000</v>
      </c>
      <c r="H1348" s="31" t="s">
        <v>54</v>
      </c>
      <c r="I1348" s="31" t="s">
        <v>995</v>
      </c>
      <c r="J1348" s="26" t="s">
        <v>606</v>
      </c>
      <c r="K1348" s="27">
        <v>4000</v>
      </c>
      <c r="L1348" s="31" t="s">
        <v>601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602</v>
      </c>
      <c r="D1349" s="31" t="s">
        <v>452</v>
      </c>
      <c r="E1349" s="31" t="s">
        <v>612</v>
      </c>
      <c r="F1349" s="31" t="s">
        <v>833</v>
      </c>
      <c r="G1349" s="27">
        <v>8500</v>
      </c>
      <c r="H1349" s="31" t="s">
        <v>54</v>
      </c>
      <c r="I1349" s="31"/>
      <c r="J1349" s="26" t="s">
        <v>606</v>
      </c>
      <c r="K1349" s="27">
        <v>8500</v>
      </c>
      <c r="L1349" s="31" t="s">
        <v>601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602</v>
      </c>
      <c r="D1350" s="31" t="s">
        <v>625</v>
      </c>
      <c r="E1350" s="31"/>
      <c r="F1350" s="31" t="s">
        <v>934</v>
      </c>
      <c r="G1350" s="27">
        <v>21500</v>
      </c>
      <c r="H1350" s="31" t="s">
        <v>54</v>
      </c>
      <c r="I1350" s="31"/>
      <c r="J1350" s="26" t="s">
        <v>606</v>
      </c>
      <c r="K1350" s="27">
        <v>21500</v>
      </c>
      <c r="L1350" s="31" t="s">
        <v>601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602</v>
      </c>
      <c r="D1351" s="31" t="s">
        <v>452</v>
      </c>
      <c r="E1351" s="31" t="s">
        <v>714</v>
      </c>
      <c r="F1351" s="31" t="s">
        <v>604</v>
      </c>
      <c r="G1351" s="27">
        <v>10300</v>
      </c>
      <c r="H1351" s="31" t="s">
        <v>54</v>
      </c>
      <c r="I1351" s="31" t="s">
        <v>821</v>
      </c>
      <c r="J1351" s="26" t="s">
        <v>606</v>
      </c>
      <c r="K1351" s="27">
        <v>10300</v>
      </c>
      <c r="L1351" s="31" t="s">
        <v>601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184</v>
      </c>
      <c r="D1352" s="31" t="s">
        <v>19</v>
      </c>
      <c r="E1352" s="31"/>
      <c r="F1352" s="31" t="s">
        <v>756</v>
      </c>
      <c r="G1352" s="27">
        <v>18384</v>
      </c>
      <c r="H1352" s="31" t="s">
        <v>54</v>
      </c>
      <c r="I1352" s="31"/>
      <c r="J1352" s="26" t="s">
        <v>600</v>
      </c>
      <c r="K1352" s="27">
        <v>18384</v>
      </c>
      <c r="L1352" s="31" t="s">
        <v>601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598</v>
      </c>
      <c r="D1353" s="31" t="s">
        <v>362</v>
      </c>
      <c r="E1353" s="31"/>
      <c r="F1353" s="31" t="s">
        <v>755</v>
      </c>
      <c r="G1353" s="27">
        <v>4890</v>
      </c>
      <c r="H1353" s="31" t="s">
        <v>54</v>
      </c>
      <c r="I1353" s="31"/>
      <c r="J1353" s="26" t="s">
        <v>600</v>
      </c>
      <c r="K1353" s="27">
        <v>4890</v>
      </c>
      <c r="L1353" s="31" t="s">
        <v>601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602</v>
      </c>
      <c r="D1354" s="31" t="s">
        <v>452</v>
      </c>
      <c r="E1354" s="31" t="s">
        <v>603</v>
      </c>
      <c r="F1354" s="31" t="s">
        <v>604</v>
      </c>
      <c r="G1354" s="27">
        <v>2600</v>
      </c>
      <c r="H1354" s="31" t="s">
        <v>54</v>
      </c>
      <c r="I1354" s="31" t="s">
        <v>1050</v>
      </c>
      <c r="J1354" s="26" t="s">
        <v>606</v>
      </c>
      <c r="K1354" s="27">
        <v>2600</v>
      </c>
      <c r="L1354" s="31" t="s">
        <v>601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602</v>
      </c>
      <c r="D1355" s="31" t="s">
        <v>452</v>
      </c>
      <c r="E1355" s="31" t="s">
        <v>612</v>
      </c>
      <c r="F1355" s="31" t="s">
        <v>886</v>
      </c>
      <c r="G1355" s="27">
        <v>11600</v>
      </c>
      <c r="H1355" s="31" t="s">
        <v>54</v>
      </c>
      <c r="I1355" s="31"/>
      <c r="J1355" s="26" t="s">
        <v>606</v>
      </c>
      <c r="K1355" s="27">
        <v>11600</v>
      </c>
      <c r="L1355" s="31" t="s">
        <v>601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611</v>
      </c>
      <c r="D1356" s="31" t="s">
        <v>672</v>
      </c>
      <c r="E1356" s="31" t="s">
        <v>761</v>
      </c>
      <c r="F1356" s="31" t="s">
        <v>762</v>
      </c>
      <c r="G1356" s="27">
        <v>138056</v>
      </c>
      <c r="H1356" s="31" t="s">
        <v>54</v>
      </c>
      <c r="I1356" s="31"/>
      <c r="J1356" s="26" t="s">
        <v>600</v>
      </c>
      <c r="K1356" s="27">
        <v>138056</v>
      </c>
      <c r="L1356" s="31" t="s">
        <v>601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602</v>
      </c>
      <c r="D1357" s="31" t="s">
        <v>741</v>
      </c>
      <c r="E1357" s="31" t="s">
        <v>1019</v>
      </c>
      <c r="F1357" s="31" t="s">
        <v>818</v>
      </c>
      <c r="G1357" s="27">
        <v>7910</v>
      </c>
      <c r="H1357" s="31" t="s">
        <v>54</v>
      </c>
      <c r="I1357" s="31" t="s">
        <v>95</v>
      </c>
      <c r="J1357" s="26" t="s">
        <v>614</v>
      </c>
      <c r="K1357" s="27">
        <v>7910</v>
      </c>
      <c r="L1357" s="31" t="s">
        <v>601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632</v>
      </c>
      <c r="D1358" s="31" t="s">
        <v>1108</v>
      </c>
      <c r="E1358" s="31"/>
      <c r="F1358" s="31" t="s">
        <v>72</v>
      </c>
      <c r="G1358" s="27">
        <v>100000</v>
      </c>
      <c r="H1358" s="31" t="s">
        <v>636</v>
      </c>
      <c r="I1358" s="31"/>
      <c r="J1358" s="26" t="s">
        <v>665</v>
      </c>
      <c r="K1358" s="27">
        <v>100000</v>
      </c>
      <c r="L1358" s="31" t="s">
        <v>601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166</v>
      </c>
      <c r="D1359" s="31" t="s">
        <v>19</v>
      </c>
      <c r="E1359" s="31"/>
      <c r="F1359" s="31" t="s">
        <v>763</v>
      </c>
      <c r="G1359" s="27">
        <v>1</v>
      </c>
      <c r="H1359" s="31" t="s">
        <v>397</v>
      </c>
      <c r="I1359" s="31"/>
      <c r="J1359" s="26" t="s">
        <v>653</v>
      </c>
      <c r="K1359" s="27">
        <v>1</v>
      </c>
      <c r="L1359" s="31" t="s">
        <v>601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1108</v>
      </c>
      <c r="D1360" s="31" t="s">
        <v>632</v>
      </c>
      <c r="E1360" s="31"/>
      <c r="F1360" s="31" t="s">
        <v>72</v>
      </c>
      <c r="G1360" s="27">
        <v>100000</v>
      </c>
      <c r="H1360" s="31" t="s">
        <v>633</v>
      </c>
      <c r="I1360" s="31"/>
      <c r="J1360" s="26" t="s">
        <v>634</v>
      </c>
      <c r="K1360" s="27">
        <v>100000</v>
      </c>
      <c r="L1360" s="31" t="s">
        <v>601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1108</v>
      </c>
      <c r="D1361" s="31" t="s">
        <v>650</v>
      </c>
      <c r="E1361" s="31"/>
      <c r="F1361" s="31" t="s">
        <v>687</v>
      </c>
      <c r="G1361" s="27">
        <v>100000</v>
      </c>
      <c r="H1361" s="31" t="s">
        <v>397</v>
      </c>
      <c r="I1361" s="31"/>
      <c r="J1361" s="26" t="s">
        <v>650</v>
      </c>
      <c r="K1361" s="27">
        <v>100000</v>
      </c>
      <c r="L1361" s="31" t="s">
        <v>601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602</v>
      </c>
      <c r="D1362" s="31" t="s">
        <v>741</v>
      </c>
      <c r="E1362" s="31" t="s">
        <v>457</v>
      </c>
      <c r="F1362" s="31" t="s">
        <v>604</v>
      </c>
      <c r="G1362" s="27">
        <v>2900</v>
      </c>
      <c r="H1362" s="31" t="s">
        <v>54</v>
      </c>
      <c r="I1362" s="31" t="s">
        <v>1109</v>
      </c>
      <c r="J1362" s="26" t="s">
        <v>614</v>
      </c>
      <c r="K1362" s="27">
        <v>2900</v>
      </c>
      <c r="L1362" s="31" t="s">
        <v>601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602</v>
      </c>
      <c r="D1363" s="31" t="s">
        <v>453</v>
      </c>
      <c r="E1363" s="31"/>
      <c r="F1363" s="31" t="s">
        <v>453</v>
      </c>
      <c r="G1363" s="27">
        <v>5000</v>
      </c>
      <c r="H1363" s="31" t="s">
        <v>54</v>
      </c>
      <c r="I1363" s="31"/>
      <c r="J1363" s="26" t="s">
        <v>609</v>
      </c>
      <c r="K1363" s="27">
        <v>5000</v>
      </c>
      <c r="L1363" s="31" t="s">
        <v>601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681</v>
      </c>
      <c r="D1364" s="31" t="s">
        <v>452</v>
      </c>
      <c r="E1364" s="31" t="s">
        <v>621</v>
      </c>
      <c r="F1364" s="31" t="s">
        <v>682</v>
      </c>
      <c r="G1364" s="27">
        <v>21500</v>
      </c>
      <c r="H1364" s="31" t="s">
        <v>54</v>
      </c>
      <c r="I1364" s="31" t="s">
        <v>829</v>
      </c>
      <c r="J1364" s="26" t="s">
        <v>606</v>
      </c>
      <c r="K1364" s="27">
        <v>21500</v>
      </c>
      <c r="L1364" s="31" t="s">
        <v>601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681</v>
      </c>
      <c r="D1365" s="31" t="s">
        <v>625</v>
      </c>
      <c r="E1365" s="31"/>
      <c r="F1365" s="31" t="s">
        <v>365</v>
      </c>
      <c r="G1365" s="27">
        <v>7900</v>
      </c>
      <c r="H1365" s="31" t="s">
        <v>54</v>
      </c>
      <c r="I1365" s="31" t="s">
        <v>1110</v>
      </c>
      <c r="J1365" s="26" t="s">
        <v>606</v>
      </c>
      <c r="K1365" s="27">
        <v>7900</v>
      </c>
      <c r="L1365" s="31" t="s">
        <v>601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602</v>
      </c>
      <c r="D1366" s="31" t="s">
        <v>452</v>
      </c>
      <c r="E1366" s="31" t="s">
        <v>603</v>
      </c>
      <c r="F1366" s="31" t="s">
        <v>604</v>
      </c>
      <c r="G1366" s="27">
        <v>3000</v>
      </c>
      <c r="H1366" s="31" t="s">
        <v>54</v>
      </c>
      <c r="I1366" s="31" t="s">
        <v>1111</v>
      </c>
      <c r="J1366" s="26" t="s">
        <v>606</v>
      </c>
      <c r="K1366" s="27">
        <v>3000</v>
      </c>
      <c r="L1366" s="31" t="s">
        <v>601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187</v>
      </c>
      <c r="D1367" s="31" t="s">
        <v>154</v>
      </c>
      <c r="E1367" s="31"/>
      <c r="F1367" s="31" t="s">
        <v>72</v>
      </c>
      <c r="G1367" s="27">
        <v>4097624</v>
      </c>
      <c r="H1367" s="31" t="s">
        <v>636</v>
      </c>
      <c r="I1367" s="31"/>
      <c r="J1367" s="26" t="s">
        <v>634</v>
      </c>
      <c r="K1367" s="27">
        <v>4097624</v>
      </c>
      <c r="L1367" s="31" t="s">
        <v>601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154</v>
      </c>
      <c r="D1368" s="31" t="s">
        <v>187</v>
      </c>
      <c r="E1368" s="31"/>
      <c r="F1368" s="31" t="s">
        <v>72</v>
      </c>
      <c r="G1368" s="27">
        <v>4097624</v>
      </c>
      <c r="H1368" s="31" t="s">
        <v>633</v>
      </c>
      <c r="I1368" s="31"/>
      <c r="J1368" s="26" t="s">
        <v>634</v>
      </c>
      <c r="K1368" s="27">
        <v>4097624</v>
      </c>
      <c r="L1368" s="31" t="s">
        <v>601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632</v>
      </c>
      <c r="D1369" s="31" t="s">
        <v>154</v>
      </c>
      <c r="E1369" s="31"/>
      <c r="F1369" s="31" t="s">
        <v>72</v>
      </c>
      <c r="G1369" s="27">
        <v>2685804</v>
      </c>
      <c r="H1369" s="31" t="s">
        <v>636</v>
      </c>
      <c r="I1369" s="31"/>
      <c r="J1369" s="26" t="s">
        <v>634</v>
      </c>
      <c r="K1369" s="27">
        <v>2685804</v>
      </c>
      <c r="L1369" s="31" t="s">
        <v>601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154</v>
      </c>
      <c r="D1370" s="31" t="s">
        <v>632</v>
      </c>
      <c r="E1370" s="31"/>
      <c r="F1370" s="31" t="s">
        <v>72</v>
      </c>
      <c r="G1370" s="27">
        <v>2685804</v>
      </c>
      <c r="H1370" s="31" t="s">
        <v>633</v>
      </c>
      <c r="I1370" s="31"/>
      <c r="J1370" s="26" t="s">
        <v>634</v>
      </c>
      <c r="K1370" s="27">
        <v>2685804</v>
      </c>
      <c r="L1370" s="31" t="s">
        <v>601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154</v>
      </c>
      <c r="D1371" s="31" t="s">
        <v>19</v>
      </c>
      <c r="E1371" s="31"/>
      <c r="F1371" s="31" t="s">
        <v>179</v>
      </c>
      <c r="G1371" s="27">
        <v>709</v>
      </c>
      <c r="H1371" s="31" t="s">
        <v>397</v>
      </c>
      <c r="I1371" s="31"/>
      <c r="J1371" s="26" t="s">
        <v>653</v>
      </c>
      <c r="K1371" s="27">
        <v>709</v>
      </c>
      <c r="L1371" s="31" t="s">
        <v>601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436</v>
      </c>
      <c r="D1372" s="31" t="s">
        <v>154</v>
      </c>
      <c r="E1372" s="31"/>
      <c r="F1372" s="31" t="s">
        <v>72</v>
      </c>
      <c r="G1372" s="27">
        <v>20000</v>
      </c>
      <c r="H1372" s="31" t="s">
        <v>633</v>
      </c>
      <c r="I1372" s="31"/>
      <c r="J1372" s="26" t="s">
        <v>634</v>
      </c>
      <c r="K1372" s="27">
        <v>20000</v>
      </c>
      <c r="L1372" s="31" t="s">
        <v>601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404</v>
      </c>
      <c r="D1373" s="31" t="s">
        <v>154</v>
      </c>
      <c r="E1373" s="31"/>
      <c r="F1373" s="31" t="s">
        <v>72</v>
      </c>
      <c r="G1373" s="27">
        <v>20000</v>
      </c>
      <c r="H1373" s="31" t="s">
        <v>633</v>
      </c>
      <c r="I1373" s="31"/>
      <c r="J1373" s="26" t="s">
        <v>634</v>
      </c>
      <c r="K1373" s="27">
        <v>20000</v>
      </c>
      <c r="L1373" s="31" t="s">
        <v>601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154</v>
      </c>
      <c r="D1374" s="31" t="s">
        <v>404</v>
      </c>
      <c r="E1374" s="31"/>
      <c r="F1374" s="31" t="s">
        <v>72</v>
      </c>
      <c r="G1374" s="27">
        <v>20000</v>
      </c>
      <c r="H1374" s="31" t="s">
        <v>636</v>
      </c>
      <c r="I1374" s="31"/>
      <c r="J1374" s="26" t="s">
        <v>659</v>
      </c>
      <c r="K1374" s="27">
        <v>20000</v>
      </c>
      <c r="L1374" s="31" t="s">
        <v>601</v>
      </c>
      <c r="M1374" s="31" t="s">
        <v>1112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154</v>
      </c>
      <c r="D1375" s="31" t="s">
        <v>436</v>
      </c>
      <c r="E1375" s="31"/>
      <c r="F1375" s="31" t="s">
        <v>72</v>
      </c>
      <c r="G1375" s="27">
        <v>20000</v>
      </c>
      <c r="H1375" s="31" t="s">
        <v>636</v>
      </c>
      <c r="I1375" s="31"/>
      <c r="J1375" s="26" t="s">
        <v>668</v>
      </c>
      <c r="K1375" s="27">
        <v>20000</v>
      </c>
      <c r="L1375" s="31" t="s">
        <v>601</v>
      </c>
      <c r="M1375" s="31" t="s">
        <v>1112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436</v>
      </c>
      <c r="D1376" s="31" t="s">
        <v>650</v>
      </c>
      <c r="E1376" s="31"/>
      <c r="F1376" s="31" t="s">
        <v>687</v>
      </c>
      <c r="G1376" s="27">
        <v>40000</v>
      </c>
      <c r="H1376" s="31" t="s">
        <v>397</v>
      </c>
      <c r="I1376" s="31"/>
      <c r="J1376" s="26" t="s">
        <v>650</v>
      </c>
      <c r="K1376" s="27">
        <v>40000</v>
      </c>
      <c r="L1376" s="31" t="s">
        <v>601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436</v>
      </c>
      <c r="D1377" s="31" t="s">
        <v>19</v>
      </c>
      <c r="E1377" s="31"/>
      <c r="F1377" s="31" t="s">
        <v>756</v>
      </c>
      <c r="G1377" s="27">
        <v>1060</v>
      </c>
      <c r="H1377" s="31" t="s">
        <v>397</v>
      </c>
      <c r="I1377" s="31"/>
      <c r="J1377" s="26" t="s">
        <v>653</v>
      </c>
      <c r="K1377" s="27">
        <v>1060</v>
      </c>
      <c r="L1377" s="31" t="s">
        <v>601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753</v>
      </c>
      <c r="D1378" s="31" t="s">
        <v>154</v>
      </c>
      <c r="E1378" s="31"/>
      <c r="F1378" s="31" t="s">
        <v>72</v>
      </c>
      <c r="G1378" s="27">
        <v>200000</v>
      </c>
      <c r="H1378" s="31" t="s">
        <v>633</v>
      </c>
      <c r="I1378" s="31"/>
      <c r="J1378" s="26" t="s">
        <v>634</v>
      </c>
      <c r="K1378" s="27">
        <v>200000</v>
      </c>
      <c r="L1378" s="31" t="s">
        <v>601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154</v>
      </c>
      <c r="D1379" s="31" t="s">
        <v>753</v>
      </c>
      <c r="E1379" s="31"/>
      <c r="F1379" s="31" t="s">
        <v>72</v>
      </c>
      <c r="G1379" s="27">
        <v>200000</v>
      </c>
      <c r="H1379" s="31" t="s">
        <v>636</v>
      </c>
      <c r="I1379" s="31"/>
      <c r="J1379" s="26" t="s">
        <v>671</v>
      </c>
      <c r="K1379" s="27">
        <v>200000</v>
      </c>
      <c r="L1379" s="31" t="s">
        <v>601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154</v>
      </c>
      <c r="D1380" s="31" t="s">
        <v>835</v>
      </c>
      <c r="E1380" s="31"/>
      <c r="F1380" s="31" t="s">
        <v>72</v>
      </c>
      <c r="G1380" s="27">
        <v>60000</v>
      </c>
      <c r="H1380" s="31" t="s">
        <v>636</v>
      </c>
      <c r="I1380" s="31"/>
      <c r="J1380" s="26" t="s">
        <v>662</v>
      </c>
      <c r="K1380" s="27">
        <v>60000</v>
      </c>
      <c r="L1380" s="31" t="s">
        <v>601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835</v>
      </c>
      <c r="D1381" s="31" t="s">
        <v>154</v>
      </c>
      <c r="E1381" s="31"/>
      <c r="F1381" s="31" t="s">
        <v>72</v>
      </c>
      <c r="G1381" s="27">
        <v>60000</v>
      </c>
      <c r="H1381" s="31" t="s">
        <v>633</v>
      </c>
      <c r="I1381" s="31"/>
      <c r="J1381" s="26" t="s">
        <v>634</v>
      </c>
      <c r="K1381" s="27">
        <v>60000</v>
      </c>
      <c r="L1381" s="31" t="s">
        <v>601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834</v>
      </c>
      <c r="D1382" s="31" t="s">
        <v>154</v>
      </c>
      <c r="E1382" s="31"/>
      <c r="F1382" s="31" t="s">
        <v>72</v>
      </c>
      <c r="G1382" s="27">
        <v>60000</v>
      </c>
      <c r="H1382" s="31" t="s">
        <v>633</v>
      </c>
      <c r="I1382" s="31"/>
      <c r="J1382" s="26" t="s">
        <v>634</v>
      </c>
      <c r="K1382" s="27">
        <v>60000</v>
      </c>
      <c r="L1382" s="31" t="s">
        <v>601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154</v>
      </c>
      <c r="D1383" s="31" t="s">
        <v>834</v>
      </c>
      <c r="E1383" s="31"/>
      <c r="F1383" s="31" t="s">
        <v>72</v>
      </c>
      <c r="G1383" s="27">
        <v>60000</v>
      </c>
      <c r="H1383" s="31" t="s">
        <v>636</v>
      </c>
      <c r="I1383" s="31"/>
      <c r="J1383" s="26" t="s">
        <v>662</v>
      </c>
      <c r="K1383" s="27">
        <v>60000</v>
      </c>
      <c r="L1383" s="31" t="s">
        <v>601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835</v>
      </c>
      <c r="D1384" s="31" t="s">
        <v>635</v>
      </c>
      <c r="E1384" s="31"/>
      <c r="F1384" s="31" t="s">
        <v>865</v>
      </c>
      <c r="G1384" s="27">
        <v>65852</v>
      </c>
      <c r="H1384" s="31" t="s">
        <v>54</v>
      </c>
      <c r="I1384" s="31" t="s">
        <v>880</v>
      </c>
      <c r="J1384" s="26" t="s">
        <v>635</v>
      </c>
      <c r="K1384" s="27">
        <v>65852</v>
      </c>
      <c r="L1384" s="31" t="s">
        <v>601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834</v>
      </c>
      <c r="D1385" s="31" t="s">
        <v>635</v>
      </c>
      <c r="E1385" s="31"/>
      <c r="F1385" s="31" t="s">
        <v>865</v>
      </c>
      <c r="G1385" s="27">
        <v>64361</v>
      </c>
      <c r="H1385" s="31" t="s">
        <v>54</v>
      </c>
      <c r="I1385" s="31" t="s">
        <v>880</v>
      </c>
      <c r="J1385" s="26" t="s">
        <v>635</v>
      </c>
      <c r="K1385" s="27">
        <v>64361</v>
      </c>
      <c r="L1385" s="31" t="s">
        <v>601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480</v>
      </c>
      <c r="D1386" s="31" t="s">
        <v>776</v>
      </c>
      <c r="E1386" s="31"/>
      <c r="F1386" s="31" t="s">
        <v>1113</v>
      </c>
      <c r="G1386" s="27">
        <v>2000</v>
      </c>
      <c r="H1386" s="31" t="s">
        <v>54</v>
      </c>
      <c r="I1386" s="31"/>
      <c r="J1386" s="26" t="s">
        <v>606</v>
      </c>
      <c r="K1386" s="27">
        <v>2000</v>
      </c>
      <c r="L1386" s="31" t="s">
        <v>601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602</v>
      </c>
      <c r="D1387" s="31" t="s">
        <v>452</v>
      </c>
      <c r="E1387" s="31" t="s">
        <v>603</v>
      </c>
      <c r="F1387" s="31" t="s">
        <v>886</v>
      </c>
      <c r="G1387" s="27">
        <v>2000</v>
      </c>
      <c r="H1387" s="31" t="s">
        <v>54</v>
      </c>
      <c r="I1387" s="31" t="s">
        <v>1114</v>
      </c>
      <c r="J1387" s="26" t="s">
        <v>606</v>
      </c>
      <c r="K1387" s="27">
        <v>2000</v>
      </c>
      <c r="L1387" s="31" t="s">
        <v>601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598</v>
      </c>
      <c r="D1388" s="31" t="s">
        <v>771</v>
      </c>
      <c r="E1388" s="31"/>
      <c r="F1388" s="31" t="s">
        <v>923</v>
      </c>
      <c r="G1388" s="27">
        <v>18800</v>
      </c>
      <c r="H1388" s="31" t="s">
        <v>54</v>
      </c>
      <c r="I1388" s="31" t="s">
        <v>1115</v>
      </c>
      <c r="J1388" s="26" t="s">
        <v>606</v>
      </c>
      <c r="K1388" s="27">
        <v>18800</v>
      </c>
      <c r="L1388" s="31" t="s">
        <v>601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602</v>
      </c>
      <c r="D1389" s="31" t="s">
        <v>625</v>
      </c>
      <c r="E1389" s="31"/>
      <c r="F1389" s="31" t="s">
        <v>654</v>
      </c>
      <c r="G1389" s="27">
        <v>32900</v>
      </c>
      <c r="H1389" s="31" t="s">
        <v>54</v>
      </c>
      <c r="I1389" s="31" t="s">
        <v>1116</v>
      </c>
      <c r="J1389" s="26" t="s">
        <v>606</v>
      </c>
      <c r="K1389" s="27">
        <v>32900</v>
      </c>
      <c r="L1389" s="31" t="s">
        <v>601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1108</v>
      </c>
      <c r="D1390" s="31" t="s">
        <v>741</v>
      </c>
      <c r="E1390" s="31" t="s">
        <v>1019</v>
      </c>
      <c r="F1390" s="31" t="s">
        <v>1117</v>
      </c>
      <c r="G1390" s="27">
        <v>33200</v>
      </c>
      <c r="H1390" s="31" t="s">
        <v>54</v>
      </c>
      <c r="I1390" s="31" t="s">
        <v>1118</v>
      </c>
      <c r="J1390" s="26" t="s">
        <v>614</v>
      </c>
      <c r="K1390" s="27">
        <v>16600</v>
      </c>
      <c r="L1390" s="31" t="s">
        <v>190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1108</v>
      </c>
      <c r="D1391" s="31" t="s">
        <v>741</v>
      </c>
      <c r="E1391" s="31" t="s">
        <v>1019</v>
      </c>
      <c r="F1391" s="31" t="s">
        <v>1119</v>
      </c>
      <c r="G1391" s="27">
        <v>3470</v>
      </c>
      <c r="H1391" s="31" t="s">
        <v>54</v>
      </c>
      <c r="I1391" s="31" t="s">
        <v>1120</v>
      </c>
      <c r="J1391" s="26" t="s">
        <v>614</v>
      </c>
      <c r="K1391" s="27">
        <v>1735</v>
      </c>
      <c r="L1391" s="31" t="s">
        <v>190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1108</v>
      </c>
      <c r="D1392" s="31" t="s">
        <v>741</v>
      </c>
      <c r="E1392" s="31" t="s">
        <v>1019</v>
      </c>
      <c r="F1392" s="31" t="s">
        <v>1121</v>
      </c>
      <c r="G1392" s="27">
        <v>8200</v>
      </c>
      <c r="H1392" s="31" t="s">
        <v>54</v>
      </c>
      <c r="I1392" s="31" t="s">
        <v>623</v>
      </c>
      <c r="J1392" s="26" t="s">
        <v>614</v>
      </c>
      <c r="K1392" s="27">
        <v>4100</v>
      </c>
      <c r="L1392" s="31" t="s">
        <v>190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1108</v>
      </c>
      <c r="D1393" s="31" t="s">
        <v>741</v>
      </c>
      <c r="E1393" s="31" t="s">
        <v>1019</v>
      </c>
      <c r="F1393" s="31" t="s">
        <v>1122</v>
      </c>
      <c r="G1393" s="27">
        <v>14200</v>
      </c>
      <c r="H1393" s="31" t="s">
        <v>54</v>
      </c>
      <c r="I1393" s="31" t="s">
        <v>1123</v>
      </c>
      <c r="J1393" s="26" t="s">
        <v>614</v>
      </c>
      <c r="K1393" s="27">
        <v>7100</v>
      </c>
      <c r="L1393" s="31" t="s">
        <v>190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602</v>
      </c>
      <c r="D1394" s="31" t="s">
        <v>625</v>
      </c>
      <c r="E1394" s="31"/>
      <c r="F1394" s="31" t="s">
        <v>626</v>
      </c>
      <c r="G1394" s="27">
        <v>21000</v>
      </c>
      <c r="H1394" s="31" t="s">
        <v>54</v>
      </c>
      <c r="I1394" s="31"/>
      <c r="J1394" s="26" t="s">
        <v>606</v>
      </c>
      <c r="K1394" s="27">
        <v>21000</v>
      </c>
      <c r="L1394" s="31" t="s">
        <v>601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753</v>
      </c>
      <c r="D1395" s="31" t="s">
        <v>19</v>
      </c>
      <c r="E1395" s="31"/>
      <c r="F1395" s="31" t="s">
        <v>779</v>
      </c>
      <c r="G1395" s="27">
        <v>8741</v>
      </c>
      <c r="H1395" s="31" t="s">
        <v>54</v>
      </c>
      <c r="I1395" s="31"/>
      <c r="J1395" s="26" t="s">
        <v>600</v>
      </c>
      <c r="K1395" s="27">
        <v>8741</v>
      </c>
      <c r="L1395" s="31" t="s">
        <v>601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598</v>
      </c>
      <c r="D1396" s="31" t="s">
        <v>771</v>
      </c>
      <c r="E1396" s="31"/>
      <c r="F1396" s="31" t="s">
        <v>923</v>
      </c>
      <c r="G1396" s="27">
        <v>12800</v>
      </c>
      <c r="H1396" s="31" t="s">
        <v>54</v>
      </c>
      <c r="I1396" s="31"/>
      <c r="J1396" s="26" t="s">
        <v>606</v>
      </c>
      <c r="K1396" s="27">
        <v>12800</v>
      </c>
      <c r="L1396" s="31" t="s">
        <v>601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602</v>
      </c>
      <c r="D1397" s="31" t="s">
        <v>452</v>
      </c>
      <c r="E1397" s="31" t="s">
        <v>603</v>
      </c>
      <c r="F1397" s="31" t="s">
        <v>670</v>
      </c>
      <c r="G1397" s="27">
        <v>1100</v>
      </c>
      <c r="H1397" s="31" t="s">
        <v>54</v>
      </c>
      <c r="I1397" s="31"/>
      <c r="J1397" s="26" t="s">
        <v>606</v>
      </c>
      <c r="K1397" s="27">
        <v>1100</v>
      </c>
      <c r="L1397" s="31" t="s">
        <v>601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602</v>
      </c>
      <c r="D1398" s="31" t="s">
        <v>452</v>
      </c>
      <c r="E1398" s="31" t="s">
        <v>603</v>
      </c>
      <c r="F1398" s="31" t="s">
        <v>604</v>
      </c>
      <c r="G1398" s="27">
        <v>2400</v>
      </c>
      <c r="H1398" s="31" t="s">
        <v>54</v>
      </c>
      <c r="I1398" s="31" t="s">
        <v>1050</v>
      </c>
      <c r="J1398" s="26" t="s">
        <v>606</v>
      </c>
      <c r="K1398" s="27">
        <v>2400</v>
      </c>
      <c r="L1398" s="31" t="s">
        <v>601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602</v>
      </c>
      <c r="D1399" s="31" t="s">
        <v>453</v>
      </c>
      <c r="E1399" s="31"/>
      <c r="F1399" s="31" t="s">
        <v>453</v>
      </c>
      <c r="G1399" s="27">
        <v>5000</v>
      </c>
      <c r="H1399" s="31" t="s">
        <v>54</v>
      </c>
      <c r="I1399" s="31"/>
      <c r="J1399" s="26" t="s">
        <v>609</v>
      </c>
      <c r="K1399" s="27">
        <v>5000</v>
      </c>
      <c r="L1399" s="31" t="s">
        <v>601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602</v>
      </c>
      <c r="D1400" s="31" t="s">
        <v>672</v>
      </c>
      <c r="E1400" s="31" t="s">
        <v>673</v>
      </c>
      <c r="F1400" s="31" t="s">
        <v>1124</v>
      </c>
      <c r="G1400" s="27">
        <v>5600</v>
      </c>
      <c r="H1400" s="31" t="s">
        <v>54</v>
      </c>
      <c r="I1400" s="31"/>
      <c r="J1400" s="26" t="s">
        <v>606</v>
      </c>
      <c r="K1400" s="27">
        <v>5600</v>
      </c>
      <c r="L1400" s="31" t="s">
        <v>601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602</v>
      </c>
      <c r="D1401" s="31" t="s">
        <v>672</v>
      </c>
      <c r="E1401" s="31" t="s">
        <v>673</v>
      </c>
      <c r="F1401" s="31" t="s">
        <v>676</v>
      </c>
      <c r="G1401" s="27">
        <v>9300</v>
      </c>
      <c r="H1401" s="31" t="s">
        <v>54</v>
      </c>
      <c r="I1401" s="31"/>
      <c r="J1401" s="26" t="s">
        <v>606</v>
      </c>
      <c r="K1401" s="27">
        <v>9300</v>
      </c>
      <c r="L1401" s="31" t="s">
        <v>601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154</v>
      </c>
      <c r="D1402" s="31" t="s">
        <v>646</v>
      </c>
      <c r="E1402" s="31"/>
      <c r="F1402" s="31" t="s">
        <v>1125</v>
      </c>
      <c r="G1402" s="27">
        <v>40000</v>
      </c>
      <c r="H1402" s="31" t="s">
        <v>54</v>
      </c>
      <c r="I1402" s="31" t="s">
        <v>1126</v>
      </c>
      <c r="J1402" s="26" t="s">
        <v>628</v>
      </c>
      <c r="K1402" s="27">
        <v>40000</v>
      </c>
      <c r="L1402" s="31" t="s">
        <v>601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602</v>
      </c>
      <c r="D1403" s="31" t="s">
        <v>452</v>
      </c>
      <c r="E1403" s="31" t="s">
        <v>612</v>
      </c>
      <c r="F1403" s="31" t="s">
        <v>604</v>
      </c>
      <c r="G1403" s="27">
        <v>4100</v>
      </c>
      <c r="H1403" s="31" t="s">
        <v>54</v>
      </c>
      <c r="I1403" s="31" t="s">
        <v>63</v>
      </c>
      <c r="J1403" s="26" t="s">
        <v>606</v>
      </c>
      <c r="K1403" s="27">
        <v>4100</v>
      </c>
      <c r="L1403" s="31" t="s">
        <v>601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154</v>
      </c>
      <c r="D1404" s="31" t="s">
        <v>452</v>
      </c>
      <c r="E1404" s="31" t="s">
        <v>603</v>
      </c>
      <c r="F1404" s="31" t="s">
        <v>1103</v>
      </c>
      <c r="G1404" s="27">
        <v>5000</v>
      </c>
      <c r="H1404" s="31" t="s">
        <v>54</v>
      </c>
      <c r="I1404" s="31" t="s">
        <v>1111</v>
      </c>
      <c r="J1404" s="26" t="s">
        <v>606</v>
      </c>
      <c r="K1404" s="27">
        <v>5000</v>
      </c>
      <c r="L1404" s="31" t="s">
        <v>601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598</v>
      </c>
      <c r="D1405" s="31" t="s">
        <v>362</v>
      </c>
      <c r="E1405" s="31"/>
      <c r="F1405" s="31" t="s">
        <v>363</v>
      </c>
      <c r="G1405" s="27">
        <v>7890</v>
      </c>
      <c r="H1405" s="31" t="s">
        <v>54</v>
      </c>
      <c r="I1405" s="31"/>
      <c r="J1405" s="26" t="s">
        <v>600</v>
      </c>
      <c r="K1405" s="27">
        <v>7890</v>
      </c>
      <c r="L1405" s="31" t="s">
        <v>601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602</v>
      </c>
      <c r="D1406" s="31" t="s">
        <v>625</v>
      </c>
      <c r="E1406" s="31"/>
      <c r="F1406" s="31" t="s">
        <v>626</v>
      </c>
      <c r="G1406" s="27">
        <v>7000</v>
      </c>
      <c r="H1406" s="31" t="s">
        <v>54</v>
      </c>
      <c r="I1406" s="31"/>
      <c r="J1406" s="26" t="s">
        <v>606</v>
      </c>
      <c r="K1406" s="27">
        <v>7000</v>
      </c>
      <c r="L1406" s="31" t="s">
        <v>601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602</v>
      </c>
      <c r="D1407" s="31" t="s">
        <v>672</v>
      </c>
      <c r="E1407" s="31" t="s">
        <v>673</v>
      </c>
      <c r="F1407" s="31" t="s">
        <v>1127</v>
      </c>
      <c r="G1407" s="27">
        <v>8000</v>
      </c>
      <c r="H1407" s="31" t="s">
        <v>54</v>
      </c>
      <c r="I1407" s="31"/>
      <c r="J1407" s="26" t="s">
        <v>606</v>
      </c>
      <c r="K1407" s="27">
        <v>8000</v>
      </c>
      <c r="L1407" s="31" t="s">
        <v>601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187</v>
      </c>
      <c r="D1408" s="31" t="s">
        <v>771</v>
      </c>
      <c r="E1408" s="31"/>
      <c r="F1408" s="31" t="s">
        <v>1128</v>
      </c>
      <c r="G1408" s="27">
        <v>-30000</v>
      </c>
      <c r="H1408" s="31" t="s">
        <v>54</v>
      </c>
      <c r="I1408" s="31" t="s">
        <v>1129</v>
      </c>
      <c r="J1408" s="26" t="s">
        <v>600</v>
      </c>
      <c r="K1408" s="27">
        <v>-30000</v>
      </c>
      <c r="L1408" s="31" t="s">
        <v>601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602</v>
      </c>
      <c r="D1409" s="31" t="s">
        <v>453</v>
      </c>
      <c r="E1409" s="31"/>
      <c r="F1409" s="31" t="s">
        <v>453</v>
      </c>
      <c r="G1409" s="27">
        <v>5000</v>
      </c>
      <c r="H1409" s="31" t="s">
        <v>54</v>
      </c>
      <c r="I1409" s="31"/>
      <c r="J1409" s="26" t="s">
        <v>609</v>
      </c>
      <c r="K1409" s="27">
        <v>5000</v>
      </c>
      <c r="L1409" s="31" t="s">
        <v>601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602</v>
      </c>
      <c r="D1410" s="31" t="s">
        <v>452</v>
      </c>
      <c r="E1410" s="31" t="s">
        <v>603</v>
      </c>
      <c r="F1410" s="31" t="s">
        <v>604</v>
      </c>
      <c r="G1410" s="27">
        <v>5700</v>
      </c>
      <c r="H1410" s="31" t="s">
        <v>54</v>
      </c>
      <c r="I1410" s="31" t="s">
        <v>1130</v>
      </c>
      <c r="J1410" s="26" t="s">
        <v>606</v>
      </c>
      <c r="K1410" s="27">
        <v>5700</v>
      </c>
      <c r="L1410" s="31" t="s">
        <v>601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166</v>
      </c>
      <c r="D1411" s="31" t="s">
        <v>19</v>
      </c>
      <c r="E1411" s="31"/>
      <c r="F1411" s="31" t="s">
        <v>767</v>
      </c>
      <c r="G1411" s="27">
        <v>18295</v>
      </c>
      <c r="H1411" s="31" t="s">
        <v>54</v>
      </c>
      <c r="I1411" s="31"/>
      <c r="J1411" s="26" t="s">
        <v>600</v>
      </c>
      <c r="K1411" s="27">
        <v>18295</v>
      </c>
      <c r="L1411" s="31" t="s">
        <v>601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154</v>
      </c>
      <c r="D1412" s="31" t="s">
        <v>166</v>
      </c>
      <c r="E1412" s="31"/>
      <c r="F1412" s="31" t="s">
        <v>72</v>
      </c>
      <c r="G1412" s="27">
        <v>15500</v>
      </c>
      <c r="H1412" s="31" t="s">
        <v>636</v>
      </c>
      <c r="I1412" s="31"/>
      <c r="J1412" s="26" t="s">
        <v>634</v>
      </c>
      <c r="K1412" s="27">
        <v>15500</v>
      </c>
      <c r="L1412" s="31" t="s">
        <v>601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166</v>
      </c>
      <c r="D1413" s="31" t="s">
        <v>154</v>
      </c>
      <c r="E1413" s="31"/>
      <c r="F1413" s="31" t="s">
        <v>72</v>
      </c>
      <c r="G1413" s="27">
        <v>15500</v>
      </c>
      <c r="H1413" s="31" t="s">
        <v>633</v>
      </c>
      <c r="I1413" s="31"/>
      <c r="J1413" s="26" t="s">
        <v>634</v>
      </c>
      <c r="K1413" s="27">
        <v>15500</v>
      </c>
      <c r="L1413" s="31" t="s">
        <v>601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602</v>
      </c>
      <c r="D1414" s="31" t="s">
        <v>669</v>
      </c>
      <c r="E1414" s="31"/>
      <c r="F1414" s="31" t="s">
        <v>766</v>
      </c>
      <c r="G1414" s="27">
        <v>50000</v>
      </c>
      <c r="H1414" s="31" t="s">
        <v>54</v>
      </c>
      <c r="I1414" s="31" t="s">
        <v>508</v>
      </c>
      <c r="J1414" s="26" t="s">
        <v>617</v>
      </c>
      <c r="K1414" s="27">
        <v>50000</v>
      </c>
      <c r="L1414" s="31" t="s">
        <v>601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602</v>
      </c>
      <c r="D1415" s="31" t="s">
        <v>452</v>
      </c>
      <c r="E1415" s="31" t="s">
        <v>612</v>
      </c>
      <c r="F1415" s="31" t="s">
        <v>701</v>
      </c>
      <c r="G1415" s="27">
        <v>11000</v>
      </c>
      <c r="H1415" s="31" t="s">
        <v>54</v>
      </c>
      <c r="I1415" s="31"/>
      <c r="J1415" s="26" t="s">
        <v>606</v>
      </c>
      <c r="K1415" s="27">
        <v>11000</v>
      </c>
      <c r="L1415" s="31" t="s">
        <v>601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187</v>
      </c>
      <c r="D1416" s="31" t="s">
        <v>19</v>
      </c>
      <c r="E1416" s="31"/>
      <c r="F1416" s="31" t="s">
        <v>836</v>
      </c>
      <c r="G1416" s="27">
        <v>250</v>
      </c>
      <c r="H1416" s="31" t="s">
        <v>397</v>
      </c>
      <c r="I1416" s="31"/>
      <c r="J1416" s="26" t="s">
        <v>653</v>
      </c>
      <c r="K1416" s="27">
        <v>250</v>
      </c>
      <c r="L1416" s="31" t="s">
        <v>601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681</v>
      </c>
      <c r="D1417" s="31" t="s">
        <v>625</v>
      </c>
      <c r="E1417" s="31"/>
      <c r="F1417" s="31" t="s">
        <v>365</v>
      </c>
      <c r="G1417" s="27">
        <v>8160</v>
      </c>
      <c r="H1417" s="31" t="s">
        <v>54</v>
      </c>
      <c r="I1417" s="31" t="s">
        <v>1131</v>
      </c>
      <c r="J1417" s="26" t="s">
        <v>606</v>
      </c>
      <c r="K1417" s="27">
        <v>8160</v>
      </c>
      <c r="L1417" s="31" t="s">
        <v>601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602</v>
      </c>
      <c r="D1418" s="31" t="s">
        <v>625</v>
      </c>
      <c r="E1418" s="31"/>
      <c r="F1418" s="31" t="s">
        <v>626</v>
      </c>
      <c r="G1418" s="27">
        <v>1000</v>
      </c>
      <c r="H1418" s="31" t="s">
        <v>54</v>
      </c>
      <c r="I1418" s="31" t="s">
        <v>1132</v>
      </c>
      <c r="J1418" s="26" t="s">
        <v>606</v>
      </c>
      <c r="K1418" s="27">
        <v>1000</v>
      </c>
      <c r="L1418" s="31" t="s">
        <v>601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602</v>
      </c>
      <c r="D1419" s="31" t="s">
        <v>452</v>
      </c>
      <c r="E1419" s="31" t="s">
        <v>714</v>
      </c>
      <c r="F1419" s="31" t="s">
        <v>604</v>
      </c>
      <c r="G1419" s="27">
        <v>5800</v>
      </c>
      <c r="H1419" s="31" t="s">
        <v>54</v>
      </c>
      <c r="I1419" s="31" t="s">
        <v>821</v>
      </c>
      <c r="J1419" s="26" t="s">
        <v>606</v>
      </c>
      <c r="K1419" s="27">
        <v>5800</v>
      </c>
      <c r="L1419" s="31" t="s">
        <v>601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187</v>
      </c>
      <c r="D1420" s="31" t="s">
        <v>771</v>
      </c>
      <c r="E1420" s="31"/>
      <c r="F1420" s="31" t="s">
        <v>1133</v>
      </c>
      <c r="G1420" s="27">
        <v>30000</v>
      </c>
      <c r="H1420" s="31" t="s">
        <v>54</v>
      </c>
      <c r="I1420" s="31" t="s">
        <v>1134</v>
      </c>
      <c r="J1420" s="26" t="s">
        <v>600</v>
      </c>
      <c r="K1420" s="27">
        <v>30000</v>
      </c>
      <c r="L1420" s="31" t="s">
        <v>601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716</v>
      </c>
      <c r="D1421" s="31" t="s">
        <v>771</v>
      </c>
      <c r="E1421" s="31"/>
      <c r="F1421" s="31" t="s">
        <v>772</v>
      </c>
      <c r="G1421" s="27">
        <v>55000</v>
      </c>
      <c r="H1421" s="31" t="s">
        <v>54</v>
      </c>
      <c r="I1421" s="31" t="s">
        <v>1135</v>
      </c>
      <c r="J1421" s="26" t="s">
        <v>600</v>
      </c>
      <c r="K1421" s="27">
        <v>55000</v>
      </c>
      <c r="L1421" s="31" t="s">
        <v>601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598</v>
      </c>
      <c r="D1422" s="31" t="s">
        <v>19</v>
      </c>
      <c r="E1422" s="31"/>
      <c r="F1422" s="31" t="s">
        <v>770</v>
      </c>
      <c r="G1422" s="27">
        <v>-21000</v>
      </c>
      <c r="H1422" s="31" t="s">
        <v>54</v>
      </c>
      <c r="I1422" s="31"/>
      <c r="J1422" s="26" t="s">
        <v>678</v>
      </c>
      <c r="K1422" s="27">
        <v>-21000</v>
      </c>
      <c r="L1422" s="31" t="s">
        <v>601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598</v>
      </c>
      <c r="D1423" s="31" t="s">
        <v>776</v>
      </c>
      <c r="E1423" s="31"/>
      <c r="F1423" s="31" t="s">
        <v>1027</v>
      </c>
      <c r="G1423" s="27">
        <v>-754</v>
      </c>
      <c r="H1423" s="31" t="s">
        <v>54</v>
      </c>
      <c r="I1423" s="31" t="s">
        <v>777</v>
      </c>
      <c r="J1423" s="26" t="s">
        <v>606</v>
      </c>
      <c r="K1423" s="27">
        <v>-754</v>
      </c>
      <c r="L1423" s="31" t="s">
        <v>601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611</v>
      </c>
      <c r="D1424" s="31" t="s">
        <v>452</v>
      </c>
      <c r="E1424" s="31" t="s">
        <v>603</v>
      </c>
      <c r="F1424" s="31" t="s">
        <v>604</v>
      </c>
      <c r="G1424" s="27">
        <v>11700</v>
      </c>
      <c r="H1424" s="31" t="s">
        <v>54</v>
      </c>
      <c r="I1424" s="31" t="s">
        <v>1136</v>
      </c>
      <c r="J1424" s="26" t="s">
        <v>606</v>
      </c>
      <c r="K1424" s="27">
        <v>11700</v>
      </c>
      <c r="L1424" s="31" t="s">
        <v>601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611</v>
      </c>
      <c r="D1425" s="31" t="s">
        <v>453</v>
      </c>
      <c r="E1425" s="31"/>
      <c r="F1425" s="31" t="s">
        <v>453</v>
      </c>
      <c r="G1425" s="27">
        <v>5000</v>
      </c>
      <c r="H1425" s="31" t="s">
        <v>54</v>
      </c>
      <c r="I1425" s="31"/>
      <c r="J1425" s="26" t="s">
        <v>609</v>
      </c>
      <c r="K1425" s="27">
        <v>5000</v>
      </c>
      <c r="L1425" s="31" t="s">
        <v>601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154</v>
      </c>
      <c r="D1426" s="31" t="s">
        <v>452</v>
      </c>
      <c r="E1426" s="31" t="s">
        <v>603</v>
      </c>
      <c r="F1426" s="31" t="s">
        <v>1103</v>
      </c>
      <c r="G1426" s="27">
        <v>5000</v>
      </c>
      <c r="H1426" s="31" t="s">
        <v>54</v>
      </c>
      <c r="I1426" s="31" t="s">
        <v>1137</v>
      </c>
      <c r="J1426" s="26" t="s">
        <v>606</v>
      </c>
      <c r="K1426" s="27">
        <v>5000</v>
      </c>
      <c r="L1426" s="31" t="s">
        <v>601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611</v>
      </c>
      <c r="D1427" s="31" t="s">
        <v>452</v>
      </c>
      <c r="E1427" s="31" t="s">
        <v>612</v>
      </c>
      <c r="F1427" s="31" t="s">
        <v>1138</v>
      </c>
      <c r="G1427" s="27">
        <v>11500</v>
      </c>
      <c r="H1427" s="31" t="s">
        <v>54</v>
      </c>
      <c r="I1427" s="31" t="s">
        <v>1139</v>
      </c>
      <c r="J1427" s="26" t="s">
        <v>606</v>
      </c>
      <c r="K1427" s="27">
        <v>11500</v>
      </c>
      <c r="L1427" s="31" t="s">
        <v>601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598</v>
      </c>
      <c r="D1428" s="31" t="s">
        <v>362</v>
      </c>
      <c r="E1428" s="31"/>
      <c r="F1428" s="31" t="s">
        <v>599</v>
      </c>
      <c r="G1428" s="27">
        <v>4217</v>
      </c>
      <c r="H1428" s="31" t="s">
        <v>54</v>
      </c>
      <c r="I1428" s="31"/>
      <c r="J1428" s="26" t="s">
        <v>600</v>
      </c>
      <c r="K1428" s="27">
        <v>4217</v>
      </c>
      <c r="L1428" s="31" t="s">
        <v>601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1108</v>
      </c>
      <c r="D1429" s="31" t="s">
        <v>19</v>
      </c>
      <c r="E1429" s="31"/>
      <c r="F1429" s="31" t="s">
        <v>1140</v>
      </c>
      <c r="G1429" s="27">
        <v>500</v>
      </c>
      <c r="H1429" s="31" t="s">
        <v>397</v>
      </c>
      <c r="I1429" s="31"/>
      <c r="J1429" s="26" t="s">
        <v>653</v>
      </c>
      <c r="K1429" s="27">
        <v>500</v>
      </c>
      <c r="L1429" s="31" t="s">
        <v>601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1108</v>
      </c>
      <c r="D1430" s="31" t="s">
        <v>19</v>
      </c>
      <c r="E1430" s="31"/>
      <c r="F1430" s="31" t="s">
        <v>1141</v>
      </c>
      <c r="G1430" s="27">
        <v>2</v>
      </c>
      <c r="H1430" s="31" t="s">
        <v>397</v>
      </c>
      <c r="I1430" s="31"/>
      <c r="J1430" s="26" t="s">
        <v>653</v>
      </c>
      <c r="K1430" s="27">
        <v>2</v>
      </c>
      <c r="L1430" s="31" t="s">
        <v>601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1108</v>
      </c>
      <c r="D1431" s="31" t="s">
        <v>741</v>
      </c>
      <c r="E1431" s="31" t="s">
        <v>1019</v>
      </c>
      <c r="F1431" s="31" t="s">
        <v>1142</v>
      </c>
      <c r="G1431" s="27">
        <v>27500</v>
      </c>
      <c r="H1431" s="31" t="s">
        <v>54</v>
      </c>
      <c r="I1431" s="31"/>
      <c r="J1431" s="26" t="s">
        <v>614</v>
      </c>
      <c r="K1431" s="27">
        <v>13750</v>
      </c>
      <c r="L1431" s="31" t="s">
        <v>190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611</v>
      </c>
      <c r="D1432" s="31" t="s">
        <v>452</v>
      </c>
      <c r="E1432" s="31" t="s">
        <v>603</v>
      </c>
      <c r="F1432" s="31" t="s">
        <v>1049</v>
      </c>
      <c r="G1432" s="27">
        <v>1500</v>
      </c>
      <c r="H1432" s="31" t="s">
        <v>54</v>
      </c>
      <c r="I1432" s="31"/>
      <c r="J1432" s="26" t="s">
        <v>606</v>
      </c>
      <c r="K1432" s="27">
        <v>1500</v>
      </c>
      <c r="L1432" s="31" t="s">
        <v>601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611</v>
      </c>
      <c r="D1433" s="31" t="s">
        <v>453</v>
      </c>
      <c r="E1433" s="31"/>
      <c r="F1433" s="31" t="s">
        <v>453</v>
      </c>
      <c r="G1433" s="27">
        <v>5000</v>
      </c>
      <c r="H1433" s="31" t="s">
        <v>54</v>
      </c>
      <c r="I1433" s="31"/>
      <c r="J1433" s="26" t="s">
        <v>609</v>
      </c>
      <c r="K1433" s="27">
        <v>5000</v>
      </c>
      <c r="L1433" s="31" t="s">
        <v>601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611</v>
      </c>
      <c r="D1434" s="31" t="s">
        <v>452</v>
      </c>
      <c r="E1434" s="31" t="s">
        <v>603</v>
      </c>
      <c r="F1434" s="31" t="s">
        <v>604</v>
      </c>
      <c r="G1434" s="27">
        <v>5900</v>
      </c>
      <c r="H1434" s="31" t="s">
        <v>54</v>
      </c>
      <c r="I1434" s="31" t="s">
        <v>1143</v>
      </c>
      <c r="J1434" s="26" t="s">
        <v>606</v>
      </c>
      <c r="K1434" s="27">
        <v>5900</v>
      </c>
      <c r="L1434" s="31" t="s">
        <v>601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598</v>
      </c>
      <c r="D1435" s="31" t="s">
        <v>362</v>
      </c>
      <c r="E1435" s="31"/>
      <c r="F1435" s="31" t="s">
        <v>608</v>
      </c>
      <c r="G1435" s="27">
        <v>18000</v>
      </c>
      <c r="H1435" s="31" t="s">
        <v>54</v>
      </c>
      <c r="I1435" s="31"/>
      <c r="J1435" s="26" t="s">
        <v>600</v>
      </c>
      <c r="K1435" s="27">
        <v>18000</v>
      </c>
      <c r="L1435" s="31" t="s">
        <v>601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611</v>
      </c>
      <c r="D1436" s="31" t="s">
        <v>362</v>
      </c>
      <c r="E1436" s="31"/>
      <c r="F1436" s="31" t="s">
        <v>1144</v>
      </c>
      <c r="G1436" s="27">
        <v>26400</v>
      </c>
      <c r="H1436" s="31" t="s">
        <v>54</v>
      </c>
      <c r="I1436" s="31" t="s">
        <v>1145</v>
      </c>
      <c r="J1436" s="26" t="s">
        <v>600</v>
      </c>
      <c r="K1436" s="27">
        <v>26400</v>
      </c>
      <c r="L1436" s="31" t="s">
        <v>601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611</v>
      </c>
      <c r="D1437" s="31" t="s">
        <v>452</v>
      </c>
      <c r="E1437" s="31" t="s">
        <v>612</v>
      </c>
      <c r="F1437" s="31" t="s">
        <v>740</v>
      </c>
      <c r="G1437" s="27">
        <v>13000</v>
      </c>
      <c r="H1437" s="31" t="s">
        <v>54</v>
      </c>
      <c r="I1437" s="31"/>
      <c r="J1437" s="26" t="s">
        <v>606</v>
      </c>
      <c r="K1437" s="27">
        <v>13000</v>
      </c>
      <c r="L1437" s="31" t="s">
        <v>601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611</v>
      </c>
      <c r="D1438" s="31" t="s">
        <v>452</v>
      </c>
      <c r="E1438" s="31" t="s">
        <v>603</v>
      </c>
      <c r="F1438" s="31" t="s">
        <v>867</v>
      </c>
      <c r="G1438" s="27">
        <v>13500</v>
      </c>
      <c r="H1438" s="31" t="s">
        <v>54</v>
      </c>
      <c r="I1438" s="31"/>
      <c r="J1438" s="26" t="s">
        <v>606</v>
      </c>
      <c r="K1438" s="27">
        <v>13500</v>
      </c>
      <c r="L1438" s="31" t="s">
        <v>601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611</v>
      </c>
      <c r="D1439" s="31" t="s">
        <v>741</v>
      </c>
      <c r="E1439" s="31" t="s">
        <v>1019</v>
      </c>
      <c r="F1439" s="31" t="s">
        <v>720</v>
      </c>
      <c r="G1439" s="27">
        <v>3000</v>
      </c>
      <c r="H1439" s="31" t="s">
        <v>54</v>
      </c>
      <c r="I1439" s="31"/>
      <c r="J1439" s="26" t="s">
        <v>614</v>
      </c>
      <c r="K1439" s="27">
        <v>3000</v>
      </c>
      <c r="L1439" s="31" t="s">
        <v>601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611</v>
      </c>
      <c r="D1440" s="31" t="s">
        <v>452</v>
      </c>
      <c r="E1440" s="31" t="s">
        <v>714</v>
      </c>
      <c r="F1440" s="31" t="s">
        <v>821</v>
      </c>
      <c r="G1440" s="27">
        <v>5700</v>
      </c>
      <c r="H1440" s="31" t="s">
        <v>54</v>
      </c>
      <c r="I1440" s="31" t="s">
        <v>1146</v>
      </c>
      <c r="J1440" s="26" t="s">
        <v>606</v>
      </c>
      <c r="K1440" s="27">
        <v>5700</v>
      </c>
      <c r="L1440" s="31" t="s">
        <v>601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611</v>
      </c>
      <c r="D1441" s="31" t="s">
        <v>452</v>
      </c>
      <c r="E1441" s="31" t="s">
        <v>603</v>
      </c>
      <c r="F1441" s="31" t="s">
        <v>604</v>
      </c>
      <c r="G1441" s="27">
        <v>4800</v>
      </c>
      <c r="H1441" s="31" t="s">
        <v>54</v>
      </c>
      <c r="I1441" s="31" t="s">
        <v>1050</v>
      </c>
      <c r="J1441" s="26" t="s">
        <v>606</v>
      </c>
      <c r="K1441" s="27">
        <v>4800</v>
      </c>
      <c r="L1441" s="31" t="s">
        <v>601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154</v>
      </c>
      <c r="D1442" s="31" t="s">
        <v>172</v>
      </c>
      <c r="E1442" s="31"/>
      <c r="F1442" s="31" t="s">
        <v>72</v>
      </c>
      <c r="G1442" s="27">
        <v>1200</v>
      </c>
      <c r="H1442" s="31" t="s">
        <v>636</v>
      </c>
      <c r="I1442" s="31"/>
      <c r="J1442" s="26" t="s">
        <v>634</v>
      </c>
      <c r="K1442" s="27">
        <v>1200</v>
      </c>
      <c r="L1442" s="31" t="s">
        <v>601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172</v>
      </c>
      <c r="D1443" s="31" t="s">
        <v>154</v>
      </c>
      <c r="E1443" s="31"/>
      <c r="F1443" s="31" t="s">
        <v>72</v>
      </c>
      <c r="G1443" s="27">
        <v>1200</v>
      </c>
      <c r="H1443" s="31" t="s">
        <v>633</v>
      </c>
      <c r="I1443" s="31"/>
      <c r="J1443" s="26" t="s">
        <v>634</v>
      </c>
      <c r="K1443" s="27">
        <v>1200</v>
      </c>
      <c r="L1443" s="31" t="s">
        <v>601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611</v>
      </c>
      <c r="D1444" s="31" t="s">
        <v>452</v>
      </c>
      <c r="E1444" s="31" t="s">
        <v>603</v>
      </c>
      <c r="F1444" s="31" t="s">
        <v>1147</v>
      </c>
      <c r="G1444" s="27">
        <v>15500</v>
      </c>
      <c r="H1444" s="31" t="s">
        <v>54</v>
      </c>
      <c r="I1444" s="31" t="s">
        <v>623</v>
      </c>
      <c r="J1444" s="26" t="s">
        <v>606</v>
      </c>
      <c r="K1444" s="27">
        <v>15500</v>
      </c>
      <c r="L1444" s="31" t="s">
        <v>601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611</v>
      </c>
      <c r="D1445" s="31" t="s">
        <v>452</v>
      </c>
      <c r="E1445" s="31" t="s">
        <v>612</v>
      </c>
      <c r="F1445" s="31" t="s">
        <v>886</v>
      </c>
      <c r="G1445" s="27">
        <v>6600</v>
      </c>
      <c r="H1445" s="31" t="s">
        <v>54</v>
      </c>
      <c r="I1445" s="31"/>
      <c r="J1445" s="26" t="s">
        <v>606</v>
      </c>
      <c r="K1445" s="27">
        <v>6600</v>
      </c>
      <c r="L1445" s="31" t="s">
        <v>601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611</v>
      </c>
      <c r="D1446" s="31" t="s">
        <v>452</v>
      </c>
      <c r="E1446" s="31" t="s">
        <v>603</v>
      </c>
      <c r="F1446" s="31" t="s">
        <v>713</v>
      </c>
      <c r="G1446" s="27">
        <v>4900</v>
      </c>
      <c r="H1446" s="31" t="s">
        <v>54</v>
      </c>
      <c r="I1446" s="31"/>
      <c r="J1446" s="26" t="s">
        <v>606</v>
      </c>
      <c r="K1446" s="27">
        <v>4900</v>
      </c>
      <c r="L1446" s="31" t="s">
        <v>601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154</v>
      </c>
      <c r="D1447" s="31" t="s">
        <v>625</v>
      </c>
      <c r="E1447" s="31"/>
      <c r="F1447" s="31" t="s">
        <v>104</v>
      </c>
      <c r="G1447" s="27">
        <v>10000</v>
      </c>
      <c r="H1447" s="31" t="s">
        <v>54</v>
      </c>
      <c r="I1447" s="31" t="s">
        <v>1148</v>
      </c>
      <c r="J1447" s="26" t="s">
        <v>606</v>
      </c>
      <c r="K1447" s="27">
        <v>10000</v>
      </c>
      <c r="L1447" s="31" t="s">
        <v>601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611</v>
      </c>
      <c r="D1448" s="31" t="s">
        <v>669</v>
      </c>
      <c r="E1448" s="31"/>
      <c r="F1448" s="31" t="s">
        <v>1149</v>
      </c>
      <c r="G1448" s="27">
        <v>19800</v>
      </c>
      <c r="H1448" s="31" t="s">
        <v>54</v>
      </c>
      <c r="I1448" s="31" t="s">
        <v>1150</v>
      </c>
      <c r="J1448" s="26" t="s">
        <v>617</v>
      </c>
      <c r="K1448" s="27">
        <v>19800</v>
      </c>
      <c r="L1448" s="31" t="s">
        <v>601</v>
      </c>
      <c r="M1448" s="31" t="s">
        <v>1151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546</v>
      </c>
      <c r="D1449" s="31" t="s">
        <v>452</v>
      </c>
      <c r="E1449" s="31" t="s">
        <v>603</v>
      </c>
      <c r="F1449" s="31" t="s">
        <v>946</v>
      </c>
      <c r="G1449" s="27">
        <v>4600</v>
      </c>
      <c r="H1449" s="31" t="s">
        <v>54</v>
      </c>
      <c r="I1449" s="31" t="s">
        <v>890</v>
      </c>
      <c r="J1449" s="26" t="s">
        <v>606</v>
      </c>
      <c r="K1449" s="27">
        <v>4600</v>
      </c>
      <c r="L1449" s="31" t="s">
        <v>601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172</v>
      </c>
      <c r="D1450" s="31" t="s">
        <v>656</v>
      </c>
      <c r="E1450" s="31"/>
      <c r="F1450" s="31" t="s">
        <v>1152</v>
      </c>
      <c r="G1450" s="27">
        <v>1200</v>
      </c>
      <c r="H1450" s="31" t="s">
        <v>636</v>
      </c>
      <c r="I1450" s="31"/>
      <c r="J1450" s="26" t="s">
        <v>634</v>
      </c>
      <c r="K1450" s="27">
        <v>1200</v>
      </c>
      <c r="L1450" s="31" t="s">
        <v>601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656</v>
      </c>
      <c r="D1451" s="31" t="s">
        <v>172</v>
      </c>
      <c r="E1451" s="31"/>
      <c r="F1451" s="31" t="s">
        <v>1152</v>
      </c>
      <c r="G1451" s="27">
        <v>1200</v>
      </c>
      <c r="H1451" s="31" t="s">
        <v>633</v>
      </c>
      <c r="I1451" s="31"/>
      <c r="J1451" s="26" t="s">
        <v>634</v>
      </c>
      <c r="K1451" s="27">
        <v>1200</v>
      </c>
      <c r="L1451" s="31" t="s">
        <v>601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611</v>
      </c>
      <c r="D1452" s="31" t="s">
        <v>453</v>
      </c>
      <c r="E1452" s="31"/>
      <c r="F1452" s="31" t="s">
        <v>453</v>
      </c>
      <c r="G1452" s="27">
        <v>5000</v>
      </c>
      <c r="H1452" s="31" t="s">
        <v>54</v>
      </c>
      <c r="I1452" s="31"/>
      <c r="J1452" s="26" t="s">
        <v>609</v>
      </c>
      <c r="K1452" s="27">
        <v>5000</v>
      </c>
      <c r="L1452" s="31" t="s">
        <v>601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611</v>
      </c>
      <c r="D1453" s="31" t="s">
        <v>453</v>
      </c>
      <c r="E1453" s="31"/>
      <c r="F1453" s="31" t="s">
        <v>453</v>
      </c>
      <c r="G1453" s="27">
        <v>5000</v>
      </c>
      <c r="H1453" s="31" t="s">
        <v>54</v>
      </c>
      <c r="I1453" s="31"/>
      <c r="J1453" s="26" t="s">
        <v>609</v>
      </c>
      <c r="K1453" s="27">
        <v>5000</v>
      </c>
      <c r="L1453" s="31" t="s">
        <v>601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598</v>
      </c>
      <c r="D1454" s="31" t="s">
        <v>362</v>
      </c>
      <c r="E1454" s="31"/>
      <c r="F1454" s="31" t="s">
        <v>637</v>
      </c>
      <c r="G1454" s="27">
        <v>8970</v>
      </c>
      <c r="H1454" s="31" t="s">
        <v>54</v>
      </c>
      <c r="I1454" s="31"/>
      <c r="J1454" s="26" t="s">
        <v>600</v>
      </c>
      <c r="K1454" s="27">
        <v>8970</v>
      </c>
      <c r="L1454" s="31" t="s">
        <v>601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598</v>
      </c>
      <c r="D1455" s="31" t="s">
        <v>362</v>
      </c>
      <c r="E1455" s="31"/>
      <c r="F1455" s="31" t="s">
        <v>561</v>
      </c>
      <c r="G1455" s="27">
        <v>1800</v>
      </c>
      <c r="H1455" s="31" t="s">
        <v>54</v>
      </c>
      <c r="I1455" s="31" t="s">
        <v>639</v>
      </c>
      <c r="J1455" s="26" t="s">
        <v>600</v>
      </c>
      <c r="K1455" s="27">
        <v>1800</v>
      </c>
      <c r="L1455" s="31" t="s">
        <v>601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611</v>
      </c>
      <c r="D1456" s="31" t="s">
        <v>452</v>
      </c>
      <c r="E1456" s="31" t="s">
        <v>714</v>
      </c>
      <c r="F1456" s="31" t="s">
        <v>604</v>
      </c>
      <c r="G1456" s="27">
        <v>4850</v>
      </c>
      <c r="H1456" s="31" t="s">
        <v>54</v>
      </c>
      <c r="I1456" s="31" t="s">
        <v>63</v>
      </c>
      <c r="J1456" s="26" t="s">
        <v>606</v>
      </c>
      <c r="K1456" s="27">
        <v>4850</v>
      </c>
      <c r="L1456" s="31" t="s">
        <v>601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154</v>
      </c>
      <c r="D1457" s="31" t="s">
        <v>710</v>
      </c>
      <c r="E1457" s="31"/>
      <c r="F1457" s="31" t="s">
        <v>72</v>
      </c>
      <c r="G1457" s="27">
        <v>30000</v>
      </c>
      <c r="H1457" s="31" t="s">
        <v>636</v>
      </c>
      <c r="I1457" s="31"/>
      <c r="J1457" s="26" t="s">
        <v>634</v>
      </c>
      <c r="K1457" s="27">
        <v>30000</v>
      </c>
      <c r="L1457" s="31" t="s">
        <v>601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710</v>
      </c>
      <c r="D1458" s="31" t="s">
        <v>154</v>
      </c>
      <c r="E1458" s="31"/>
      <c r="F1458" s="31" t="s">
        <v>72</v>
      </c>
      <c r="G1458" s="27">
        <v>30000</v>
      </c>
      <c r="H1458" s="31" t="s">
        <v>633</v>
      </c>
      <c r="I1458" s="31"/>
      <c r="J1458" s="26" t="s">
        <v>634</v>
      </c>
      <c r="K1458" s="27">
        <v>30000</v>
      </c>
      <c r="L1458" s="31" t="s">
        <v>601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611</v>
      </c>
      <c r="D1459" s="31" t="s">
        <v>741</v>
      </c>
      <c r="E1459" s="31" t="s">
        <v>1019</v>
      </c>
      <c r="F1459" s="31" t="s">
        <v>1153</v>
      </c>
      <c r="G1459" s="27">
        <v>6000</v>
      </c>
      <c r="H1459" s="31" t="s">
        <v>54</v>
      </c>
      <c r="I1459" s="31" t="s">
        <v>95</v>
      </c>
      <c r="J1459" s="26" t="s">
        <v>614</v>
      </c>
      <c r="K1459" s="27">
        <v>6000</v>
      </c>
      <c r="L1459" s="31" t="s">
        <v>601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681</v>
      </c>
      <c r="D1460" s="31" t="s">
        <v>741</v>
      </c>
      <c r="E1460" s="31" t="s">
        <v>1019</v>
      </c>
      <c r="F1460" s="31" t="s">
        <v>682</v>
      </c>
      <c r="G1460" s="27">
        <v>31374</v>
      </c>
      <c r="H1460" s="31" t="s">
        <v>54</v>
      </c>
      <c r="I1460" s="31" t="s">
        <v>1154</v>
      </c>
      <c r="J1460" s="26" t="s">
        <v>614</v>
      </c>
      <c r="K1460" s="27">
        <v>31374</v>
      </c>
      <c r="L1460" s="31" t="s">
        <v>601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681</v>
      </c>
      <c r="D1461" s="31" t="s">
        <v>741</v>
      </c>
      <c r="E1461" s="31" t="s">
        <v>1019</v>
      </c>
      <c r="F1461" s="31" t="s">
        <v>682</v>
      </c>
      <c r="G1461" s="27">
        <v>16600</v>
      </c>
      <c r="H1461" s="31" t="s">
        <v>54</v>
      </c>
      <c r="I1461" s="31" t="s">
        <v>1155</v>
      </c>
      <c r="J1461" s="26" t="s">
        <v>614</v>
      </c>
      <c r="K1461" s="27">
        <v>16600</v>
      </c>
      <c r="L1461" s="31" t="s">
        <v>601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598</v>
      </c>
      <c r="D1462" s="31" t="s">
        <v>771</v>
      </c>
      <c r="E1462" s="31"/>
      <c r="F1462" s="31" t="s">
        <v>923</v>
      </c>
      <c r="G1462" s="27">
        <v>18800</v>
      </c>
      <c r="H1462" s="31" t="s">
        <v>54</v>
      </c>
      <c r="I1462" s="31"/>
      <c r="J1462" s="26" t="s">
        <v>606</v>
      </c>
      <c r="K1462" s="27">
        <v>18800</v>
      </c>
      <c r="L1462" s="31" t="s">
        <v>601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598</v>
      </c>
      <c r="D1463" s="31" t="s">
        <v>771</v>
      </c>
      <c r="E1463" s="31"/>
      <c r="F1463" s="31" t="s">
        <v>923</v>
      </c>
      <c r="G1463" s="27">
        <v>16600</v>
      </c>
      <c r="H1463" s="31" t="s">
        <v>54</v>
      </c>
      <c r="I1463" s="31"/>
      <c r="J1463" s="26" t="s">
        <v>606</v>
      </c>
      <c r="K1463" s="27">
        <v>16600</v>
      </c>
      <c r="L1463" s="31" t="s">
        <v>601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1156</v>
      </c>
      <c r="D1464" s="31" t="s">
        <v>771</v>
      </c>
      <c r="E1464" s="31"/>
      <c r="F1464" s="31" t="s">
        <v>1133</v>
      </c>
      <c r="G1464" s="27">
        <v>30000</v>
      </c>
      <c r="H1464" s="31" t="s">
        <v>54</v>
      </c>
      <c r="I1464" s="31"/>
      <c r="J1464" s="26" t="s">
        <v>600</v>
      </c>
      <c r="K1464" s="27">
        <v>30000</v>
      </c>
      <c r="L1464" s="31" t="s">
        <v>601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710</v>
      </c>
      <c r="D1465" s="31" t="s">
        <v>19</v>
      </c>
      <c r="E1465" s="31"/>
      <c r="F1465" s="31" t="s">
        <v>763</v>
      </c>
      <c r="G1465" s="27">
        <v>1</v>
      </c>
      <c r="H1465" s="31" t="s">
        <v>397</v>
      </c>
      <c r="I1465" s="31"/>
      <c r="J1465" s="26" t="s">
        <v>653</v>
      </c>
      <c r="K1465" s="27">
        <v>1</v>
      </c>
      <c r="L1465" s="31" t="s">
        <v>601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611</v>
      </c>
      <c r="D1466" s="31" t="s">
        <v>640</v>
      </c>
      <c r="E1466" s="31"/>
      <c r="F1466" s="31" t="s">
        <v>1157</v>
      </c>
      <c r="G1466" s="27">
        <v>10200</v>
      </c>
      <c r="H1466" s="31" t="s">
        <v>54</v>
      </c>
      <c r="I1466" s="31" t="s">
        <v>496</v>
      </c>
      <c r="J1466" s="26" t="s">
        <v>600</v>
      </c>
      <c r="K1466" s="27">
        <v>10200</v>
      </c>
      <c r="L1466" s="31" t="s">
        <v>601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611</v>
      </c>
      <c r="D1467" s="31" t="s">
        <v>452</v>
      </c>
      <c r="E1467" s="31" t="s">
        <v>603</v>
      </c>
      <c r="F1467" s="31" t="s">
        <v>604</v>
      </c>
      <c r="G1467" s="27">
        <v>4300</v>
      </c>
      <c r="H1467" s="31" t="s">
        <v>54</v>
      </c>
      <c r="I1467" s="31" t="s">
        <v>623</v>
      </c>
      <c r="J1467" s="26" t="s">
        <v>606</v>
      </c>
      <c r="K1467" s="27">
        <v>4300</v>
      </c>
      <c r="L1467" s="31" t="s">
        <v>601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611</v>
      </c>
      <c r="D1468" s="31" t="s">
        <v>453</v>
      </c>
      <c r="E1468" s="31"/>
      <c r="F1468" s="31" t="s">
        <v>453</v>
      </c>
      <c r="G1468" s="27">
        <v>5000</v>
      </c>
      <c r="H1468" s="31" t="s">
        <v>54</v>
      </c>
      <c r="I1468" s="31"/>
      <c r="J1468" s="26" t="s">
        <v>609</v>
      </c>
      <c r="K1468" s="27">
        <v>5000</v>
      </c>
      <c r="L1468" s="31" t="s">
        <v>601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187</v>
      </c>
      <c r="D1469" s="31" t="s">
        <v>19</v>
      </c>
      <c r="E1469" s="31"/>
      <c r="F1469" s="31" t="s">
        <v>763</v>
      </c>
      <c r="G1469" s="27">
        <v>1</v>
      </c>
      <c r="H1469" s="31" t="s">
        <v>397</v>
      </c>
      <c r="I1469" s="31"/>
      <c r="J1469" s="26" t="s">
        <v>653</v>
      </c>
      <c r="K1469" s="27">
        <v>1</v>
      </c>
      <c r="L1469" s="31" t="s">
        <v>601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154</v>
      </c>
      <c r="D1470" s="31" t="s">
        <v>646</v>
      </c>
      <c r="E1470" s="31"/>
      <c r="F1470" s="31" t="s">
        <v>73</v>
      </c>
      <c r="G1470" s="27">
        <v>550000</v>
      </c>
      <c r="H1470" s="31" t="s">
        <v>54</v>
      </c>
      <c r="I1470" s="31"/>
      <c r="J1470" s="26" t="s">
        <v>600</v>
      </c>
      <c r="K1470" s="27">
        <v>550000</v>
      </c>
      <c r="L1470" s="31" t="s">
        <v>601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1158</v>
      </c>
      <c r="D1471" s="31" t="s">
        <v>19</v>
      </c>
      <c r="E1471" s="31"/>
      <c r="F1471" s="31" t="s">
        <v>1159</v>
      </c>
      <c r="G1471" s="27">
        <v>30000</v>
      </c>
      <c r="H1471" s="31" t="s">
        <v>54</v>
      </c>
      <c r="I1471" s="31"/>
      <c r="J1471" s="26" t="s">
        <v>600</v>
      </c>
      <c r="K1471" s="27">
        <v>30000</v>
      </c>
      <c r="L1471" s="31" t="s">
        <v>601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154</v>
      </c>
      <c r="D1472" s="31" t="s">
        <v>19</v>
      </c>
      <c r="E1472" s="31"/>
      <c r="F1472" s="31" t="s">
        <v>179</v>
      </c>
      <c r="G1472" s="27">
        <v>2948</v>
      </c>
      <c r="H1472" s="31" t="s">
        <v>397</v>
      </c>
      <c r="I1472" s="31"/>
      <c r="J1472" s="26" t="s">
        <v>653</v>
      </c>
      <c r="K1472" s="27">
        <v>2948</v>
      </c>
      <c r="L1472" s="31" t="s">
        <v>601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681</v>
      </c>
      <c r="D1473" s="31" t="s">
        <v>452</v>
      </c>
      <c r="E1473" s="31" t="s">
        <v>621</v>
      </c>
      <c r="F1473" s="31" t="s">
        <v>682</v>
      </c>
      <c r="G1473" s="27">
        <v>14500</v>
      </c>
      <c r="H1473" s="31" t="s">
        <v>54</v>
      </c>
      <c r="I1473" s="31" t="s">
        <v>824</v>
      </c>
      <c r="J1473" s="26" t="s">
        <v>606</v>
      </c>
      <c r="K1473" s="27">
        <v>14500</v>
      </c>
      <c r="L1473" s="31" t="s">
        <v>601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753</v>
      </c>
      <c r="D1474" s="31" t="s">
        <v>19</v>
      </c>
      <c r="E1474" s="31"/>
      <c r="F1474" s="31" t="s">
        <v>763</v>
      </c>
      <c r="G1474" s="27">
        <v>1</v>
      </c>
      <c r="H1474" s="31" t="s">
        <v>397</v>
      </c>
      <c r="I1474" s="31"/>
      <c r="J1474" s="26" t="s">
        <v>653</v>
      </c>
      <c r="K1474" s="27">
        <v>1</v>
      </c>
      <c r="L1474" s="31" t="s">
        <v>601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611</v>
      </c>
      <c r="D1475" s="31" t="s">
        <v>453</v>
      </c>
      <c r="E1475" s="31"/>
      <c r="F1475" s="31" t="s">
        <v>453</v>
      </c>
      <c r="G1475" s="27">
        <v>5000</v>
      </c>
      <c r="H1475" s="31" t="s">
        <v>54</v>
      </c>
      <c r="I1475" s="31"/>
      <c r="J1475" s="26" t="s">
        <v>609</v>
      </c>
      <c r="K1475" s="27">
        <v>5000</v>
      </c>
      <c r="L1475" s="31" t="s">
        <v>601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611</v>
      </c>
      <c r="D1476" s="31" t="s">
        <v>452</v>
      </c>
      <c r="E1476" s="31" t="s">
        <v>603</v>
      </c>
      <c r="F1476" s="31" t="s">
        <v>604</v>
      </c>
      <c r="G1476" s="27">
        <v>2400</v>
      </c>
      <c r="H1476" s="31" t="s">
        <v>54</v>
      </c>
      <c r="I1476" s="31" t="s">
        <v>1050</v>
      </c>
      <c r="J1476" s="26" t="s">
        <v>606</v>
      </c>
      <c r="K1476" s="27">
        <v>2400</v>
      </c>
      <c r="L1476" s="31" t="s">
        <v>601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611</v>
      </c>
      <c r="D1477" s="31" t="s">
        <v>452</v>
      </c>
      <c r="E1477" s="31" t="s">
        <v>612</v>
      </c>
      <c r="F1477" s="31" t="s">
        <v>1160</v>
      </c>
      <c r="G1477" s="27">
        <v>12000</v>
      </c>
      <c r="H1477" s="31" t="s">
        <v>54</v>
      </c>
      <c r="I1477" s="31"/>
      <c r="J1477" s="26" t="s">
        <v>606</v>
      </c>
      <c r="K1477" s="27">
        <v>12000</v>
      </c>
      <c r="L1477" s="31" t="s">
        <v>601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611</v>
      </c>
      <c r="D1478" s="31" t="s">
        <v>452</v>
      </c>
      <c r="E1478" s="31" t="s">
        <v>603</v>
      </c>
      <c r="F1478" s="31" t="s">
        <v>820</v>
      </c>
      <c r="G1478" s="27">
        <v>1600</v>
      </c>
      <c r="H1478" s="31" t="s">
        <v>54</v>
      </c>
      <c r="I1478" s="31" t="s">
        <v>1161</v>
      </c>
      <c r="J1478" s="26" t="s">
        <v>606</v>
      </c>
      <c r="K1478" s="27">
        <v>1600</v>
      </c>
      <c r="L1478" s="31" t="s">
        <v>601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611</v>
      </c>
      <c r="D1479" s="31" t="s">
        <v>453</v>
      </c>
      <c r="E1479" s="31"/>
      <c r="F1479" s="31" t="s">
        <v>453</v>
      </c>
      <c r="G1479" s="27">
        <v>5000</v>
      </c>
      <c r="H1479" s="31" t="s">
        <v>54</v>
      </c>
      <c r="I1479" s="31"/>
      <c r="J1479" s="26" t="s">
        <v>609</v>
      </c>
      <c r="K1479" s="27">
        <v>5000</v>
      </c>
      <c r="L1479" s="31" t="s">
        <v>601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611</v>
      </c>
      <c r="D1480" s="31" t="s">
        <v>452</v>
      </c>
      <c r="E1480" s="31" t="s">
        <v>603</v>
      </c>
      <c r="F1480" s="31" t="s">
        <v>604</v>
      </c>
      <c r="G1480" s="27">
        <v>3800</v>
      </c>
      <c r="H1480" s="31" t="s">
        <v>54</v>
      </c>
      <c r="I1480" s="31" t="s">
        <v>1130</v>
      </c>
      <c r="J1480" s="26" t="s">
        <v>606</v>
      </c>
      <c r="K1480" s="27">
        <v>3800</v>
      </c>
      <c r="L1480" s="31" t="s">
        <v>601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154</v>
      </c>
      <c r="D1481" s="31" t="s">
        <v>646</v>
      </c>
      <c r="E1481" s="31"/>
      <c r="F1481" s="31" t="s">
        <v>1125</v>
      </c>
      <c r="G1481" s="27">
        <v>20000</v>
      </c>
      <c r="H1481" s="31" t="s">
        <v>54</v>
      </c>
      <c r="I1481" s="31" t="s">
        <v>1162</v>
      </c>
      <c r="J1481" s="26" t="s">
        <v>628</v>
      </c>
      <c r="K1481" s="27">
        <v>20000</v>
      </c>
      <c r="L1481" s="31" t="s">
        <v>601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611</v>
      </c>
      <c r="D1482" s="31" t="s">
        <v>452</v>
      </c>
      <c r="E1482" s="31" t="s">
        <v>612</v>
      </c>
      <c r="F1482" s="31" t="s">
        <v>731</v>
      </c>
      <c r="G1482" s="27">
        <v>11000</v>
      </c>
      <c r="H1482" s="31" t="s">
        <v>54</v>
      </c>
      <c r="I1482" s="31"/>
      <c r="J1482" s="26" t="s">
        <v>606</v>
      </c>
      <c r="K1482" s="27">
        <v>11000</v>
      </c>
      <c r="L1482" s="31" t="s">
        <v>601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611</v>
      </c>
      <c r="D1483" s="31" t="s">
        <v>453</v>
      </c>
      <c r="E1483" s="31"/>
      <c r="F1483" s="31" t="s">
        <v>453</v>
      </c>
      <c r="G1483" s="27">
        <v>5000</v>
      </c>
      <c r="H1483" s="31" t="s">
        <v>54</v>
      </c>
      <c r="I1483" s="31"/>
      <c r="J1483" s="26" t="s">
        <v>609</v>
      </c>
      <c r="K1483" s="27">
        <v>5000</v>
      </c>
      <c r="L1483" s="31" t="s">
        <v>601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611</v>
      </c>
      <c r="D1484" s="31" t="s">
        <v>452</v>
      </c>
      <c r="E1484" s="31" t="s">
        <v>714</v>
      </c>
      <c r="F1484" s="31" t="s">
        <v>820</v>
      </c>
      <c r="G1484" s="27">
        <v>4200</v>
      </c>
      <c r="H1484" s="31" t="s">
        <v>54</v>
      </c>
      <c r="I1484" s="31"/>
      <c r="J1484" s="26" t="s">
        <v>606</v>
      </c>
      <c r="K1484" s="27">
        <v>4200</v>
      </c>
      <c r="L1484" s="31" t="s">
        <v>601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598</v>
      </c>
      <c r="D1485" s="31" t="s">
        <v>669</v>
      </c>
      <c r="E1485" s="31"/>
      <c r="F1485" s="31" t="s">
        <v>766</v>
      </c>
      <c r="G1485" s="27">
        <v>29400</v>
      </c>
      <c r="H1485" s="31" t="s">
        <v>54</v>
      </c>
      <c r="I1485" s="31" t="s">
        <v>508</v>
      </c>
      <c r="J1485" s="26" t="s">
        <v>617</v>
      </c>
      <c r="K1485" s="27">
        <v>29400</v>
      </c>
      <c r="L1485" s="31" t="s">
        <v>601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598</v>
      </c>
      <c r="D1486" s="31" t="s">
        <v>452</v>
      </c>
      <c r="E1486" s="31" t="s">
        <v>603</v>
      </c>
      <c r="F1486" s="31" t="s">
        <v>940</v>
      </c>
      <c r="G1486" s="27">
        <v>41400</v>
      </c>
      <c r="H1486" s="31" t="s">
        <v>54</v>
      </c>
      <c r="I1486" s="31"/>
      <c r="J1486" s="26" t="s">
        <v>606</v>
      </c>
      <c r="K1486" s="27">
        <v>41400</v>
      </c>
      <c r="L1486" s="31" t="s">
        <v>601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598</v>
      </c>
      <c r="D1487" s="31" t="s">
        <v>453</v>
      </c>
      <c r="E1487" s="31"/>
      <c r="F1487" s="31" t="s">
        <v>453</v>
      </c>
      <c r="G1487" s="27">
        <v>4500</v>
      </c>
      <c r="H1487" s="31" t="s">
        <v>54</v>
      </c>
      <c r="I1487" s="31"/>
      <c r="J1487" s="26" t="s">
        <v>609</v>
      </c>
      <c r="K1487" s="27">
        <v>4500</v>
      </c>
      <c r="L1487" s="31" t="s">
        <v>601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611</v>
      </c>
      <c r="D1488" s="31" t="s">
        <v>646</v>
      </c>
      <c r="E1488" s="31"/>
      <c r="F1488" s="31" t="s">
        <v>679</v>
      </c>
      <c r="G1488" s="27">
        <v>33039</v>
      </c>
      <c r="H1488" s="31" t="s">
        <v>54</v>
      </c>
      <c r="I1488" s="31"/>
      <c r="J1488" s="26" t="s">
        <v>600</v>
      </c>
      <c r="K1488" s="27">
        <v>33039</v>
      </c>
      <c r="L1488" s="31" t="s">
        <v>601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187</v>
      </c>
      <c r="D1489" s="31" t="s">
        <v>19</v>
      </c>
      <c r="E1489" s="31"/>
      <c r="F1489" s="31" t="s">
        <v>1163</v>
      </c>
      <c r="G1489" s="27">
        <v>20000000</v>
      </c>
      <c r="H1489" s="31" t="s">
        <v>397</v>
      </c>
      <c r="I1489" s="31"/>
      <c r="J1489" s="26" t="s">
        <v>647</v>
      </c>
      <c r="K1489" s="27">
        <v>20000000</v>
      </c>
      <c r="L1489" s="31" t="s">
        <v>601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1108</v>
      </c>
      <c r="D1490" s="31" t="s">
        <v>741</v>
      </c>
      <c r="E1490" s="31" t="s">
        <v>1019</v>
      </c>
      <c r="F1490" s="31" t="s">
        <v>1164</v>
      </c>
      <c r="G1490" s="27">
        <v>34000</v>
      </c>
      <c r="H1490" s="31" t="s">
        <v>54</v>
      </c>
      <c r="I1490" s="31"/>
      <c r="J1490" s="26" t="s">
        <v>614</v>
      </c>
      <c r="K1490" s="27">
        <v>17000</v>
      </c>
      <c r="L1490" s="31" t="s">
        <v>190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187</v>
      </c>
      <c r="D1491" s="31" t="s">
        <v>19</v>
      </c>
      <c r="E1491" s="31"/>
      <c r="F1491" s="31" t="s">
        <v>763</v>
      </c>
      <c r="G1491" s="27">
        <v>1</v>
      </c>
      <c r="H1491" s="31" t="s">
        <v>397</v>
      </c>
      <c r="I1491" s="31"/>
      <c r="J1491" s="26" t="s">
        <v>653</v>
      </c>
      <c r="K1491" s="27">
        <v>1</v>
      </c>
      <c r="L1491" s="31" t="s">
        <v>601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1108</v>
      </c>
      <c r="D1492" s="31" t="s">
        <v>19</v>
      </c>
      <c r="E1492" s="31"/>
      <c r="F1492" s="31" t="s">
        <v>1140</v>
      </c>
      <c r="G1492" s="27">
        <v>500</v>
      </c>
      <c r="H1492" s="31" t="s">
        <v>397</v>
      </c>
      <c r="I1492" s="31"/>
      <c r="J1492" s="26" t="s">
        <v>653</v>
      </c>
      <c r="K1492" s="27">
        <v>500</v>
      </c>
      <c r="L1492" s="31" t="s">
        <v>601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598</v>
      </c>
      <c r="D1493" s="31" t="s">
        <v>453</v>
      </c>
      <c r="E1493" s="31"/>
      <c r="F1493" s="31" t="s">
        <v>453</v>
      </c>
      <c r="G1493" s="27">
        <v>5000</v>
      </c>
      <c r="H1493" s="31" t="s">
        <v>54</v>
      </c>
      <c r="I1493" s="31"/>
      <c r="J1493" s="26" t="s">
        <v>609</v>
      </c>
      <c r="K1493" s="27">
        <v>5000</v>
      </c>
      <c r="L1493" s="31" t="s">
        <v>601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598</v>
      </c>
      <c r="D1494" s="31" t="s">
        <v>452</v>
      </c>
      <c r="E1494" s="31" t="s">
        <v>603</v>
      </c>
      <c r="F1494" s="31" t="s">
        <v>604</v>
      </c>
      <c r="G1494" s="27">
        <v>4400</v>
      </c>
      <c r="H1494" s="31" t="s">
        <v>54</v>
      </c>
      <c r="I1494" s="31" t="s">
        <v>1130</v>
      </c>
      <c r="J1494" s="26" t="s">
        <v>606</v>
      </c>
      <c r="K1494" s="27">
        <v>4400</v>
      </c>
      <c r="L1494" s="31" t="s">
        <v>601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598</v>
      </c>
      <c r="D1495" s="31" t="s">
        <v>640</v>
      </c>
      <c r="E1495" s="31"/>
      <c r="F1495" s="31" t="s">
        <v>1165</v>
      </c>
      <c r="G1495" s="27">
        <v>79000</v>
      </c>
      <c r="H1495" s="31" t="s">
        <v>54</v>
      </c>
      <c r="I1495" s="31" t="s">
        <v>1166</v>
      </c>
      <c r="J1495" s="26" t="s">
        <v>606</v>
      </c>
      <c r="K1495" s="27">
        <v>79000</v>
      </c>
      <c r="L1495" s="31" t="s">
        <v>601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598</v>
      </c>
      <c r="D1496" s="31" t="s">
        <v>625</v>
      </c>
      <c r="E1496" s="31"/>
      <c r="F1496" s="31" t="s">
        <v>626</v>
      </c>
      <c r="G1496" s="27">
        <v>8000</v>
      </c>
      <c r="H1496" s="31" t="s">
        <v>54</v>
      </c>
      <c r="I1496" s="31"/>
      <c r="J1496" s="26" t="s">
        <v>606</v>
      </c>
      <c r="K1496" s="27">
        <v>8000</v>
      </c>
      <c r="L1496" s="31" t="s">
        <v>601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598</v>
      </c>
      <c r="D1497" s="31" t="s">
        <v>452</v>
      </c>
      <c r="E1497" s="31" t="s">
        <v>714</v>
      </c>
      <c r="F1497" s="31" t="s">
        <v>820</v>
      </c>
      <c r="G1497" s="27">
        <v>4500</v>
      </c>
      <c r="H1497" s="31" t="s">
        <v>54</v>
      </c>
      <c r="I1497" s="31" t="s">
        <v>821</v>
      </c>
      <c r="J1497" s="26" t="s">
        <v>606</v>
      </c>
      <c r="K1497" s="27">
        <v>4500</v>
      </c>
      <c r="L1497" s="31" t="s">
        <v>601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154</v>
      </c>
      <c r="D1498" s="31" t="s">
        <v>19</v>
      </c>
      <c r="E1498" s="31"/>
      <c r="F1498" s="31" t="s">
        <v>920</v>
      </c>
      <c r="G1498" s="27">
        <v>821</v>
      </c>
      <c r="H1498" s="31" t="s">
        <v>397</v>
      </c>
      <c r="I1498" s="31"/>
      <c r="J1498" s="26" t="s">
        <v>653</v>
      </c>
      <c r="K1498" s="27">
        <v>821</v>
      </c>
      <c r="L1498" s="31" t="s">
        <v>601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598</v>
      </c>
      <c r="D1499" s="31" t="s">
        <v>452</v>
      </c>
      <c r="E1499" s="31" t="s">
        <v>603</v>
      </c>
      <c r="F1499" s="31" t="s">
        <v>820</v>
      </c>
      <c r="G1499" s="27">
        <v>5600</v>
      </c>
      <c r="H1499" s="31" t="s">
        <v>54</v>
      </c>
      <c r="I1499" s="31" t="s">
        <v>1167</v>
      </c>
      <c r="J1499" s="26" t="s">
        <v>606</v>
      </c>
      <c r="K1499" s="27">
        <v>5600</v>
      </c>
      <c r="L1499" s="31" t="s">
        <v>601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598</v>
      </c>
      <c r="D1500" s="31" t="s">
        <v>452</v>
      </c>
      <c r="E1500" s="31" t="s">
        <v>603</v>
      </c>
      <c r="F1500" s="31" t="s">
        <v>604</v>
      </c>
      <c r="G1500" s="27">
        <v>3300</v>
      </c>
      <c r="H1500" s="31" t="s">
        <v>54</v>
      </c>
      <c r="I1500" s="31" t="s">
        <v>623</v>
      </c>
      <c r="J1500" s="26" t="s">
        <v>606</v>
      </c>
      <c r="K1500" s="27">
        <v>3300</v>
      </c>
      <c r="L1500" s="31" t="s">
        <v>601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162</v>
      </c>
      <c r="D1501" s="31" t="s">
        <v>771</v>
      </c>
      <c r="E1501" s="31"/>
      <c r="F1501" s="31" t="s">
        <v>1168</v>
      </c>
      <c r="G1501" s="27">
        <v>-2700</v>
      </c>
      <c r="H1501" s="31" t="s">
        <v>54</v>
      </c>
      <c r="I1501" s="31" t="s">
        <v>1169</v>
      </c>
      <c r="J1501" s="26" t="s">
        <v>606</v>
      </c>
      <c r="K1501" s="27">
        <v>-2700</v>
      </c>
      <c r="L1501" s="31" t="s">
        <v>601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598</v>
      </c>
      <c r="D1502" s="31" t="s">
        <v>452</v>
      </c>
      <c r="E1502" s="31" t="s">
        <v>612</v>
      </c>
      <c r="F1502" s="31" t="s">
        <v>1170</v>
      </c>
      <c r="G1502" s="27">
        <v>10000</v>
      </c>
      <c r="H1502" s="31" t="s">
        <v>54</v>
      </c>
      <c r="I1502" s="31"/>
      <c r="J1502" s="26" t="s">
        <v>606</v>
      </c>
      <c r="K1502" s="27">
        <v>10000</v>
      </c>
      <c r="L1502" s="31" t="s">
        <v>601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598</v>
      </c>
      <c r="D1503" s="31" t="s">
        <v>672</v>
      </c>
      <c r="E1503" s="31" t="s">
        <v>673</v>
      </c>
      <c r="F1503" s="31" t="s">
        <v>1171</v>
      </c>
      <c r="G1503" s="27">
        <v>6000</v>
      </c>
      <c r="H1503" s="31" t="s">
        <v>54</v>
      </c>
      <c r="I1503" s="31" t="s">
        <v>837</v>
      </c>
      <c r="J1503" s="26" t="s">
        <v>606</v>
      </c>
      <c r="K1503" s="27">
        <v>6000</v>
      </c>
      <c r="L1503" s="31" t="s">
        <v>601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681</v>
      </c>
      <c r="D1504" s="31" t="s">
        <v>741</v>
      </c>
      <c r="E1504" s="31" t="s">
        <v>1019</v>
      </c>
      <c r="F1504" s="31" t="s">
        <v>682</v>
      </c>
      <c r="G1504" s="27">
        <v>30000</v>
      </c>
      <c r="H1504" s="31" t="s">
        <v>54</v>
      </c>
      <c r="I1504" s="31" t="s">
        <v>1172</v>
      </c>
      <c r="J1504" s="26" t="s">
        <v>614</v>
      </c>
      <c r="K1504" s="27">
        <v>30000</v>
      </c>
      <c r="L1504" s="31" t="s">
        <v>601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598</v>
      </c>
      <c r="D1505" s="31" t="s">
        <v>453</v>
      </c>
      <c r="E1505" s="31"/>
      <c r="F1505" s="31" t="s">
        <v>453</v>
      </c>
      <c r="G1505" s="27">
        <v>5000</v>
      </c>
      <c r="H1505" s="31" t="s">
        <v>54</v>
      </c>
      <c r="I1505" s="31"/>
      <c r="J1505" s="26" t="s">
        <v>609</v>
      </c>
      <c r="K1505" s="27">
        <v>5000</v>
      </c>
      <c r="L1505" s="31" t="s">
        <v>601</v>
      </c>
      <c r="M1505" s="31" t="s">
        <v>1173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598</v>
      </c>
      <c r="D1506" s="31" t="s">
        <v>453</v>
      </c>
      <c r="E1506" s="31"/>
      <c r="F1506" s="31" t="s">
        <v>453</v>
      </c>
      <c r="G1506" s="27">
        <v>5000</v>
      </c>
      <c r="H1506" s="31" t="s">
        <v>54</v>
      </c>
      <c r="I1506" s="31"/>
      <c r="J1506" s="26" t="s">
        <v>609</v>
      </c>
      <c r="K1506" s="27">
        <v>5000</v>
      </c>
      <c r="L1506" s="31" t="s">
        <v>601</v>
      </c>
      <c r="M1506" s="31" t="s">
        <v>1173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598</v>
      </c>
      <c r="D1507" s="31" t="s">
        <v>452</v>
      </c>
      <c r="E1507" s="31" t="s">
        <v>603</v>
      </c>
      <c r="F1507" s="31" t="s">
        <v>604</v>
      </c>
      <c r="G1507" s="27">
        <v>1600</v>
      </c>
      <c r="H1507" s="31" t="s">
        <v>54</v>
      </c>
      <c r="I1507" s="31" t="s">
        <v>1174</v>
      </c>
      <c r="J1507" s="26" t="s">
        <v>606</v>
      </c>
      <c r="K1507" s="27">
        <v>1600</v>
      </c>
      <c r="L1507" s="31" t="s">
        <v>601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436</v>
      </c>
      <c r="D1508" s="31" t="s">
        <v>19</v>
      </c>
      <c r="E1508" s="31"/>
      <c r="F1508" s="31" t="s">
        <v>687</v>
      </c>
      <c r="G1508" s="27">
        <v>20000</v>
      </c>
      <c r="H1508" s="31" t="s">
        <v>397</v>
      </c>
      <c r="I1508" s="31"/>
      <c r="J1508" s="26" t="s">
        <v>653</v>
      </c>
      <c r="K1508" s="27">
        <v>20000</v>
      </c>
      <c r="L1508" s="31" t="s">
        <v>601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598</v>
      </c>
      <c r="D1509" s="31" t="s">
        <v>452</v>
      </c>
      <c r="E1509" s="31" t="s">
        <v>603</v>
      </c>
      <c r="F1509" s="31" t="s">
        <v>604</v>
      </c>
      <c r="G1509" s="27">
        <v>8600</v>
      </c>
      <c r="H1509" s="31" t="s">
        <v>54</v>
      </c>
      <c r="I1509" s="31" t="s">
        <v>63</v>
      </c>
      <c r="J1509" s="26" t="s">
        <v>606</v>
      </c>
      <c r="K1509" s="27">
        <v>8600</v>
      </c>
      <c r="L1509" s="31" t="s">
        <v>601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1108</v>
      </c>
      <c r="D1510" s="31" t="s">
        <v>741</v>
      </c>
      <c r="E1510" s="31" t="s">
        <v>1019</v>
      </c>
      <c r="F1510" s="31" t="s">
        <v>682</v>
      </c>
      <c r="G1510" s="27">
        <v>41600</v>
      </c>
      <c r="H1510" s="31" t="s">
        <v>54</v>
      </c>
      <c r="I1510" s="31" t="s">
        <v>1175</v>
      </c>
      <c r="J1510" s="26" t="s">
        <v>614</v>
      </c>
      <c r="K1510" s="27">
        <v>20800</v>
      </c>
      <c r="L1510" s="31" t="s">
        <v>190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1108</v>
      </c>
      <c r="D1511" s="31" t="s">
        <v>741</v>
      </c>
      <c r="E1511" s="31" t="s">
        <v>1019</v>
      </c>
      <c r="F1511" s="31" t="s">
        <v>1153</v>
      </c>
      <c r="G1511" s="27">
        <v>17910</v>
      </c>
      <c r="H1511" s="31" t="s">
        <v>54</v>
      </c>
      <c r="I1511" s="31" t="s">
        <v>1175</v>
      </c>
      <c r="J1511" s="26" t="s">
        <v>614</v>
      </c>
      <c r="K1511" s="27">
        <v>8955</v>
      </c>
      <c r="L1511" s="31" t="s">
        <v>190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1108</v>
      </c>
      <c r="D1512" s="31" t="s">
        <v>741</v>
      </c>
      <c r="E1512" s="31" t="s">
        <v>1019</v>
      </c>
      <c r="F1512" s="31" t="s">
        <v>604</v>
      </c>
      <c r="G1512" s="27">
        <v>4700</v>
      </c>
      <c r="H1512" s="31" t="s">
        <v>54</v>
      </c>
      <c r="I1512" s="31" t="s">
        <v>725</v>
      </c>
      <c r="J1512" s="26" t="s">
        <v>614</v>
      </c>
      <c r="K1512" s="27">
        <v>2350</v>
      </c>
      <c r="L1512" s="31" t="s">
        <v>190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598</v>
      </c>
      <c r="D1513" s="31" t="s">
        <v>735</v>
      </c>
      <c r="E1513" s="31"/>
      <c r="F1513" s="31" t="s">
        <v>849</v>
      </c>
      <c r="G1513" s="27">
        <v>6500</v>
      </c>
      <c r="H1513" s="31" t="s">
        <v>54</v>
      </c>
      <c r="I1513" s="31" t="s">
        <v>1176</v>
      </c>
      <c r="J1513" s="26" t="s">
        <v>606</v>
      </c>
      <c r="K1513" s="27">
        <v>6500</v>
      </c>
      <c r="L1513" s="31" t="s">
        <v>601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1108</v>
      </c>
      <c r="D1514" s="31" t="s">
        <v>154</v>
      </c>
      <c r="E1514" s="31"/>
      <c r="F1514" s="31" t="s">
        <v>687</v>
      </c>
      <c r="G1514" s="27">
        <v>25000</v>
      </c>
      <c r="H1514" s="31" t="s">
        <v>633</v>
      </c>
      <c r="I1514" s="31"/>
      <c r="J1514" s="26" t="s">
        <v>634</v>
      </c>
      <c r="K1514" s="27">
        <v>25000</v>
      </c>
      <c r="L1514" s="31" t="s">
        <v>601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154</v>
      </c>
      <c r="D1515" s="31" t="s">
        <v>1108</v>
      </c>
      <c r="E1515" s="31"/>
      <c r="F1515" s="31" t="s">
        <v>687</v>
      </c>
      <c r="G1515" s="27">
        <v>25000</v>
      </c>
      <c r="H1515" s="31" t="s">
        <v>636</v>
      </c>
      <c r="I1515" s="31"/>
      <c r="J1515" s="26" t="s">
        <v>665</v>
      </c>
      <c r="K1515" s="27">
        <v>25000</v>
      </c>
      <c r="L1515" s="31" t="s">
        <v>601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1108</v>
      </c>
      <c r="D1516" s="31" t="s">
        <v>650</v>
      </c>
      <c r="E1516" s="31"/>
      <c r="F1516" s="31" t="s">
        <v>687</v>
      </c>
      <c r="G1516" s="27">
        <v>25000</v>
      </c>
      <c r="H1516" s="31" t="s">
        <v>397</v>
      </c>
      <c r="I1516" s="31"/>
      <c r="J1516" s="26" t="s">
        <v>650</v>
      </c>
      <c r="K1516" s="27">
        <v>25000</v>
      </c>
      <c r="L1516" s="31" t="s">
        <v>601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1108</v>
      </c>
      <c r="D1517" s="31" t="s">
        <v>741</v>
      </c>
      <c r="E1517" s="31" t="s">
        <v>1019</v>
      </c>
      <c r="F1517" s="31" t="s">
        <v>682</v>
      </c>
      <c r="G1517" s="27">
        <v>26700</v>
      </c>
      <c r="H1517" s="31" t="s">
        <v>54</v>
      </c>
      <c r="I1517" s="31" t="s">
        <v>986</v>
      </c>
      <c r="J1517" s="26" t="s">
        <v>614</v>
      </c>
      <c r="K1517" s="27">
        <v>13350</v>
      </c>
      <c r="L1517" s="31" t="s">
        <v>190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1108</v>
      </c>
      <c r="D1518" s="31" t="s">
        <v>741</v>
      </c>
      <c r="E1518" s="31" t="s">
        <v>1019</v>
      </c>
      <c r="F1518" s="31" t="s">
        <v>682</v>
      </c>
      <c r="G1518" s="27">
        <v>15000</v>
      </c>
      <c r="H1518" s="31" t="s">
        <v>54</v>
      </c>
      <c r="I1518" s="31" t="s">
        <v>623</v>
      </c>
      <c r="J1518" s="26" t="s">
        <v>614</v>
      </c>
      <c r="K1518" s="27">
        <v>7500</v>
      </c>
      <c r="L1518" s="31" t="s">
        <v>190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1108</v>
      </c>
      <c r="D1519" s="31" t="s">
        <v>771</v>
      </c>
      <c r="E1519" s="31"/>
      <c r="F1519" s="31" t="s">
        <v>923</v>
      </c>
      <c r="G1519" s="27">
        <v>14000</v>
      </c>
      <c r="H1519" s="31" t="s">
        <v>54</v>
      </c>
      <c r="I1519" s="31"/>
      <c r="J1519" s="26" t="s">
        <v>606</v>
      </c>
      <c r="K1519" s="27">
        <v>7000</v>
      </c>
      <c r="L1519" s="31" t="s">
        <v>190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598</v>
      </c>
      <c r="D1520" s="31" t="s">
        <v>453</v>
      </c>
      <c r="E1520" s="31"/>
      <c r="F1520" s="31" t="s">
        <v>453</v>
      </c>
      <c r="G1520" s="27">
        <v>5000</v>
      </c>
      <c r="H1520" s="31" t="s">
        <v>54</v>
      </c>
      <c r="I1520" s="31"/>
      <c r="J1520" s="26" t="s">
        <v>609</v>
      </c>
      <c r="K1520" s="27">
        <v>5000</v>
      </c>
      <c r="L1520" s="31" t="s">
        <v>601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598</v>
      </c>
      <c r="D1521" s="31" t="s">
        <v>452</v>
      </c>
      <c r="E1521" s="31" t="s">
        <v>615</v>
      </c>
      <c r="F1521" s="31" t="s">
        <v>604</v>
      </c>
      <c r="G1521" s="27">
        <v>2200</v>
      </c>
      <c r="H1521" s="31" t="s">
        <v>54</v>
      </c>
      <c r="I1521" s="31" t="s">
        <v>831</v>
      </c>
      <c r="J1521" s="26" t="s">
        <v>606</v>
      </c>
      <c r="K1521" s="27">
        <v>2200</v>
      </c>
      <c r="L1521" s="31" t="s">
        <v>601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598</v>
      </c>
      <c r="D1522" s="31" t="s">
        <v>452</v>
      </c>
      <c r="E1522" s="31" t="s">
        <v>603</v>
      </c>
      <c r="F1522" s="31" t="s">
        <v>604</v>
      </c>
      <c r="G1522" s="27">
        <v>2300</v>
      </c>
      <c r="H1522" s="31" t="s">
        <v>54</v>
      </c>
      <c r="I1522" s="31" t="s">
        <v>871</v>
      </c>
      <c r="J1522" s="26" t="s">
        <v>606</v>
      </c>
      <c r="K1522" s="27">
        <v>2300</v>
      </c>
      <c r="L1522" s="31" t="s">
        <v>601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611</v>
      </c>
      <c r="D1523" s="31" t="s">
        <v>640</v>
      </c>
      <c r="E1523" s="31"/>
      <c r="F1523" s="31" t="s">
        <v>1177</v>
      </c>
      <c r="G1523" s="27">
        <v>74700</v>
      </c>
      <c r="H1523" s="31" t="s">
        <v>54</v>
      </c>
      <c r="I1523" s="31" t="s">
        <v>707</v>
      </c>
      <c r="J1523" s="26" t="s">
        <v>600</v>
      </c>
      <c r="K1523" s="27">
        <v>74700</v>
      </c>
      <c r="L1523" s="31" t="s">
        <v>601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154</v>
      </c>
      <c r="D1524" s="31" t="s">
        <v>19</v>
      </c>
      <c r="E1524" s="31"/>
      <c r="F1524" s="31" t="s">
        <v>179</v>
      </c>
      <c r="G1524" s="27">
        <v>2905</v>
      </c>
      <c r="H1524" s="31" t="s">
        <v>397</v>
      </c>
      <c r="I1524" s="31"/>
      <c r="J1524" s="26" t="s">
        <v>653</v>
      </c>
      <c r="K1524" s="27">
        <v>2905</v>
      </c>
      <c r="L1524" s="31" t="s">
        <v>601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154</v>
      </c>
      <c r="D1525" s="31" t="s">
        <v>172</v>
      </c>
      <c r="E1525" s="31"/>
      <c r="F1525" s="31" t="s">
        <v>72</v>
      </c>
      <c r="G1525" s="27">
        <v>55000</v>
      </c>
      <c r="H1525" s="31" t="s">
        <v>636</v>
      </c>
      <c r="I1525" s="31"/>
      <c r="J1525" s="26" t="s">
        <v>634</v>
      </c>
      <c r="K1525" s="27">
        <v>55000</v>
      </c>
      <c r="L1525" s="31" t="s">
        <v>601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172</v>
      </c>
      <c r="D1526" s="31" t="s">
        <v>154</v>
      </c>
      <c r="E1526" s="31"/>
      <c r="F1526" s="31" t="s">
        <v>72</v>
      </c>
      <c r="G1526" s="27">
        <v>55000</v>
      </c>
      <c r="H1526" s="31" t="s">
        <v>633</v>
      </c>
      <c r="I1526" s="31"/>
      <c r="J1526" s="26" t="s">
        <v>634</v>
      </c>
      <c r="K1526" s="27">
        <v>55000</v>
      </c>
      <c r="L1526" s="31" t="s">
        <v>601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187</v>
      </c>
      <c r="D1527" s="31" t="s">
        <v>19</v>
      </c>
      <c r="E1527" s="31"/>
      <c r="F1527" s="31" t="s">
        <v>1178</v>
      </c>
      <c r="G1527" s="27">
        <v>500</v>
      </c>
      <c r="H1527" s="31" t="s">
        <v>54</v>
      </c>
      <c r="I1527" s="31"/>
      <c r="J1527" s="26" t="s">
        <v>628</v>
      </c>
      <c r="K1527" s="27">
        <v>500</v>
      </c>
      <c r="L1527" s="31" t="s">
        <v>601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187</v>
      </c>
      <c r="D1528" s="31" t="s">
        <v>19</v>
      </c>
      <c r="E1528" s="31"/>
      <c r="F1528" s="31" t="s">
        <v>1179</v>
      </c>
      <c r="G1528" s="27">
        <v>15680</v>
      </c>
      <c r="H1528" s="31" t="s">
        <v>54</v>
      </c>
      <c r="I1528" s="31" t="s">
        <v>1180</v>
      </c>
      <c r="J1528" s="26" t="s">
        <v>628</v>
      </c>
      <c r="K1528" s="27">
        <v>15680</v>
      </c>
      <c r="L1528" s="31" t="s">
        <v>601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598</v>
      </c>
      <c r="D1529" s="31" t="s">
        <v>453</v>
      </c>
      <c r="E1529" s="31"/>
      <c r="F1529" s="31" t="s">
        <v>453</v>
      </c>
      <c r="G1529" s="27">
        <v>5000</v>
      </c>
      <c r="H1529" s="31" t="s">
        <v>54</v>
      </c>
      <c r="I1529" s="31"/>
      <c r="J1529" s="26" t="s">
        <v>609</v>
      </c>
      <c r="K1529" s="27">
        <v>5000</v>
      </c>
      <c r="L1529" s="31" t="s">
        <v>601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187</v>
      </c>
      <c r="D1530" s="31" t="s">
        <v>646</v>
      </c>
      <c r="E1530" s="31"/>
      <c r="F1530" s="31" t="s">
        <v>1163</v>
      </c>
      <c r="G1530" s="27">
        <v>9500000</v>
      </c>
      <c r="H1530" s="31" t="s">
        <v>54</v>
      </c>
      <c r="I1530" s="31"/>
      <c r="J1530" s="26" t="s">
        <v>638</v>
      </c>
      <c r="K1530" s="27">
        <v>9500000</v>
      </c>
      <c r="L1530" s="31" t="s">
        <v>601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162</v>
      </c>
      <c r="D1531" s="31" t="s">
        <v>771</v>
      </c>
      <c r="E1531" s="31"/>
      <c r="F1531" s="31" t="s">
        <v>1168</v>
      </c>
      <c r="G1531" s="27">
        <v>-18360</v>
      </c>
      <c r="H1531" s="31" t="s">
        <v>54</v>
      </c>
      <c r="I1531" s="31"/>
      <c r="J1531" s="26" t="s">
        <v>606</v>
      </c>
      <c r="K1531" s="27">
        <v>-18360</v>
      </c>
      <c r="L1531" s="31" t="s">
        <v>601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598</v>
      </c>
      <c r="D1532" s="31" t="s">
        <v>735</v>
      </c>
      <c r="E1532" s="31"/>
      <c r="F1532" s="31" t="s">
        <v>989</v>
      </c>
      <c r="G1532" s="27">
        <v>1200</v>
      </c>
      <c r="H1532" s="31" t="s">
        <v>54</v>
      </c>
      <c r="I1532" s="31" t="s">
        <v>1181</v>
      </c>
      <c r="J1532" s="26" t="s">
        <v>628</v>
      </c>
      <c r="K1532" s="27">
        <v>1200</v>
      </c>
      <c r="L1532" s="31" t="s">
        <v>601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598</v>
      </c>
      <c r="D1533" s="31" t="s">
        <v>452</v>
      </c>
      <c r="E1533" s="31" t="s">
        <v>603</v>
      </c>
      <c r="F1533" s="31" t="s">
        <v>713</v>
      </c>
      <c r="G1533" s="27">
        <v>3300</v>
      </c>
      <c r="H1533" s="31" t="s">
        <v>54</v>
      </c>
      <c r="I1533" s="31"/>
      <c r="J1533" s="26" t="s">
        <v>606</v>
      </c>
      <c r="K1533" s="27">
        <v>3300</v>
      </c>
      <c r="L1533" s="31" t="s">
        <v>601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598</v>
      </c>
      <c r="D1534" s="31" t="s">
        <v>452</v>
      </c>
      <c r="E1534" s="31" t="s">
        <v>714</v>
      </c>
      <c r="F1534" s="31" t="s">
        <v>604</v>
      </c>
      <c r="G1534" s="27">
        <v>4900</v>
      </c>
      <c r="H1534" s="31" t="s">
        <v>54</v>
      </c>
      <c r="I1534" s="31"/>
      <c r="J1534" s="26" t="s">
        <v>606</v>
      </c>
      <c r="K1534" s="27">
        <v>4900</v>
      </c>
      <c r="L1534" s="31" t="s">
        <v>601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611</v>
      </c>
      <c r="D1535" s="31" t="s">
        <v>705</v>
      </c>
      <c r="E1535" s="31"/>
      <c r="F1535" s="31" t="s">
        <v>341</v>
      </c>
      <c r="G1535" s="27">
        <v>48620</v>
      </c>
      <c r="H1535" s="31" t="s">
        <v>54</v>
      </c>
      <c r="I1535" s="31"/>
      <c r="J1535" s="26" t="s">
        <v>600</v>
      </c>
      <c r="K1535" s="27">
        <v>48620</v>
      </c>
      <c r="L1535" s="31" t="s">
        <v>601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178</v>
      </c>
      <c r="D1536" s="31" t="s">
        <v>154</v>
      </c>
      <c r="E1536" s="31"/>
      <c r="F1536" s="31" t="s">
        <v>72</v>
      </c>
      <c r="G1536" s="27">
        <v>731745</v>
      </c>
      <c r="H1536" s="31" t="s">
        <v>633</v>
      </c>
      <c r="I1536" s="31"/>
      <c r="J1536" s="26" t="s">
        <v>634</v>
      </c>
      <c r="K1536" s="27">
        <v>731745</v>
      </c>
      <c r="L1536" s="31" t="s">
        <v>601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645</v>
      </c>
      <c r="D1537" s="31" t="s">
        <v>154</v>
      </c>
      <c r="E1537" s="31"/>
      <c r="F1537" s="31" t="s">
        <v>72</v>
      </c>
      <c r="G1537" s="27">
        <v>265210</v>
      </c>
      <c r="H1537" s="31" t="s">
        <v>633</v>
      </c>
      <c r="I1537" s="31"/>
      <c r="J1537" s="26" t="s">
        <v>634</v>
      </c>
      <c r="K1537" s="27">
        <v>265210</v>
      </c>
      <c r="L1537" s="31" t="s">
        <v>601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154</v>
      </c>
      <c r="D1538" s="31" t="s">
        <v>645</v>
      </c>
      <c r="E1538" s="31"/>
      <c r="F1538" s="31" t="s">
        <v>72</v>
      </c>
      <c r="G1538" s="27">
        <v>265210</v>
      </c>
      <c r="H1538" s="31" t="s">
        <v>636</v>
      </c>
      <c r="I1538" s="31"/>
      <c r="J1538" s="26" t="s">
        <v>634</v>
      </c>
      <c r="K1538" s="27">
        <v>265210</v>
      </c>
      <c r="L1538" s="31" t="s">
        <v>601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154</v>
      </c>
      <c r="D1539" s="31" t="s">
        <v>178</v>
      </c>
      <c r="E1539" s="31"/>
      <c r="F1539" s="31" t="s">
        <v>72</v>
      </c>
      <c r="G1539" s="27">
        <v>731745</v>
      </c>
      <c r="H1539" s="31" t="s">
        <v>636</v>
      </c>
      <c r="I1539" s="31"/>
      <c r="J1539" s="26" t="s">
        <v>634</v>
      </c>
      <c r="K1539" s="27">
        <v>731745</v>
      </c>
      <c r="L1539" s="31" t="s">
        <v>601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166</v>
      </c>
      <c r="D1540" s="31" t="s">
        <v>154</v>
      </c>
      <c r="E1540" s="31"/>
      <c r="F1540" s="31" t="s">
        <v>72</v>
      </c>
      <c r="G1540" s="27">
        <v>743852</v>
      </c>
      <c r="H1540" s="31" t="s">
        <v>633</v>
      </c>
      <c r="I1540" s="31"/>
      <c r="J1540" s="26" t="s">
        <v>634</v>
      </c>
      <c r="K1540" s="27">
        <v>743852</v>
      </c>
      <c r="L1540" s="31" t="s">
        <v>601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172</v>
      </c>
      <c r="D1541" s="31" t="s">
        <v>154</v>
      </c>
      <c r="E1541" s="31"/>
      <c r="F1541" s="31" t="s">
        <v>72</v>
      </c>
      <c r="G1541" s="27">
        <v>2450</v>
      </c>
      <c r="H1541" s="31" t="s">
        <v>633</v>
      </c>
      <c r="I1541" s="31"/>
      <c r="J1541" s="26" t="s">
        <v>634</v>
      </c>
      <c r="K1541" s="27">
        <v>2450</v>
      </c>
      <c r="L1541" s="31" t="s">
        <v>601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154</v>
      </c>
      <c r="D1542" s="31" t="s">
        <v>166</v>
      </c>
      <c r="E1542" s="31"/>
      <c r="F1542" s="31" t="s">
        <v>72</v>
      </c>
      <c r="G1542" s="27">
        <v>743852</v>
      </c>
      <c r="H1542" s="31" t="s">
        <v>636</v>
      </c>
      <c r="I1542" s="31"/>
      <c r="J1542" s="26" t="s">
        <v>634</v>
      </c>
      <c r="K1542" s="27">
        <v>743852</v>
      </c>
      <c r="L1542" s="31" t="s">
        <v>601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172</v>
      </c>
      <c r="D1543" s="31" t="s">
        <v>154</v>
      </c>
      <c r="E1543" s="31"/>
      <c r="F1543" s="31" t="s">
        <v>72</v>
      </c>
      <c r="G1543" s="27">
        <v>200250</v>
      </c>
      <c r="H1543" s="31" t="s">
        <v>633</v>
      </c>
      <c r="I1543" s="31"/>
      <c r="J1543" s="26" t="s">
        <v>634</v>
      </c>
      <c r="K1543" s="27">
        <v>200250</v>
      </c>
      <c r="L1543" s="31" t="s">
        <v>601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154</v>
      </c>
      <c r="D1544" s="31" t="s">
        <v>172</v>
      </c>
      <c r="E1544" s="31"/>
      <c r="F1544" s="31" t="s">
        <v>72</v>
      </c>
      <c r="G1544" s="27">
        <v>200250</v>
      </c>
      <c r="H1544" s="31" t="s">
        <v>636</v>
      </c>
      <c r="I1544" s="31"/>
      <c r="J1544" s="26" t="s">
        <v>634</v>
      </c>
      <c r="K1544" s="27">
        <v>200250</v>
      </c>
      <c r="L1544" s="31" t="s">
        <v>601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154</v>
      </c>
      <c r="D1545" s="31" t="s">
        <v>172</v>
      </c>
      <c r="E1545" s="31"/>
      <c r="F1545" s="31" t="s">
        <v>72</v>
      </c>
      <c r="G1545" s="27">
        <v>2450</v>
      </c>
      <c r="H1545" s="31" t="s">
        <v>636</v>
      </c>
      <c r="I1545" s="31"/>
      <c r="J1545" s="26" t="s">
        <v>634</v>
      </c>
      <c r="K1545" s="27">
        <v>2450</v>
      </c>
      <c r="L1545" s="31" t="s">
        <v>601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172</v>
      </c>
      <c r="D1546" s="31" t="s">
        <v>716</v>
      </c>
      <c r="E1546" s="31"/>
      <c r="F1546" s="31" t="s">
        <v>657</v>
      </c>
      <c r="G1546" s="27">
        <v>55000</v>
      </c>
      <c r="H1546" s="31" t="s">
        <v>636</v>
      </c>
      <c r="I1546" s="31"/>
      <c r="J1546" s="26" t="s">
        <v>634</v>
      </c>
      <c r="K1546" s="27">
        <v>55000</v>
      </c>
      <c r="L1546" s="31" t="s">
        <v>601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716</v>
      </c>
      <c r="D1547" s="31" t="s">
        <v>172</v>
      </c>
      <c r="E1547" s="31"/>
      <c r="F1547" s="31" t="s">
        <v>657</v>
      </c>
      <c r="G1547" s="27">
        <v>55000</v>
      </c>
      <c r="H1547" s="31" t="s">
        <v>633</v>
      </c>
      <c r="I1547" s="31"/>
      <c r="J1547" s="26" t="s">
        <v>634</v>
      </c>
      <c r="K1547" s="27">
        <v>55000</v>
      </c>
      <c r="L1547" s="31" t="s">
        <v>601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645</v>
      </c>
      <c r="D1548" s="31" t="s">
        <v>602</v>
      </c>
      <c r="E1548" s="31"/>
      <c r="F1548" s="31" t="s">
        <v>657</v>
      </c>
      <c r="G1548" s="27">
        <v>265210</v>
      </c>
      <c r="H1548" s="31" t="s">
        <v>636</v>
      </c>
      <c r="I1548" s="31"/>
      <c r="J1548" s="26" t="s">
        <v>634</v>
      </c>
      <c r="K1548" s="27">
        <v>265210</v>
      </c>
      <c r="L1548" s="31" t="s">
        <v>601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602</v>
      </c>
      <c r="D1549" s="31" t="s">
        <v>645</v>
      </c>
      <c r="E1549" s="31"/>
      <c r="F1549" s="31" t="s">
        <v>657</v>
      </c>
      <c r="G1549" s="27">
        <v>265210</v>
      </c>
      <c r="H1549" s="31" t="s">
        <v>633</v>
      </c>
      <c r="I1549" s="31"/>
      <c r="J1549" s="26" t="s">
        <v>634</v>
      </c>
      <c r="K1549" s="27">
        <v>265210</v>
      </c>
      <c r="L1549" s="31" t="s">
        <v>601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1108</v>
      </c>
      <c r="D1550" s="31" t="s">
        <v>452</v>
      </c>
      <c r="E1550" s="31" t="s">
        <v>603</v>
      </c>
      <c r="F1550" s="31" t="s">
        <v>604</v>
      </c>
      <c r="G1550" s="27">
        <v>6200</v>
      </c>
      <c r="H1550" s="31" t="s">
        <v>54</v>
      </c>
      <c r="I1550" s="31" t="s">
        <v>890</v>
      </c>
      <c r="J1550" s="26" t="s">
        <v>606</v>
      </c>
      <c r="K1550" s="27">
        <v>3100</v>
      </c>
      <c r="L1550" s="31" t="s">
        <v>190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178</v>
      </c>
      <c r="D1551" s="31" t="s">
        <v>598</v>
      </c>
      <c r="E1551" s="31"/>
      <c r="F1551" s="31" t="s">
        <v>657</v>
      </c>
      <c r="G1551" s="27">
        <v>731745</v>
      </c>
      <c r="H1551" s="31" t="s">
        <v>636</v>
      </c>
      <c r="I1551" s="31"/>
      <c r="J1551" s="26" t="s">
        <v>634</v>
      </c>
      <c r="K1551" s="27">
        <v>731745</v>
      </c>
      <c r="L1551" s="31" t="s">
        <v>601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598</v>
      </c>
      <c r="D1552" s="31" t="s">
        <v>178</v>
      </c>
      <c r="E1552" s="31"/>
      <c r="F1552" s="31" t="s">
        <v>657</v>
      </c>
      <c r="G1552" s="27">
        <v>731745</v>
      </c>
      <c r="H1552" s="31" t="s">
        <v>633</v>
      </c>
      <c r="I1552" s="31"/>
      <c r="J1552" s="26" t="s">
        <v>634</v>
      </c>
      <c r="K1552" s="27">
        <v>731745</v>
      </c>
      <c r="L1552" s="31" t="s">
        <v>601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598</v>
      </c>
      <c r="D1553" s="31" t="s">
        <v>452</v>
      </c>
      <c r="E1553" s="31" t="s">
        <v>714</v>
      </c>
      <c r="F1553" s="31" t="s">
        <v>820</v>
      </c>
      <c r="G1553" s="27">
        <v>5800</v>
      </c>
      <c r="H1553" s="31" t="s">
        <v>54</v>
      </c>
      <c r="I1553" s="31" t="s">
        <v>821</v>
      </c>
      <c r="J1553" s="26" t="s">
        <v>606</v>
      </c>
      <c r="K1553" s="27">
        <v>5800</v>
      </c>
      <c r="L1553" s="31" t="s">
        <v>601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598</v>
      </c>
      <c r="D1554" s="31" t="s">
        <v>453</v>
      </c>
      <c r="E1554" s="31"/>
      <c r="F1554" s="31" t="s">
        <v>453</v>
      </c>
      <c r="G1554" s="27">
        <v>5000</v>
      </c>
      <c r="H1554" s="31" t="s">
        <v>54</v>
      </c>
      <c r="I1554" s="31"/>
      <c r="J1554" s="26" t="s">
        <v>609</v>
      </c>
      <c r="K1554" s="27">
        <v>5000</v>
      </c>
      <c r="L1554" s="31" t="s">
        <v>601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598</v>
      </c>
      <c r="D1555" s="31" t="s">
        <v>452</v>
      </c>
      <c r="E1555" s="31" t="s">
        <v>603</v>
      </c>
      <c r="F1555" s="31" t="s">
        <v>604</v>
      </c>
      <c r="G1555" s="27">
        <v>4700</v>
      </c>
      <c r="H1555" s="31" t="s">
        <v>54</v>
      </c>
      <c r="I1555" s="31" t="s">
        <v>1130</v>
      </c>
      <c r="J1555" s="26" t="s">
        <v>606</v>
      </c>
      <c r="K1555" s="27">
        <v>4700</v>
      </c>
      <c r="L1555" s="31" t="s">
        <v>601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598</v>
      </c>
      <c r="D1556" s="31" t="s">
        <v>452</v>
      </c>
      <c r="E1556" s="31" t="s">
        <v>603</v>
      </c>
      <c r="F1556" s="31" t="s">
        <v>713</v>
      </c>
      <c r="G1556" s="27">
        <v>3300</v>
      </c>
      <c r="H1556" s="31" t="s">
        <v>54</v>
      </c>
      <c r="I1556" s="31"/>
      <c r="J1556" s="26" t="s">
        <v>606</v>
      </c>
      <c r="K1556" s="27">
        <v>3300</v>
      </c>
      <c r="L1556" s="31" t="s">
        <v>601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598</v>
      </c>
      <c r="D1557" s="31" t="s">
        <v>672</v>
      </c>
      <c r="E1557" s="31" t="s">
        <v>673</v>
      </c>
      <c r="F1557" s="31" t="s">
        <v>796</v>
      </c>
      <c r="G1557" s="27">
        <v>10000</v>
      </c>
      <c r="H1557" s="31" t="s">
        <v>54</v>
      </c>
      <c r="I1557" s="31"/>
      <c r="J1557" s="26" t="s">
        <v>606</v>
      </c>
      <c r="K1557" s="27">
        <v>10000</v>
      </c>
      <c r="L1557" s="31" t="s">
        <v>601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598</v>
      </c>
      <c r="D1558" s="31" t="s">
        <v>672</v>
      </c>
      <c r="E1558" s="31" t="s">
        <v>673</v>
      </c>
      <c r="F1558" s="31" t="s">
        <v>795</v>
      </c>
      <c r="G1558" s="27">
        <v>6200</v>
      </c>
      <c r="H1558" s="31" t="s">
        <v>54</v>
      </c>
      <c r="I1558" s="31"/>
      <c r="J1558" s="26" t="s">
        <v>606</v>
      </c>
      <c r="K1558" s="27">
        <v>6200</v>
      </c>
      <c r="L1558" s="31" t="s">
        <v>601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598</v>
      </c>
      <c r="D1559" s="31" t="s">
        <v>672</v>
      </c>
      <c r="E1559" s="31" t="s">
        <v>673</v>
      </c>
      <c r="F1559" s="31" t="s">
        <v>796</v>
      </c>
      <c r="G1559" s="27">
        <v>7900</v>
      </c>
      <c r="H1559" s="31" t="s">
        <v>54</v>
      </c>
      <c r="I1559" s="31"/>
      <c r="J1559" s="26" t="s">
        <v>606</v>
      </c>
      <c r="K1559" s="27">
        <v>7900</v>
      </c>
      <c r="L1559" s="31" t="s">
        <v>601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598</v>
      </c>
      <c r="D1560" s="31" t="s">
        <v>452</v>
      </c>
      <c r="E1560" s="31" t="s">
        <v>612</v>
      </c>
      <c r="F1560" s="31" t="s">
        <v>701</v>
      </c>
      <c r="G1560" s="27">
        <v>12000</v>
      </c>
      <c r="H1560" s="31" t="s">
        <v>54</v>
      </c>
      <c r="I1560" s="31"/>
      <c r="J1560" s="26" t="s">
        <v>606</v>
      </c>
      <c r="K1560" s="27">
        <v>12000</v>
      </c>
      <c r="L1560" s="31" t="s">
        <v>601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172</v>
      </c>
      <c r="D1561" s="31" t="s">
        <v>681</v>
      </c>
      <c r="E1561" s="31"/>
      <c r="F1561" s="31" t="s">
        <v>657</v>
      </c>
      <c r="G1561" s="27">
        <v>200250</v>
      </c>
      <c r="H1561" s="31" t="s">
        <v>636</v>
      </c>
      <c r="I1561" s="31"/>
      <c r="J1561" s="26" t="s">
        <v>634</v>
      </c>
      <c r="K1561" s="27">
        <v>200250</v>
      </c>
      <c r="L1561" s="31" t="s">
        <v>601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681</v>
      </c>
      <c r="D1562" s="31" t="s">
        <v>172</v>
      </c>
      <c r="E1562" s="31"/>
      <c r="F1562" s="31" t="s">
        <v>657</v>
      </c>
      <c r="G1562" s="27">
        <v>200250</v>
      </c>
      <c r="H1562" s="31" t="s">
        <v>633</v>
      </c>
      <c r="I1562" s="31"/>
      <c r="J1562" s="26" t="s">
        <v>634</v>
      </c>
      <c r="K1562" s="27">
        <v>200250</v>
      </c>
      <c r="L1562" s="31" t="s">
        <v>601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172</v>
      </c>
      <c r="D1563" s="31" t="s">
        <v>656</v>
      </c>
      <c r="E1563" s="31"/>
      <c r="F1563" s="31" t="s">
        <v>657</v>
      </c>
      <c r="G1563" s="27">
        <v>2450</v>
      </c>
      <c r="H1563" s="31" t="s">
        <v>636</v>
      </c>
      <c r="I1563" s="31"/>
      <c r="J1563" s="26" t="s">
        <v>634</v>
      </c>
      <c r="K1563" s="27">
        <v>2450</v>
      </c>
      <c r="L1563" s="31" t="s">
        <v>601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656</v>
      </c>
      <c r="D1564" s="31" t="s">
        <v>172</v>
      </c>
      <c r="E1564" s="31"/>
      <c r="F1564" s="31" t="s">
        <v>657</v>
      </c>
      <c r="G1564" s="27">
        <v>2450</v>
      </c>
      <c r="H1564" s="31" t="s">
        <v>633</v>
      </c>
      <c r="I1564" s="31"/>
      <c r="J1564" s="26" t="s">
        <v>634</v>
      </c>
      <c r="K1564" s="27">
        <v>2450</v>
      </c>
      <c r="L1564" s="31" t="s">
        <v>601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598</v>
      </c>
      <c r="D1565" s="31" t="s">
        <v>452</v>
      </c>
      <c r="E1565" s="31" t="s">
        <v>714</v>
      </c>
      <c r="F1565" s="31" t="s">
        <v>604</v>
      </c>
      <c r="G1565" s="27">
        <v>6400</v>
      </c>
      <c r="H1565" s="31" t="s">
        <v>54</v>
      </c>
      <c r="I1565" s="31" t="s">
        <v>821</v>
      </c>
      <c r="J1565" s="26" t="s">
        <v>606</v>
      </c>
      <c r="K1565" s="27">
        <v>6400</v>
      </c>
      <c r="L1565" s="31" t="s">
        <v>601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166</v>
      </c>
      <c r="D1566" s="31" t="s">
        <v>611</v>
      </c>
      <c r="E1566" s="31"/>
      <c r="F1566" s="31" t="s">
        <v>657</v>
      </c>
      <c r="G1566" s="27">
        <v>743852</v>
      </c>
      <c r="H1566" s="31" t="s">
        <v>636</v>
      </c>
      <c r="I1566" s="31"/>
      <c r="J1566" s="26" t="s">
        <v>634</v>
      </c>
      <c r="K1566" s="27">
        <v>743852</v>
      </c>
      <c r="L1566" s="31" t="s">
        <v>601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611</v>
      </c>
      <c r="D1567" s="31" t="s">
        <v>166</v>
      </c>
      <c r="E1567" s="31"/>
      <c r="F1567" s="31" t="s">
        <v>657</v>
      </c>
      <c r="G1567" s="27">
        <v>743852</v>
      </c>
      <c r="H1567" s="31" t="s">
        <v>633</v>
      </c>
      <c r="I1567" s="31"/>
      <c r="J1567" s="26" t="s">
        <v>634</v>
      </c>
      <c r="K1567" s="27">
        <v>743852</v>
      </c>
      <c r="L1567" s="31" t="s">
        <v>601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187</v>
      </c>
      <c r="D1568" s="31" t="s">
        <v>133</v>
      </c>
      <c r="E1568" s="31"/>
      <c r="F1568" s="31" t="s">
        <v>657</v>
      </c>
      <c r="G1568" s="27">
        <v>33000</v>
      </c>
      <c r="H1568" s="31" t="s">
        <v>636</v>
      </c>
      <c r="I1568" s="31"/>
      <c r="J1568" s="26" t="s">
        <v>634</v>
      </c>
      <c r="K1568" s="27">
        <v>33000</v>
      </c>
      <c r="L1568" s="31" t="s">
        <v>601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133</v>
      </c>
      <c r="D1569" s="31" t="s">
        <v>187</v>
      </c>
      <c r="E1569" s="31"/>
      <c r="F1569" s="31" t="s">
        <v>657</v>
      </c>
      <c r="G1569" s="27">
        <v>33000</v>
      </c>
      <c r="H1569" s="31" t="s">
        <v>633</v>
      </c>
      <c r="I1569" s="31"/>
      <c r="J1569" s="26" t="s">
        <v>634</v>
      </c>
      <c r="K1569" s="27">
        <v>33000</v>
      </c>
      <c r="L1569" s="31" t="s">
        <v>601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598</v>
      </c>
      <c r="D1570" s="31" t="s">
        <v>705</v>
      </c>
      <c r="E1570" s="31"/>
      <c r="F1570" s="31" t="s">
        <v>717</v>
      </c>
      <c r="G1570" s="27">
        <v>12400</v>
      </c>
      <c r="H1570" s="31" t="s">
        <v>54</v>
      </c>
      <c r="I1570" s="31"/>
      <c r="J1570" s="26" t="s">
        <v>600</v>
      </c>
      <c r="K1570" s="27">
        <v>12400</v>
      </c>
      <c r="L1570" s="31" t="s">
        <v>601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598</v>
      </c>
      <c r="D1571" s="31" t="s">
        <v>453</v>
      </c>
      <c r="E1571" s="31"/>
      <c r="F1571" s="31" t="s">
        <v>453</v>
      </c>
      <c r="G1571" s="27">
        <v>5000</v>
      </c>
      <c r="H1571" s="31" t="s">
        <v>54</v>
      </c>
      <c r="I1571" s="31"/>
      <c r="J1571" s="26" t="s">
        <v>609</v>
      </c>
      <c r="K1571" s="27">
        <v>5000</v>
      </c>
      <c r="L1571" s="31" t="s">
        <v>601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154</v>
      </c>
      <c r="D1572" s="31" t="s">
        <v>452</v>
      </c>
      <c r="E1572" s="31" t="s">
        <v>603</v>
      </c>
      <c r="F1572" s="31" t="s">
        <v>1182</v>
      </c>
      <c r="G1572" s="27">
        <v>10000</v>
      </c>
      <c r="H1572" s="31" t="s">
        <v>54</v>
      </c>
      <c r="I1572" s="31"/>
      <c r="J1572" s="26" t="s">
        <v>606</v>
      </c>
      <c r="K1572" s="27">
        <v>10000</v>
      </c>
      <c r="L1572" s="31" t="s">
        <v>601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598</v>
      </c>
      <c r="D1573" s="31" t="s">
        <v>705</v>
      </c>
      <c r="E1573" s="31"/>
      <c r="F1573" s="31" t="s">
        <v>123</v>
      </c>
      <c r="G1573" s="27">
        <v>16500</v>
      </c>
      <c r="H1573" s="31" t="s">
        <v>54</v>
      </c>
      <c r="I1573" s="31"/>
      <c r="J1573" s="26" t="s">
        <v>600</v>
      </c>
      <c r="K1573" s="27">
        <v>16500</v>
      </c>
      <c r="L1573" s="31" t="s">
        <v>601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546</v>
      </c>
      <c r="D1574" s="31" t="s">
        <v>741</v>
      </c>
      <c r="E1574" s="31" t="s">
        <v>59</v>
      </c>
      <c r="F1574" s="31" t="s">
        <v>1183</v>
      </c>
      <c r="G1574" s="27">
        <v>319500</v>
      </c>
      <c r="H1574" s="31" t="s">
        <v>54</v>
      </c>
      <c r="I1574" s="31" t="s">
        <v>1184</v>
      </c>
      <c r="J1574" s="26" t="s">
        <v>59</v>
      </c>
      <c r="K1574" s="27">
        <v>319500</v>
      </c>
      <c r="L1574" s="31" t="s">
        <v>601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598</v>
      </c>
      <c r="D1575" s="31" t="s">
        <v>452</v>
      </c>
      <c r="E1575" s="31" t="s">
        <v>612</v>
      </c>
      <c r="F1575" s="31" t="s">
        <v>800</v>
      </c>
      <c r="G1575" s="27">
        <v>14000</v>
      </c>
      <c r="H1575" s="31" t="s">
        <v>54</v>
      </c>
      <c r="I1575" s="31" t="s">
        <v>1185</v>
      </c>
      <c r="J1575" s="26" t="s">
        <v>606</v>
      </c>
      <c r="K1575" s="27">
        <v>14000</v>
      </c>
      <c r="L1575" s="31" t="s">
        <v>601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598</v>
      </c>
      <c r="D1576" s="31" t="s">
        <v>452</v>
      </c>
      <c r="E1576" s="31" t="s">
        <v>714</v>
      </c>
      <c r="F1576" s="31" t="s">
        <v>604</v>
      </c>
      <c r="G1576" s="27">
        <v>6800</v>
      </c>
      <c r="H1576" s="31" t="s">
        <v>54</v>
      </c>
      <c r="I1576" s="31" t="s">
        <v>821</v>
      </c>
      <c r="J1576" s="26" t="s">
        <v>606</v>
      </c>
      <c r="K1576" s="27">
        <v>6800</v>
      </c>
      <c r="L1576" s="31" t="s">
        <v>601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598</v>
      </c>
      <c r="D1577" s="31" t="s">
        <v>453</v>
      </c>
      <c r="E1577" s="31"/>
      <c r="F1577" s="31" t="s">
        <v>453</v>
      </c>
      <c r="G1577" s="27">
        <v>5000</v>
      </c>
      <c r="H1577" s="31" t="s">
        <v>54</v>
      </c>
      <c r="I1577" s="31"/>
      <c r="J1577" s="26" t="s">
        <v>609</v>
      </c>
      <c r="K1577" s="27">
        <v>5000</v>
      </c>
      <c r="L1577" s="31" t="s">
        <v>601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598</v>
      </c>
      <c r="D1578" s="31" t="s">
        <v>452</v>
      </c>
      <c r="E1578" s="31" t="s">
        <v>603</v>
      </c>
      <c r="F1578" s="31" t="s">
        <v>604</v>
      </c>
      <c r="G1578" s="27">
        <v>2000</v>
      </c>
      <c r="H1578" s="31" t="s">
        <v>54</v>
      </c>
      <c r="I1578" s="31" t="s">
        <v>1186</v>
      </c>
      <c r="J1578" s="26" t="s">
        <v>606</v>
      </c>
      <c r="K1578" s="27">
        <v>2000</v>
      </c>
      <c r="L1578" s="31" t="s">
        <v>601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154</v>
      </c>
      <c r="D1579" s="31" t="s">
        <v>452</v>
      </c>
      <c r="E1579" s="31" t="s">
        <v>603</v>
      </c>
      <c r="F1579" s="31" t="s">
        <v>1103</v>
      </c>
      <c r="G1579" s="27">
        <v>18000</v>
      </c>
      <c r="H1579" s="31" t="s">
        <v>54</v>
      </c>
      <c r="I1579" s="31"/>
      <c r="J1579" s="26" t="s">
        <v>606</v>
      </c>
      <c r="K1579" s="27">
        <v>18000</v>
      </c>
      <c r="L1579" s="31" t="s">
        <v>601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598</v>
      </c>
      <c r="D1580" s="31" t="s">
        <v>452</v>
      </c>
      <c r="E1580" s="31" t="s">
        <v>603</v>
      </c>
      <c r="F1580" s="31" t="s">
        <v>1187</v>
      </c>
      <c r="G1580" s="27">
        <v>10300</v>
      </c>
      <c r="H1580" s="31" t="s">
        <v>54</v>
      </c>
      <c r="I1580" s="31" t="s">
        <v>1188</v>
      </c>
      <c r="J1580" s="26" t="s">
        <v>606</v>
      </c>
      <c r="K1580" s="27">
        <v>10300</v>
      </c>
      <c r="L1580" s="31" t="s">
        <v>601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154</v>
      </c>
      <c r="D1581" s="31" t="s">
        <v>452</v>
      </c>
      <c r="E1581" s="31" t="s">
        <v>612</v>
      </c>
      <c r="F1581" s="31" t="s">
        <v>108</v>
      </c>
      <c r="G1581" s="27">
        <v>8500</v>
      </c>
      <c r="H1581" s="31" t="s">
        <v>54</v>
      </c>
      <c r="I1581" s="31"/>
      <c r="J1581" s="26" t="s">
        <v>606</v>
      </c>
      <c r="K1581" s="27">
        <v>8500</v>
      </c>
      <c r="L1581" s="31" t="s">
        <v>601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598</v>
      </c>
      <c r="D1582" s="31" t="s">
        <v>741</v>
      </c>
      <c r="E1582" s="31" t="s">
        <v>1019</v>
      </c>
      <c r="F1582" s="31" t="s">
        <v>1189</v>
      </c>
      <c r="G1582" s="27">
        <v>13600</v>
      </c>
      <c r="H1582" s="31" t="s">
        <v>54</v>
      </c>
      <c r="I1582" s="31"/>
      <c r="J1582" s="26" t="s">
        <v>614</v>
      </c>
      <c r="K1582" s="27">
        <v>13600</v>
      </c>
      <c r="L1582" s="31" t="s">
        <v>601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598</v>
      </c>
      <c r="D1583" s="31" t="s">
        <v>741</v>
      </c>
      <c r="E1583" s="31" t="s">
        <v>1019</v>
      </c>
      <c r="F1583" s="31" t="s">
        <v>1190</v>
      </c>
      <c r="G1583" s="27">
        <v>55700</v>
      </c>
      <c r="H1583" s="31" t="s">
        <v>54</v>
      </c>
      <c r="I1583" s="31" t="s">
        <v>1191</v>
      </c>
      <c r="J1583" s="26" t="s">
        <v>614</v>
      </c>
      <c r="K1583" s="27">
        <v>55700</v>
      </c>
      <c r="L1583" s="31" t="s">
        <v>601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598</v>
      </c>
      <c r="D1584" s="31" t="s">
        <v>741</v>
      </c>
      <c r="E1584" s="31" t="s">
        <v>1019</v>
      </c>
      <c r="F1584" s="31" t="s">
        <v>1192</v>
      </c>
      <c r="G1584" s="27">
        <v>18000</v>
      </c>
      <c r="H1584" s="31" t="s">
        <v>54</v>
      </c>
      <c r="I1584" s="31" t="s">
        <v>1193</v>
      </c>
      <c r="J1584" s="26" t="s">
        <v>614</v>
      </c>
      <c r="K1584" s="27">
        <v>18000</v>
      </c>
      <c r="L1584" s="31" t="s">
        <v>601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598</v>
      </c>
      <c r="D1585" s="31" t="s">
        <v>735</v>
      </c>
      <c r="E1585" s="31"/>
      <c r="F1585" s="31" t="s">
        <v>744</v>
      </c>
      <c r="G1585" s="27">
        <v>990</v>
      </c>
      <c r="H1585" s="31" t="s">
        <v>54</v>
      </c>
      <c r="I1585" s="31"/>
      <c r="J1585" s="26" t="s">
        <v>606</v>
      </c>
      <c r="K1585" s="27">
        <v>990</v>
      </c>
      <c r="L1585" s="31" t="s">
        <v>601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598</v>
      </c>
      <c r="D1586" s="31" t="s">
        <v>672</v>
      </c>
      <c r="E1586" s="31" t="s">
        <v>673</v>
      </c>
      <c r="F1586" s="31" t="s">
        <v>1194</v>
      </c>
      <c r="G1586" s="27">
        <v>9000</v>
      </c>
      <c r="H1586" s="31" t="s">
        <v>54</v>
      </c>
      <c r="I1586" s="31"/>
      <c r="J1586" s="26" t="s">
        <v>606</v>
      </c>
      <c r="K1586" s="27">
        <v>9000</v>
      </c>
      <c r="L1586" s="31" t="s">
        <v>601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598</v>
      </c>
      <c r="D1587" s="31" t="s">
        <v>771</v>
      </c>
      <c r="E1587" s="31"/>
      <c r="F1587" s="31" t="s">
        <v>923</v>
      </c>
      <c r="G1587" s="27">
        <v>16400</v>
      </c>
      <c r="H1587" s="31" t="s">
        <v>54</v>
      </c>
      <c r="I1587" s="31"/>
      <c r="J1587" s="26" t="s">
        <v>606</v>
      </c>
      <c r="K1587" s="27">
        <v>16400</v>
      </c>
      <c r="L1587" s="31" t="s">
        <v>601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681</v>
      </c>
      <c r="D1588" s="31" t="s">
        <v>640</v>
      </c>
      <c r="E1588" s="31"/>
      <c r="F1588" s="31" t="s">
        <v>365</v>
      </c>
      <c r="G1588" s="27">
        <v>20980</v>
      </c>
      <c r="H1588" s="31" t="s">
        <v>54</v>
      </c>
      <c r="I1588" s="31" t="s">
        <v>1195</v>
      </c>
      <c r="J1588" s="26" t="s">
        <v>606</v>
      </c>
      <c r="K1588" s="27">
        <v>20980</v>
      </c>
      <c r="L1588" s="31" t="s">
        <v>601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645</v>
      </c>
      <c r="D1589" s="31" t="s">
        <v>19</v>
      </c>
      <c r="E1589" s="31"/>
      <c r="F1589" s="31" t="s">
        <v>1196</v>
      </c>
      <c r="G1589" s="27">
        <v>7102</v>
      </c>
      <c r="H1589" s="31" t="s">
        <v>397</v>
      </c>
      <c r="I1589" s="31" t="s">
        <v>1197</v>
      </c>
      <c r="J1589" s="26" t="s">
        <v>653</v>
      </c>
      <c r="K1589" s="27">
        <v>7102</v>
      </c>
      <c r="L1589" s="31" t="s">
        <v>601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681</v>
      </c>
      <c r="D1590" s="31" t="s">
        <v>625</v>
      </c>
      <c r="E1590" s="31"/>
      <c r="F1590" s="31" t="s">
        <v>365</v>
      </c>
      <c r="G1590" s="27">
        <v>11420</v>
      </c>
      <c r="H1590" s="31" t="s">
        <v>54</v>
      </c>
      <c r="I1590" s="31" t="s">
        <v>1198</v>
      </c>
      <c r="J1590" s="26" t="s">
        <v>606</v>
      </c>
      <c r="K1590" s="27">
        <v>11420</v>
      </c>
      <c r="L1590" s="31" t="s">
        <v>601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598</v>
      </c>
      <c r="D1591" s="31" t="s">
        <v>453</v>
      </c>
      <c r="E1591" s="31"/>
      <c r="F1591" s="31" t="s">
        <v>453</v>
      </c>
      <c r="G1591" s="27">
        <v>5000</v>
      </c>
      <c r="H1591" s="31" t="s">
        <v>54</v>
      </c>
      <c r="I1591" s="31"/>
      <c r="J1591" s="26" t="s">
        <v>609</v>
      </c>
      <c r="K1591" s="27">
        <v>5000</v>
      </c>
      <c r="L1591" s="31" t="s">
        <v>601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598</v>
      </c>
      <c r="D1592" s="31" t="s">
        <v>452</v>
      </c>
      <c r="E1592" s="31" t="s">
        <v>714</v>
      </c>
      <c r="F1592" s="31" t="s">
        <v>604</v>
      </c>
      <c r="G1592" s="27">
        <v>5700</v>
      </c>
      <c r="H1592" s="31" t="s">
        <v>54</v>
      </c>
      <c r="I1592" s="31" t="s">
        <v>978</v>
      </c>
      <c r="J1592" s="26" t="s">
        <v>606</v>
      </c>
      <c r="K1592" s="27">
        <v>5700</v>
      </c>
      <c r="L1592" s="31" t="s">
        <v>601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598</v>
      </c>
      <c r="D1593" s="31" t="s">
        <v>775</v>
      </c>
      <c r="E1593" s="31"/>
      <c r="F1593" s="31" t="s">
        <v>1107</v>
      </c>
      <c r="G1593" s="27">
        <v>12900</v>
      </c>
      <c r="H1593" s="31" t="s">
        <v>54</v>
      </c>
      <c r="I1593" s="31" t="s">
        <v>1199</v>
      </c>
      <c r="J1593" s="26" t="s">
        <v>606</v>
      </c>
      <c r="K1593" s="27">
        <v>12900</v>
      </c>
      <c r="L1593" s="31" t="s">
        <v>601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598</v>
      </c>
      <c r="D1594" s="31" t="s">
        <v>771</v>
      </c>
      <c r="E1594" s="31"/>
      <c r="F1594" s="31" t="s">
        <v>923</v>
      </c>
      <c r="G1594" s="27">
        <v>12900</v>
      </c>
      <c r="H1594" s="31" t="s">
        <v>54</v>
      </c>
      <c r="I1594" s="31"/>
      <c r="J1594" s="26" t="s">
        <v>606</v>
      </c>
      <c r="K1594" s="27">
        <v>12900</v>
      </c>
      <c r="L1594" s="31" t="s">
        <v>601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598</v>
      </c>
      <c r="D1595" s="31" t="s">
        <v>452</v>
      </c>
      <c r="E1595" s="31" t="s">
        <v>603</v>
      </c>
      <c r="F1595" s="31" t="s">
        <v>604</v>
      </c>
      <c r="G1595" s="27">
        <v>2900</v>
      </c>
      <c r="H1595" s="31" t="s">
        <v>54</v>
      </c>
      <c r="I1595" s="31" t="s">
        <v>890</v>
      </c>
      <c r="J1595" s="26" t="s">
        <v>606</v>
      </c>
      <c r="K1595" s="27">
        <v>2900</v>
      </c>
      <c r="L1595" s="31" t="s">
        <v>601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598</v>
      </c>
      <c r="D1596" s="31" t="s">
        <v>453</v>
      </c>
      <c r="E1596" s="31"/>
      <c r="F1596" s="31" t="s">
        <v>453</v>
      </c>
      <c r="G1596" s="27">
        <v>5000</v>
      </c>
      <c r="H1596" s="31" t="s">
        <v>54</v>
      </c>
      <c r="I1596" s="31"/>
      <c r="J1596" s="26" t="s">
        <v>609</v>
      </c>
      <c r="K1596" s="27">
        <v>5000</v>
      </c>
      <c r="L1596" s="31" t="s">
        <v>601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598</v>
      </c>
      <c r="D1597" s="31" t="s">
        <v>452</v>
      </c>
      <c r="E1597" s="31" t="s">
        <v>733</v>
      </c>
      <c r="F1597" s="31" t="s">
        <v>829</v>
      </c>
      <c r="G1597" s="27">
        <v>11500</v>
      </c>
      <c r="H1597" s="31" t="s">
        <v>54</v>
      </c>
      <c r="I1597" s="31"/>
      <c r="J1597" s="26" t="s">
        <v>606</v>
      </c>
      <c r="K1597" s="27">
        <v>11500</v>
      </c>
      <c r="L1597" s="31" t="s">
        <v>601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154</v>
      </c>
      <c r="D1598" s="31" t="s">
        <v>646</v>
      </c>
      <c r="E1598" s="31"/>
      <c r="F1598" s="31" t="s">
        <v>1125</v>
      </c>
      <c r="G1598" s="27">
        <v>140000</v>
      </c>
      <c r="H1598" s="31" t="s">
        <v>54</v>
      </c>
      <c r="I1598" s="31" t="s">
        <v>1200</v>
      </c>
      <c r="J1598" s="26" t="s">
        <v>628</v>
      </c>
      <c r="K1598" s="27">
        <v>140000</v>
      </c>
      <c r="L1598" s="31" t="s">
        <v>601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598</v>
      </c>
      <c r="D1599" s="31" t="s">
        <v>452</v>
      </c>
      <c r="E1599" s="31" t="s">
        <v>603</v>
      </c>
      <c r="F1599" s="31" t="s">
        <v>818</v>
      </c>
      <c r="G1599" s="27">
        <v>4410</v>
      </c>
      <c r="H1599" s="31" t="s">
        <v>54</v>
      </c>
      <c r="I1599" s="31"/>
      <c r="J1599" s="26" t="s">
        <v>606</v>
      </c>
      <c r="K1599" s="27">
        <v>4410</v>
      </c>
      <c r="L1599" s="31" t="s">
        <v>601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681</v>
      </c>
      <c r="D1600" s="31" t="s">
        <v>452</v>
      </c>
      <c r="E1600" s="31" t="s">
        <v>621</v>
      </c>
      <c r="F1600" s="31" t="s">
        <v>682</v>
      </c>
      <c r="G1600" s="27">
        <v>10000</v>
      </c>
      <c r="H1600" s="31" t="s">
        <v>54</v>
      </c>
      <c r="I1600" s="31" t="s">
        <v>824</v>
      </c>
      <c r="J1600" s="26" t="s">
        <v>606</v>
      </c>
      <c r="K1600" s="27">
        <v>10000</v>
      </c>
      <c r="L1600" s="31" t="s">
        <v>601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598</v>
      </c>
      <c r="D1601" s="31" t="s">
        <v>453</v>
      </c>
      <c r="E1601" s="31"/>
      <c r="F1601" s="31" t="s">
        <v>453</v>
      </c>
      <c r="G1601" s="27">
        <v>4500</v>
      </c>
      <c r="H1601" s="31" t="s">
        <v>54</v>
      </c>
      <c r="I1601" s="31"/>
      <c r="J1601" s="26" t="s">
        <v>609</v>
      </c>
      <c r="K1601" s="27">
        <v>4500</v>
      </c>
      <c r="L1601" s="31" t="s">
        <v>601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598</v>
      </c>
      <c r="D1602" s="31" t="s">
        <v>452</v>
      </c>
      <c r="E1602" s="31" t="s">
        <v>603</v>
      </c>
      <c r="F1602" s="31" t="s">
        <v>604</v>
      </c>
      <c r="G1602" s="27">
        <v>2900</v>
      </c>
      <c r="H1602" s="31" t="s">
        <v>54</v>
      </c>
      <c r="I1602" s="31" t="s">
        <v>1201</v>
      </c>
      <c r="J1602" s="26" t="s">
        <v>606</v>
      </c>
      <c r="K1602" s="27">
        <v>2900</v>
      </c>
      <c r="L1602" s="31" t="s">
        <v>601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436</v>
      </c>
      <c r="D1603" s="31" t="s">
        <v>650</v>
      </c>
      <c r="E1603" s="31"/>
      <c r="F1603" s="31" t="s">
        <v>687</v>
      </c>
      <c r="G1603" s="27">
        <v>20000</v>
      </c>
      <c r="H1603" s="31" t="s">
        <v>397</v>
      </c>
      <c r="I1603" s="31"/>
      <c r="J1603" s="26" t="s">
        <v>650</v>
      </c>
      <c r="K1603" s="27">
        <v>20000</v>
      </c>
      <c r="L1603" s="31" t="s">
        <v>601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598</v>
      </c>
      <c r="D1604" s="31" t="s">
        <v>735</v>
      </c>
      <c r="E1604" s="31"/>
      <c r="F1604" s="31" t="s">
        <v>736</v>
      </c>
      <c r="G1604" s="27">
        <v>6000</v>
      </c>
      <c r="H1604" s="31" t="s">
        <v>54</v>
      </c>
      <c r="I1604" s="31" t="s">
        <v>1202</v>
      </c>
      <c r="J1604" s="26" t="s">
        <v>628</v>
      </c>
      <c r="K1604" s="27">
        <v>6000</v>
      </c>
      <c r="L1604" s="31" t="s">
        <v>601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598</v>
      </c>
      <c r="D1605" s="31" t="s">
        <v>452</v>
      </c>
      <c r="E1605" s="31" t="s">
        <v>714</v>
      </c>
      <c r="F1605" s="31" t="s">
        <v>604</v>
      </c>
      <c r="G1605" s="27">
        <v>7900</v>
      </c>
      <c r="H1605" s="31" t="s">
        <v>54</v>
      </c>
      <c r="I1605" s="31" t="s">
        <v>63</v>
      </c>
      <c r="J1605" s="26" t="s">
        <v>606</v>
      </c>
      <c r="K1605" s="27">
        <v>7900</v>
      </c>
      <c r="L1605" s="31" t="s">
        <v>601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598</v>
      </c>
      <c r="D1606" s="31" t="s">
        <v>452</v>
      </c>
      <c r="E1606" s="31" t="s">
        <v>603</v>
      </c>
      <c r="F1606" s="31" t="s">
        <v>604</v>
      </c>
      <c r="G1606" s="27">
        <v>5200</v>
      </c>
      <c r="H1606" s="31" t="s">
        <v>54</v>
      </c>
      <c r="I1606" s="31" t="s">
        <v>63</v>
      </c>
      <c r="J1606" s="26" t="s">
        <v>606</v>
      </c>
      <c r="K1606" s="27">
        <v>5200</v>
      </c>
      <c r="L1606" s="31" t="s">
        <v>601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154</v>
      </c>
      <c r="D1607" s="31" t="s">
        <v>19</v>
      </c>
      <c r="E1607" s="31"/>
      <c r="F1607" s="31" t="s">
        <v>179</v>
      </c>
      <c r="G1607" s="27">
        <v>2263</v>
      </c>
      <c r="H1607" s="31" t="s">
        <v>397</v>
      </c>
      <c r="I1607" s="31"/>
      <c r="J1607" s="26" t="s">
        <v>653</v>
      </c>
      <c r="K1607" s="27">
        <v>2263</v>
      </c>
      <c r="L1607" s="31" t="s">
        <v>601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1158</v>
      </c>
      <c r="D1608" s="31" t="s">
        <v>452</v>
      </c>
      <c r="E1608" s="31" t="s">
        <v>733</v>
      </c>
      <c r="F1608" s="31" t="s">
        <v>845</v>
      </c>
      <c r="G1608" s="27">
        <v>14500</v>
      </c>
      <c r="H1608" s="31" t="s">
        <v>54</v>
      </c>
      <c r="I1608" s="31"/>
      <c r="J1608" s="26" t="s">
        <v>606</v>
      </c>
      <c r="K1608" s="27">
        <v>14500</v>
      </c>
      <c r="L1608" s="31" t="s">
        <v>601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1158</v>
      </c>
      <c r="D1609" s="31" t="s">
        <v>453</v>
      </c>
      <c r="E1609" s="31"/>
      <c r="F1609" s="31" t="s">
        <v>453</v>
      </c>
      <c r="G1609" s="27">
        <v>5000</v>
      </c>
      <c r="H1609" s="31" t="s">
        <v>54</v>
      </c>
      <c r="I1609" s="31"/>
      <c r="J1609" s="26" t="s">
        <v>609</v>
      </c>
      <c r="K1609" s="27">
        <v>5000</v>
      </c>
      <c r="L1609" s="31" t="s">
        <v>601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681</v>
      </c>
      <c r="D1610" s="31" t="s">
        <v>625</v>
      </c>
      <c r="E1610" s="31"/>
      <c r="F1610" s="31" t="s">
        <v>365</v>
      </c>
      <c r="G1610" s="27">
        <v>8470</v>
      </c>
      <c r="H1610" s="31" t="s">
        <v>54</v>
      </c>
      <c r="I1610" s="31" t="s">
        <v>702</v>
      </c>
      <c r="J1610" s="26" t="s">
        <v>606</v>
      </c>
      <c r="K1610" s="27">
        <v>8470</v>
      </c>
      <c r="L1610" s="31" t="s">
        <v>601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1158</v>
      </c>
      <c r="D1611" s="31" t="s">
        <v>453</v>
      </c>
      <c r="E1611" s="31"/>
      <c r="F1611" s="31" t="s">
        <v>453</v>
      </c>
      <c r="G1611" s="27">
        <v>5000</v>
      </c>
      <c r="H1611" s="31" t="s">
        <v>54</v>
      </c>
      <c r="I1611" s="31"/>
      <c r="J1611" s="26" t="s">
        <v>609</v>
      </c>
      <c r="K1611" s="27">
        <v>5000</v>
      </c>
      <c r="L1611" s="31" t="s">
        <v>601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1158</v>
      </c>
      <c r="D1612" s="31" t="s">
        <v>452</v>
      </c>
      <c r="E1612" s="31" t="s">
        <v>612</v>
      </c>
      <c r="F1612" s="31" t="s">
        <v>886</v>
      </c>
      <c r="G1612" s="27">
        <v>8500</v>
      </c>
      <c r="H1612" s="31" t="s">
        <v>54</v>
      </c>
      <c r="I1612" s="31"/>
      <c r="J1612" s="26" t="s">
        <v>606</v>
      </c>
      <c r="K1612" s="27">
        <v>8500</v>
      </c>
      <c r="L1612" s="31" t="s">
        <v>601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1158</v>
      </c>
      <c r="D1613" s="31" t="s">
        <v>452</v>
      </c>
      <c r="E1613" s="31" t="s">
        <v>714</v>
      </c>
      <c r="F1613" s="31" t="s">
        <v>820</v>
      </c>
      <c r="G1613" s="27">
        <v>3100</v>
      </c>
      <c r="H1613" s="31" t="s">
        <v>54</v>
      </c>
      <c r="I1613" s="31"/>
      <c r="J1613" s="26" t="s">
        <v>606</v>
      </c>
      <c r="K1613" s="27">
        <v>3100</v>
      </c>
      <c r="L1613" s="31" t="s">
        <v>601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1158</v>
      </c>
      <c r="D1614" s="31" t="s">
        <v>453</v>
      </c>
      <c r="E1614" s="31"/>
      <c r="F1614" s="31" t="s">
        <v>453</v>
      </c>
      <c r="G1614" s="27">
        <v>5000</v>
      </c>
      <c r="H1614" s="31" t="s">
        <v>54</v>
      </c>
      <c r="I1614" s="31"/>
      <c r="J1614" s="26" t="s">
        <v>609</v>
      </c>
      <c r="K1614" s="27">
        <v>5000</v>
      </c>
      <c r="L1614" s="31" t="s">
        <v>601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1158</v>
      </c>
      <c r="D1615" s="31" t="s">
        <v>453</v>
      </c>
      <c r="E1615" s="31"/>
      <c r="F1615" s="31" t="s">
        <v>453</v>
      </c>
      <c r="G1615" s="27">
        <v>5000</v>
      </c>
      <c r="H1615" s="31" t="s">
        <v>54</v>
      </c>
      <c r="I1615" s="31"/>
      <c r="J1615" s="26" t="s">
        <v>609</v>
      </c>
      <c r="K1615" s="27">
        <v>5000</v>
      </c>
      <c r="L1615" s="31" t="s">
        <v>601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1158</v>
      </c>
      <c r="D1616" s="31" t="s">
        <v>452</v>
      </c>
      <c r="E1616" s="31" t="s">
        <v>603</v>
      </c>
      <c r="F1616" s="31" t="s">
        <v>604</v>
      </c>
      <c r="G1616" s="27">
        <v>2000</v>
      </c>
      <c r="H1616" s="31" t="s">
        <v>54</v>
      </c>
      <c r="I1616" s="31" t="s">
        <v>1186</v>
      </c>
      <c r="J1616" s="26" t="s">
        <v>606</v>
      </c>
      <c r="K1616" s="27">
        <v>2000</v>
      </c>
      <c r="L1616" s="31" t="s">
        <v>601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598</v>
      </c>
      <c r="D1617" s="31" t="s">
        <v>452</v>
      </c>
      <c r="E1617" s="31" t="s">
        <v>612</v>
      </c>
      <c r="F1617" s="31" t="s">
        <v>852</v>
      </c>
      <c r="G1617" s="27">
        <v>13000</v>
      </c>
      <c r="H1617" s="31" t="s">
        <v>54</v>
      </c>
      <c r="I1617" s="31"/>
      <c r="J1617" s="26" t="s">
        <v>606</v>
      </c>
      <c r="K1617" s="27">
        <v>13000</v>
      </c>
      <c r="L1617" s="31" t="s">
        <v>601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1158</v>
      </c>
      <c r="D1618" s="31" t="s">
        <v>771</v>
      </c>
      <c r="E1618" s="31"/>
      <c r="F1618" s="31" t="s">
        <v>923</v>
      </c>
      <c r="G1618" s="27">
        <v>15900</v>
      </c>
      <c r="H1618" s="31" t="s">
        <v>54</v>
      </c>
      <c r="I1618" s="31"/>
      <c r="J1618" s="26" t="s">
        <v>606</v>
      </c>
      <c r="K1618" s="27">
        <v>15900</v>
      </c>
      <c r="L1618" s="31" t="s">
        <v>601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1158</v>
      </c>
      <c r="D1619" s="31" t="s">
        <v>452</v>
      </c>
      <c r="E1619" s="31" t="s">
        <v>603</v>
      </c>
      <c r="F1619" s="31" t="s">
        <v>604</v>
      </c>
      <c r="G1619" s="27">
        <v>2000</v>
      </c>
      <c r="H1619" s="31" t="s">
        <v>54</v>
      </c>
      <c r="I1619" s="31" t="s">
        <v>1186</v>
      </c>
      <c r="J1619" s="26" t="s">
        <v>606</v>
      </c>
      <c r="K1619" s="27">
        <v>2000</v>
      </c>
      <c r="L1619" s="31" t="s">
        <v>601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1158</v>
      </c>
      <c r="D1620" s="31" t="s">
        <v>452</v>
      </c>
      <c r="E1620" s="31" t="s">
        <v>612</v>
      </c>
      <c r="F1620" s="31" t="s">
        <v>731</v>
      </c>
      <c r="G1620" s="27">
        <v>7000</v>
      </c>
      <c r="H1620" s="31" t="s">
        <v>54</v>
      </c>
      <c r="I1620" s="31"/>
      <c r="J1620" s="26" t="s">
        <v>606</v>
      </c>
      <c r="K1620" s="27">
        <v>7000</v>
      </c>
      <c r="L1620" s="31" t="s">
        <v>601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712</v>
      </c>
      <c r="D1621" s="31" t="s">
        <v>452</v>
      </c>
      <c r="E1621" s="31" t="s">
        <v>603</v>
      </c>
      <c r="F1621" s="31" t="s">
        <v>1103</v>
      </c>
      <c r="G1621" s="27">
        <v>-9600</v>
      </c>
      <c r="H1621" s="31" t="s">
        <v>54</v>
      </c>
      <c r="I1621" s="31" t="s">
        <v>1203</v>
      </c>
      <c r="J1621" s="26" t="s">
        <v>606</v>
      </c>
      <c r="K1621" s="27">
        <v>-9600</v>
      </c>
      <c r="L1621" s="31" t="s">
        <v>601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712</v>
      </c>
      <c r="D1622" s="31" t="s">
        <v>154</v>
      </c>
      <c r="E1622" s="31"/>
      <c r="F1622" s="31" t="s">
        <v>72</v>
      </c>
      <c r="G1622" s="27">
        <v>10000</v>
      </c>
      <c r="H1622" s="31" t="s">
        <v>633</v>
      </c>
      <c r="I1622" s="31" t="s">
        <v>1204</v>
      </c>
      <c r="J1622" s="26" t="s">
        <v>634</v>
      </c>
      <c r="K1622" s="27">
        <v>10000</v>
      </c>
      <c r="L1622" s="31" t="s">
        <v>601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154</v>
      </c>
      <c r="D1623" s="31" t="s">
        <v>712</v>
      </c>
      <c r="E1623" s="31"/>
      <c r="F1623" s="31" t="s">
        <v>72</v>
      </c>
      <c r="G1623" s="27">
        <v>10000</v>
      </c>
      <c r="H1623" s="31" t="s">
        <v>636</v>
      </c>
      <c r="I1623" s="31" t="s">
        <v>1204</v>
      </c>
      <c r="J1623" s="26" t="s">
        <v>634</v>
      </c>
      <c r="K1623" s="27">
        <v>10000</v>
      </c>
      <c r="L1623" s="31" t="s">
        <v>601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712</v>
      </c>
      <c r="D1624" s="31" t="s">
        <v>154</v>
      </c>
      <c r="E1624" s="31"/>
      <c r="F1624" s="31" t="s">
        <v>72</v>
      </c>
      <c r="G1624" s="27">
        <v>19800</v>
      </c>
      <c r="H1624" s="31" t="s">
        <v>633</v>
      </c>
      <c r="I1624" s="31" t="s">
        <v>1204</v>
      </c>
      <c r="J1624" s="26" t="s">
        <v>634</v>
      </c>
      <c r="K1624" s="27">
        <v>19800</v>
      </c>
      <c r="L1624" s="31" t="s">
        <v>601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154</v>
      </c>
      <c r="D1625" s="31" t="s">
        <v>712</v>
      </c>
      <c r="E1625" s="31"/>
      <c r="F1625" s="31" t="s">
        <v>72</v>
      </c>
      <c r="G1625" s="27">
        <v>19800</v>
      </c>
      <c r="H1625" s="31" t="s">
        <v>636</v>
      </c>
      <c r="I1625" s="31" t="s">
        <v>1204</v>
      </c>
      <c r="J1625" s="26" t="s">
        <v>634</v>
      </c>
      <c r="K1625" s="27">
        <v>19800</v>
      </c>
      <c r="L1625" s="31" t="s">
        <v>601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712</v>
      </c>
      <c r="D1626" s="31" t="s">
        <v>452</v>
      </c>
      <c r="E1626" s="31" t="s">
        <v>603</v>
      </c>
      <c r="F1626" s="31" t="s">
        <v>1103</v>
      </c>
      <c r="G1626" s="27">
        <v>14400</v>
      </c>
      <c r="H1626" s="31" t="s">
        <v>54</v>
      </c>
      <c r="I1626" s="31" t="s">
        <v>1205</v>
      </c>
      <c r="J1626" s="26" t="s">
        <v>606</v>
      </c>
      <c r="K1626" s="27">
        <v>14400</v>
      </c>
      <c r="L1626" s="31" t="s">
        <v>601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1158</v>
      </c>
      <c r="D1627" s="31" t="s">
        <v>741</v>
      </c>
      <c r="E1627" s="31" t="s">
        <v>1019</v>
      </c>
      <c r="F1627" s="31" t="s">
        <v>1206</v>
      </c>
      <c r="G1627" s="27">
        <v>10600</v>
      </c>
      <c r="H1627" s="31" t="s">
        <v>54</v>
      </c>
      <c r="I1627" s="31" t="s">
        <v>95</v>
      </c>
      <c r="J1627" s="26" t="s">
        <v>614</v>
      </c>
      <c r="K1627" s="27">
        <v>10600</v>
      </c>
      <c r="L1627" s="31" t="s">
        <v>601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712</v>
      </c>
      <c r="D1628" s="31" t="s">
        <v>771</v>
      </c>
      <c r="E1628" s="31"/>
      <c r="F1628" s="31" t="s">
        <v>1207</v>
      </c>
      <c r="G1628" s="27">
        <v>25000</v>
      </c>
      <c r="H1628" s="31" t="s">
        <v>54</v>
      </c>
      <c r="I1628" s="31" t="s">
        <v>1208</v>
      </c>
      <c r="J1628" s="26" t="s">
        <v>606</v>
      </c>
      <c r="K1628" s="27">
        <v>25000</v>
      </c>
      <c r="L1628" s="31" t="s">
        <v>601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1158</v>
      </c>
      <c r="D1629" s="31" t="s">
        <v>452</v>
      </c>
      <c r="E1629" s="31" t="s">
        <v>603</v>
      </c>
      <c r="F1629" s="31" t="s">
        <v>604</v>
      </c>
      <c r="G1629" s="27">
        <v>3900</v>
      </c>
      <c r="H1629" s="31" t="s">
        <v>54</v>
      </c>
      <c r="I1629" s="31" t="s">
        <v>821</v>
      </c>
      <c r="J1629" s="26" t="s">
        <v>606</v>
      </c>
      <c r="K1629" s="27">
        <v>3900</v>
      </c>
      <c r="L1629" s="31" t="s">
        <v>601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1158</v>
      </c>
      <c r="D1630" s="31" t="s">
        <v>452</v>
      </c>
      <c r="E1630" s="31" t="s">
        <v>603</v>
      </c>
      <c r="F1630" s="31" t="s">
        <v>604</v>
      </c>
      <c r="G1630" s="27">
        <v>3800</v>
      </c>
      <c r="H1630" s="31" t="s">
        <v>54</v>
      </c>
      <c r="I1630" s="31" t="s">
        <v>821</v>
      </c>
      <c r="J1630" s="26" t="s">
        <v>606</v>
      </c>
      <c r="K1630" s="27">
        <v>3800</v>
      </c>
      <c r="L1630" s="31" t="s">
        <v>601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1158</v>
      </c>
      <c r="D1631" s="31" t="s">
        <v>771</v>
      </c>
      <c r="E1631" s="31"/>
      <c r="F1631" s="31" t="s">
        <v>923</v>
      </c>
      <c r="G1631" s="27">
        <v>20900</v>
      </c>
      <c r="H1631" s="31" t="s">
        <v>54</v>
      </c>
      <c r="I1631" s="31" t="s">
        <v>1115</v>
      </c>
      <c r="J1631" s="26" t="s">
        <v>628</v>
      </c>
      <c r="K1631" s="27">
        <v>20900</v>
      </c>
      <c r="L1631" s="31" t="s">
        <v>601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1158</v>
      </c>
      <c r="D1632" s="31" t="s">
        <v>771</v>
      </c>
      <c r="E1632" s="31"/>
      <c r="F1632" s="31" t="s">
        <v>923</v>
      </c>
      <c r="G1632" s="27">
        <v>19700</v>
      </c>
      <c r="H1632" s="31" t="s">
        <v>54</v>
      </c>
      <c r="I1632" s="31" t="s">
        <v>1209</v>
      </c>
      <c r="J1632" s="26" t="s">
        <v>628</v>
      </c>
      <c r="K1632" s="27">
        <v>19700</v>
      </c>
      <c r="L1632" s="31" t="s">
        <v>601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1158</v>
      </c>
      <c r="D1633" s="31" t="s">
        <v>771</v>
      </c>
      <c r="E1633" s="31"/>
      <c r="F1633" s="31" t="s">
        <v>923</v>
      </c>
      <c r="G1633" s="27">
        <v>19400</v>
      </c>
      <c r="H1633" s="31" t="s">
        <v>54</v>
      </c>
      <c r="I1633" s="31" t="s">
        <v>1210</v>
      </c>
      <c r="J1633" s="26" t="s">
        <v>628</v>
      </c>
      <c r="K1633" s="27">
        <v>19400</v>
      </c>
      <c r="L1633" s="31" t="s">
        <v>601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1158</v>
      </c>
      <c r="D1634" s="31" t="s">
        <v>452</v>
      </c>
      <c r="E1634" s="31" t="s">
        <v>714</v>
      </c>
      <c r="F1634" s="31" t="s">
        <v>604</v>
      </c>
      <c r="G1634" s="27">
        <v>6750</v>
      </c>
      <c r="H1634" s="31" t="s">
        <v>54</v>
      </c>
      <c r="I1634" s="31" t="s">
        <v>1211</v>
      </c>
      <c r="J1634" s="26" t="s">
        <v>606</v>
      </c>
      <c r="K1634" s="27">
        <v>6750</v>
      </c>
      <c r="L1634" s="31" t="s">
        <v>601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1158</v>
      </c>
      <c r="D1635" s="31" t="s">
        <v>452</v>
      </c>
      <c r="E1635" s="31" t="s">
        <v>603</v>
      </c>
      <c r="F1635" s="31" t="s">
        <v>604</v>
      </c>
      <c r="G1635" s="27">
        <v>2180</v>
      </c>
      <c r="H1635" s="31" t="s">
        <v>54</v>
      </c>
      <c r="I1635" s="31" t="s">
        <v>1212</v>
      </c>
      <c r="J1635" s="26" t="s">
        <v>606</v>
      </c>
      <c r="K1635" s="27">
        <v>2180</v>
      </c>
      <c r="L1635" s="31" t="s">
        <v>601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1158</v>
      </c>
      <c r="D1636" s="31" t="s">
        <v>452</v>
      </c>
      <c r="E1636" s="31" t="s">
        <v>603</v>
      </c>
      <c r="F1636" s="31" t="s">
        <v>803</v>
      </c>
      <c r="G1636" s="27">
        <v>3500</v>
      </c>
      <c r="H1636" s="31" t="s">
        <v>54</v>
      </c>
      <c r="I1636" s="31"/>
      <c r="J1636" s="26" t="s">
        <v>606</v>
      </c>
      <c r="K1636" s="27">
        <v>3500</v>
      </c>
      <c r="L1636" s="31" t="s">
        <v>601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154</v>
      </c>
      <c r="D1637" s="31" t="s">
        <v>646</v>
      </c>
      <c r="E1637" s="31"/>
      <c r="F1637" s="31" t="s">
        <v>1125</v>
      </c>
      <c r="G1637" s="27">
        <v>520000</v>
      </c>
      <c r="H1637" s="31" t="s">
        <v>54</v>
      </c>
      <c r="I1637" s="31" t="s">
        <v>1213</v>
      </c>
      <c r="J1637" s="26" t="s">
        <v>628</v>
      </c>
      <c r="K1637" s="27">
        <v>520000</v>
      </c>
      <c r="L1637" s="31" t="s">
        <v>601</v>
      </c>
      <c r="M1637" s="31" t="s">
        <v>1214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187</v>
      </c>
      <c r="D1638" s="31" t="s">
        <v>19</v>
      </c>
      <c r="E1638" s="31"/>
      <c r="F1638" s="31" t="s">
        <v>1215</v>
      </c>
      <c r="G1638" s="27">
        <v>2120286</v>
      </c>
      <c r="H1638" s="31" t="s">
        <v>397</v>
      </c>
      <c r="I1638" s="31" t="s">
        <v>1216</v>
      </c>
      <c r="J1638" s="26" t="s">
        <v>649</v>
      </c>
      <c r="K1638" s="27">
        <v>2120286</v>
      </c>
      <c r="L1638" s="31" t="s">
        <v>601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681</v>
      </c>
      <c r="D1639" s="31" t="s">
        <v>452</v>
      </c>
      <c r="E1639" s="31" t="s">
        <v>621</v>
      </c>
      <c r="F1639" s="31" t="s">
        <v>682</v>
      </c>
      <c r="G1639" s="27">
        <v>29000</v>
      </c>
      <c r="H1639" s="31" t="s">
        <v>54</v>
      </c>
      <c r="I1639" s="31" t="s">
        <v>1217</v>
      </c>
      <c r="J1639" s="26" t="s">
        <v>606</v>
      </c>
      <c r="K1639" s="27">
        <v>29000</v>
      </c>
      <c r="L1639" s="31" t="s">
        <v>601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681</v>
      </c>
      <c r="D1640" s="31" t="s">
        <v>625</v>
      </c>
      <c r="E1640" s="31"/>
      <c r="F1640" s="31" t="s">
        <v>365</v>
      </c>
      <c r="G1640" s="27">
        <v>51820</v>
      </c>
      <c r="H1640" s="31" t="s">
        <v>54</v>
      </c>
      <c r="I1640" s="31" t="s">
        <v>1218</v>
      </c>
      <c r="J1640" s="26" t="s">
        <v>630</v>
      </c>
      <c r="K1640" s="27">
        <v>51820</v>
      </c>
      <c r="L1640" s="31" t="s">
        <v>601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1158</v>
      </c>
      <c r="D1641" s="31" t="s">
        <v>625</v>
      </c>
      <c r="E1641" s="31"/>
      <c r="F1641" s="31" t="s">
        <v>604</v>
      </c>
      <c r="G1641" s="27">
        <v>12000</v>
      </c>
      <c r="H1641" s="31" t="s">
        <v>54</v>
      </c>
      <c r="I1641" s="31" t="s">
        <v>1219</v>
      </c>
      <c r="J1641" s="26" t="s">
        <v>630</v>
      </c>
      <c r="K1641" s="27">
        <v>12000</v>
      </c>
      <c r="L1641" s="31" t="s">
        <v>601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1158</v>
      </c>
      <c r="D1642" s="31" t="s">
        <v>625</v>
      </c>
      <c r="E1642" s="31"/>
      <c r="F1642" s="31" t="s">
        <v>654</v>
      </c>
      <c r="G1642" s="27">
        <v>44900</v>
      </c>
      <c r="H1642" s="31" t="s">
        <v>54</v>
      </c>
      <c r="I1642" s="31" t="s">
        <v>1220</v>
      </c>
      <c r="J1642" s="26" t="s">
        <v>630</v>
      </c>
      <c r="K1642" s="27">
        <v>44900</v>
      </c>
      <c r="L1642" s="31" t="s">
        <v>601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1158</v>
      </c>
      <c r="D1643" s="31" t="s">
        <v>453</v>
      </c>
      <c r="E1643" s="31"/>
      <c r="F1643" s="31" t="s">
        <v>453</v>
      </c>
      <c r="G1643" s="27">
        <v>5000</v>
      </c>
      <c r="H1643" s="31" t="s">
        <v>54</v>
      </c>
      <c r="I1643" s="31"/>
      <c r="J1643" s="26" t="s">
        <v>609</v>
      </c>
      <c r="K1643" s="27">
        <v>5000</v>
      </c>
      <c r="L1643" s="31" t="s">
        <v>601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1158</v>
      </c>
      <c r="D1644" s="31" t="s">
        <v>625</v>
      </c>
      <c r="E1644" s="31"/>
      <c r="F1644" s="31" t="s">
        <v>1046</v>
      </c>
      <c r="G1644" s="27">
        <v>57700</v>
      </c>
      <c r="H1644" s="31" t="s">
        <v>54</v>
      </c>
      <c r="I1644" s="31" t="s">
        <v>1221</v>
      </c>
      <c r="J1644" s="26" t="s">
        <v>630</v>
      </c>
      <c r="K1644" s="27">
        <v>57700</v>
      </c>
      <c r="L1644" s="31" t="s">
        <v>601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632</v>
      </c>
      <c r="D1645" s="31" t="s">
        <v>57</v>
      </c>
      <c r="E1645" s="31"/>
      <c r="F1645" s="31" t="s">
        <v>57</v>
      </c>
      <c r="G1645" s="27">
        <v>2776050</v>
      </c>
      <c r="H1645" s="31" t="s">
        <v>397</v>
      </c>
      <c r="I1645" s="31"/>
      <c r="J1645" s="26" t="s">
        <v>57</v>
      </c>
      <c r="K1645" s="27">
        <v>2776050</v>
      </c>
      <c r="L1645" s="31" t="s">
        <v>601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598</v>
      </c>
      <c r="D1646" s="31" t="s">
        <v>362</v>
      </c>
      <c r="E1646" s="31"/>
      <c r="F1646" s="31" t="s">
        <v>746</v>
      </c>
      <c r="G1646" s="27">
        <v>7596</v>
      </c>
      <c r="H1646" s="31" t="s">
        <v>54</v>
      </c>
      <c r="I1646" s="31" t="s">
        <v>747</v>
      </c>
      <c r="J1646" s="26" t="s">
        <v>600</v>
      </c>
      <c r="K1646" s="27">
        <v>7596</v>
      </c>
      <c r="L1646" s="31" t="s">
        <v>601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133</v>
      </c>
      <c r="D1647" s="31" t="s">
        <v>640</v>
      </c>
      <c r="E1647" s="31"/>
      <c r="F1647" s="31" t="s">
        <v>654</v>
      </c>
      <c r="G1647" s="27">
        <v>387960</v>
      </c>
      <c r="H1647" s="31" t="s">
        <v>54</v>
      </c>
      <c r="I1647" s="31" t="s">
        <v>1222</v>
      </c>
      <c r="J1647" s="26" t="s">
        <v>630</v>
      </c>
      <c r="K1647" s="27">
        <v>387960</v>
      </c>
      <c r="L1647" s="31" t="s">
        <v>601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1158</v>
      </c>
      <c r="D1648" s="31" t="s">
        <v>625</v>
      </c>
      <c r="E1648" s="31"/>
      <c r="F1648" s="31" t="s">
        <v>934</v>
      </c>
      <c r="G1648" s="27">
        <v>34650</v>
      </c>
      <c r="H1648" s="31" t="s">
        <v>54</v>
      </c>
      <c r="I1648" s="31" t="s">
        <v>1223</v>
      </c>
      <c r="J1648" s="26" t="s">
        <v>630</v>
      </c>
      <c r="K1648" s="27">
        <v>34650</v>
      </c>
      <c r="L1648" s="31" t="s">
        <v>601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1158</v>
      </c>
      <c r="D1649" s="31" t="s">
        <v>625</v>
      </c>
      <c r="E1649" s="31"/>
      <c r="F1649" s="31" t="s">
        <v>934</v>
      </c>
      <c r="G1649" s="27">
        <v>17000</v>
      </c>
      <c r="H1649" s="31" t="s">
        <v>54</v>
      </c>
      <c r="I1649" s="31" t="s">
        <v>1224</v>
      </c>
      <c r="J1649" s="26" t="s">
        <v>630</v>
      </c>
      <c r="K1649" s="27">
        <v>17000</v>
      </c>
      <c r="L1649" s="31" t="s">
        <v>601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681</v>
      </c>
      <c r="D1650" s="31" t="s">
        <v>625</v>
      </c>
      <c r="E1650" s="31"/>
      <c r="F1650" s="31" t="s">
        <v>365</v>
      </c>
      <c r="G1650" s="27">
        <v>42010</v>
      </c>
      <c r="H1650" s="31" t="s">
        <v>54</v>
      </c>
      <c r="I1650" s="31" t="s">
        <v>1225</v>
      </c>
      <c r="J1650" s="26" t="s">
        <v>630</v>
      </c>
      <c r="K1650" s="27">
        <v>42010</v>
      </c>
      <c r="L1650" s="31" t="s">
        <v>601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681</v>
      </c>
      <c r="D1651" s="31" t="s">
        <v>625</v>
      </c>
      <c r="E1651" s="31"/>
      <c r="F1651" s="31" t="s">
        <v>365</v>
      </c>
      <c r="G1651" s="27">
        <v>14990</v>
      </c>
      <c r="H1651" s="31" t="s">
        <v>54</v>
      </c>
      <c r="I1651" s="31" t="s">
        <v>1225</v>
      </c>
      <c r="J1651" s="26" t="s">
        <v>630</v>
      </c>
      <c r="K1651" s="27">
        <v>14990</v>
      </c>
      <c r="L1651" s="31" t="s">
        <v>601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1158</v>
      </c>
      <c r="D1652" s="31" t="s">
        <v>452</v>
      </c>
      <c r="E1652" s="31" t="s">
        <v>733</v>
      </c>
      <c r="F1652" s="31" t="s">
        <v>829</v>
      </c>
      <c r="G1652" s="27">
        <v>13900</v>
      </c>
      <c r="H1652" s="31" t="s">
        <v>54</v>
      </c>
      <c r="I1652" s="31"/>
      <c r="J1652" s="26" t="s">
        <v>606</v>
      </c>
      <c r="K1652" s="27">
        <v>13900</v>
      </c>
      <c r="L1652" s="31" t="s">
        <v>601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1158</v>
      </c>
      <c r="D1653" s="31" t="s">
        <v>452</v>
      </c>
      <c r="E1653" s="31" t="s">
        <v>603</v>
      </c>
      <c r="F1653" s="31" t="s">
        <v>803</v>
      </c>
      <c r="G1653" s="27">
        <v>3800</v>
      </c>
      <c r="H1653" s="31" t="s">
        <v>54</v>
      </c>
      <c r="I1653" s="31"/>
      <c r="J1653" s="26" t="s">
        <v>606</v>
      </c>
      <c r="K1653" s="27">
        <v>3800</v>
      </c>
      <c r="L1653" s="31" t="s">
        <v>601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187</v>
      </c>
      <c r="D1654" s="31" t="s">
        <v>646</v>
      </c>
      <c r="E1654" s="31"/>
      <c r="F1654" s="31" t="s">
        <v>679</v>
      </c>
      <c r="G1654" s="27">
        <v>-10150</v>
      </c>
      <c r="H1654" s="31" t="s">
        <v>54</v>
      </c>
      <c r="I1654" s="31" t="s">
        <v>1226</v>
      </c>
      <c r="J1654" s="26" t="s">
        <v>628</v>
      </c>
      <c r="K1654" s="27">
        <v>-10150</v>
      </c>
      <c r="L1654" s="31" t="s">
        <v>601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681</v>
      </c>
      <c r="D1655" s="31" t="s">
        <v>741</v>
      </c>
      <c r="E1655" s="31" t="s">
        <v>1019</v>
      </c>
      <c r="F1655" s="31" t="s">
        <v>682</v>
      </c>
      <c r="G1655" s="27">
        <v>48000</v>
      </c>
      <c r="H1655" s="31" t="s">
        <v>54</v>
      </c>
      <c r="I1655" s="31" t="s">
        <v>1227</v>
      </c>
      <c r="J1655" s="26" t="s">
        <v>614</v>
      </c>
      <c r="K1655" s="27">
        <v>48000</v>
      </c>
      <c r="L1655" s="31" t="s">
        <v>601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751</v>
      </c>
      <c r="D1656" s="31" t="s">
        <v>187</v>
      </c>
      <c r="E1656" s="31"/>
      <c r="F1656" s="31" t="s">
        <v>72</v>
      </c>
      <c r="G1656" s="27">
        <v>150000</v>
      </c>
      <c r="H1656" s="31" t="s">
        <v>633</v>
      </c>
      <c r="I1656" s="31"/>
      <c r="J1656" s="26" t="s">
        <v>634</v>
      </c>
      <c r="K1656" s="27">
        <v>150000</v>
      </c>
      <c r="L1656" s="31" t="s">
        <v>601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187</v>
      </c>
      <c r="D1657" s="31" t="s">
        <v>751</v>
      </c>
      <c r="E1657" s="31"/>
      <c r="F1657" s="31" t="s">
        <v>72</v>
      </c>
      <c r="G1657" s="27">
        <v>150000</v>
      </c>
      <c r="H1657" s="31" t="s">
        <v>636</v>
      </c>
      <c r="I1657" s="31"/>
      <c r="J1657" s="26" t="s">
        <v>658</v>
      </c>
      <c r="K1657" s="27">
        <v>150000</v>
      </c>
      <c r="L1657" s="31" t="s">
        <v>601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187</v>
      </c>
      <c r="D1658" s="31" t="s">
        <v>61</v>
      </c>
      <c r="E1658" s="31"/>
      <c r="F1658" s="31" t="s">
        <v>61</v>
      </c>
      <c r="G1658" s="27">
        <v>500000</v>
      </c>
      <c r="H1658" s="31" t="s">
        <v>397</v>
      </c>
      <c r="I1658" s="31" t="s">
        <v>913</v>
      </c>
      <c r="J1658" s="26" t="s">
        <v>647</v>
      </c>
      <c r="K1658" s="27">
        <v>500000</v>
      </c>
      <c r="L1658" s="31" t="s">
        <v>601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1158</v>
      </c>
      <c r="D1659" s="31" t="s">
        <v>452</v>
      </c>
      <c r="E1659" s="31" t="s">
        <v>603</v>
      </c>
      <c r="F1659" s="31" t="s">
        <v>604</v>
      </c>
      <c r="G1659" s="27">
        <v>4600</v>
      </c>
      <c r="H1659" s="31" t="s">
        <v>54</v>
      </c>
      <c r="I1659" s="31"/>
      <c r="J1659" s="26" t="s">
        <v>606</v>
      </c>
      <c r="K1659" s="27">
        <v>4600</v>
      </c>
      <c r="L1659" s="31" t="s">
        <v>601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1158</v>
      </c>
      <c r="D1660" s="31" t="s">
        <v>452</v>
      </c>
      <c r="E1660" s="31" t="s">
        <v>714</v>
      </c>
      <c r="F1660" s="31" t="s">
        <v>604</v>
      </c>
      <c r="G1660" s="27">
        <v>10800</v>
      </c>
      <c r="H1660" s="31" t="s">
        <v>54</v>
      </c>
      <c r="I1660" s="31"/>
      <c r="J1660" s="26" t="s">
        <v>606</v>
      </c>
      <c r="K1660" s="27">
        <v>10800</v>
      </c>
      <c r="L1660" s="31" t="s">
        <v>601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1158</v>
      </c>
      <c r="D1661" s="31" t="s">
        <v>452</v>
      </c>
      <c r="E1661" s="31" t="s">
        <v>603</v>
      </c>
      <c r="F1661" s="31" t="s">
        <v>604</v>
      </c>
      <c r="G1661" s="27">
        <v>3600</v>
      </c>
      <c r="H1661" s="31" t="s">
        <v>54</v>
      </c>
      <c r="I1661" s="31"/>
      <c r="J1661" s="26" t="s">
        <v>606</v>
      </c>
      <c r="K1661" s="27">
        <v>3600</v>
      </c>
      <c r="L1661" s="31" t="s">
        <v>601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712</v>
      </c>
      <c r="D1662" s="31" t="s">
        <v>644</v>
      </c>
      <c r="E1662" s="31"/>
      <c r="F1662" s="31" t="s">
        <v>1228</v>
      </c>
      <c r="G1662" s="27">
        <v>100000</v>
      </c>
      <c r="H1662" s="31" t="s">
        <v>397</v>
      </c>
      <c r="I1662" s="31" t="s">
        <v>1229</v>
      </c>
      <c r="J1662" s="26" t="s">
        <v>647</v>
      </c>
      <c r="K1662" s="27">
        <v>100000</v>
      </c>
      <c r="L1662" s="31" t="s">
        <v>601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1108</v>
      </c>
      <c r="D1663" s="31" t="s">
        <v>650</v>
      </c>
      <c r="E1663" s="31"/>
      <c r="F1663" s="31" t="s">
        <v>687</v>
      </c>
      <c r="G1663" s="27">
        <v>150000</v>
      </c>
      <c r="H1663" s="31" t="s">
        <v>397</v>
      </c>
      <c r="I1663" s="31"/>
      <c r="J1663" s="26" t="s">
        <v>650</v>
      </c>
      <c r="K1663" s="27">
        <v>150000</v>
      </c>
      <c r="L1663" s="31" t="s">
        <v>601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1108</v>
      </c>
      <c r="D1664" s="31" t="s">
        <v>154</v>
      </c>
      <c r="E1664" s="31"/>
      <c r="F1664" s="31" t="s">
        <v>687</v>
      </c>
      <c r="G1664" s="27">
        <v>150000</v>
      </c>
      <c r="H1664" s="31" t="s">
        <v>633</v>
      </c>
      <c r="I1664" s="31"/>
      <c r="J1664" s="26" t="s">
        <v>634</v>
      </c>
      <c r="K1664" s="27">
        <v>150000</v>
      </c>
      <c r="L1664" s="31" t="s">
        <v>601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154</v>
      </c>
      <c r="D1665" s="31" t="s">
        <v>1108</v>
      </c>
      <c r="E1665" s="31"/>
      <c r="F1665" s="31" t="s">
        <v>687</v>
      </c>
      <c r="G1665" s="27">
        <v>150000</v>
      </c>
      <c r="H1665" s="31" t="s">
        <v>636</v>
      </c>
      <c r="I1665" s="31"/>
      <c r="J1665" s="26" t="s">
        <v>665</v>
      </c>
      <c r="K1665" s="27">
        <v>150000</v>
      </c>
      <c r="L1665" s="31" t="s">
        <v>601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598</v>
      </c>
      <c r="D1666" s="31" t="s">
        <v>625</v>
      </c>
      <c r="E1666" s="31"/>
      <c r="F1666" s="31" t="s">
        <v>934</v>
      </c>
      <c r="G1666" s="27">
        <v>41000</v>
      </c>
      <c r="H1666" s="31" t="s">
        <v>54</v>
      </c>
      <c r="I1666" s="31" t="s">
        <v>1230</v>
      </c>
      <c r="J1666" s="26" t="s">
        <v>630</v>
      </c>
      <c r="K1666" s="27">
        <v>41000</v>
      </c>
      <c r="L1666" s="31" t="s">
        <v>601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681</v>
      </c>
      <c r="D1667" s="31" t="s">
        <v>625</v>
      </c>
      <c r="E1667" s="31"/>
      <c r="F1667" s="31" t="s">
        <v>365</v>
      </c>
      <c r="G1667" s="27">
        <v>9890</v>
      </c>
      <c r="H1667" s="31" t="s">
        <v>54</v>
      </c>
      <c r="I1667" s="31" t="s">
        <v>1231</v>
      </c>
      <c r="J1667" s="26" t="s">
        <v>630</v>
      </c>
      <c r="K1667" s="27">
        <v>9890</v>
      </c>
      <c r="L1667" s="31" t="s">
        <v>601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436</v>
      </c>
      <c r="D1668" s="31" t="s">
        <v>19</v>
      </c>
      <c r="E1668" s="31"/>
      <c r="F1668" s="31" t="s">
        <v>756</v>
      </c>
      <c r="G1668" s="27">
        <v>919</v>
      </c>
      <c r="H1668" s="31" t="s">
        <v>397</v>
      </c>
      <c r="I1668" s="31"/>
      <c r="J1668" s="26" t="s">
        <v>653</v>
      </c>
      <c r="K1668" s="27">
        <v>919</v>
      </c>
      <c r="L1668" s="31" t="s">
        <v>601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598</v>
      </c>
      <c r="D1669" s="31" t="s">
        <v>672</v>
      </c>
      <c r="E1669" s="31"/>
      <c r="F1669" s="31" t="s">
        <v>1232</v>
      </c>
      <c r="G1669" s="27">
        <v>11500</v>
      </c>
      <c r="H1669" s="31" t="s">
        <v>54</v>
      </c>
      <c r="I1669" s="31" t="s">
        <v>879</v>
      </c>
      <c r="J1669" s="26" t="s">
        <v>606</v>
      </c>
      <c r="K1669" s="27">
        <v>11500</v>
      </c>
      <c r="L1669" s="31" t="s">
        <v>601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598</v>
      </c>
      <c r="D1670" s="31" t="s">
        <v>625</v>
      </c>
      <c r="E1670" s="31"/>
      <c r="F1670" s="31" t="s">
        <v>1233</v>
      </c>
      <c r="G1670" s="27">
        <v>22400</v>
      </c>
      <c r="H1670" s="31" t="s">
        <v>54</v>
      </c>
      <c r="I1670" s="31"/>
      <c r="J1670" s="26" t="s">
        <v>630</v>
      </c>
      <c r="K1670" s="27">
        <v>22400</v>
      </c>
      <c r="L1670" s="31" t="s">
        <v>601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1108</v>
      </c>
      <c r="D1671" s="31" t="s">
        <v>741</v>
      </c>
      <c r="E1671" s="31" t="s">
        <v>1019</v>
      </c>
      <c r="F1671" s="31" t="s">
        <v>670</v>
      </c>
      <c r="G1671" s="27">
        <v>11600</v>
      </c>
      <c r="H1671" s="31" t="s">
        <v>54</v>
      </c>
      <c r="I1671" s="31" t="s">
        <v>1234</v>
      </c>
      <c r="J1671" s="26" t="s">
        <v>614</v>
      </c>
      <c r="K1671" s="27">
        <v>5800</v>
      </c>
      <c r="L1671" s="31" t="s">
        <v>190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1108</v>
      </c>
      <c r="D1672" s="31" t="s">
        <v>741</v>
      </c>
      <c r="E1672" s="31" t="s">
        <v>1019</v>
      </c>
      <c r="F1672" s="31" t="s">
        <v>1233</v>
      </c>
      <c r="G1672" s="27">
        <v>35600</v>
      </c>
      <c r="H1672" s="31" t="s">
        <v>54</v>
      </c>
      <c r="I1672" s="31" t="s">
        <v>1235</v>
      </c>
      <c r="J1672" s="26" t="s">
        <v>614</v>
      </c>
      <c r="K1672" s="27">
        <v>17800</v>
      </c>
      <c r="L1672" s="31" t="s">
        <v>190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1108</v>
      </c>
      <c r="D1673" s="31" t="s">
        <v>741</v>
      </c>
      <c r="E1673" s="31" t="s">
        <v>1019</v>
      </c>
      <c r="F1673" s="31" t="s">
        <v>1233</v>
      </c>
      <c r="G1673" s="27">
        <v>3600</v>
      </c>
      <c r="H1673" s="31" t="s">
        <v>54</v>
      </c>
      <c r="I1673" s="31" t="s">
        <v>1236</v>
      </c>
      <c r="J1673" s="26" t="s">
        <v>614</v>
      </c>
      <c r="K1673" s="27">
        <v>1800</v>
      </c>
      <c r="L1673" s="31" t="s">
        <v>190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1108</v>
      </c>
      <c r="D1674" s="31" t="s">
        <v>19</v>
      </c>
      <c r="E1674" s="31"/>
      <c r="F1674" s="31" t="s">
        <v>1140</v>
      </c>
      <c r="G1674" s="27">
        <v>100</v>
      </c>
      <c r="H1674" s="31" t="s">
        <v>397</v>
      </c>
      <c r="I1674" s="31"/>
      <c r="J1674" s="26" t="s">
        <v>653</v>
      </c>
      <c r="K1674" s="27">
        <v>100</v>
      </c>
      <c r="L1674" s="31" t="s">
        <v>601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598</v>
      </c>
      <c r="D1675" s="31" t="s">
        <v>771</v>
      </c>
      <c r="E1675" s="31"/>
      <c r="F1675" s="31" t="s">
        <v>923</v>
      </c>
      <c r="G1675" s="27">
        <v>25800</v>
      </c>
      <c r="H1675" s="31" t="s">
        <v>54</v>
      </c>
      <c r="I1675" s="31" t="s">
        <v>1237</v>
      </c>
      <c r="J1675" s="26" t="s">
        <v>606</v>
      </c>
      <c r="K1675" s="27">
        <v>25800</v>
      </c>
      <c r="L1675" s="31" t="s">
        <v>601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598</v>
      </c>
      <c r="D1676" s="31" t="s">
        <v>453</v>
      </c>
      <c r="E1676" s="31"/>
      <c r="F1676" s="31" t="s">
        <v>453</v>
      </c>
      <c r="G1676" s="27">
        <v>4500</v>
      </c>
      <c r="H1676" s="31" t="s">
        <v>54</v>
      </c>
      <c r="I1676" s="31"/>
      <c r="J1676" s="26" t="s">
        <v>609</v>
      </c>
      <c r="K1676" s="27">
        <v>4500</v>
      </c>
      <c r="L1676" s="31" t="s">
        <v>601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598</v>
      </c>
      <c r="D1677" s="31" t="s">
        <v>452</v>
      </c>
      <c r="E1677" s="31" t="s">
        <v>714</v>
      </c>
      <c r="F1677" s="31" t="s">
        <v>604</v>
      </c>
      <c r="G1677" s="27">
        <v>5100</v>
      </c>
      <c r="H1677" s="31" t="s">
        <v>54</v>
      </c>
      <c r="I1677" s="31" t="s">
        <v>1238</v>
      </c>
      <c r="J1677" s="26" t="s">
        <v>606</v>
      </c>
      <c r="K1677" s="27">
        <v>5100</v>
      </c>
      <c r="L1677" s="31" t="s">
        <v>601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598</v>
      </c>
      <c r="D1678" s="31" t="s">
        <v>625</v>
      </c>
      <c r="E1678" s="31"/>
      <c r="F1678" s="31" t="s">
        <v>654</v>
      </c>
      <c r="G1678" s="27">
        <v>244020</v>
      </c>
      <c r="H1678" s="31" t="s">
        <v>54</v>
      </c>
      <c r="I1678" s="31" t="s">
        <v>1239</v>
      </c>
      <c r="J1678" s="26" t="s">
        <v>630</v>
      </c>
      <c r="K1678" s="27">
        <v>244020</v>
      </c>
      <c r="L1678" s="31" t="s">
        <v>601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598</v>
      </c>
      <c r="D1679" s="31" t="s">
        <v>625</v>
      </c>
      <c r="E1679" s="31"/>
      <c r="F1679" s="31" t="s">
        <v>1046</v>
      </c>
      <c r="G1679" s="27">
        <v>170100</v>
      </c>
      <c r="H1679" s="31" t="s">
        <v>54</v>
      </c>
      <c r="I1679" s="31" t="s">
        <v>1240</v>
      </c>
      <c r="J1679" s="26" t="s">
        <v>630</v>
      </c>
      <c r="K1679" s="27">
        <v>170100</v>
      </c>
      <c r="L1679" s="31" t="s">
        <v>601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753</v>
      </c>
      <c r="D1680" s="31" t="s">
        <v>19</v>
      </c>
      <c r="E1680" s="31"/>
      <c r="F1680" s="31" t="s">
        <v>779</v>
      </c>
      <c r="G1680" s="27">
        <v>7918</v>
      </c>
      <c r="H1680" s="31" t="s">
        <v>54</v>
      </c>
      <c r="I1680" s="31"/>
      <c r="J1680" s="26" t="s">
        <v>600</v>
      </c>
      <c r="K1680" s="27">
        <v>7918</v>
      </c>
      <c r="L1680" s="31" t="s">
        <v>601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598</v>
      </c>
      <c r="D1681" s="31" t="s">
        <v>362</v>
      </c>
      <c r="E1681" s="31"/>
      <c r="F1681" s="31" t="s">
        <v>755</v>
      </c>
      <c r="G1681" s="27">
        <v>4890</v>
      </c>
      <c r="H1681" s="31" t="s">
        <v>54</v>
      </c>
      <c r="I1681" s="31"/>
      <c r="J1681" s="26" t="s">
        <v>600</v>
      </c>
      <c r="K1681" s="27">
        <v>4890</v>
      </c>
      <c r="L1681" s="31" t="s">
        <v>601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598</v>
      </c>
      <c r="D1682" s="31" t="s">
        <v>452</v>
      </c>
      <c r="E1682" s="31" t="s">
        <v>603</v>
      </c>
      <c r="F1682" s="31" t="s">
        <v>803</v>
      </c>
      <c r="G1682" s="27">
        <v>3800</v>
      </c>
      <c r="H1682" s="31" t="s">
        <v>54</v>
      </c>
      <c r="I1682" s="31"/>
      <c r="J1682" s="26" t="s">
        <v>606</v>
      </c>
      <c r="K1682" s="27">
        <v>3800</v>
      </c>
      <c r="L1682" s="31" t="s">
        <v>601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598</v>
      </c>
      <c r="D1683" s="31" t="s">
        <v>625</v>
      </c>
      <c r="E1683" s="31"/>
      <c r="F1683" s="31" t="s">
        <v>1046</v>
      </c>
      <c r="G1683" s="27">
        <v>208000</v>
      </c>
      <c r="H1683" s="31" t="s">
        <v>54</v>
      </c>
      <c r="I1683" s="31" t="s">
        <v>1241</v>
      </c>
      <c r="J1683" s="26" t="s">
        <v>630</v>
      </c>
      <c r="K1683" s="27">
        <v>208000</v>
      </c>
      <c r="L1683" s="31" t="s">
        <v>601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404</v>
      </c>
      <c r="D1684" s="31" t="s">
        <v>187</v>
      </c>
      <c r="E1684" s="31"/>
      <c r="F1684" s="31" t="s">
        <v>72</v>
      </c>
      <c r="G1684" s="27">
        <v>20000</v>
      </c>
      <c r="H1684" s="31" t="s">
        <v>633</v>
      </c>
      <c r="I1684" s="31"/>
      <c r="J1684" s="26" t="s">
        <v>634</v>
      </c>
      <c r="K1684" s="27">
        <v>20000</v>
      </c>
      <c r="L1684" s="31" t="s">
        <v>601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187</v>
      </c>
      <c r="D1685" s="31" t="s">
        <v>404</v>
      </c>
      <c r="E1685" s="31"/>
      <c r="F1685" s="31" t="s">
        <v>72</v>
      </c>
      <c r="G1685" s="27">
        <v>20000</v>
      </c>
      <c r="H1685" s="31" t="s">
        <v>636</v>
      </c>
      <c r="I1685" s="31"/>
      <c r="J1685" s="26" t="s">
        <v>659</v>
      </c>
      <c r="K1685" s="27">
        <v>20000</v>
      </c>
      <c r="L1685" s="31" t="s">
        <v>601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187</v>
      </c>
      <c r="D1686" s="31" t="s">
        <v>436</v>
      </c>
      <c r="E1686" s="31"/>
      <c r="F1686" s="31" t="s">
        <v>72</v>
      </c>
      <c r="G1686" s="27">
        <v>20000</v>
      </c>
      <c r="H1686" s="31" t="s">
        <v>636</v>
      </c>
      <c r="I1686" s="31"/>
      <c r="J1686" s="26" t="s">
        <v>668</v>
      </c>
      <c r="K1686" s="27">
        <v>20000</v>
      </c>
      <c r="L1686" s="31" t="s">
        <v>601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436</v>
      </c>
      <c r="D1687" s="31" t="s">
        <v>187</v>
      </c>
      <c r="E1687" s="31"/>
      <c r="F1687" s="31" t="s">
        <v>72</v>
      </c>
      <c r="G1687" s="27">
        <v>20000</v>
      </c>
      <c r="H1687" s="31" t="s">
        <v>633</v>
      </c>
      <c r="I1687" s="31"/>
      <c r="J1687" s="26" t="s">
        <v>634</v>
      </c>
      <c r="K1687" s="27">
        <v>20000</v>
      </c>
      <c r="L1687" s="31" t="s">
        <v>601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166</v>
      </c>
      <c r="D1688" s="31" t="s">
        <v>187</v>
      </c>
      <c r="E1688" s="31"/>
      <c r="F1688" s="31" t="s">
        <v>72</v>
      </c>
      <c r="G1688" s="27">
        <v>2999903</v>
      </c>
      <c r="H1688" s="31" t="s">
        <v>633</v>
      </c>
      <c r="I1688" s="31" t="s">
        <v>1242</v>
      </c>
      <c r="J1688" s="26" t="s">
        <v>634</v>
      </c>
      <c r="K1688" s="27">
        <v>2999903</v>
      </c>
      <c r="L1688" s="31" t="s">
        <v>601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187</v>
      </c>
      <c r="D1689" s="31" t="s">
        <v>166</v>
      </c>
      <c r="E1689" s="31"/>
      <c r="F1689" s="31" t="s">
        <v>72</v>
      </c>
      <c r="G1689" s="27">
        <v>2999903</v>
      </c>
      <c r="H1689" s="31" t="s">
        <v>636</v>
      </c>
      <c r="I1689" s="31" t="s">
        <v>1242</v>
      </c>
      <c r="J1689" s="26" t="s">
        <v>675</v>
      </c>
      <c r="K1689" s="27">
        <v>2999903</v>
      </c>
      <c r="L1689" s="31" t="s">
        <v>601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187</v>
      </c>
      <c r="D1690" s="31" t="s">
        <v>184</v>
      </c>
      <c r="E1690" s="31"/>
      <c r="F1690" s="31" t="s">
        <v>72</v>
      </c>
      <c r="G1690" s="27">
        <v>2998299</v>
      </c>
      <c r="H1690" s="31" t="s">
        <v>636</v>
      </c>
      <c r="I1690" s="31" t="s">
        <v>1242</v>
      </c>
      <c r="J1690" s="26" t="s">
        <v>675</v>
      </c>
      <c r="K1690" s="27">
        <v>2998299</v>
      </c>
      <c r="L1690" s="31" t="s">
        <v>601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184</v>
      </c>
      <c r="D1691" s="31" t="s">
        <v>187</v>
      </c>
      <c r="E1691" s="31"/>
      <c r="F1691" s="31" t="s">
        <v>72</v>
      </c>
      <c r="G1691" s="27">
        <v>2998299</v>
      </c>
      <c r="H1691" s="31" t="s">
        <v>633</v>
      </c>
      <c r="I1691" s="31" t="s">
        <v>1242</v>
      </c>
      <c r="J1691" s="26" t="s">
        <v>634</v>
      </c>
      <c r="K1691" s="27">
        <v>2998299</v>
      </c>
      <c r="L1691" s="31" t="s">
        <v>601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187</v>
      </c>
      <c r="D1692" s="31" t="s">
        <v>753</v>
      </c>
      <c r="E1692" s="31"/>
      <c r="F1692" s="31" t="s">
        <v>72</v>
      </c>
      <c r="G1692" s="27">
        <v>1778425</v>
      </c>
      <c r="H1692" s="31" t="s">
        <v>636</v>
      </c>
      <c r="I1692" s="31" t="s">
        <v>1242</v>
      </c>
      <c r="J1692" s="26" t="s">
        <v>675</v>
      </c>
      <c r="K1692" s="27">
        <v>1778425</v>
      </c>
      <c r="L1692" s="31" t="s">
        <v>601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753</v>
      </c>
      <c r="D1693" s="31" t="s">
        <v>187</v>
      </c>
      <c r="E1693" s="31"/>
      <c r="F1693" s="31" t="s">
        <v>72</v>
      </c>
      <c r="G1693" s="27">
        <v>1778425</v>
      </c>
      <c r="H1693" s="31" t="s">
        <v>633</v>
      </c>
      <c r="I1693" s="31" t="s">
        <v>1242</v>
      </c>
      <c r="J1693" s="26" t="s">
        <v>634</v>
      </c>
      <c r="K1693" s="27">
        <v>1778425</v>
      </c>
      <c r="L1693" s="31" t="s">
        <v>601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645</v>
      </c>
      <c r="D1694" s="31" t="s">
        <v>154</v>
      </c>
      <c r="E1694" s="31"/>
      <c r="F1694" s="31" t="s">
        <v>72</v>
      </c>
      <c r="G1694" s="27">
        <v>7140</v>
      </c>
      <c r="H1694" s="31" t="s">
        <v>636</v>
      </c>
      <c r="I1694" s="31"/>
      <c r="J1694" s="26" t="s">
        <v>634</v>
      </c>
      <c r="K1694" s="27">
        <v>7140</v>
      </c>
      <c r="L1694" s="31" t="s">
        <v>601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154</v>
      </c>
      <c r="D1695" s="31" t="s">
        <v>645</v>
      </c>
      <c r="E1695" s="31"/>
      <c r="F1695" s="31" t="s">
        <v>72</v>
      </c>
      <c r="G1695" s="27">
        <v>7140</v>
      </c>
      <c r="H1695" s="31" t="s">
        <v>633</v>
      </c>
      <c r="I1695" s="31"/>
      <c r="J1695" s="26" t="s">
        <v>634</v>
      </c>
      <c r="K1695" s="27">
        <v>7140</v>
      </c>
      <c r="L1695" s="31" t="s">
        <v>601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187</v>
      </c>
      <c r="D1696" s="31" t="s">
        <v>154</v>
      </c>
      <c r="E1696" s="31"/>
      <c r="F1696" s="31" t="s">
        <v>72</v>
      </c>
      <c r="G1696" s="27">
        <v>5114881</v>
      </c>
      <c r="H1696" s="31" t="s">
        <v>636</v>
      </c>
      <c r="I1696" s="31"/>
      <c r="J1696" s="26" t="s">
        <v>634</v>
      </c>
      <c r="K1696" s="27">
        <v>5114881</v>
      </c>
      <c r="L1696" s="31" t="s">
        <v>601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154</v>
      </c>
      <c r="D1697" s="31" t="s">
        <v>187</v>
      </c>
      <c r="E1697" s="31"/>
      <c r="F1697" s="31" t="s">
        <v>72</v>
      </c>
      <c r="G1697" s="27">
        <v>5114881</v>
      </c>
      <c r="H1697" s="31" t="s">
        <v>633</v>
      </c>
      <c r="I1697" s="31"/>
      <c r="J1697" s="26" t="s">
        <v>634</v>
      </c>
      <c r="K1697" s="27">
        <v>5114881</v>
      </c>
      <c r="L1697" s="31" t="s">
        <v>601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632</v>
      </c>
      <c r="D1698" s="31" t="s">
        <v>154</v>
      </c>
      <c r="E1698" s="31"/>
      <c r="F1698" s="31" t="s">
        <v>72</v>
      </c>
      <c r="G1698" s="27">
        <v>2776050</v>
      </c>
      <c r="H1698" s="31" t="s">
        <v>636</v>
      </c>
      <c r="I1698" s="31"/>
      <c r="J1698" s="26" t="s">
        <v>634</v>
      </c>
      <c r="K1698" s="27">
        <v>2776050</v>
      </c>
      <c r="L1698" s="31" t="s">
        <v>601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154</v>
      </c>
      <c r="D1699" s="31" t="s">
        <v>632</v>
      </c>
      <c r="E1699" s="31"/>
      <c r="F1699" s="31" t="s">
        <v>72</v>
      </c>
      <c r="G1699" s="27">
        <v>2776050</v>
      </c>
      <c r="H1699" s="31" t="s">
        <v>633</v>
      </c>
      <c r="I1699" s="31"/>
      <c r="J1699" s="26" t="s">
        <v>634</v>
      </c>
      <c r="K1699" s="27">
        <v>2776050</v>
      </c>
      <c r="L1699" s="31" t="s">
        <v>601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154</v>
      </c>
      <c r="D1700" s="31" t="s">
        <v>19</v>
      </c>
      <c r="E1700" s="31"/>
      <c r="F1700" s="31" t="s">
        <v>179</v>
      </c>
      <c r="G1700" s="27">
        <v>2202</v>
      </c>
      <c r="H1700" s="31" t="s">
        <v>397</v>
      </c>
      <c r="I1700" s="31"/>
      <c r="J1700" s="26" t="s">
        <v>653</v>
      </c>
      <c r="K1700" s="27">
        <v>2202</v>
      </c>
      <c r="L1700" s="31" t="s">
        <v>601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154</v>
      </c>
      <c r="D1701" s="31" t="s">
        <v>712</v>
      </c>
      <c r="E1701" s="31"/>
      <c r="F1701" s="31" t="s">
        <v>72</v>
      </c>
      <c r="G1701" s="27">
        <v>100000</v>
      </c>
      <c r="H1701" s="31" t="s">
        <v>633</v>
      </c>
      <c r="I1701" s="31"/>
      <c r="J1701" s="26" t="s">
        <v>634</v>
      </c>
      <c r="K1701" s="27">
        <v>100000</v>
      </c>
      <c r="L1701" s="31" t="s">
        <v>601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712</v>
      </c>
      <c r="D1702" s="31" t="s">
        <v>154</v>
      </c>
      <c r="E1702" s="31"/>
      <c r="F1702" s="31" t="s">
        <v>72</v>
      </c>
      <c r="G1702" s="27">
        <v>100000</v>
      </c>
      <c r="H1702" s="31" t="s">
        <v>636</v>
      </c>
      <c r="I1702" s="31"/>
      <c r="J1702" s="26" t="s">
        <v>634</v>
      </c>
      <c r="K1702" s="27">
        <v>100000</v>
      </c>
      <c r="L1702" s="31" t="s">
        <v>601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154</v>
      </c>
      <c r="D1703" s="31" t="s">
        <v>835</v>
      </c>
      <c r="E1703" s="31"/>
      <c r="F1703" s="31" t="s">
        <v>72</v>
      </c>
      <c r="G1703" s="27">
        <v>60000</v>
      </c>
      <c r="H1703" s="31" t="s">
        <v>636</v>
      </c>
      <c r="I1703" s="31"/>
      <c r="J1703" s="26" t="s">
        <v>662</v>
      </c>
      <c r="K1703" s="27">
        <v>60000</v>
      </c>
      <c r="L1703" s="31" t="s">
        <v>601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835</v>
      </c>
      <c r="D1704" s="31" t="s">
        <v>154</v>
      </c>
      <c r="E1704" s="31"/>
      <c r="F1704" s="31" t="s">
        <v>72</v>
      </c>
      <c r="G1704" s="27">
        <v>60000</v>
      </c>
      <c r="H1704" s="31" t="s">
        <v>633</v>
      </c>
      <c r="I1704" s="31"/>
      <c r="J1704" s="26" t="s">
        <v>634</v>
      </c>
      <c r="K1704" s="27">
        <v>60000</v>
      </c>
      <c r="L1704" s="31" t="s">
        <v>601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154</v>
      </c>
      <c r="D1705" s="31" t="s">
        <v>834</v>
      </c>
      <c r="E1705" s="31"/>
      <c r="F1705" s="31" t="s">
        <v>72</v>
      </c>
      <c r="G1705" s="27">
        <v>60000</v>
      </c>
      <c r="H1705" s="31" t="s">
        <v>636</v>
      </c>
      <c r="I1705" s="31"/>
      <c r="J1705" s="26" t="s">
        <v>662</v>
      </c>
      <c r="K1705" s="27">
        <v>60000</v>
      </c>
      <c r="L1705" s="31" t="s">
        <v>601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834</v>
      </c>
      <c r="D1706" s="31" t="s">
        <v>154</v>
      </c>
      <c r="E1706" s="31"/>
      <c r="F1706" s="31" t="s">
        <v>72</v>
      </c>
      <c r="G1706" s="27">
        <v>60000</v>
      </c>
      <c r="H1706" s="31" t="s">
        <v>633</v>
      </c>
      <c r="I1706" s="31"/>
      <c r="J1706" s="26" t="s">
        <v>634</v>
      </c>
      <c r="K1706" s="27">
        <v>60000</v>
      </c>
      <c r="L1706" s="31" t="s">
        <v>601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835</v>
      </c>
      <c r="D1707" s="31" t="s">
        <v>635</v>
      </c>
      <c r="E1707" s="31"/>
      <c r="F1707" s="31" t="s">
        <v>865</v>
      </c>
      <c r="G1707" s="27">
        <v>50739</v>
      </c>
      <c r="H1707" s="31" t="s">
        <v>54</v>
      </c>
      <c r="I1707" s="31" t="s">
        <v>880</v>
      </c>
      <c r="J1707" s="26" t="s">
        <v>635</v>
      </c>
      <c r="K1707" s="27">
        <v>50739</v>
      </c>
      <c r="L1707" s="31" t="s">
        <v>601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834</v>
      </c>
      <c r="D1708" s="31" t="s">
        <v>635</v>
      </c>
      <c r="E1708" s="31"/>
      <c r="F1708" s="31" t="s">
        <v>865</v>
      </c>
      <c r="G1708" s="27">
        <v>52974</v>
      </c>
      <c r="H1708" s="31" t="s">
        <v>54</v>
      </c>
      <c r="I1708" s="31" t="s">
        <v>880</v>
      </c>
      <c r="J1708" s="26" t="s">
        <v>635</v>
      </c>
      <c r="K1708" s="27">
        <v>52974</v>
      </c>
      <c r="L1708" s="31" t="s">
        <v>601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166</v>
      </c>
      <c r="D1709" s="31" t="s">
        <v>154</v>
      </c>
      <c r="E1709" s="31"/>
      <c r="F1709" s="31" t="s">
        <v>72</v>
      </c>
      <c r="G1709" s="27">
        <v>18000</v>
      </c>
      <c r="H1709" s="31" t="s">
        <v>633</v>
      </c>
      <c r="I1709" s="31"/>
      <c r="J1709" s="26" t="s">
        <v>634</v>
      </c>
      <c r="K1709" s="27">
        <v>18000</v>
      </c>
      <c r="L1709" s="31" t="s">
        <v>601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154</v>
      </c>
      <c r="D1710" s="31" t="s">
        <v>166</v>
      </c>
      <c r="E1710" s="31"/>
      <c r="F1710" s="31" t="s">
        <v>72</v>
      </c>
      <c r="G1710" s="27">
        <v>18000</v>
      </c>
      <c r="H1710" s="31" t="s">
        <v>636</v>
      </c>
      <c r="I1710" s="31"/>
      <c r="J1710" s="26" t="s">
        <v>634</v>
      </c>
      <c r="K1710" s="27">
        <v>18000</v>
      </c>
      <c r="L1710" s="31" t="s">
        <v>601</v>
      </c>
      <c r="M1710" s="31" t="s">
        <v>1243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184</v>
      </c>
      <c r="D1711" s="31" t="s">
        <v>154</v>
      </c>
      <c r="E1711" s="31"/>
      <c r="F1711" s="31" t="s">
        <v>72</v>
      </c>
      <c r="G1711" s="27">
        <v>18000</v>
      </c>
      <c r="H1711" s="31" t="s">
        <v>633</v>
      </c>
      <c r="I1711" s="31"/>
      <c r="J1711" s="26" t="s">
        <v>634</v>
      </c>
      <c r="K1711" s="27">
        <v>18000</v>
      </c>
      <c r="L1711" s="31" t="s">
        <v>601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154</v>
      </c>
      <c r="D1712" s="31" t="s">
        <v>184</v>
      </c>
      <c r="E1712" s="31"/>
      <c r="F1712" s="31" t="s">
        <v>72</v>
      </c>
      <c r="G1712" s="27">
        <v>18000</v>
      </c>
      <c r="H1712" s="31" t="s">
        <v>636</v>
      </c>
      <c r="I1712" s="31"/>
      <c r="J1712" s="26" t="s">
        <v>634</v>
      </c>
      <c r="K1712" s="27">
        <v>18000</v>
      </c>
      <c r="L1712" s="31" t="s">
        <v>601</v>
      </c>
      <c r="M1712" s="31" t="s">
        <v>1243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166</v>
      </c>
      <c r="D1713" s="31" t="s">
        <v>19</v>
      </c>
      <c r="E1713" s="31"/>
      <c r="F1713" s="31" t="s">
        <v>763</v>
      </c>
      <c r="G1713" s="27">
        <v>1</v>
      </c>
      <c r="H1713" s="31" t="s">
        <v>397</v>
      </c>
      <c r="I1713" s="31"/>
      <c r="J1713" s="26" t="s">
        <v>653</v>
      </c>
      <c r="K1713" s="27">
        <v>1</v>
      </c>
      <c r="L1713" s="31" t="s">
        <v>601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166</v>
      </c>
      <c r="D1714" s="31" t="s">
        <v>646</v>
      </c>
      <c r="E1714" s="31"/>
      <c r="F1714" s="31" t="s">
        <v>1244</v>
      </c>
      <c r="G1714" s="27">
        <v>10000</v>
      </c>
      <c r="H1714" s="31" t="s">
        <v>54</v>
      </c>
      <c r="I1714" s="31" t="s">
        <v>1245</v>
      </c>
      <c r="J1714" s="26" t="s">
        <v>600</v>
      </c>
      <c r="K1714" s="27">
        <v>10000</v>
      </c>
      <c r="L1714" s="31" t="s">
        <v>601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154</v>
      </c>
      <c r="D1715" s="31" t="s">
        <v>166</v>
      </c>
      <c r="E1715" s="31"/>
      <c r="F1715" s="31" t="s">
        <v>72</v>
      </c>
      <c r="G1715" s="27">
        <v>10000</v>
      </c>
      <c r="H1715" s="31" t="s">
        <v>636</v>
      </c>
      <c r="I1715" s="31"/>
      <c r="J1715" s="26" t="s">
        <v>634</v>
      </c>
      <c r="K1715" s="27">
        <v>10000</v>
      </c>
      <c r="L1715" s="31" t="s">
        <v>601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166</v>
      </c>
      <c r="D1716" s="31" t="s">
        <v>154</v>
      </c>
      <c r="E1716" s="31"/>
      <c r="F1716" s="31" t="s">
        <v>72</v>
      </c>
      <c r="G1716" s="27">
        <v>10000</v>
      </c>
      <c r="H1716" s="31" t="s">
        <v>633</v>
      </c>
      <c r="I1716" s="31"/>
      <c r="J1716" s="26" t="s">
        <v>634</v>
      </c>
      <c r="K1716" s="27">
        <v>10000</v>
      </c>
      <c r="L1716" s="31" t="s">
        <v>601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1158</v>
      </c>
      <c r="D1717" s="31" t="s">
        <v>452</v>
      </c>
      <c r="E1717" s="31" t="s">
        <v>714</v>
      </c>
      <c r="F1717" s="31" t="s">
        <v>604</v>
      </c>
      <c r="G1717" s="27">
        <v>11600</v>
      </c>
      <c r="H1717" s="31" t="s">
        <v>54</v>
      </c>
      <c r="I1717" s="31" t="s">
        <v>821</v>
      </c>
      <c r="J1717" s="26" t="s">
        <v>606</v>
      </c>
      <c r="K1717" s="27">
        <v>11600</v>
      </c>
      <c r="L1717" s="31" t="s">
        <v>601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184</v>
      </c>
      <c r="D1718" s="31" t="s">
        <v>19</v>
      </c>
      <c r="E1718" s="31"/>
      <c r="F1718" s="31" t="s">
        <v>756</v>
      </c>
      <c r="G1718" s="27">
        <v>17952</v>
      </c>
      <c r="H1718" s="31" t="s">
        <v>54</v>
      </c>
      <c r="I1718" s="31"/>
      <c r="J1718" s="26" t="s">
        <v>600</v>
      </c>
      <c r="K1718" s="27">
        <v>17952</v>
      </c>
      <c r="L1718" s="31" t="s">
        <v>601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154</v>
      </c>
      <c r="D1719" s="31" t="s">
        <v>184</v>
      </c>
      <c r="E1719" s="31"/>
      <c r="F1719" s="31" t="s">
        <v>72</v>
      </c>
      <c r="G1719" s="27">
        <v>48</v>
      </c>
      <c r="H1719" s="31" t="s">
        <v>633</v>
      </c>
      <c r="I1719" s="31"/>
      <c r="J1719" s="26" t="s">
        <v>634</v>
      </c>
      <c r="K1719" s="27">
        <v>48</v>
      </c>
      <c r="L1719" s="31" t="s">
        <v>601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184</v>
      </c>
      <c r="D1720" s="31" t="s">
        <v>154</v>
      </c>
      <c r="E1720" s="31"/>
      <c r="F1720" s="31" t="s">
        <v>72</v>
      </c>
      <c r="G1720" s="27">
        <v>48</v>
      </c>
      <c r="H1720" s="31" t="s">
        <v>636</v>
      </c>
      <c r="I1720" s="31"/>
      <c r="J1720" s="26" t="s">
        <v>634</v>
      </c>
      <c r="K1720" s="27">
        <v>48</v>
      </c>
      <c r="L1720" s="31" t="s">
        <v>601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1158</v>
      </c>
      <c r="D1721" s="31" t="s">
        <v>452</v>
      </c>
      <c r="E1721" s="31" t="s">
        <v>603</v>
      </c>
      <c r="F1721" s="31" t="s">
        <v>643</v>
      </c>
      <c r="G1721" s="27">
        <v>300</v>
      </c>
      <c r="H1721" s="31" t="s">
        <v>54</v>
      </c>
      <c r="I1721" s="31"/>
      <c r="J1721" s="26" t="s">
        <v>606</v>
      </c>
      <c r="K1721" s="27">
        <v>300</v>
      </c>
      <c r="L1721" s="31" t="s">
        <v>601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611</v>
      </c>
      <c r="D1722" s="31" t="s">
        <v>672</v>
      </c>
      <c r="E1722" s="31" t="s">
        <v>761</v>
      </c>
      <c r="F1722" s="31" t="s">
        <v>762</v>
      </c>
      <c r="G1722" s="27">
        <v>138056</v>
      </c>
      <c r="H1722" s="31" t="s">
        <v>54</v>
      </c>
      <c r="I1722" s="31"/>
      <c r="J1722" s="26" t="s">
        <v>600</v>
      </c>
      <c r="K1722" s="27">
        <v>138056</v>
      </c>
      <c r="L1722" s="31" t="s">
        <v>601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1158</v>
      </c>
      <c r="D1723" s="31" t="s">
        <v>452</v>
      </c>
      <c r="E1723" s="31" t="s">
        <v>612</v>
      </c>
      <c r="F1723" s="31" t="s">
        <v>604</v>
      </c>
      <c r="G1723" s="27">
        <v>4900</v>
      </c>
      <c r="H1723" s="31" t="s">
        <v>54</v>
      </c>
      <c r="I1723" s="31" t="s">
        <v>63</v>
      </c>
      <c r="J1723" s="26" t="s">
        <v>606</v>
      </c>
      <c r="K1723" s="27">
        <v>4900</v>
      </c>
      <c r="L1723" s="31" t="s">
        <v>601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1158</v>
      </c>
      <c r="D1724" s="31" t="s">
        <v>452</v>
      </c>
      <c r="E1724" s="31" t="s">
        <v>612</v>
      </c>
      <c r="F1724" s="31" t="s">
        <v>604</v>
      </c>
      <c r="G1724" s="27">
        <v>9300</v>
      </c>
      <c r="H1724" s="31" t="s">
        <v>54</v>
      </c>
      <c r="I1724" s="31" t="s">
        <v>821</v>
      </c>
      <c r="J1724" s="26" t="s">
        <v>606</v>
      </c>
      <c r="K1724" s="27">
        <v>9300</v>
      </c>
      <c r="L1724" s="31" t="s">
        <v>601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712</v>
      </c>
      <c r="D1725" s="31" t="s">
        <v>452</v>
      </c>
      <c r="E1725" s="31" t="s">
        <v>603</v>
      </c>
      <c r="F1725" s="31" t="s">
        <v>1103</v>
      </c>
      <c r="G1725" s="27">
        <v>-5500</v>
      </c>
      <c r="H1725" s="31" t="s">
        <v>54</v>
      </c>
      <c r="I1725" s="31" t="s">
        <v>1203</v>
      </c>
      <c r="J1725" s="26" t="s">
        <v>606</v>
      </c>
      <c r="K1725" s="27">
        <v>-5500</v>
      </c>
      <c r="L1725" s="31" t="s">
        <v>601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154</v>
      </c>
      <c r="D1726" s="31" t="s">
        <v>452</v>
      </c>
      <c r="E1726" s="31" t="s">
        <v>612</v>
      </c>
      <c r="F1726" s="31" t="s">
        <v>108</v>
      </c>
      <c r="G1726" s="27">
        <v>8000</v>
      </c>
      <c r="H1726" s="31" t="s">
        <v>54</v>
      </c>
      <c r="I1726" s="31"/>
      <c r="J1726" s="26" t="s">
        <v>606</v>
      </c>
      <c r="K1726" s="27">
        <v>8000</v>
      </c>
      <c r="L1726" s="31" t="s">
        <v>601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712</v>
      </c>
      <c r="D1727" s="31" t="s">
        <v>452</v>
      </c>
      <c r="E1727" s="31" t="s">
        <v>603</v>
      </c>
      <c r="F1727" s="31" t="s">
        <v>1103</v>
      </c>
      <c r="G1727" s="27">
        <v>11300</v>
      </c>
      <c r="H1727" s="31" t="s">
        <v>54</v>
      </c>
      <c r="I1727" s="31" t="s">
        <v>1205</v>
      </c>
      <c r="J1727" s="26" t="s">
        <v>606</v>
      </c>
      <c r="K1727" s="27">
        <v>11300</v>
      </c>
      <c r="L1727" s="31" t="s">
        <v>601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154</v>
      </c>
      <c r="D1728" s="31" t="s">
        <v>712</v>
      </c>
      <c r="E1728" s="31"/>
      <c r="F1728" s="31" t="s">
        <v>72</v>
      </c>
      <c r="G1728" s="27">
        <v>10000</v>
      </c>
      <c r="H1728" s="31" t="s">
        <v>636</v>
      </c>
      <c r="I1728" s="31" t="s">
        <v>1204</v>
      </c>
      <c r="J1728" s="26" t="s">
        <v>634</v>
      </c>
      <c r="K1728" s="27">
        <v>10000</v>
      </c>
      <c r="L1728" s="31" t="s">
        <v>601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712</v>
      </c>
      <c r="D1729" s="31" t="s">
        <v>154</v>
      </c>
      <c r="E1729" s="31"/>
      <c r="F1729" s="31" t="s">
        <v>72</v>
      </c>
      <c r="G1729" s="27">
        <v>10000</v>
      </c>
      <c r="H1729" s="31" t="s">
        <v>633</v>
      </c>
      <c r="I1729" s="31" t="s">
        <v>1204</v>
      </c>
      <c r="J1729" s="26" t="s">
        <v>634</v>
      </c>
      <c r="K1729" s="27">
        <v>10000</v>
      </c>
      <c r="L1729" s="31" t="s">
        <v>601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187</v>
      </c>
      <c r="D1730" s="31" t="s">
        <v>19</v>
      </c>
      <c r="E1730" s="31"/>
      <c r="F1730" s="31" t="s">
        <v>1246</v>
      </c>
      <c r="G1730" s="27">
        <v>250000</v>
      </c>
      <c r="H1730" s="31" t="s">
        <v>397</v>
      </c>
      <c r="I1730" s="31" t="s">
        <v>1247</v>
      </c>
      <c r="J1730" s="26" t="s">
        <v>647</v>
      </c>
      <c r="K1730" s="27">
        <v>250000</v>
      </c>
      <c r="L1730" s="31" t="s">
        <v>601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1158</v>
      </c>
      <c r="D1731" s="31" t="s">
        <v>741</v>
      </c>
      <c r="E1731" s="31" t="s">
        <v>1019</v>
      </c>
      <c r="F1731" s="31" t="s">
        <v>1248</v>
      </c>
      <c r="G1731" s="27">
        <v>37600</v>
      </c>
      <c r="H1731" s="31" t="s">
        <v>54</v>
      </c>
      <c r="I1731" s="31" t="s">
        <v>1249</v>
      </c>
      <c r="J1731" s="26" t="s">
        <v>614</v>
      </c>
      <c r="K1731" s="27">
        <v>37600</v>
      </c>
      <c r="L1731" s="31" t="s">
        <v>601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681</v>
      </c>
      <c r="D1732" s="31" t="s">
        <v>625</v>
      </c>
      <c r="E1732" s="31"/>
      <c r="F1732" s="31" t="s">
        <v>365</v>
      </c>
      <c r="G1732" s="27">
        <v>7290</v>
      </c>
      <c r="H1732" s="31" t="s">
        <v>54</v>
      </c>
      <c r="I1732" s="31" t="s">
        <v>1048</v>
      </c>
      <c r="J1732" s="26" t="s">
        <v>630</v>
      </c>
      <c r="K1732" s="27">
        <v>7290</v>
      </c>
      <c r="L1732" s="31" t="s">
        <v>601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1158</v>
      </c>
      <c r="D1733" s="31" t="s">
        <v>453</v>
      </c>
      <c r="E1733" s="31"/>
      <c r="F1733" s="31" t="s">
        <v>453</v>
      </c>
      <c r="G1733" s="27">
        <v>5000</v>
      </c>
      <c r="H1733" s="31" t="s">
        <v>54</v>
      </c>
      <c r="I1733" s="31"/>
      <c r="J1733" s="26" t="s">
        <v>609</v>
      </c>
      <c r="K1733" s="27">
        <v>5000</v>
      </c>
      <c r="L1733" s="31" t="s">
        <v>601</v>
      </c>
      <c r="M1733" s="31" t="s">
        <v>1250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1158</v>
      </c>
      <c r="D1734" s="31" t="s">
        <v>453</v>
      </c>
      <c r="E1734" s="31"/>
      <c r="F1734" s="31" t="s">
        <v>453</v>
      </c>
      <c r="G1734" s="27">
        <v>5000</v>
      </c>
      <c r="H1734" s="31" t="s">
        <v>54</v>
      </c>
      <c r="I1734" s="31"/>
      <c r="J1734" s="26" t="s">
        <v>609</v>
      </c>
      <c r="K1734" s="27">
        <v>5000</v>
      </c>
      <c r="L1734" s="31" t="s">
        <v>601</v>
      </c>
      <c r="M1734" s="31" t="s">
        <v>1250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1108</v>
      </c>
      <c r="D1735" s="31" t="s">
        <v>741</v>
      </c>
      <c r="E1735" s="31" t="s">
        <v>1019</v>
      </c>
      <c r="F1735" s="31" t="s">
        <v>1251</v>
      </c>
      <c r="G1735" s="27">
        <v>42000</v>
      </c>
      <c r="H1735" s="31" t="s">
        <v>54</v>
      </c>
      <c r="I1735" s="31" t="s">
        <v>1252</v>
      </c>
      <c r="J1735" s="26" t="s">
        <v>614</v>
      </c>
      <c r="K1735" s="27">
        <v>21000</v>
      </c>
      <c r="L1735" s="31" t="s">
        <v>190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1158</v>
      </c>
      <c r="D1736" s="31" t="s">
        <v>452</v>
      </c>
      <c r="E1736" s="31" t="s">
        <v>603</v>
      </c>
      <c r="F1736" s="31" t="s">
        <v>643</v>
      </c>
      <c r="G1736" s="27">
        <v>300</v>
      </c>
      <c r="H1736" s="31" t="s">
        <v>54</v>
      </c>
      <c r="I1736" s="31"/>
      <c r="J1736" s="26" t="s">
        <v>606</v>
      </c>
      <c r="K1736" s="27">
        <v>300</v>
      </c>
      <c r="L1736" s="31" t="s">
        <v>601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598</v>
      </c>
      <c r="D1737" s="31" t="s">
        <v>362</v>
      </c>
      <c r="E1737" s="31"/>
      <c r="F1737" s="31" t="s">
        <v>363</v>
      </c>
      <c r="G1737" s="27">
        <v>7890</v>
      </c>
      <c r="H1737" s="31" t="s">
        <v>54</v>
      </c>
      <c r="I1737" s="31"/>
      <c r="J1737" s="26" t="s">
        <v>600</v>
      </c>
      <c r="K1737" s="27">
        <v>7890</v>
      </c>
      <c r="L1737" s="31" t="s">
        <v>601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1158</v>
      </c>
      <c r="D1738" s="31" t="s">
        <v>452</v>
      </c>
      <c r="E1738" s="31" t="s">
        <v>612</v>
      </c>
      <c r="F1738" s="31" t="s">
        <v>1080</v>
      </c>
      <c r="G1738" s="27">
        <v>9000</v>
      </c>
      <c r="H1738" s="31" t="s">
        <v>54</v>
      </c>
      <c r="I1738" s="31"/>
      <c r="J1738" s="26" t="s">
        <v>606</v>
      </c>
      <c r="K1738" s="27">
        <v>9000</v>
      </c>
      <c r="L1738" s="31" t="s">
        <v>601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1158</v>
      </c>
      <c r="D1739" s="31" t="s">
        <v>625</v>
      </c>
      <c r="E1739" s="31"/>
      <c r="F1739" s="31" t="s">
        <v>626</v>
      </c>
      <c r="G1739" s="27">
        <v>5200</v>
      </c>
      <c r="H1739" s="31" t="s">
        <v>54</v>
      </c>
      <c r="I1739" s="31" t="s">
        <v>1253</v>
      </c>
      <c r="J1739" s="26" t="s">
        <v>630</v>
      </c>
      <c r="K1739" s="27">
        <v>5200</v>
      </c>
      <c r="L1739" s="31" t="s">
        <v>601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1158</v>
      </c>
      <c r="D1740" s="31" t="s">
        <v>625</v>
      </c>
      <c r="E1740" s="31"/>
      <c r="F1740" s="31" t="s">
        <v>934</v>
      </c>
      <c r="G1740" s="27">
        <v>16000</v>
      </c>
      <c r="H1740" s="31" t="s">
        <v>54</v>
      </c>
      <c r="I1740" s="31"/>
      <c r="J1740" s="26" t="s">
        <v>630</v>
      </c>
      <c r="K1740" s="27">
        <v>16000</v>
      </c>
      <c r="L1740" s="31" t="s">
        <v>601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1158</v>
      </c>
      <c r="D1741" s="31" t="s">
        <v>625</v>
      </c>
      <c r="E1741" s="31"/>
      <c r="F1741" s="31" t="s">
        <v>626</v>
      </c>
      <c r="G1741" s="27">
        <v>3000</v>
      </c>
      <c r="H1741" s="31" t="s">
        <v>54</v>
      </c>
      <c r="I1741" s="31" t="s">
        <v>1253</v>
      </c>
      <c r="J1741" s="26" t="s">
        <v>630</v>
      </c>
      <c r="K1741" s="27">
        <v>3000</v>
      </c>
      <c r="L1741" s="31" t="s">
        <v>601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1158</v>
      </c>
      <c r="D1742" s="31" t="s">
        <v>452</v>
      </c>
      <c r="E1742" s="31" t="s">
        <v>714</v>
      </c>
      <c r="F1742" s="31" t="s">
        <v>604</v>
      </c>
      <c r="G1742" s="27">
        <v>5700</v>
      </c>
      <c r="H1742" s="31" t="s">
        <v>54</v>
      </c>
      <c r="I1742" s="31" t="s">
        <v>821</v>
      </c>
      <c r="J1742" s="26" t="s">
        <v>606</v>
      </c>
      <c r="K1742" s="27">
        <v>5700</v>
      </c>
      <c r="L1742" s="31" t="s">
        <v>601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1158</v>
      </c>
      <c r="D1743" s="31" t="s">
        <v>453</v>
      </c>
      <c r="E1743" s="31"/>
      <c r="F1743" s="31" t="s">
        <v>453</v>
      </c>
      <c r="G1743" s="27">
        <v>5000</v>
      </c>
      <c r="H1743" s="31" t="s">
        <v>54</v>
      </c>
      <c r="I1743" s="31"/>
      <c r="J1743" s="26" t="s">
        <v>609</v>
      </c>
      <c r="K1743" s="27">
        <v>5000</v>
      </c>
      <c r="L1743" s="31" t="s">
        <v>601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546</v>
      </c>
      <c r="D1744" s="31" t="s">
        <v>625</v>
      </c>
      <c r="E1744" s="31"/>
      <c r="F1744" s="31" t="s">
        <v>626</v>
      </c>
      <c r="G1744" s="27">
        <v>12000</v>
      </c>
      <c r="H1744" s="31" t="s">
        <v>54</v>
      </c>
      <c r="I1744" s="31"/>
      <c r="J1744" s="26" t="s">
        <v>630</v>
      </c>
      <c r="K1744" s="27">
        <v>12000</v>
      </c>
      <c r="L1744" s="31" t="s">
        <v>601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166</v>
      </c>
      <c r="D1745" s="31" t="s">
        <v>19</v>
      </c>
      <c r="E1745" s="31"/>
      <c r="F1745" s="31" t="s">
        <v>767</v>
      </c>
      <c r="G1745" s="27">
        <v>15217</v>
      </c>
      <c r="H1745" s="31" t="s">
        <v>54</v>
      </c>
      <c r="I1745" s="31"/>
      <c r="J1745" s="26" t="s">
        <v>600</v>
      </c>
      <c r="K1745" s="27">
        <v>15217</v>
      </c>
      <c r="L1745" s="31" t="s">
        <v>601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187</v>
      </c>
      <c r="D1746" s="31" t="s">
        <v>771</v>
      </c>
      <c r="E1746" s="31"/>
      <c r="F1746" s="31" t="s">
        <v>1128</v>
      </c>
      <c r="G1746" s="27">
        <v>-30000</v>
      </c>
      <c r="H1746" s="31" t="s">
        <v>54</v>
      </c>
      <c r="I1746" s="31" t="s">
        <v>1254</v>
      </c>
      <c r="J1746" s="26" t="s">
        <v>600</v>
      </c>
      <c r="K1746" s="27">
        <v>-30000</v>
      </c>
      <c r="L1746" s="31" t="s">
        <v>601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1158</v>
      </c>
      <c r="D1747" s="31" t="s">
        <v>452</v>
      </c>
      <c r="E1747" s="31" t="s">
        <v>612</v>
      </c>
      <c r="F1747" s="31" t="s">
        <v>731</v>
      </c>
      <c r="G1747" s="27">
        <v>11000</v>
      </c>
      <c r="H1747" s="31" t="s">
        <v>54</v>
      </c>
      <c r="I1747" s="31"/>
      <c r="J1747" s="26" t="s">
        <v>606</v>
      </c>
      <c r="K1747" s="27">
        <v>11000</v>
      </c>
      <c r="L1747" s="31" t="s">
        <v>601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1158</v>
      </c>
      <c r="D1748" s="31" t="s">
        <v>452</v>
      </c>
      <c r="E1748" s="31" t="s">
        <v>603</v>
      </c>
      <c r="F1748" s="31" t="s">
        <v>643</v>
      </c>
      <c r="G1748" s="27">
        <v>11700</v>
      </c>
      <c r="H1748" s="31" t="s">
        <v>54</v>
      </c>
      <c r="I1748" s="31"/>
      <c r="J1748" s="26" t="s">
        <v>606</v>
      </c>
      <c r="K1748" s="27">
        <v>11700</v>
      </c>
      <c r="L1748" s="31" t="s">
        <v>601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187</v>
      </c>
      <c r="D1749" s="31" t="s">
        <v>19</v>
      </c>
      <c r="E1749" s="31"/>
      <c r="F1749" s="31" t="s">
        <v>836</v>
      </c>
      <c r="G1749" s="27">
        <v>300</v>
      </c>
      <c r="H1749" s="31" t="s">
        <v>397</v>
      </c>
      <c r="I1749" s="31"/>
      <c r="J1749" s="26" t="s">
        <v>653</v>
      </c>
      <c r="K1749" s="27">
        <v>300</v>
      </c>
      <c r="L1749" s="31" t="s">
        <v>601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681</v>
      </c>
      <c r="D1750" s="31" t="s">
        <v>625</v>
      </c>
      <c r="E1750" s="31"/>
      <c r="F1750" s="31" t="s">
        <v>365</v>
      </c>
      <c r="G1750" s="27">
        <v>37640</v>
      </c>
      <c r="H1750" s="31" t="s">
        <v>54</v>
      </c>
      <c r="I1750" s="31" t="s">
        <v>1255</v>
      </c>
      <c r="J1750" s="26" t="s">
        <v>630</v>
      </c>
      <c r="K1750" s="27">
        <v>37640</v>
      </c>
      <c r="L1750" s="31" t="s">
        <v>601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1158</v>
      </c>
      <c r="D1751" s="31" t="s">
        <v>452</v>
      </c>
      <c r="E1751" s="31" t="s">
        <v>714</v>
      </c>
      <c r="F1751" s="31" t="s">
        <v>604</v>
      </c>
      <c r="G1751" s="27">
        <v>5100</v>
      </c>
      <c r="H1751" s="31" t="s">
        <v>54</v>
      </c>
      <c r="I1751" s="31" t="s">
        <v>821</v>
      </c>
      <c r="J1751" s="26" t="s">
        <v>606</v>
      </c>
      <c r="K1751" s="27">
        <v>5100</v>
      </c>
      <c r="L1751" s="31" t="s">
        <v>601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1158</v>
      </c>
      <c r="D1752" s="31" t="s">
        <v>453</v>
      </c>
      <c r="E1752" s="31"/>
      <c r="F1752" s="31" t="s">
        <v>453</v>
      </c>
      <c r="G1752" s="27">
        <v>5000</v>
      </c>
      <c r="H1752" s="31" t="s">
        <v>54</v>
      </c>
      <c r="I1752" s="31"/>
      <c r="J1752" s="26" t="s">
        <v>609</v>
      </c>
      <c r="K1752" s="27">
        <v>5000</v>
      </c>
      <c r="L1752" s="31" t="s">
        <v>601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154</v>
      </c>
      <c r="D1753" s="31" t="s">
        <v>646</v>
      </c>
      <c r="E1753" s="31"/>
      <c r="F1753" s="31" t="s">
        <v>103</v>
      </c>
      <c r="G1753" s="27">
        <v>280000</v>
      </c>
      <c r="H1753" s="31" t="s">
        <v>54</v>
      </c>
      <c r="I1753" s="31" t="s">
        <v>1256</v>
      </c>
      <c r="J1753" s="26" t="s">
        <v>628</v>
      </c>
      <c r="K1753" s="27">
        <v>280000</v>
      </c>
      <c r="L1753" s="31" t="s">
        <v>601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187</v>
      </c>
      <c r="D1754" s="31" t="s">
        <v>154</v>
      </c>
      <c r="E1754" s="31"/>
      <c r="F1754" s="31" t="s">
        <v>72</v>
      </c>
      <c r="G1754" s="27">
        <v>280300</v>
      </c>
      <c r="H1754" s="31" t="s">
        <v>636</v>
      </c>
      <c r="I1754" s="31"/>
      <c r="J1754" s="26" t="s">
        <v>634</v>
      </c>
      <c r="K1754" s="27">
        <v>280300</v>
      </c>
      <c r="L1754" s="31" t="s">
        <v>601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154</v>
      </c>
      <c r="D1755" s="31" t="s">
        <v>187</v>
      </c>
      <c r="E1755" s="31"/>
      <c r="F1755" s="31" t="s">
        <v>72</v>
      </c>
      <c r="G1755" s="27">
        <v>280300</v>
      </c>
      <c r="H1755" s="31" t="s">
        <v>633</v>
      </c>
      <c r="I1755" s="31"/>
      <c r="J1755" s="26" t="s">
        <v>634</v>
      </c>
      <c r="K1755" s="27">
        <v>280300</v>
      </c>
      <c r="L1755" s="31" t="s">
        <v>601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154</v>
      </c>
      <c r="D1756" s="31" t="s">
        <v>166</v>
      </c>
      <c r="E1756" s="31"/>
      <c r="F1756" s="31" t="s">
        <v>72</v>
      </c>
      <c r="G1756" s="27">
        <v>2784</v>
      </c>
      <c r="H1756" s="31" t="s">
        <v>633</v>
      </c>
      <c r="I1756" s="31"/>
      <c r="J1756" s="26" t="s">
        <v>634</v>
      </c>
      <c r="K1756" s="27">
        <v>2784</v>
      </c>
      <c r="L1756" s="31" t="s">
        <v>601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166</v>
      </c>
      <c r="D1757" s="31" t="s">
        <v>154</v>
      </c>
      <c r="E1757" s="31"/>
      <c r="F1757" s="31" t="s">
        <v>72</v>
      </c>
      <c r="G1757" s="27">
        <v>2784</v>
      </c>
      <c r="H1757" s="31" t="s">
        <v>636</v>
      </c>
      <c r="I1757" s="31"/>
      <c r="J1757" s="26" t="s">
        <v>634</v>
      </c>
      <c r="K1757" s="27">
        <v>2784</v>
      </c>
      <c r="L1757" s="31" t="s">
        <v>601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154</v>
      </c>
      <c r="D1758" s="31" t="s">
        <v>712</v>
      </c>
      <c r="E1758" s="31"/>
      <c r="F1758" s="31" t="s">
        <v>72</v>
      </c>
      <c r="G1758" s="27">
        <v>4200</v>
      </c>
      <c r="H1758" s="31" t="s">
        <v>633</v>
      </c>
      <c r="I1758" s="31"/>
      <c r="J1758" s="26" t="s">
        <v>634</v>
      </c>
      <c r="K1758" s="27">
        <v>4200</v>
      </c>
      <c r="L1758" s="31" t="s">
        <v>601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712</v>
      </c>
      <c r="D1759" s="31" t="s">
        <v>154</v>
      </c>
      <c r="E1759" s="31"/>
      <c r="F1759" s="31" t="s">
        <v>72</v>
      </c>
      <c r="G1759" s="27">
        <v>4200</v>
      </c>
      <c r="H1759" s="31" t="s">
        <v>636</v>
      </c>
      <c r="I1759" s="31"/>
      <c r="J1759" s="26" t="s">
        <v>634</v>
      </c>
      <c r="K1759" s="27">
        <v>4200</v>
      </c>
      <c r="L1759" s="31" t="s">
        <v>601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598</v>
      </c>
      <c r="D1760" s="31" t="s">
        <v>19</v>
      </c>
      <c r="E1760" s="31"/>
      <c r="F1760" s="31" t="s">
        <v>770</v>
      </c>
      <c r="G1760" s="27">
        <v>-30000</v>
      </c>
      <c r="H1760" s="31" t="s">
        <v>54</v>
      </c>
      <c r="I1760" s="31"/>
      <c r="J1760" s="26" t="s">
        <v>678</v>
      </c>
      <c r="K1760" s="27">
        <v>-30000</v>
      </c>
      <c r="L1760" s="31" t="s">
        <v>601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154</v>
      </c>
      <c r="D1761" s="31" t="s">
        <v>646</v>
      </c>
      <c r="E1761" s="31"/>
      <c r="F1761" s="31" t="s">
        <v>1257</v>
      </c>
      <c r="G1761" s="27">
        <v>25000</v>
      </c>
      <c r="H1761" s="31" t="s">
        <v>54</v>
      </c>
      <c r="I1761" s="31" t="s">
        <v>1258</v>
      </c>
      <c r="J1761" s="26" t="s">
        <v>628</v>
      </c>
      <c r="K1761" s="27">
        <v>25000</v>
      </c>
      <c r="L1761" s="31" t="s">
        <v>601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1158</v>
      </c>
      <c r="D1762" s="31" t="s">
        <v>452</v>
      </c>
      <c r="E1762" s="31" t="s">
        <v>603</v>
      </c>
      <c r="F1762" s="31" t="s">
        <v>886</v>
      </c>
      <c r="G1762" s="27">
        <v>3600</v>
      </c>
      <c r="H1762" s="31" t="s">
        <v>54</v>
      </c>
      <c r="I1762" s="31" t="s">
        <v>871</v>
      </c>
      <c r="J1762" s="26" t="s">
        <v>606</v>
      </c>
      <c r="K1762" s="27">
        <v>3600</v>
      </c>
      <c r="L1762" s="31" t="s">
        <v>601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1158</v>
      </c>
      <c r="D1763" s="31" t="s">
        <v>453</v>
      </c>
      <c r="E1763" s="31"/>
      <c r="F1763" s="31" t="s">
        <v>453</v>
      </c>
      <c r="G1763" s="27">
        <v>5000</v>
      </c>
      <c r="H1763" s="31" t="s">
        <v>54</v>
      </c>
      <c r="I1763" s="31"/>
      <c r="J1763" s="26" t="s">
        <v>609</v>
      </c>
      <c r="K1763" s="27">
        <v>5000</v>
      </c>
      <c r="L1763" s="31" t="s">
        <v>601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1108</v>
      </c>
      <c r="D1764" s="31" t="s">
        <v>741</v>
      </c>
      <c r="E1764" s="31" t="s">
        <v>1019</v>
      </c>
      <c r="F1764" s="31" t="s">
        <v>1259</v>
      </c>
      <c r="G1764" s="27">
        <v>31500</v>
      </c>
      <c r="H1764" s="31" t="s">
        <v>54</v>
      </c>
      <c r="I1764" s="31" t="s">
        <v>1260</v>
      </c>
      <c r="J1764" s="26" t="s">
        <v>614</v>
      </c>
      <c r="K1764" s="27">
        <v>15750</v>
      </c>
      <c r="L1764" s="31" t="s">
        <v>190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1108</v>
      </c>
      <c r="D1765" s="31" t="s">
        <v>19</v>
      </c>
      <c r="E1765" s="31"/>
      <c r="F1765" s="31" t="s">
        <v>1141</v>
      </c>
      <c r="G1765" s="27">
        <v>8</v>
      </c>
      <c r="H1765" s="31" t="s">
        <v>397</v>
      </c>
      <c r="I1765" s="31"/>
      <c r="J1765" s="26" t="s">
        <v>653</v>
      </c>
      <c r="K1765" s="27">
        <v>8</v>
      </c>
      <c r="L1765" s="31" t="s">
        <v>601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1158</v>
      </c>
      <c r="D1766" s="31" t="s">
        <v>19</v>
      </c>
      <c r="E1766" s="31"/>
      <c r="F1766" s="31" t="s">
        <v>1261</v>
      </c>
      <c r="G1766" s="27">
        <v>-10619</v>
      </c>
      <c r="H1766" s="31" t="s">
        <v>54</v>
      </c>
      <c r="I1766" s="31"/>
      <c r="J1766" s="26" t="s">
        <v>678</v>
      </c>
      <c r="K1766" s="27">
        <v>-10619</v>
      </c>
      <c r="L1766" s="31" t="s">
        <v>601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1108</v>
      </c>
      <c r="D1767" s="31" t="s">
        <v>19</v>
      </c>
      <c r="E1767" s="31"/>
      <c r="F1767" s="31" t="s">
        <v>1140</v>
      </c>
      <c r="G1767" s="27">
        <v>500</v>
      </c>
      <c r="H1767" s="31" t="s">
        <v>397</v>
      </c>
      <c r="I1767" s="31"/>
      <c r="J1767" s="26" t="s">
        <v>653</v>
      </c>
      <c r="K1767" s="27">
        <v>500</v>
      </c>
      <c r="L1767" s="31" t="s">
        <v>601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1262</v>
      </c>
      <c r="D1768" s="31" t="s">
        <v>771</v>
      </c>
      <c r="E1768" s="31"/>
      <c r="F1768" s="31" t="s">
        <v>1263</v>
      </c>
      <c r="G1768" s="27">
        <v>93200</v>
      </c>
      <c r="H1768" s="31" t="s">
        <v>54</v>
      </c>
      <c r="I1768" s="31"/>
      <c r="J1768" s="26" t="s">
        <v>600</v>
      </c>
      <c r="K1768" s="27">
        <v>93200</v>
      </c>
      <c r="L1768" s="31" t="s">
        <v>601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1158</v>
      </c>
      <c r="D1769" s="31" t="s">
        <v>452</v>
      </c>
      <c r="E1769" s="31" t="s">
        <v>612</v>
      </c>
      <c r="F1769" s="31" t="s">
        <v>604</v>
      </c>
      <c r="G1769" s="27">
        <v>8000</v>
      </c>
      <c r="H1769" s="31" t="s">
        <v>54</v>
      </c>
      <c r="I1769" s="31" t="s">
        <v>1264</v>
      </c>
      <c r="J1769" s="26" t="s">
        <v>606</v>
      </c>
      <c r="K1769" s="27">
        <v>8000</v>
      </c>
      <c r="L1769" s="31" t="s">
        <v>601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1108</v>
      </c>
      <c r="D1770" s="31" t="s">
        <v>741</v>
      </c>
      <c r="E1770" s="31" t="s">
        <v>1019</v>
      </c>
      <c r="F1770" s="31" t="s">
        <v>1265</v>
      </c>
      <c r="G1770" s="27">
        <v>33300</v>
      </c>
      <c r="H1770" s="31" t="s">
        <v>54</v>
      </c>
      <c r="I1770" s="31"/>
      <c r="J1770" s="26" t="s">
        <v>614</v>
      </c>
      <c r="K1770" s="27">
        <v>16650</v>
      </c>
      <c r="L1770" s="31" t="s">
        <v>190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1108</v>
      </c>
      <c r="D1771" s="31" t="s">
        <v>741</v>
      </c>
      <c r="E1771" s="31" t="s">
        <v>1019</v>
      </c>
      <c r="F1771" s="31" t="s">
        <v>1266</v>
      </c>
      <c r="G1771" s="27">
        <v>12500</v>
      </c>
      <c r="H1771" s="31" t="s">
        <v>54</v>
      </c>
      <c r="I1771" s="31" t="s">
        <v>1267</v>
      </c>
      <c r="J1771" s="26" t="s">
        <v>614</v>
      </c>
      <c r="K1771" s="27">
        <v>6250</v>
      </c>
      <c r="L1771" s="31" t="s">
        <v>190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1108</v>
      </c>
      <c r="D1772" s="31" t="s">
        <v>741</v>
      </c>
      <c r="E1772" s="31" t="s">
        <v>1019</v>
      </c>
      <c r="F1772" s="31" t="s">
        <v>1268</v>
      </c>
      <c r="G1772" s="27">
        <v>8000</v>
      </c>
      <c r="H1772" s="31" t="s">
        <v>54</v>
      </c>
      <c r="I1772" s="31" t="s">
        <v>897</v>
      </c>
      <c r="J1772" s="26" t="s">
        <v>614</v>
      </c>
      <c r="K1772" s="27">
        <v>4000</v>
      </c>
      <c r="L1772" s="31" t="s">
        <v>190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681</v>
      </c>
      <c r="D1773" s="31" t="s">
        <v>640</v>
      </c>
      <c r="E1773" s="31"/>
      <c r="F1773" s="31" t="s">
        <v>365</v>
      </c>
      <c r="G1773" s="27">
        <v>27900</v>
      </c>
      <c r="H1773" s="31" t="s">
        <v>54</v>
      </c>
      <c r="I1773" s="31" t="s">
        <v>1269</v>
      </c>
      <c r="J1773" s="26" t="s">
        <v>630</v>
      </c>
      <c r="K1773" s="27">
        <v>27900</v>
      </c>
      <c r="L1773" s="31" t="s">
        <v>601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681</v>
      </c>
      <c r="D1774" s="31" t="s">
        <v>452</v>
      </c>
      <c r="E1774" s="31" t="s">
        <v>621</v>
      </c>
      <c r="F1774" s="31" t="s">
        <v>682</v>
      </c>
      <c r="G1774" s="27">
        <v>11100</v>
      </c>
      <c r="H1774" s="31" t="s">
        <v>54</v>
      </c>
      <c r="I1774" s="31" t="s">
        <v>1270</v>
      </c>
      <c r="J1774" s="26" t="s">
        <v>606</v>
      </c>
      <c r="K1774" s="27">
        <v>11100</v>
      </c>
      <c r="L1774" s="31" t="s">
        <v>601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1158</v>
      </c>
      <c r="D1775" s="31" t="s">
        <v>452</v>
      </c>
      <c r="E1775" s="31" t="s">
        <v>603</v>
      </c>
      <c r="F1775" s="31" t="s">
        <v>604</v>
      </c>
      <c r="G1775" s="27">
        <v>5300</v>
      </c>
      <c r="H1775" s="31" t="s">
        <v>54</v>
      </c>
      <c r="I1775" s="31" t="s">
        <v>1271</v>
      </c>
      <c r="J1775" s="26" t="s">
        <v>606</v>
      </c>
      <c r="K1775" s="27">
        <v>5300</v>
      </c>
      <c r="L1775" s="31" t="s">
        <v>601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611</v>
      </c>
      <c r="D1776" s="31" t="s">
        <v>625</v>
      </c>
      <c r="E1776" s="31"/>
      <c r="F1776" s="31" t="s">
        <v>654</v>
      </c>
      <c r="G1776" s="27">
        <v>19900</v>
      </c>
      <c r="H1776" s="31" t="s">
        <v>54</v>
      </c>
      <c r="I1776" s="31" t="s">
        <v>1272</v>
      </c>
      <c r="J1776" s="26" t="s">
        <v>630</v>
      </c>
      <c r="K1776" s="27">
        <v>19900</v>
      </c>
      <c r="L1776" s="31" t="s">
        <v>601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611</v>
      </c>
      <c r="D1777" s="31" t="s">
        <v>771</v>
      </c>
      <c r="E1777" s="31"/>
      <c r="F1777" s="31" t="s">
        <v>923</v>
      </c>
      <c r="G1777" s="27">
        <v>8500</v>
      </c>
      <c r="H1777" s="31" t="s">
        <v>54</v>
      </c>
      <c r="I1777" s="31"/>
      <c r="J1777" s="26" t="s">
        <v>606</v>
      </c>
      <c r="K1777" s="27">
        <v>8500</v>
      </c>
      <c r="L1777" s="31" t="s">
        <v>601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611</v>
      </c>
      <c r="D1778" s="31" t="s">
        <v>452</v>
      </c>
      <c r="E1778" s="31" t="s">
        <v>603</v>
      </c>
      <c r="F1778" s="31" t="s">
        <v>604</v>
      </c>
      <c r="G1778" s="27">
        <v>2400</v>
      </c>
      <c r="H1778" s="31" t="s">
        <v>54</v>
      </c>
      <c r="I1778" s="31" t="s">
        <v>1087</v>
      </c>
      <c r="J1778" s="26" t="s">
        <v>606</v>
      </c>
      <c r="K1778" s="27">
        <v>2400</v>
      </c>
      <c r="L1778" s="31" t="s">
        <v>601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611</v>
      </c>
      <c r="D1779" s="31" t="s">
        <v>672</v>
      </c>
      <c r="E1779" s="31"/>
      <c r="F1779" s="31" t="s">
        <v>1273</v>
      </c>
      <c r="G1779" s="27">
        <v>12000</v>
      </c>
      <c r="H1779" s="31" t="s">
        <v>54</v>
      </c>
      <c r="I1779" s="31" t="s">
        <v>1274</v>
      </c>
      <c r="J1779" s="26" t="s">
        <v>606</v>
      </c>
      <c r="K1779" s="27">
        <v>12000</v>
      </c>
      <c r="L1779" s="31" t="s">
        <v>601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611</v>
      </c>
      <c r="D1780" s="31" t="s">
        <v>775</v>
      </c>
      <c r="E1780" s="31"/>
      <c r="F1780" s="31" t="s">
        <v>911</v>
      </c>
      <c r="G1780" s="27">
        <v>19900</v>
      </c>
      <c r="H1780" s="31" t="s">
        <v>54</v>
      </c>
      <c r="I1780" s="31" t="s">
        <v>1275</v>
      </c>
      <c r="J1780" s="26" t="s">
        <v>606</v>
      </c>
      <c r="K1780" s="27">
        <v>19900</v>
      </c>
      <c r="L1780" s="31" t="s">
        <v>601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611</v>
      </c>
      <c r="D1781" s="31" t="s">
        <v>453</v>
      </c>
      <c r="E1781" s="31"/>
      <c r="F1781" s="31" t="s">
        <v>453</v>
      </c>
      <c r="G1781" s="27">
        <v>5000</v>
      </c>
      <c r="H1781" s="31" t="s">
        <v>54</v>
      </c>
      <c r="I1781" s="31"/>
      <c r="J1781" s="26" t="s">
        <v>609</v>
      </c>
      <c r="K1781" s="27">
        <v>5000</v>
      </c>
      <c r="L1781" s="31" t="s">
        <v>601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611</v>
      </c>
      <c r="D1782" s="31" t="s">
        <v>452</v>
      </c>
      <c r="E1782" s="31" t="s">
        <v>603</v>
      </c>
      <c r="F1782" s="31" t="s">
        <v>604</v>
      </c>
      <c r="G1782" s="27">
        <v>8400</v>
      </c>
      <c r="H1782" s="31" t="s">
        <v>54</v>
      </c>
      <c r="I1782" s="31" t="s">
        <v>1276</v>
      </c>
      <c r="J1782" s="26" t="s">
        <v>606</v>
      </c>
      <c r="K1782" s="27">
        <v>8400</v>
      </c>
      <c r="L1782" s="31" t="s">
        <v>601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166</v>
      </c>
      <c r="D1783" s="31" t="s">
        <v>19</v>
      </c>
      <c r="E1783" s="31"/>
      <c r="F1783" s="31" t="s">
        <v>767</v>
      </c>
      <c r="G1783" s="27">
        <v>1</v>
      </c>
      <c r="H1783" s="31" t="s">
        <v>397</v>
      </c>
      <c r="I1783" s="31"/>
      <c r="J1783" s="26" t="s">
        <v>653</v>
      </c>
      <c r="K1783" s="27">
        <v>1</v>
      </c>
      <c r="L1783" s="31" t="s">
        <v>601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611</v>
      </c>
      <c r="D1784" s="31" t="s">
        <v>362</v>
      </c>
      <c r="E1784" s="31"/>
      <c r="F1784" s="31" t="s">
        <v>1277</v>
      </c>
      <c r="G1784" s="27">
        <v>26300</v>
      </c>
      <c r="H1784" s="31" t="s">
        <v>54</v>
      </c>
      <c r="I1784" s="31" t="s">
        <v>1145</v>
      </c>
      <c r="J1784" s="26" t="s">
        <v>600</v>
      </c>
      <c r="K1784" s="27">
        <v>26300</v>
      </c>
      <c r="L1784" s="31" t="s">
        <v>601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598</v>
      </c>
      <c r="D1785" s="31" t="s">
        <v>362</v>
      </c>
      <c r="E1785" s="31"/>
      <c r="F1785" s="31" t="s">
        <v>608</v>
      </c>
      <c r="G1785" s="27">
        <v>18000</v>
      </c>
      <c r="H1785" s="31" t="s">
        <v>54</v>
      </c>
      <c r="I1785" s="31"/>
      <c r="J1785" s="26" t="s">
        <v>600</v>
      </c>
      <c r="K1785" s="27">
        <v>18000</v>
      </c>
      <c r="L1785" s="31" t="s">
        <v>601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598</v>
      </c>
      <c r="D1786" s="31" t="s">
        <v>625</v>
      </c>
      <c r="E1786" s="31"/>
      <c r="F1786" s="31" t="s">
        <v>626</v>
      </c>
      <c r="G1786" s="27">
        <v>85500</v>
      </c>
      <c r="H1786" s="31" t="s">
        <v>54</v>
      </c>
      <c r="I1786" s="31"/>
      <c r="J1786" s="26" t="s">
        <v>630</v>
      </c>
      <c r="K1786" s="27">
        <v>85500</v>
      </c>
      <c r="L1786" s="31" t="s">
        <v>601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611</v>
      </c>
      <c r="D1787" s="31" t="s">
        <v>452</v>
      </c>
      <c r="E1787" s="31" t="s">
        <v>603</v>
      </c>
      <c r="F1787" s="31" t="s">
        <v>803</v>
      </c>
      <c r="G1787" s="27">
        <v>3800</v>
      </c>
      <c r="H1787" s="31" t="s">
        <v>54</v>
      </c>
      <c r="I1787" s="31"/>
      <c r="J1787" s="26" t="s">
        <v>606</v>
      </c>
      <c r="K1787" s="27">
        <v>3800</v>
      </c>
      <c r="L1787" s="31" t="s">
        <v>601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681</v>
      </c>
      <c r="D1788" s="31" t="s">
        <v>452</v>
      </c>
      <c r="E1788" s="31" t="s">
        <v>621</v>
      </c>
      <c r="F1788" s="31" t="s">
        <v>682</v>
      </c>
      <c r="G1788" s="27">
        <v>11900</v>
      </c>
      <c r="H1788" s="31" t="s">
        <v>54</v>
      </c>
      <c r="I1788" s="31" t="s">
        <v>1278</v>
      </c>
      <c r="J1788" s="26" t="s">
        <v>606</v>
      </c>
      <c r="K1788" s="27">
        <v>11900</v>
      </c>
      <c r="L1788" s="31" t="s">
        <v>601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681</v>
      </c>
      <c r="D1789" s="31" t="s">
        <v>452</v>
      </c>
      <c r="E1789" s="31" t="s">
        <v>615</v>
      </c>
      <c r="F1789" s="31" t="s">
        <v>365</v>
      </c>
      <c r="G1789" s="27">
        <v>8590</v>
      </c>
      <c r="H1789" s="31" t="s">
        <v>54</v>
      </c>
      <c r="I1789" s="31" t="s">
        <v>838</v>
      </c>
      <c r="J1789" s="26" t="s">
        <v>606</v>
      </c>
      <c r="K1789" s="27">
        <v>8590</v>
      </c>
      <c r="L1789" s="31" t="s">
        <v>601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681</v>
      </c>
      <c r="D1790" s="31" t="s">
        <v>625</v>
      </c>
      <c r="E1790" s="31"/>
      <c r="F1790" s="31" t="s">
        <v>365</v>
      </c>
      <c r="G1790" s="27">
        <v>20900</v>
      </c>
      <c r="H1790" s="31" t="s">
        <v>54</v>
      </c>
      <c r="I1790" s="31" t="s">
        <v>1279</v>
      </c>
      <c r="J1790" s="26" t="s">
        <v>630</v>
      </c>
      <c r="K1790" s="27">
        <v>20900</v>
      </c>
      <c r="L1790" s="31" t="s">
        <v>601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611</v>
      </c>
      <c r="D1791" s="31" t="s">
        <v>735</v>
      </c>
      <c r="E1791" s="31"/>
      <c r="F1791" s="31" t="s">
        <v>1280</v>
      </c>
      <c r="G1791" s="27">
        <v>27220</v>
      </c>
      <c r="H1791" s="31" t="s">
        <v>54</v>
      </c>
      <c r="I1791" s="31" t="s">
        <v>1281</v>
      </c>
      <c r="J1791" s="26" t="s">
        <v>628</v>
      </c>
      <c r="K1791" s="27">
        <v>27220</v>
      </c>
      <c r="L1791" s="31" t="s">
        <v>601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611</v>
      </c>
      <c r="D1792" s="31" t="s">
        <v>453</v>
      </c>
      <c r="E1792" s="31"/>
      <c r="F1792" s="31" t="s">
        <v>453</v>
      </c>
      <c r="G1792" s="27">
        <v>5000</v>
      </c>
      <c r="H1792" s="31" t="s">
        <v>54</v>
      </c>
      <c r="I1792" s="31"/>
      <c r="J1792" s="26" t="s">
        <v>609</v>
      </c>
      <c r="K1792" s="27">
        <v>5000</v>
      </c>
      <c r="L1792" s="31" t="s">
        <v>601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611</v>
      </c>
      <c r="D1793" s="31" t="s">
        <v>452</v>
      </c>
      <c r="E1793" s="31" t="s">
        <v>612</v>
      </c>
      <c r="F1793" s="31" t="s">
        <v>886</v>
      </c>
      <c r="G1793" s="27">
        <v>9600</v>
      </c>
      <c r="H1793" s="31" t="s">
        <v>54</v>
      </c>
      <c r="I1793" s="31"/>
      <c r="J1793" s="26" t="s">
        <v>606</v>
      </c>
      <c r="K1793" s="27">
        <v>9600</v>
      </c>
      <c r="L1793" s="31" t="s">
        <v>601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154</v>
      </c>
      <c r="D1794" s="31" t="s">
        <v>452</v>
      </c>
      <c r="E1794" s="31" t="s">
        <v>603</v>
      </c>
      <c r="F1794" s="31" t="s">
        <v>1103</v>
      </c>
      <c r="G1794" s="27">
        <v>5000</v>
      </c>
      <c r="H1794" s="31" t="s">
        <v>54</v>
      </c>
      <c r="I1794" s="31"/>
      <c r="J1794" s="26" t="s">
        <v>606</v>
      </c>
      <c r="K1794" s="27">
        <v>5000</v>
      </c>
      <c r="L1794" s="31" t="s">
        <v>601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187</v>
      </c>
      <c r="D1795" s="31" t="s">
        <v>19</v>
      </c>
      <c r="E1795" s="31"/>
      <c r="F1795" s="31" t="s">
        <v>763</v>
      </c>
      <c r="G1795" s="27">
        <v>1</v>
      </c>
      <c r="H1795" s="31" t="s">
        <v>397</v>
      </c>
      <c r="I1795" s="31"/>
      <c r="J1795" s="26" t="s">
        <v>653</v>
      </c>
      <c r="K1795" s="27">
        <v>1</v>
      </c>
      <c r="L1795" s="31" t="s">
        <v>601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611</v>
      </c>
      <c r="D1796" s="31" t="s">
        <v>452</v>
      </c>
      <c r="E1796" s="31" t="s">
        <v>714</v>
      </c>
      <c r="F1796" s="31" t="s">
        <v>604</v>
      </c>
      <c r="G1796" s="27">
        <v>6400</v>
      </c>
      <c r="H1796" s="31" t="s">
        <v>54</v>
      </c>
      <c r="I1796" s="31" t="s">
        <v>821</v>
      </c>
      <c r="J1796" s="26" t="s">
        <v>606</v>
      </c>
      <c r="K1796" s="27">
        <v>6400</v>
      </c>
      <c r="L1796" s="31" t="s">
        <v>601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611</v>
      </c>
      <c r="D1797" s="31" t="s">
        <v>453</v>
      </c>
      <c r="E1797" s="31"/>
      <c r="F1797" s="31" t="s">
        <v>453</v>
      </c>
      <c r="G1797" s="27">
        <v>5000</v>
      </c>
      <c r="H1797" s="31" t="s">
        <v>54</v>
      </c>
      <c r="I1797" s="31"/>
      <c r="J1797" s="26" t="s">
        <v>609</v>
      </c>
      <c r="K1797" s="27">
        <v>5000</v>
      </c>
      <c r="L1797" s="31" t="s">
        <v>601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681</v>
      </c>
      <c r="D1798" s="31" t="s">
        <v>625</v>
      </c>
      <c r="E1798" s="31"/>
      <c r="F1798" s="31" t="s">
        <v>365</v>
      </c>
      <c r="G1798" s="27">
        <v>279000</v>
      </c>
      <c r="H1798" s="31" t="s">
        <v>54</v>
      </c>
      <c r="I1798" s="31" t="s">
        <v>1282</v>
      </c>
      <c r="J1798" s="26" t="s">
        <v>630</v>
      </c>
      <c r="K1798" s="27">
        <v>279000</v>
      </c>
      <c r="L1798" s="31" t="s">
        <v>601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611</v>
      </c>
      <c r="D1799" s="31" t="s">
        <v>453</v>
      </c>
      <c r="E1799" s="31"/>
      <c r="F1799" s="31" t="s">
        <v>453</v>
      </c>
      <c r="G1799" s="27">
        <v>5000</v>
      </c>
      <c r="H1799" s="31" t="s">
        <v>54</v>
      </c>
      <c r="I1799" s="31"/>
      <c r="J1799" s="26" t="s">
        <v>609</v>
      </c>
      <c r="K1799" s="27">
        <v>5000</v>
      </c>
      <c r="L1799" s="31" t="s">
        <v>601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611</v>
      </c>
      <c r="D1800" s="31" t="s">
        <v>452</v>
      </c>
      <c r="E1800" s="31" t="s">
        <v>603</v>
      </c>
      <c r="F1800" s="31" t="s">
        <v>604</v>
      </c>
      <c r="G1800" s="27">
        <v>2000</v>
      </c>
      <c r="H1800" s="31" t="s">
        <v>54</v>
      </c>
      <c r="I1800" s="31" t="s">
        <v>1186</v>
      </c>
      <c r="J1800" s="26" t="s">
        <v>606</v>
      </c>
      <c r="K1800" s="27">
        <v>2000</v>
      </c>
      <c r="L1800" s="31" t="s">
        <v>601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611</v>
      </c>
      <c r="D1801" s="31" t="s">
        <v>452</v>
      </c>
      <c r="E1801" s="31" t="s">
        <v>603</v>
      </c>
      <c r="F1801" s="31" t="s">
        <v>643</v>
      </c>
      <c r="G1801" s="27">
        <v>1700</v>
      </c>
      <c r="H1801" s="31" t="s">
        <v>54</v>
      </c>
      <c r="I1801" s="31"/>
      <c r="J1801" s="26" t="s">
        <v>606</v>
      </c>
      <c r="K1801" s="27">
        <v>1700</v>
      </c>
      <c r="L1801" s="31" t="s">
        <v>601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598</v>
      </c>
      <c r="D1802" s="31" t="s">
        <v>362</v>
      </c>
      <c r="E1802" s="31"/>
      <c r="F1802" s="31" t="s">
        <v>561</v>
      </c>
      <c r="G1802" s="27">
        <v>1800</v>
      </c>
      <c r="H1802" s="31" t="s">
        <v>54</v>
      </c>
      <c r="I1802" s="31" t="s">
        <v>639</v>
      </c>
      <c r="J1802" s="26" t="s">
        <v>600</v>
      </c>
      <c r="K1802" s="27">
        <v>1800</v>
      </c>
      <c r="L1802" s="31" t="s">
        <v>601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598</v>
      </c>
      <c r="D1803" s="31" t="s">
        <v>362</v>
      </c>
      <c r="E1803" s="31"/>
      <c r="F1803" s="31" t="s">
        <v>637</v>
      </c>
      <c r="G1803" s="27">
        <v>8555</v>
      </c>
      <c r="H1803" s="31" t="s">
        <v>54</v>
      </c>
      <c r="I1803" s="31"/>
      <c r="J1803" s="26" t="s">
        <v>600</v>
      </c>
      <c r="K1803" s="27">
        <v>8555</v>
      </c>
      <c r="L1803" s="31" t="s">
        <v>601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681</v>
      </c>
      <c r="D1804" s="31" t="s">
        <v>452</v>
      </c>
      <c r="E1804" s="31" t="s">
        <v>612</v>
      </c>
      <c r="F1804" s="31" t="s">
        <v>682</v>
      </c>
      <c r="G1804" s="27">
        <v>30100</v>
      </c>
      <c r="H1804" s="31" t="s">
        <v>54</v>
      </c>
      <c r="I1804" s="31" t="s">
        <v>1102</v>
      </c>
      <c r="J1804" s="26" t="s">
        <v>606</v>
      </c>
      <c r="K1804" s="27">
        <v>30100</v>
      </c>
      <c r="L1804" s="31" t="s">
        <v>601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681</v>
      </c>
      <c r="D1805" s="31" t="s">
        <v>452</v>
      </c>
      <c r="E1805" s="31" t="s">
        <v>612</v>
      </c>
      <c r="F1805" s="31" t="s">
        <v>682</v>
      </c>
      <c r="G1805" s="27">
        <v>25300</v>
      </c>
      <c r="H1805" s="31" t="s">
        <v>54</v>
      </c>
      <c r="I1805" s="31" t="s">
        <v>1103</v>
      </c>
      <c r="J1805" s="26" t="s">
        <v>606</v>
      </c>
      <c r="K1805" s="27">
        <v>25300</v>
      </c>
      <c r="L1805" s="31" t="s">
        <v>601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611</v>
      </c>
      <c r="D1806" s="31" t="s">
        <v>452</v>
      </c>
      <c r="E1806" s="31" t="s">
        <v>714</v>
      </c>
      <c r="F1806" s="31" t="s">
        <v>604</v>
      </c>
      <c r="G1806" s="27">
        <v>8600</v>
      </c>
      <c r="H1806" s="31" t="s">
        <v>54</v>
      </c>
      <c r="I1806" s="31" t="s">
        <v>821</v>
      </c>
      <c r="J1806" s="26" t="s">
        <v>606</v>
      </c>
      <c r="K1806" s="27">
        <v>8600</v>
      </c>
      <c r="L1806" s="31" t="s">
        <v>601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187</v>
      </c>
      <c r="D1807" s="31" t="s">
        <v>452</v>
      </c>
      <c r="E1807" s="31" t="s">
        <v>612</v>
      </c>
      <c r="F1807" s="31" t="s">
        <v>683</v>
      </c>
      <c r="G1807" s="27">
        <v>-19600</v>
      </c>
      <c r="H1807" s="31" t="s">
        <v>54</v>
      </c>
      <c r="I1807" s="31"/>
      <c r="J1807" s="26" t="s">
        <v>606</v>
      </c>
      <c r="K1807" s="27">
        <v>-19600</v>
      </c>
      <c r="L1807" s="31" t="s">
        <v>601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611</v>
      </c>
      <c r="D1808" s="31" t="s">
        <v>640</v>
      </c>
      <c r="E1808" s="31"/>
      <c r="F1808" s="31" t="s">
        <v>1283</v>
      </c>
      <c r="G1808" s="27">
        <v>10200</v>
      </c>
      <c r="H1808" s="31" t="s">
        <v>54</v>
      </c>
      <c r="I1808" s="31" t="s">
        <v>496</v>
      </c>
      <c r="J1808" s="26" t="s">
        <v>600</v>
      </c>
      <c r="K1808" s="27">
        <v>10200</v>
      </c>
      <c r="L1808" s="31" t="s">
        <v>601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611</v>
      </c>
      <c r="D1809" s="31" t="s">
        <v>453</v>
      </c>
      <c r="E1809" s="31"/>
      <c r="F1809" s="31" t="s">
        <v>453</v>
      </c>
      <c r="G1809" s="27">
        <v>5000</v>
      </c>
      <c r="H1809" s="31" t="s">
        <v>54</v>
      </c>
      <c r="I1809" s="31"/>
      <c r="J1809" s="26" t="s">
        <v>609</v>
      </c>
      <c r="K1809" s="27">
        <v>5000</v>
      </c>
      <c r="L1809" s="31" t="s">
        <v>601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611</v>
      </c>
      <c r="D1810" s="31" t="s">
        <v>452</v>
      </c>
      <c r="E1810" s="31" t="s">
        <v>714</v>
      </c>
      <c r="F1810" s="31" t="s">
        <v>604</v>
      </c>
      <c r="G1810" s="27">
        <v>5900</v>
      </c>
      <c r="H1810" s="31" t="s">
        <v>54</v>
      </c>
      <c r="I1810" s="31" t="s">
        <v>63</v>
      </c>
      <c r="J1810" s="26" t="s">
        <v>606</v>
      </c>
      <c r="K1810" s="27">
        <v>5900</v>
      </c>
      <c r="L1810" s="31" t="s">
        <v>601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154</v>
      </c>
      <c r="D1811" s="31" t="s">
        <v>646</v>
      </c>
      <c r="E1811" s="31"/>
      <c r="F1811" s="31" t="s">
        <v>538</v>
      </c>
      <c r="G1811" s="27">
        <v>35000</v>
      </c>
      <c r="H1811" s="31" t="s">
        <v>54</v>
      </c>
      <c r="I1811" s="31"/>
      <c r="J1811" s="26" t="s">
        <v>628</v>
      </c>
      <c r="K1811" s="27">
        <v>35000</v>
      </c>
      <c r="L1811" s="31" t="s">
        <v>601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681</v>
      </c>
      <c r="D1812" s="31" t="s">
        <v>625</v>
      </c>
      <c r="E1812" s="31"/>
      <c r="F1812" s="31" t="s">
        <v>365</v>
      </c>
      <c r="G1812" s="27">
        <v>14670</v>
      </c>
      <c r="H1812" s="31" t="s">
        <v>54</v>
      </c>
      <c r="I1812" s="31" t="s">
        <v>1284</v>
      </c>
      <c r="J1812" s="26" t="s">
        <v>630</v>
      </c>
      <c r="K1812" s="27">
        <v>14670</v>
      </c>
      <c r="L1812" s="31" t="s">
        <v>601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681</v>
      </c>
      <c r="D1813" s="31" t="s">
        <v>625</v>
      </c>
      <c r="E1813" s="31"/>
      <c r="F1813" s="31" t="s">
        <v>365</v>
      </c>
      <c r="G1813" s="27">
        <v>21780</v>
      </c>
      <c r="H1813" s="31" t="s">
        <v>54</v>
      </c>
      <c r="I1813" s="31" t="s">
        <v>1285</v>
      </c>
      <c r="J1813" s="26" t="s">
        <v>630</v>
      </c>
      <c r="K1813" s="27">
        <v>21780</v>
      </c>
      <c r="L1813" s="31" t="s">
        <v>601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154</v>
      </c>
      <c r="D1814" s="31" t="s">
        <v>162</v>
      </c>
      <c r="E1814" s="31"/>
      <c r="F1814" s="31" t="s">
        <v>72</v>
      </c>
      <c r="G1814" s="27">
        <v>93200</v>
      </c>
      <c r="H1814" s="31" t="s">
        <v>636</v>
      </c>
      <c r="I1814" s="31"/>
      <c r="J1814" s="26" t="s">
        <v>634</v>
      </c>
      <c r="K1814" s="27">
        <v>93200</v>
      </c>
      <c r="L1814" s="31" t="s">
        <v>601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162</v>
      </c>
      <c r="D1815" s="31" t="s">
        <v>154</v>
      </c>
      <c r="E1815" s="31"/>
      <c r="F1815" s="31" t="s">
        <v>72</v>
      </c>
      <c r="G1815" s="27">
        <v>93200</v>
      </c>
      <c r="H1815" s="31" t="s">
        <v>633</v>
      </c>
      <c r="I1815" s="31"/>
      <c r="J1815" s="26" t="s">
        <v>634</v>
      </c>
      <c r="K1815" s="27">
        <v>93200</v>
      </c>
      <c r="L1815" s="31" t="s">
        <v>601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162</v>
      </c>
      <c r="D1816" s="31" t="s">
        <v>1262</v>
      </c>
      <c r="E1816" s="31"/>
      <c r="F1816" s="31" t="s">
        <v>657</v>
      </c>
      <c r="G1816" s="27">
        <v>93200</v>
      </c>
      <c r="H1816" s="31" t="s">
        <v>636</v>
      </c>
      <c r="I1816" s="31"/>
      <c r="J1816" s="26" t="s">
        <v>634</v>
      </c>
      <c r="K1816" s="27">
        <v>93200</v>
      </c>
      <c r="L1816" s="31" t="s">
        <v>601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1262</v>
      </c>
      <c r="D1817" s="31" t="s">
        <v>162</v>
      </c>
      <c r="E1817" s="31"/>
      <c r="F1817" s="31" t="s">
        <v>657</v>
      </c>
      <c r="G1817" s="27">
        <v>93200</v>
      </c>
      <c r="H1817" s="31" t="s">
        <v>633</v>
      </c>
      <c r="I1817" s="31"/>
      <c r="J1817" s="26" t="s">
        <v>634</v>
      </c>
      <c r="K1817" s="27">
        <v>93200</v>
      </c>
      <c r="L1817" s="31" t="s">
        <v>601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611</v>
      </c>
      <c r="D1818" s="31" t="s">
        <v>452</v>
      </c>
      <c r="E1818" s="31" t="s">
        <v>714</v>
      </c>
      <c r="F1818" s="31" t="s">
        <v>604</v>
      </c>
      <c r="G1818" s="27">
        <v>4200</v>
      </c>
      <c r="H1818" s="31" t="s">
        <v>54</v>
      </c>
      <c r="I1818" s="31" t="s">
        <v>821</v>
      </c>
      <c r="J1818" s="26" t="s">
        <v>606</v>
      </c>
      <c r="K1818" s="27">
        <v>4200</v>
      </c>
      <c r="L1818" s="31" t="s">
        <v>601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611</v>
      </c>
      <c r="D1819" s="31" t="s">
        <v>453</v>
      </c>
      <c r="E1819" s="31"/>
      <c r="F1819" s="31" t="s">
        <v>453</v>
      </c>
      <c r="G1819" s="27">
        <v>5000</v>
      </c>
      <c r="H1819" s="31" t="s">
        <v>54</v>
      </c>
      <c r="I1819" s="31"/>
      <c r="J1819" s="26" t="s">
        <v>609</v>
      </c>
      <c r="K1819" s="27">
        <v>5000</v>
      </c>
      <c r="L1819" s="31" t="s">
        <v>601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611</v>
      </c>
      <c r="D1820" s="31" t="s">
        <v>672</v>
      </c>
      <c r="E1820" s="31" t="s">
        <v>673</v>
      </c>
      <c r="F1820" s="31" t="s">
        <v>799</v>
      </c>
      <c r="G1820" s="27">
        <v>13500</v>
      </c>
      <c r="H1820" s="31" t="s">
        <v>54</v>
      </c>
      <c r="I1820" s="31" t="s">
        <v>1286</v>
      </c>
      <c r="J1820" s="26" t="s">
        <v>606</v>
      </c>
      <c r="K1820" s="27">
        <v>13500</v>
      </c>
      <c r="L1820" s="31" t="s">
        <v>601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598</v>
      </c>
      <c r="D1821" s="31" t="s">
        <v>452</v>
      </c>
      <c r="E1821" s="31" t="s">
        <v>612</v>
      </c>
      <c r="F1821" s="31" t="s">
        <v>604</v>
      </c>
      <c r="G1821" s="27">
        <v>10700</v>
      </c>
      <c r="H1821" s="31" t="s">
        <v>54</v>
      </c>
      <c r="I1821" s="31" t="s">
        <v>63</v>
      </c>
      <c r="J1821" s="26" t="s">
        <v>606</v>
      </c>
      <c r="K1821" s="27">
        <v>10700</v>
      </c>
      <c r="L1821" s="31" t="s">
        <v>601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598</v>
      </c>
      <c r="D1822" s="31" t="s">
        <v>453</v>
      </c>
      <c r="E1822" s="31"/>
      <c r="F1822" s="31" t="s">
        <v>453</v>
      </c>
      <c r="G1822" s="27">
        <v>5000</v>
      </c>
      <c r="H1822" s="31" t="s">
        <v>54</v>
      </c>
      <c r="I1822" s="31"/>
      <c r="J1822" s="26" t="s">
        <v>609</v>
      </c>
      <c r="K1822" s="27">
        <v>5000</v>
      </c>
      <c r="L1822" s="31" t="s">
        <v>601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598</v>
      </c>
      <c r="D1823" s="31" t="s">
        <v>452</v>
      </c>
      <c r="E1823" s="31" t="s">
        <v>714</v>
      </c>
      <c r="F1823" s="31" t="s">
        <v>604</v>
      </c>
      <c r="G1823" s="27">
        <v>7200</v>
      </c>
      <c r="H1823" s="31" t="s">
        <v>54</v>
      </c>
      <c r="I1823" s="31" t="s">
        <v>821</v>
      </c>
      <c r="J1823" s="26" t="s">
        <v>606</v>
      </c>
      <c r="K1823" s="27">
        <v>7200</v>
      </c>
      <c r="L1823" s="31" t="s">
        <v>601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598</v>
      </c>
      <c r="D1824" s="31" t="s">
        <v>625</v>
      </c>
      <c r="E1824" s="31"/>
      <c r="F1824" s="31" t="s">
        <v>958</v>
      </c>
      <c r="G1824" s="27">
        <v>32900</v>
      </c>
      <c r="H1824" s="31" t="s">
        <v>54</v>
      </c>
      <c r="I1824" s="31" t="s">
        <v>1287</v>
      </c>
      <c r="J1824" s="26" t="s">
        <v>630</v>
      </c>
      <c r="K1824" s="27">
        <v>32900</v>
      </c>
      <c r="L1824" s="31" t="s">
        <v>601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1108</v>
      </c>
      <c r="D1825" s="31" t="s">
        <v>19</v>
      </c>
      <c r="E1825" s="31"/>
      <c r="F1825" s="31" t="s">
        <v>1140</v>
      </c>
      <c r="G1825" s="27">
        <v>500</v>
      </c>
      <c r="H1825" s="31" t="s">
        <v>397</v>
      </c>
      <c r="I1825" s="31"/>
      <c r="J1825" s="26" t="s">
        <v>653</v>
      </c>
      <c r="K1825" s="27">
        <v>500</v>
      </c>
      <c r="L1825" s="31" t="s">
        <v>601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598</v>
      </c>
      <c r="D1826" s="31" t="s">
        <v>452</v>
      </c>
      <c r="E1826" s="31" t="s">
        <v>612</v>
      </c>
      <c r="F1826" s="31" t="s">
        <v>1003</v>
      </c>
      <c r="G1826" s="27">
        <v>9800</v>
      </c>
      <c r="H1826" s="31" t="s">
        <v>54</v>
      </c>
      <c r="I1826" s="31"/>
      <c r="J1826" s="26" t="s">
        <v>606</v>
      </c>
      <c r="K1826" s="27">
        <v>9800</v>
      </c>
      <c r="L1826" s="31" t="s">
        <v>601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598</v>
      </c>
      <c r="D1827" s="31" t="s">
        <v>452</v>
      </c>
      <c r="E1827" s="31" t="s">
        <v>603</v>
      </c>
      <c r="F1827" s="31" t="s">
        <v>604</v>
      </c>
      <c r="G1827" s="27">
        <v>3300</v>
      </c>
      <c r="H1827" s="31" t="s">
        <v>54</v>
      </c>
      <c r="I1827" s="31" t="s">
        <v>1187</v>
      </c>
      <c r="J1827" s="26" t="s">
        <v>606</v>
      </c>
      <c r="K1827" s="27">
        <v>3300</v>
      </c>
      <c r="L1827" s="31" t="s">
        <v>601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598</v>
      </c>
      <c r="D1828" s="31" t="s">
        <v>625</v>
      </c>
      <c r="E1828" s="31"/>
      <c r="F1828" s="31" t="s">
        <v>1288</v>
      </c>
      <c r="G1828" s="27">
        <v>49800</v>
      </c>
      <c r="H1828" s="31" t="s">
        <v>54</v>
      </c>
      <c r="I1828" s="31" t="s">
        <v>1289</v>
      </c>
      <c r="J1828" s="26" t="s">
        <v>630</v>
      </c>
      <c r="K1828" s="27">
        <v>49800</v>
      </c>
      <c r="L1828" s="31" t="s">
        <v>601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1108</v>
      </c>
      <c r="D1829" s="31" t="s">
        <v>741</v>
      </c>
      <c r="E1829" s="31" t="s">
        <v>1019</v>
      </c>
      <c r="F1829" s="31" t="s">
        <v>1290</v>
      </c>
      <c r="G1829" s="27">
        <v>39100</v>
      </c>
      <c r="H1829" s="31" t="s">
        <v>54</v>
      </c>
      <c r="I1829" s="31" t="s">
        <v>1291</v>
      </c>
      <c r="J1829" s="26" t="s">
        <v>614</v>
      </c>
      <c r="K1829" s="27">
        <v>19550</v>
      </c>
      <c r="L1829" s="31" t="s">
        <v>190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1108</v>
      </c>
      <c r="D1830" s="31" t="s">
        <v>741</v>
      </c>
      <c r="E1830" s="31" t="s">
        <v>1019</v>
      </c>
      <c r="F1830" s="31" t="s">
        <v>818</v>
      </c>
      <c r="G1830" s="27">
        <v>8260</v>
      </c>
      <c r="H1830" s="31" t="s">
        <v>54</v>
      </c>
      <c r="I1830" s="31" t="s">
        <v>1292</v>
      </c>
      <c r="J1830" s="26" t="s">
        <v>614</v>
      </c>
      <c r="K1830" s="27">
        <v>4130</v>
      </c>
      <c r="L1830" s="31" t="s">
        <v>190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598</v>
      </c>
      <c r="D1831" s="31" t="s">
        <v>771</v>
      </c>
      <c r="E1831" s="31"/>
      <c r="F1831" s="31" t="s">
        <v>923</v>
      </c>
      <c r="G1831" s="27">
        <v>33200</v>
      </c>
      <c r="H1831" s="31" t="s">
        <v>54</v>
      </c>
      <c r="I1831" s="31" t="s">
        <v>1293</v>
      </c>
      <c r="J1831" s="26" t="s">
        <v>606</v>
      </c>
      <c r="K1831" s="27">
        <v>33200</v>
      </c>
      <c r="L1831" s="31" t="s">
        <v>601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598</v>
      </c>
      <c r="D1832" s="31" t="s">
        <v>453</v>
      </c>
      <c r="E1832" s="31"/>
      <c r="F1832" s="31" t="s">
        <v>453</v>
      </c>
      <c r="G1832" s="27">
        <v>4500</v>
      </c>
      <c r="H1832" s="31" t="s">
        <v>54</v>
      </c>
      <c r="I1832" s="31"/>
      <c r="J1832" s="26" t="s">
        <v>609</v>
      </c>
      <c r="K1832" s="27">
        <v>4500</v>
      </c>
      <c r="L1832" s="31" t="s">
        <v>601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681</v>
      </c>
      <c r="D1833" s="31" t="s">
        <v>452</v>
      </c>
      <c r="E1833" s="31" t="s">
        <v>621</v>
      </c>
      <c r="F1833" s="31" t="s">
        <v>682</v>
      </c>
      <c r="G1833" s="27">
        <v>12410</v>
      </c>
      <c r="H1833" s="31" t="s">
        <v>54</v>
      </c>
      <c r="I1833" s="31" t="s">
        <v>824</v>
      </c>
      <c r="J1833" s="26" t="s">
        <v>606</v>
      </c>
      <c r="K1833" s="27">
        <v>12410</v>
      </c>
      <c r="L1833" s="31" t="s">
        <v>601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598</v>
      </c>
      <c r="D1834" s="31" t="s">
        <v>625</v>
      </c>
      <c r="E1834" s="31"/>
      <c r="F1834" s="31" t="s">
        <v>626</v>
      </c>
      <c r="G1834" s="27">
        <v>48500</v>
      </c>
      <c r="H1834" s="31" t="s">
        <v>54</v>
      </c>
      <c r="I1834" s="31"/>
      <c r="J1834" s="26" t="s">
        <v>630</v>
      </c>
      <c r="K1834" s="27">
        <v>48500</v>
      </c>
      <c r="L1834" s="31" t="s">
        <v>601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598</v>
      </c>
      <c r="D1835" s="31" t="s">
        <v>453</v>
      </c>
      <c r="E1835" s="31"/>
      <c r="F1835" s="31" t="s">
        <v>453</v>
      </c>
      <c r="G1835" s="27">
        <v>5000</v>
      </c>
      <c r="H1835" s="31" t="s">
        <v>54</v>
      </c>
      <c r="I1835" s="31"/>
      <c r="J1835" s="26" t="s">
        <v>609</v>
      </c>
      <c r="K1835" s="27">
        <v>5000</v>
      </c>
      <c r="L1835" s="31" t="s">
        <v>601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598</v>
      </c>
      <c r="D1836" s="31" t="s">
        <v>452</v>
      </c>
      <c r="E1836" s="31" t="s">
        <v>603</v>
      </c>
      <c r="F1836" s="31" t="s">
        <v>604</v>
      </c>
      <c r="G1836" s="27">
        <v>5300</v>
      </c>
      <c r="H1836" s="31" t="s">
        <v>54</v>
      </c>
      <c r="I1836" s="31" t="s">
        <v>688</v>
      </c>
      <c r="J1836" s="26" t="s">
        <v>606</v>
      </c>
      <c r="K1836" s="27">
        <v>5300</v>
      </c>
      <c r="L1836" s="31" t="s">
        <v>601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1108</v>
      </c>
      <c r="D1837" s="31" t="s">
        <v>741</v>
      </c>
      <c r="E1837" s="31" t="s">
        <v>1019</v>
      </c>
      <c r="F1837" s="31" t="s">
        <v>1294</v>
      </c>
      <c r="G1837" s="27">
        <v>48500</v>
      </c>
      <c r="H1837" s="31" t="s">
        <v>54</v>
      </c>
      <c r="I1837" s="31" t="s">
        <v>1295</v>
      </c>
      <c r="J1837" s="26" t="s">
        <v>614</v>
      </c>
      <c r="K1837" s="27">
        <v>24250</v>
      </c>
      <c r="L1837" s="31" t="s">
        <v>190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1108</v>
      </c>
      <c r="D1838" s="31" t="s">
        <v>741</v>
      </c>
      <c r="E1838" s="31" t="s">
        <v>1019</v>
      </c>
      <c r="F1838" s="31" t="s">
        <v>1296</v>
      </c>
      <c r="G1838" s="27">
        <v>20400</v>
      </c>
      <c r="H1838" s="31" t="s">
        <v>54</v>
      </c>
      <c r="I1838" s="31" t="s">
        <v>1297</v>
      </c>
      <c r="J1838" s="26" t="s">
        <v>614</v>
      </c>
      <c r="K1838" s="27">
        <v>10200</v>
      </c>
      <c r="L1838" s="31" t="s">
        <v>190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598</v>
      </c>
      <c r="D1839" s="31" t="s">
        <v>452</v>
      </c>
      <c r="E1839" s="31" t="s">
        <v>603</v>
      </c>
      <c r="F1839" s="31" t="s">
        <v>604</v>
      </c>
      <c r="G1839" s="27">
        <v>3300</v>
      </c>
      <c r="H1839" s="31" t="s">
        <v>54</v>
      </c>
      <c r="I1839" s="31" t="s">
        <v>623</v>
      </c>
      <c r="J1839" s="26" t="s">
        <v>606</v>
      </c>
      <c r="K1839" s="27">
        <v>3300</v>
      </c>
      <c r="L1839" s="31" t="s">
        <v>601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598</v>
      </c>
      <c r="D1840" s="31" t="s">
        <v>741</v>
      </c>
      <c r="E1840" s="31" t="s">
        <v>1019</v>
      </c>
      <c r="F1840" s="31" t="s">
        <v>1298</v>
      </c>
      <c r="G1840" s="27">
        <v>192311</v>
      </c>
      <c r="H1840" s="31" t="s">
        <v>54</v>
      </c>
      <c r="I1840" s="31" t="s">
        <v>1299</v>
      </c>
      <c r="J1840" s="26" t="s">
        <v>59</v>
      </c>
      <c r="K1840" s="27">
        <v>192311</v>
      </c>
      <c r="L1840" s="31" t="s">
        <v>601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598</v>
      </c>
      <c r="D1841" s="31" t="s">
        <v>775</v>
      </c>
      <c r="E1841" s="31"/>
      <c r="F1841" s="31" t="s">
        <v>1300</v>
      </c>
      <c r="G1841" s="27">
        <v>42000</v>
      </c>
      <c r="H1841" s="31" t="s">
        <v>54</v>
      </c>
      <c r="I1841" s="31" t="s">
        <v>1301</v>
      </c>
      <c r="J1841" s="26" t="s">
        <v>606</v>
      </c>
      <c r="K1841" s="27">
        <v>42000</v>
      </c>
      <c r="L1841" s="31" t="s">
        <v>601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598</v>
      </c>
      <c r="D1842" s="31" t="s">
        <v>669</v>
      </c>
      <c r="E1842" s="31"/>
      <c r="F1842" s="31" t="s">
        <v>818</v>
      </c>
      <c r="G1842" s="27">
        <v>30800</v>
      </c>
      <c r="H1842" s="31" t="s">
        <v>54</v>
      </c>
      <c r="I1842" s="31" t="s">
        <v>535</v>
      </c>
      <c r="J1842" s="26" t="s">
        <v>617</v>
      </c>
      <c r="K1842" s="27">
        <v>30800</v>
      </c>
      <c r="L1842" s="31" t="s">
        <v>601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598</v>
      </c>
      <c r="D1843" s="31" t="s">
        <v>625</v>
      </c>
      <c r="E1843" s="31"/>
      <c r="F1843" s="31" t="s">
        <v>934</v>
      </c>
      <c r="G1843" s="27">
        <v>34000</v>
      </c>
      <c r="H1843" s="31" t="s">
        <v>54</v>
      </c>
      <c r="I1843" s="31" t="s">
        <v>1302</v>
      </c>
      <c r="J1843" s="26" t="s">
        <v>630</v>
      </c>
      <c r="K1843" s="27">
        <v>34000</v>
      </c>
      <c r="L1843" s="31" t="s">
        <v>601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598</v>
      </c>
      <c r="D1844" s="31" t="s">
        <v>452</v>
      </c>
      <c r="E1844" s="31" t="s">
        <v>603</v>
      </c>
      <c r="F1844" s="31" t="s">
        <v>604</v>
      </c>
      <c r="G1844" s="27">
        <v>1500</v>
      </c>
      <c r="H1844" s="31" t="s">
        <v>54</v>
      </c>
      <c r="I1844" s="31" t="s">
        <v>1186</v>
      </c>
      <c r="J1844" s="26" t="s">
        <v>606</v>
      </c>
      <c r="K1844" s="27">
        <v>1500</v>
      </c>
      <c r="L1844" s="31" t="s">
        <v>601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598</v>
      </c>
      <c r="D1845" s="31" t="s">
        <v>453</v>
      </c>
      <c r="E1845" s="31"/>
      <c r="F1845" s="31" t="s">
        <v>453</v>
      </c>
      <c r="G1845" s="27">
        <v>5000</v>
      </c>
      <c r="H1845" s="31" t="s">
        <v>54</v>
      </c>
      <c r="I1845" s="31"/>
      <c r="J1845" s="26" t="s">
        <v>609</v>
      </c>
      <c r="K1845" s="27">
        <v>5000</v>
      </c>
      <c r="L1845" s="31" t="s">
        <v>601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611</v>
      </c>
      <c r="D1846" s="31" t="s">
        <v>705</v>
      </c>
      <c r="E1846" s="31"/>
      <c r="F1846" s="31" t="s">
        <v>526</v>
      </c>
      <c r="G1846" s="27">
        <v>43420</v>
      </c>
      <c r="H1846" s="31" t="s">
        <v>54</v>
      </c>
      <c r="I1846" s="31"/>
      <c r="J1846" s="26" t="s">
        <v>600</v>
      </c>
      <c r="K1846" s="27">
        <v>43420</v>
      </c>
      <c r="L1846" s="31" t="s">
        <v>601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598</v>
      </c>
      <c r="D1847" s="31" t="s">
        <v>452</v>
      </c>
      <c r="E1847" s="31" t="s">
        <v>612</v>
      </c>
      <c r="F1847" s="31" t="s">
        <v>1303</v>
      </c>
      <c r="G1847" s="27">
        <v>11900</v>
      </c>
      <c r="H1847" s="31" t="s">
        <v>54</v>
      </c>
      <c r="I1847" s="31"/>
      <c r="J1847" s="26" t="s">
        <v>606</v>
      </c>
      <c r="K1847" s="27">
        <v>11900</v>
      </c>
      <c r="L1847" s="31" t="s">
        <v>601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710</v>
      </c>
      <c r="D1848" s="31" t="s">
        <v>19</v>
      </c>
      <c r="E1848" s="31"/>
      <c r="F1848" s="31" t="s">
        <v>1304</v>
      </c>
      <c r="G1848" s="27">
        <v>90</v>
      </c>
      <c r="H1848" s="31" t="s">
        <v>397</v>
      </c>
      <c r="I1848" s="31"/>
      <c r="J1848" s="26" t="s">
        <v>653</v>
      </c>
      <c r="K1848" s="27">
        <v>90</v>
      </c>
      <c r="L1848" s="31" t="s">
        <v>601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154</v>
      </c>
      <c r="D1849" s="31" t="s">
        <v>19</v>
      </c>
      <c r="E1849" s="31"/>
      <c r="F1849" s="31" t="s">
        <v>179</v>
      </c>
      <c r="G1849" s="27">
        <v>10603</v>
      </c>
      <c r="H1849" s="31" t="s">
        <v>397</v>
      </c>
      <c r="I1849" s="31"/>
      <c r="J1849" s="26" t="s">
        <v>653</v>
      </c>
      <c r="K1849" s="27">
        <v>10603</v>
      </c>
      <c r="L1849" s="31" t="s">
        <v>601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436</v>
      </c>
      <c r="D1850" s="31" t="s">
        <v>650</v>
      </c>
      <c r="E1850" s="31"/>
      <c r="F1850" s="31" t="s">
        <v>687</v>
      </c>
      <c r="G1850" s="27">
        <v>20000</v>
      </c>
      <c r="H1850" s="31" t="s">
        <v>397</v>
      </c>
      <c r="I1850" s="31"/>
      <c r="J1850" s="26" t="s">
        <v>650</v>
      </c>
      <c r="K1850" s="27">
        <v>20000</v>
      </c>
      <c r="L1850" s="31" t="s">
        <v>601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598</v>
      </c>
      <c r="D1851" s="31" t="s">
        <v>452</v>
      </c>
      <c r="E1851" s="31" t="s">
        <v>603</v>
      </c>
      <c r="F1851" s="31" t="s">
        <v>604</v>
      </c>
      <c r="G1851" s="27">
        <v>4200</v>
      </c>
      <c r="H1851" s="31" t="s">
        <v>54</v>
      </c>
      <c r="I1851" s="31" t="s">
        <v>1130</v>
      </c>
      <c r="J1851" s="26" t="s">
        <v>606</v>
      </c>
      <c r="K1851" s="27">
        <v>4200</v>
      </c>
      <c r="L1851" s="31" t="s">
        <v>601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598</v>
      </c>
      <c r="D1852" s="31" t="s">
        <v>453</v>
      </c>
      <c r="E1852" s="31"/>
      <c r="F1852" s="31" t="s">
        <v>453</v>
      </c>
      <c r="G1852" s="27">
        <v>5000</v>
      </c>
      <c r="H1852" s="31" t="s">
        <v>54</v>
      </c>
      <c r="I1852" s="31"/>
      <c r="J1852" s="26" t="s">
        <v>609</v>
      </c>
      <c r="K1852" s="27">
        <v>5000</v>
      </c>
      <c r="L1852" s="31" t="s">
        <v>601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598</v>
      </c>
      <c r="D1853" s="31" t="s">
        <v>452</v>
      </c>
      <c r="E1853" s="31" t="s">
        <v>612</v>
      </c>
      <c r="F1853" s="31" t="s">
        <v>886</v>
      </c>
      <c r="G1853" s="27">
        <v>9000</v>
      </c>
      <c r="H1853" s="31" t="s">
        <v>54</v>
      </c>
      <c r="I1853" s="31"/>
      <c r="J1853" s="26" t="s">
        <v>606</v>
      </c>
      <c r="K1853" s="27">
        <v>9000</v>
      </c>
      <c r="L1853" s="31" t="s">
        <v>601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598</v>
      </c>
      <c r="D1854" s="31" t="s">
        <v>452</v>
      </c>
      <c r="E1854" s="31" t="s">
        <v>603</v>
      </c>
      <c r="F1854" s="31" t="s">
        <v>713</v>
      </c>
      <c r="G1854" s="27">
        <v>9200</v>
      </c>
      <c r="H1854" s="31" t="s">
        <v>54</v>
      </c>
      <c r="I1854" s="31"/>
      <c r="J1854" s="26" t="s">
        <v>606</v>
      </c>
      <c r="K1854" s="27">
        <v>9200</v>
      </c>
      <c r="L1854" s="31" t="s">
        <v>601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611</v>
      </c>
      <c r="D1855" s="31" t="s">
        <v>705</v>
      </c>
      <c r="E1855" s="31"/>
      <c r="F1855" s="31" t="s">
        <v>341</v>
      </c>
      <c r="G1855" s="27">
        <v>53620</v>
      </c>
      <c r="H1855" s="31" t="s">
        <v>54</v>
      </c>
      <c r="I1855" s="31"/>
      <c r="J1855" s="26" t="s">
        <v>600</v>
      </c>
      <c r="K1855" s="27">
        <v>53620</v>
      </c>
      <c r="L1855" s="31" t="s">
        <v>601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154</v>
      </c>
      <c r="D1856" s="31" t="s">
        <v>625</v>
      </c>
      <c r="E1856" s="31"/>
      <c r="F1856" s="31" t="s">
        <v>1305</v>
      </c>
      <c r="G1856" s="27">
        <v>6300</v>
      </c>
      <c r="H1856" s="31" t="s">
        <v>54</v>
      </c>
      <c r="I1856" s="31"/>
      <c r="J1856" s="26" t="s">
        <v>630</v>
      </c>
      <c r="K1856" s="27">
        <v>6300</v>
      </c>
      <c r="L1856" s="31" t="s">
        <v>601</v>
      </c>
      <c r="M1856" s="31" t="s">
        <v>1306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598</v>
      </c>
      <c r="D1857" s="31" t="s">
        <v>453</v>
      </c>
      <c r="E1857" s="31"/>
      <c r="F1857" s="31" t="s">
        <v>453</v>
      </c>
      <c r="G1857" s="27">
        <v>5000</v>
      </c>
      <c r="H1857" s="31" t="s">
        <v>54</v>
      </c>
      <c r="I1857" s="31"/>
      <c r="J1857" s="26" t="s">
        <v>609</v>
      </c>
      <c r="K1857" s="27">
        <v>5000</v>
      </c>
      <c r="L1857" s="31" t="s">
        <v>601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598</v>
      </c>
      <c r="D1858" s="31" t="s">
        <v>452</v>
      </c>
      <c r="E1858" s="31" t="s">
        <v>714</v>
      </c>
      <c r="F1858" s="31" t="s">
        <v>604</v>
      </c>
      <c r="G1858" s="27">
        <v>3200</v>
      </c>
      <c r="H1858" s="31" t="s">
        <v>54</v>
      </c>
      <c r="I1858" s="31" t="s">
        <v>821</v>
      </c>
      <c r="J1858" s="26" t="s">
        <v>606</v>
      </c>
      <c r="K1858" s="27">
        <v>3200</v>
      </c>
      <c r="L1858" s="31" t="s">
        <v>601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681</v>
      </c>
      <c r="D1859" s="31" t="s">
        <v>625</v>
      </c>
      <c r="E1859" s="31"/>
      <c r="F1859" s="31" t="s">
        <v>365</v>
      </c>
      <c r="G1859" s="27">
        <v>3900</v>
      </c>
      <c r="H1859" s="31" t="s">
        <v>54</v>
      </c>
      <c r="I1859" s="31" t="s">
        <v>1307</v>
      </c>
      <c r="J1859" s="26" t="s">
        <v>630</v>
      </c>
      <c r="K1859" s="27">
        <v>3900</v>
      </c>
      <c r="L1859" s="31" t="s">
        <v>601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681</v>
      </c>
      <c r="D1860" s="31" t="s">
        <v>625</v>
      </c>
      <c r="E1860" s="31"/>
      <c r="F1860" s="31" t="s">
        <v>365</v>
      </c>
      <c r="G1860" s="27">
        <v>29800</v>
      </c>
      <c r="H1860" s="31" t="s">
        <v>54</v>
      </c>
      <c r="I1860" s="31" t="s">
        <v>1308</v>
      </c>
      <c r="J1860" s="26" t="s">
        <v>630</v>
      </c>
      <c r="K1860" s="27">
        <v>29800</v>
      </c>
      <c r="L1860" s="31" t="s">
        <v>601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598</v>
      </c>
      <c r="D1861" s="31" t="s">
        <v>640</v>
      </c>
      <c r="E1861" s="31"/>
      <c r="F1861" s="31" t="s">
        <v>654</v>
      </c>
      <c r="G1861" s="27">
        <v>12350</v>
      </c>
      <c r="H1861" s="31" t="s">
        <v>54</v>
      </c>
      <c r="I1861" s="31" t="s">
        <v>1309</v>
      </c>
      <c r="J1861" s="26" t="s">
        <v>630</v>
      </c>
      <c r="K1861" s="27">
        <v>12350</v>
      </c>
      <c r="L1861" s="31" t="s">
        <v>601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681</v>
      </c>
      <c r="D1862" s="31" t="s">
        <v>775</v>
      </c>
      <c r="E1862" s="31"/>
      <c r="F1862" s="31" t="s">
        <v>365</v>
      </c>
      <c r="G1862" s="27">
        <v>29730</v>
      </c>
      <c r="H1862" s="31" t="s">
        <v>54</v>
      </c>
      <c r="I1862" s="31" t="s">
        <v>1310</v>
      </c>
      <c r="J1862" s="26" t="s">
        <v>606</v>
      </c>
      <c r="K1862" s="27">
        <v>29730</v>
      </c>
      <c r="L1862" s="31" t="s">
        <v>601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598</v>
      </c>
      <c r="D1863" s="31" t="s">
        <v>640</v>
      </c>
      <c r="E1863" s="31"/>
      <c r="F1863" s="31" t="s">
        <v>654</v>
      </c>
      <c r="G1863" s="27">
        <v>27500</v>
      </c>
      <c r="H1863" s="31" t="s">
        <v>54</v>
      </c>
      <c r="I1863" s="31" t="s">
        <v>1269</v>
      </c>
      <c r="J1863" s="26" t="s">
        <v>630</v>
      </c>
      <c r="K1863" s="27">
        <v>27500</v>
      </c>
      <c r="L1863" s="31" t="s">
        <v>601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681</v>
      </c>
      <c r="D1864" s="31" t="s">
        <v>640</v>
      </c>
      <c r="E1864" s="31"/>
      <c r="F1864" s="31" t="s">
        <v>365</v>
      </c>
      <c r="G1864" s="27">
        <v>16890</v>
      </c>
      <c r="H1864" s="31" t="s">
        <v>54</v>
      </c>
      <c r="I1864" s="31" t="s">
        <v>1311</v>
      </c>
      <c r="J1864" s="26" t="s">
        <v>630</v>
      </c>
      <c r="K1864" s="27">
        <v>16890</v>
      </c>
      <c r="L1864" s="31" t="s">
        <v>601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598</v>
      </c>
      <c r="D1865" s="31" t="s">
        <v>452</v>
      </c>
      <c r="E1865" s="31" t="s">
        <v>603</v>
      </c>
      <c r="F1865" s="31" t="s">
        <v>604</v>
      </c>
      <c r="G1865" s="27">
        <v>2700</v>
      </c>
      <c r="H1865" s="31" t="s">
        <v>54</v>
      </c>
      <c r="I1865" s="31" t="s">
        <v>1050</v>
      </c>
      <c r="J1865" s="26" t="s">
        <v>606</v>
      </c>
      <c r="K1865" s="27">
        <v>2700</v>
      </c>
      <c r="L1865" s="31" t="s">
        <v>601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598</v>
      </c>
      <c r="D1866" s="31" t="s">
        <v>452</v>
      </c>
      <c r="E1866" s="31" t="s">
        <v>612</v>
      </c>
      <c r="F1866" s="31" t="s">
        <v>731</v>
      </c>
      <c r="G1866" s="27">
        <v>11000</v>
      </c>
      <c r="H1866" s="31" t="s">
        <v>54</v>
      </c>
      <c r="I1866" s="31"/>
      <c r="J1866" s="26" t="s">
        <v>606</v>
      </c>
      <c r="K1866" s="27">
        <v>11000</v>
      </c>
      <c r="L1866" s="31" t="s">
        <v>601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598</v>
      </c>
      <c r="D1867" s="31" t="s">
        <v>669</v>
      </c>
      <c r="E1867" s="31"/>
      <c r="F1867" s="31" t="s">
        <v>654</v>
      </c>
      <c r="G1867" s="27">
        <v>23800</v>
      </c>
      <c r="H1867" s="31" t="s">
        <v>54</v>
      </c>
      <c r="I1867" s="31" t="s">
        <v>1312</v>
      </c>
      <c r="J1867" s="26" t="s">
        <v>617</v>
      </c>
      <c r="K1867" s="27">
        <v>23800</v>
      </c>
      <c r="L1867" s="31" t="s">
        <v>601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154</v>
      </c>
      <c r="D1868" s="31" t="s">
        <v>184</v>
      </c>
      <c r="E1868" s="31"/>
      <c r="F1868" s="31" t="s">
        <v>72</v>
      </c>
      <c r="G1868" s="27">
        <v>336100</v>
      </c>
      <c r="H1868" s="31" t="s">
        <v>636</v>
      </c>
      <c r="I1868" s="31"/>
      <c r="J1868" s="26" t="s">
        <v>634</v>
      </c>
      <c r="K1868" s="27">
        <v>336100</v>
      </c>
      <c r="L1868" s="31" t="s">
        <v>601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184</v>
      </c>
      <c r="D1869" s="31" t="s">
        <v>154</v>
      </c>
      <c r="E1869" s="31"/>
      <c r="F1869" s="31" t="s">
        <v>72</v>
      </c>
      <c r="G1869" s="27">
        <v>336100</v>
      </c>
      <c r="H1869" s="31" t="s">
        <v>633</v>
      </c>
      <c r="I1869" s="31"/>
      <c r="J1869" s="26" t="s">
        <v>634</v>
      </c>
      <c r="K1869" s="27">
        <v>336100</v>
      </c>
      <c r="L1869" s="31" t="s">
        <v>601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184</v>
      </c>
      <c r="D1870" s="31" t="s">
        <v>546</v>
      </c>
      <c r="E1870" s="31"/>
      <c r="F1870" s="31" t="s">
        <v>657</v>
      </c>
      <c r="G1870" s="27">
        <v>336100</v>
      </c>
      <c r="H1870" s="31" t="s">
        <v>636</v>
      </c>
      <c r="I1870" s="31"/>
      <c r="J1870" s="26" t="s">
        <v>634</v>
      </c>
      <c r="K1870" s="27">
        <v>336100</v>
      </c>
      <c r="L1870" s="31" t="s">
        <v>601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546</v>
      </c>
      <c r="D1871" s="31" t="s">
        <v>184</v>
      </c>
      <c r="E1871" s="31"/>
      <c r="F1871" s="31" t="s">
        <v>657</v>
      </c>
      <c r="G1871" s="27">
        <v>336100</v>
      </c>
      <c r="H1871" s="31" t="s">
        <v>633</v>
      </c>
      <c r="I1871" s="31"/>
      <c r="J1871" s="26" t="s">
        <v>634</v>
      </c>
      <c r="K1871" s="27">
        <v>336100</v>
      </c>
      <c r="L1871" s="31" t="s">
        <v>601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598</v>
      </c>
      <c r="D1872" s="31" t="s">
        <v>452</v>
      </c>
      <c r="E1872" s="31" t="s">
        <v>714</v>
      </c>
      <c r="F1872" s="31" t="s">
        <v>604</v>
      </c>
      <c r="G1872" s="27">
        <v>4050</v>
      </c>
      <c r="H1872" s="31" t="s">
        <v>54</v>
      </c>
      <c r="I1872" s="31" t="s">
        <v>821</v>
      </c>
      <c r="J1872" s="26" t="s">
        <v>606</v>
      </c>
      <c r="K1872" s="27">
        <v>4050</v>
      </c>
      <c r="L1872" s="31" t="s">
        <v>601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611</v>
      </c>
      <c r="D1873" s="31" t="s">
        <v>735</v>
      </c>
      <c r="E1873" s="31"/>
      <c r="F1873" s="31" t="s">
        <v>1280</v>
      </c>
      <c r="G1873" s="27">
        <v>1000</v>
      </c>
      <c r="H1873" s="31" t="s">
        <v>54</v>
      </c>
      <c r="I1873" s="31" t="s">
        <v>1313</v>
      </c>
      <c r="J1873" s="26" t="s">
        <v>628</v>
      </c>
      <c r="K1873" s="27">
        <v>1000</v>
      </c>
      <c r="L1873" s="31" t="s">
        <v>601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154</v>
      </c>
      <c r="D1874" s="31" t="s">
        <v>178</v>
      </c>
      <c r="E1874" s="31"/>
      <c r="F1874" s="31" t="s">
        <v>72</v>
      </c>
      <c r="G1874" s="27">
        <v>1393483</v>
      </c>
      <c r="H1874" s="31" t="s">
        <v>636</v>
      </c>
      <c r="I1874" s="31"/>
      <c r="J1874" s="26" t="s">
        <v>634</v>
      </c>
      <c r="K1874" s="27">
        <v>1393483</v>
      </c>
      <c r="L1874" s="31" t="s">
        <v>601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178</v>
      </c>
      <c r="D1875" s="31" t="s">
        <v>154</v>
      </c>
      <c r="E1875" s="31"/>
      <c r="F1875" s="31" t="s">
        <v>72</v>
      </c>
      <c r="G1875" s="27">
        <v>1393483</v>
      </c>
      <c r="H1875" s="31" t="s">
        <v>633</v>
      </c>
      <c r="I1875" s="31"/>
      <c r="J1875" s="26" t="s">
        <v>634</v>
      </c>
      <c r="K1875" s="27">
        <v>1393483</v>
      </c>
      <c r="L1875" s="31" t="s">
        <v>601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154</v>
      </c>
      <c r="D1876" s="31" t="s">
        <v>187</v>
      </c>
      <c r="E1876" s="31"/>
      <c r="F1876" s="31" t="s">
        <v>72</v>
      </c>
      <c r="G1876" s="27">
        <v>94000</v>
      </c>
      <c r="H1876" s="31" t="s">
        <v>636</v>
      </c>
      <c r="I1876" s="31"/>
      <c r="J1876" s="26" t="s">
        <v>634</v>
      </c>
      <c r="K1876" s="27">
        <v>94000</v>
      </c>
      <c r="L1876" s="31" t="s">
        <v>601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187</v>
      </c>
      <c r="D1877" s="31" t="s">
        <v>154</v>
      </c>
      <c r="E1877" s="31"/>
      <c r="F1877" s="31" t="s">
        <v>72</v>
      </c>
      <c r="G1877" s="27">
        <v>19600</v>
      </c>
      <c r="H1877" s="31" t="s">
        <v>636</v>
      </c>
      <c r="I1877" s="31" t="s">
        <v>1314</v>
      </c>
      <c r="J1877" s="26" t="s">
        <v>634</v>
      </c>
      <c r="K1877" s="27">
        <v>19600</v>
      </c>
      <c r="L1877" s="31" t="s">
        <v>601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154</v>
      </c>
      <c r="D1878" s="31" t="s">
        <v>187</v>
      </c>
      <c r="E1878" s="31"/>
      <c r="F1878" s="31" t="s">
        <v>72</v>
      </c>
      <c r="G1878" s="27">
        <v>19600</v>
      </c>
      <c r="H1878" s="31" t="s">
        <v>633</v>
      </c>
      <c r="I1878" s="31" t="s">
        <v>1314</v>
      </c>
      <c r="J1878" s="26" t="s">
        <v>634</v>
      </c>
      <c r="K1878" s="27">
        <v>19600</v>
      </c>
      <c r="L1878" s="31" t="s">
        <v>601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187</v>
      </c>
      <c r="D1879" s="31" t="s">
        <v>154</v>
      </c>
      <c r="E1879" s="31"/>
      <c r="F1879" s="31" t="s">
        <v>72</v>
      </c>
      <c r="G1879" s="27">
        <v>94000</v>
      </c>
      <c r="H1879" s="31" t="s">
        <v>633</v>
      </c>
      <c r="I1879" s="31"/>
      <c r="J1879" s="26" t="s">
        <v>634</v>
      </c>
      <c r="K1879" s="27">
        <v>94000</v>
      </c>
      <c r="L1879" s="31" t="s">
        <v>601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681</v>
      </c>
      <c r="D1880" s="31" t="s">
        <v>625</v>
      </c>
      <c r="E1880" s="31"/>
      <c r="F1880" s="31" t="s">
        <v>365</v>
      </c>
      <c r="G1880" s="27">
        <v>11480</v>
      </c>
      <c r="H1880" s="31" t="s">
        <v>54</v>
      </c>
      <c r="I1880" s="31" t="s">
        <v>1315</v>
      </c>
      <c r="J1880" s="26" t="s">
        <v>630</v>
      </c>
      <c r="K1880" s="27">
        <v>11480</v>
      </c>
      <c r="L1880" s="31" t="s">
        <v>601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598</v>
      </c>
      <c r="D1881" s="31" t="s">
        <v>625</v>
      </c>
      <c r="E1881" s="31"/>
      <c r="F1881" s="31" t="s">
        <v>654</v>
      </c>
      <c r="G1881" s="27">
        <v>32800</v>
      </c>
      <c r="H1881" s="31" t="s">
        <v>54</v>
      </c>
      <c r="I1881" s="31" t="s">
        <v>1316</v>
      </c>
      <c r="J1881" s="26" t="s">
        <v>630</v>
      </c>
      <c r="K1881" s="27">
        <v>32800</v>
      </c>
      <c r="L1881" s="31" t="s">
        <v>601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611</v>
      </c>
      <c r="D1882" s="31" t="s">
        <v>640</v>
      </c>
      <c r="E1882" s="31"/>
      <c r="F1882" s="31" t="s">
        <v>1317</v>
      </c>
      <c r="G1882" s="27">
        <v>74700</v>
      </c>
      <c r="H1882" s="31" t="s">
        <v>54</v>
      </c>
      <c r="I1882" s="31" t="s">
        <v>707</v>
      </c>
      <c r="J1882" s="26" t="s">
        <v>600</v>
      </c>
      <c r="K1882" s="27">
        <v>74700</v>
      </c>
      <c r="L1882" s="31" t="s">
        <v>601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154</v>
      </c>
      <c r="D1883" s="31" t="s">
        <v>1108</v>
      </c>
      <c r="E1883" s="31"/>
      <c r="F1883" s="31" t="s">
        <v>687</v>
      </c>
      <c r="G1883" s="27">
        <v>50000</v>
      </c>
      <c r="H1883" s="31" t="s">
        <v>636</v>
      </c>
      <c r="I1883" s="31"/>
      <c r="J1883" s="26" t="s">
        <v>665</v>
      </c>
      <c r="K1883" s="27">
        <v>50000</v>
      </c>
      <c r="L1883" s="31" t="s">
        <v>601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1108</v>
      </c>
      <c r="D1884" s="31" t="s">
        <v>154</v>
      </c>
      <c r="E1884" s="31"/>
      <c r="F1884" s="31" t="s">
        <v>687</v>
      </c>
      <c r="G1884" s="27">
        <v>50000</v>
      </c>
      <c r="H1884" s="31" t="s">
        <v>633</v>
      </c>
      <c r="I1884" s="31"/>
      <c r="J1884" s="26" t="s">
        <v>634</v>
      </c>
      <c r="K1884" s="27">
        <v>50000</v>
      </c>
      <c r="L1884" s="31" t="s">
        <v>601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1108</v>
      </c>
      <c r="D1885" s="31" t="s">
        <v>650</v>
      </c>
      <c r="E1885" s="31"/>
      <c r="F1885" s="31" t="s">
        <v>687</v>
      </c>
      <c r="G1885" s="27">
        <v>50000</v>
      </c>
      <c r="H1885" s="31" t="s">
        <v>397</v>
      </c>
      <c r="I1885" s="31"/>
      <c r="J1885" s="26" t="s">
        <v>650</v>
      </c>
      <c r="K1885" s="27">
        <v>50000</v>
      </c>
      <c r="L1885" s="31" t="s">
        <v>601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1108</v>
      </c>
      <c r="D1886" s="31" t="s">
        <v>741</v>
      </c>
      <c r="E1886" s="31" t="s">
        <v>1019</v>
      </c>
      <c r="F1886" s="31" t="s">
        <v>1318</v>
      </c>
      <c r="G1886" s="27">
        <v>43000</v>
      </c>
      <c r="H1886" s="31" t="s">
        <v>54</v>
      </c>
      <c r="I1886" s="31" t="s">
        <v>1319</v>
      </c>
      <c r="J1886" s="26" t="s">
        <v>614</v>
      </c>
      <c r="K1886" s="27">
        <v>21500</v>
      </c>
      <c r="L1886" s="31" t="s">
        <v>190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1108</v>
      </c>
      <c r="D1887" s="31" t="s">
        <v>741</v>
      </c>
      <c r="E1887" s="31" t="s">
        <v>1019</v>
      </c>
      <c r="F1887" s="31" t="s">
        <v>1320</v>
      </c>
      <c r="G1887" s="27">
        <v>13500</v>
      </c>
      <c r="H1887" s="31" t="s">
        <v>54</v>
      </c>
      <c r="I1887" s="31" t="s">
        <v>1188</v>
      </c>
      <c r="J1887" s="26" t="s">
        <v>614</v>
      </c>
      <c r="K1887" s="27">
        <v>6750</v>
      </c>
      <c r="L1887" s="31" t="s">
        <v>190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598</v>
      </c>
      <c r="D1888" s="31" t="s">
        <v>741</v>
      </c>
      <c r="E1888" s="31" t="s">
        <v>59</v>
      </c>
      <c r="F1888" s="31" t="s">
        <v>916</v>
      </c>
      <c r="G1888" s="27">
        <v>99200</v>
      </c>
      <c r="H1888" s="31" t="s">
        <v>54</v>
      </c>
      <c r="I1888" s="31" t="s">
        <v>1321</v>
      </c>
      <c r="J1888" s="26" t="s">
        <v>59</v>
      </c>
      <c r="K1888" s="27">
        <v>99200</v>
      </c>
      <c r="L1888" s="31" t="s">
        <v>601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598</v>
      </c>
      <c r="D1889" s="31" t="s">
        <v>741</v>
      </c>
      <c r="E1889" s="31" t="s">
        <v>59</v>
      </c>
      <c r="F1889" s="31" t="s">
        <v>916</v>
      </c>
      <c r="G1889" s="27">
        <v>113100</v>
      </c>
      <c r="H1889" s="31" t="s">
        <v>54</v>
      </c>
      <c r="I1889" s="31" t="s">
        <v>1322</v>
      </c>
      <c r="J1889" s="26" t="s">
        <v>59</v>
      </c>
      <c r="K1889" s="27">
        <v>113100</v>
      </c>
      <c r="L1889" s="31" t="s">
        <v>601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178</v>
      </c>
      <c r="D1890" s="31" t="s">
        <v>598</v>
      </c>
      <c r="E1890" s="31"/>
      <c r="F1890" s="31" t="s">
        <v>657</v>
      </c>
      <c r="G1890" s="27">
        <v>1393483</v>
      </c>
      <c r="H1890" s="31" t="s">
        <v>636</v>
      </c>
      <c r="I1890" s="31"/>
      <c r="J1890" s="26" t="s">
        <v>634</v>
      </c>
      <c r="K1890" s="27">
        <v>1393483</v>
      </c>
      <c r="L1890" s="31" t="s">
        <v>601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598</v>
      </c>
      <c r="D1891" s="31" t="s">
        <v>178</v>
      </c>
      <c r="E1891" s="31"/>
      <c r="F1891" s="31" t="s">
        <v>657</v>
      </c>
      <c r="G1891" s="27">
        <v>1393483</v>
      </c>
      <c r="H1891" s="31" t="s">
        <v>633</v>
      </c>
      <c r="I1891" s="31"/>
      <c r="J1891" s="26" t="s">
        <v>634</v>
      </c>
      <c r="K1891" s="27">
        <v>1393483</v>
      </c>
      <c r="L1891" s="31" t="s">
        <v>601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598</v>
      </c>
      <c r="D1892" s="31" t="s">
        <v>453</v>
      </c>
      <c r="E1892" s="31"/>
      <c r="F1892" s="31" t="s">
        <v>453</v>
      </c>
      <c r="G1892" s="27">
        <v>5000</v>
      </c>
      <c r="H1892" s="31" t="s">
        <v>54</v>
      </c>
      <c r="I1892" s="31"/>
      <c r="J1892" s="26" t="s">
        <v>609</v>
      </c>
      <c r="K1892" s="27">
        <v>5000</v>
      </c>
      <c r="L1892" s="31" t="s">
        <v>601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598</v>
      </c>
      <c r="D1893" s="31" t="s">
        <v>452</v>
      </c>
      <c r="E1893" s="31" t="s">
        <v>603</v>
      </c>
      <c r="F1893" s="31" t="s">
        <v>604</v>
      </c>
      <c r="G1893" s="27">
        <v>5000</v>
      </c>
      <c r="H1893" s="31" t="s">
        <v>54</v>
      </c>
      <c r="I1893" s="31" t="s">
        <v>1323</v>
      </c>
      <c r="J1893" s="26" t="s">
        <v>606</v>
      </c>
      <c r="K1893" s="27">
        <v>5000</v>
      </c>
      <c r="L1893" s="31" t="s">
        <v>601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187</v>
      </c>
      <c r="D1894" s="31" t="s">
        <v>19</v>
      </c>
      <c r="E1894" s="31"/>
      <c r="F1894" s="31" t="s">
        <v>1324</v>
      </c>
      <c r="G1894" s="27">
        <v>93420</v>
      </c>
      <c r="H1894" s="31" t="s">
        <v>54</v>
      </c>
      <c r="I1894" s="31" t="s">
        <v>498</v>
      </c>
      <c r="J1894" s="26" t="s">
        <v>600</v>
      </c>
      <c r="K1894" s="27">
        <v>93420</v>
      </c>
      <c r="L1894" s="31" t="s">
        <v>601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162</v>
      </c>
      <c r="D1895" s="31" t="s">
        <v>19</v>
      </c>
      <c r="E1895" s="31"/>
      <c r="F1895" s="31" t="s">
        <v>1325</v>
      </c>
      <c r="G1895" s="27">
        <v>91210</v>
      </c>
      <c r="H1895" s="31" t="s">
        <v>397</v>
      </c>
      <c r="I1895" s="31" t="s">
        <v>220</v>
      </c>
      <c r="J1895" s="26" t="s">
        <v>653</v>
      </c>
      <c r="K1895" s="27">
        <v>91210</v>
      </c>
      <c r="L1895" s="31" t="s">
        <v>601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154</v>
      </c>
      <c r="D1896" s="31" t="s">
        <v>775</v>
      </c>
      <c r="E1896" s="31"/>
      <c r="F1896" s="31" t="s">
        <v>122</v>
      </c>
      <c r="G1896" s="27">
        <v>10000</v>
      </c>
      <c r="H1896" s="31" t="s">
        <v>54</v>
      </c>
      <c r="I1896" s="31"/>
      <c r="J1896" s="26" t="s">
        <v>606</v>
      </c>
      <c r="K1896" s="27">
        <v>10000</v>
      </c>
      <c r="L1896" s="31" t="s">
        <v>601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598</v>
      </c>
      <c r="D1897" s="31" t="s">
        <v>453</v>
      </c>
      <c r="E1897" s="31"/>
      <c r="F1897" s="31" t="s">
        <v>453</v>
      </c>
      <c r="G1897" s="27">
        <v>5000</v>
      </c>
      <c r="H1897" s="31" t="s">
        <v>54</v>
      </c>
      <c r="I1897" s="31"/>
      <c r="J1897" s="26" t="s">
        <v>609</v>
      </c>
      <c r="K1897" s="27">
        <v>5000</v>
      </c>
      <c r="L1897" s="31" t="s">
        <v>601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598</v>
      </c>
      <c r="D1898" s="31" t="s">
        <v>452</v>
      </c>
      <c r="E1898" s="31" t="s">
        <v>603</v>
      </c>
      <c r="F1898" s="31" t="s">
        <v>604</v>
      </c>
      <c r="G1898" s="27">
        <v>3500</v>
      </c>
      <c r="H1898" s="31" t="s">
        <v>54</v>
      </c>
      <c r="I1898" s="31" t="s">
        <v>1326</v>
      </c>
      <c r="J1898" s="26" t="s">
        <v>606</v>
      </c>
      <c r="K1898" s="27">
        <v>3500</v>
      </c>
      <c r="L1898" s="31" t="s">
        <v>601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154</v>
      </c>
      <c r="D1899" s="31" t="s">
        <v>166</v>
      </c>
      <c r="E1899" s="31"/>
      <c r="F1899" s="31" t="s">
        <v>72</v>
      </c>
      <c r="G1899" s="27">
        <v>538565</v>
      </c>
      <c r="H1899" s="31" t="s">
        <v>636</v>
      </c>
      <c r="I1899" s="31" t="s">
        <v>1327</v>
      </c>
      <c r="J1899" s="26" t="s">
        <v>634</v>
      </c>
      <c r="K1899" s="27">
        <v>538565</v>
      </c>
      <c r="L1899" s="31" t="s">
        <v>601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546</v>
      </c>
      <c r="D1900" s="31" t="s">
        <v>452</v>
      </c>
      <c r="E1900" s="31" t="s">
        <v>603</v>
      </c>
      <c r="F1900" s="31" t="s">
        <v>867</v>
      </c>
      <c r="G1900" s="27">
        <v>19350</v>
      </c>
      <c r="H1900" s="31" t="s">
        <v>54</v>
      </c>
      <c r="I1900" s="31"/>
      <c r="J1900" s="26" t="s">
        <v>606</v>
      </c>
      <c r="K1900" s="27">
        <v>19350</v>
      </c>
      <c r="L1900" s="31" t="s">
        <v>601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546</v>
      </c>
      <c r="D1901" s="31" t="s">
        <v>775</v>
      </c>
      <c r="E1901" s="31"/>
      <c r="F1901" s="31" t="s">
        <v>1328</v>
      </c>
      <c r="G1901" s="27">
        <v>10400</v>
      </c>
      <c r="H1901" s="31" t="s">
        <v>54</v>
      </c>
      <c r="I1901" s="31"/>
      <c r="J1901" s="26" t="s">
        <v>606</v>
      </c>
      <c r="K1901" s="27">
        <v>10400</v>
      </c>
      <c r="L1901" s="31" t="s">
        <v>601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166</v>
      </c>
      <c r="D1902" s="31" t="s">
        <v>154</v>
      </c>
      <c r="E1902" s="31"/>
      <c r="F1902" s="31" t="s">
        <v>72</v>
      </c>
      <c r="G1902" s="27">
        <v>538565</v>
      </c>
      <c r="H1902" s="31" t="s">
        <v>633</v>
      </c>
      <c r="I1902" s="31" t="s">
        <v>1327</v>
      </c>
      <c r="J1902" s="26" t="s">
        <v>634</v>
      </c>
      <c r="K1902" s="27">
        <v>538565</v>
      </c>
      <c r="L1902" s="31" t="s">
        <v>601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133</v>
      </c>
      <c r="D1903" s="31" t="s">
        <v>154</v>
      </c>
      <c r="E1903" s="31"/>
      <c r="F1903" s="31" t="s">
        <v>72</v>
      </c>
      <c r="G1903" s="27">
        <v>387960</v>
      </c>
      <c r="H1903" s="31" t="s">
        <v>633</v>
      </c>
      <c r="I1903" s="31" t="s">
        <v>1329</v>
      </c>
      <c r="J1903" s="26" t="s">
        <v>634</v>
      </c>
      <c r="K1903" s="27">
        <v>387960</v>
      </c>
      <c r="L1903" s="31" t="s">
        <v>601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172</v>
      </c>
      <c r="D1904" s="31" t="s">
        <v>154</v>
      </c>
      <c r="E1904" s="31"/>
      <c r="F1904" s="31" t="s">
        <v>72</v>
      </c>
      <c r="G1904" s="27">
        <v>383984</v>
      </c>
      <c r="H1904" s="31" t="s">
        <v>633</v>
      </c>
      <c r="I1904" s="31" t="s">
        <v>1330</v>
      </c>
      <c r="J1904" s="26" t="s">
        <v>634</v>
      </c>
      <c r="K1904" s="27">
        <v>383984</v>
      </c>
      <c r="L1904" s="31" t="s">
        <v>601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154</v>
      </c>
      <c r="D1905" s="31" t="s">
        <v>133</v>
      </c>
      <c r="E1905" s="31"/>
      <c r="F1905" s="31" t="s">
        <v>72</v>
      </c>
      <c r="G1905" s="27">
        <v>387960</v>
      </c>
      <c r="H1905" s="31" t="s">
        <v>636</v>
      </c>
      <c r="I1905" s="31" t="s">
        <v>1329</v>
      </c>
      <c r="J1905" s="26" t="s">
        <v>634</v>
      </c>
      <c r="K1905" s="27">
        <v>387960</v>
      </c>
      <c r="L1905" s="31" t="s">
        <v>601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154</v>
      </c>
      <c r="D1906" s="31" t="s">
        <v>172</v>
      </c>
      <c r="E1906" s="31"/>
      <c r="F1906" s="31" t="s">
        <v>72</v>
      </c>
      <c r="G1906" s="27">
        <v>383984</v>
      </c>
      <c r="H1906" s="31" t="s">
        <v>636</v>
      </c>
      <c r="I1906" s="31" t="s">
        <v>1330</v>
      </c>
      <c r="J1906" s="26" t="s">
        <v>634</v>
      </c>
      <c r="K1906" s="27">
        <v>383984</v>
      </c>
      <c r="L1906" s="31" t="s">
        <v>601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169</v>
      </c>
      <c r="D1907" s="31" t="s">
        <v>154</v>
      </c>
      <c r="E1907" s="31"/>
      <c r="F1907" s="31" t="s">
        <v>72</v>
      </c>
      <c r="G1907" s="27">
        <v>550361</v>
      </c>
      <c r="H1907" s="31" t="s">
        <v>633</v>
      </c>
      <c r="I1907" s="31" t="s">
        <v>1331</v>
      </c>
      <c r="J1907" s="26" t="s">
        <v>634</v>
      </c>
      <c r="K1907" s="27">
        <v>550361</v>
      </c>
      <c r="L1907" s="31" t="s">
        <v>601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154</v>
      </c>
      <c r="D1908" s="31" t="s">
        <v>169</v>
      </c>
      <c r="E1908" s="31"/>
      <c r="F1908" s="31" t="s">
        <v>72</v>
      </c>
      <c r="G1908" s="27">
        <v>550361</v>
      </c>
      <c r="H1908" s="31" t="s">
        <v>636</v>
      </c>
      <c r="I1908" s="31" t="s">
        <v>1331</v>
      </c>
      <c r="J1908" s="26" t="s">
        <v>634</v>
      </c>
      <c r="K1908" s="27">
        <v>550361</v>
      </c>
      <c r="L1908" s="31" t="s">
        <v>601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546</v>
      </c>
      <c r="D1909" s="31" t="s">
        <v>625</v>
      </c>
      <c r="E1909" s="31"/>
      <c r="F1909" s="31" t="s">
        <v>626</v>
      </c>
      <c r="G1909" s="27">
        <v>2000</v>
      </c>
      <c r="H1909" s="31" t="s">
        <v>54</v>
      </c>
      <c r="I1909" s="31"/>
      <c r="J1909" s="26" t="s">
        <v>630</v>
      </c>
      <c r="K1909" s="27">
        <v>2000</v>
      </c>
      <c r="L1909" s="31" t="s">
        <v>601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546</v>
      </c>
      <c r="D1910" s="31" t="s">
        <v>453</v>
      </c>
      <c r="E1910" s="31"/>
      <c r="F1910" s="31" t="s">
        <v>453</v>
      </c>
      <c r="G1910" s="27">
        <v>5000</v>
      </c>
      <c r="H1910" s="31" t="s">
        <v>54</v>
      </c>
      <c r="I1910" s="31"/>
      <c r="J1910" s="26" t="s">
        <v>609</v>
      </c>
      <c r="K1910" s="27">
        <v>5000</v>
      </c>
      <c r="L1910" s="31" t="s">
        <v>601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546</v>
      </c>
      <c r="D1911" s="31" t="s">
        <v>452</v>
      </c>
      <c r="E1911" s="31"/>
      <c r="F1911" s="31" t="s">
        <v>604</v>
      </c>
      <c r="G1911" s="27">
        <v>5800</v>
      </c>
      <c r="H1911" s="31" t="s">
        <v>54</v>
      </c>
      <c r="I1911" s="31"/>
      <c r="J1911" s="26" t="s">
        <v>606</v>
      </c>
      <c r="K1911" s="27">
        <v>5800</v>
      </c>
      <c r="L1911" s="31" t="s">
        <v>601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436</v>
      </c>
      <c r="D1912" s="31" t="s">
        <v>650</v>
      </c>
      <c r="E1912" s="31"/>
      <c r="F1912" s="31" t="s">
        <v>687</v>
      </c>
      <c r="G1912" s="27">
        <v>20000</v>
      </c>
      <c r="H1912" s="31" t="s">
        <v>397</v>
      </c>
      <c r="I1912" s="31"/>
      <c r="J1912" s="26" t="s">
        <v>650</v>
      </c>
      <c r="K1912" s="27">
        <v>20000</v>
      </c>
      <c r="L1912" s="31" t="s">
        <v>601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166</v>
      </c>
      <c r="D1913" s="31" t="s">
        <v>611</v>
      </c>
      <c r="E1913" s="31"/>
      <c r="F1913" s="31" t="s">
        <v>657</v>
      </c>
      <c r="G1913" s="27">
        <v>538565</v>
      </c>
      <c r="H1913" s="31" t="s">
        <v>636</v>
      </c>
      <c r="I1913" s="31"/>
      <c r="J1913" s="26" t="s">
        <v>634</v>
      </c>
      <c r="K1913" s="27">
        <v>538565</v>
      </c>
      <c r="L1913" s="31" t="s">
        <v>601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611</v>
      </c>
      <c r="D1914" s="31" t="s">
        <v>166</v>
      </c>
      <c r="E1914" s="31"/>
      <c r="F1914" s="31" t="s">
        <v>657</v>
      </c>
      <c r="G1914" s="27">
        <v>538565</v>
      </c>
      <c r="H1914" s="31" t="s">
        <v>633</v>
      </c>
      <c r="I1914" s="31"/>
      <c r="J1914" s="26" t="s">
        <v>634</v>
      </c>
      <c r="K1914" s="27">
        <v>538565</v>
      </c>
      <c r="L1914" s="31" t="s">
        <v>601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169</v>
      </c>
      <c r="D1915" s="31" t="s">
        <v>1158</v>
      </c>
      <c r="E1915" s="31"/>
      <c r="F1915" s="31" t="s">
        <v>657</v>
      </c>
      <c r="G1915" s="27">
        <v>550361</v>
      </c>
      <c r="H1915" s="31" t="s">
        <v>636</v>
      </c>
      <c r="I1915" s="31"/>
      <c r="J1915" s="26" t="s">
        <v>634</v>
      </c>
      <c r="K1915" s="27">
        <v>550361</v>
      </c>
      <c r="L1915" s="31" t="s">
        <v>601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1158</v>
      </c>
      <c r="D1916" s="31" t="s">
        <v>169</v>
      </c>
      <c r="E1916" s="31"/>
      <c r="F1916" s="31" t="s">
        <v>657</v>
      </c>
      <c r="G1916" s="27">
        <v>550361</v>
      </c>
      <c r="H1916" s="31" t="s">
        <v>633</v>
      </c>
      <c r="I1916" s="31"/>
      <c r="J1916" s="26" t="s">
        <v>634</v>
      </c>
      <c r="K1916" s="27">
        <v>550361</v>
      </c>
      <c r="L1916" s="31" t="s">
        <v>601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172</v>
      </c>
      <c r="D1917" s="31" t="s">
        <v>681</v>
      </c>
      <c r="E1917" s="31"/>
      <c r="F1917" s="31" t="s">
        <v>657</v>
      </c>
      <c r="G1917" s="27">
        <v>383984</v>
      </c>
      <c r="H1917" s="31" t="s">
        <v>636</v>
      </c>
      <c r="I1917" s="31"/>
      <c r="J1917" s="26" t="s">
        <v>634</v>
      </c>
      <c r="K1917" s="27">
        <v>383984</v>
      </c>
      <c r="L1917" s="31" t="s">
        <v>601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681</v>
      </c>
      <c r="D1918" s="31" t="s">
        <v>172</v>
      </c>
      <c r="E1918" s="31"/>
      <c r="F1918" s="31" t="s">
        <v>657</v>
      </c>
      <c r="G1918" s="27">
        <v>383984</v>
      </c>
      <c r="H1918" s="31" t="s">
        <v>633</v>
      </c>
      <c r="I1918" s="31"/>
      <c r="J1918" s="26" t="s">
        <v>634</v>
      </c>
      <c r="K1918" s="27">
        <v>383984</v>
      </c>
      <c r="L1918" s="31" t="s">
        <v>601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546</v>
      </c>
      <c r="D1919" s="31" t="s">
        <v>735</v>
      </c>
      <c r="E1919" s="31"/>
      <c r="F1919" s="31" t="s">
        <v>1280</v>
      </c>
      <c r="G1919" s="27">
        <v>17000</v>
      </c>
      <c r="H1919" s="31" t="s">
        <v>54</v>
      </c>
      <c r="I1919" s="31" t="s">
        <v>1281</v>
      </c>
      <c r="J1919" s="26" t="s">
        <v>628</v>
      </c>
      <c r="K1919" s="27">
        <v>17000</v>
      </c>
      <c r="L1919" s="31" t="s">
        <v>601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546</v>
      </c>
      <c r="D1920" s="31" t="s">
        <v>452</v>
      </c>
      <c r="E1920" s="31" t="s">
        <v>714</v>
      </c>
      <c r="F1920" s="31" t="s">
        <v>604</v>
      </c>
      <c r="G1920" s="27">
        <v>3300</v>
      </c>
      <c r="H1920" s="31" t="s">
        <v>54</v>
      </c>
      <c r="I1920" s="31" t="s">
        <v>939</v>
      </c>
      <c r="J1920" s="26" t="s">
        <v>606</v>
      </c>
      <c r="K1920" s="27">
        <v>3300</v>
      </c>
      <c r="L1920" s="31" t="s">
        <v>601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546</v>
      </c>
      <c r="D1921" s="31" t="s">
        <v>453</v>
      </c>
      <c r="E1921" s="31"/>
      <c r="F1921" s="31" t="s">
        <v>453</v>
      </c>
      <c r="G1921" s="27">
        <v>5000</v>
      </c>
      <c r="H1921" s="31" t="s">
        <v>54</v>
      </c>
      <c r="I1921" s="31"/>
      <c r="J1921" s="26" t="s">
        <v>609</v>
      </c>
      <c r="K1921" s="27">
        <v>5000</v>
      </c>
      <c r="L1921" s="31" t="s">
        <v>601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598</v>
      </c>
      <c r="D1922" s="31" t="s">
        <v>775</v>
      </c>
      <c r="E1922" s="31"/>
      <c r="F1922" s="31" t="s">
        <v>1332</v>
      </c>
      <c r="G1922" s="27">
        <v>20000</v>
      </c>
      <c r="H1922" s="31" t="s">
        <v>54</v>
      </c>
      <c r="I1922" s="31"/>
      <c r="J1922" s="26" t="s">
        <v>606</v>
      </c>
      <c r="K1922" s="27">
        <v>20000</v>
      </c>
      <c r="L1922" s="31" t="s">
        <v>601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546</v>
      </c>
      <c r="D1923" s="31" t="s">
        <v>741</v>
      </c>
      <c r="E1923" s="31" t="s">
        <v>59</v>
      </c>
      <c r="F1923" s="31" t="s">
        <v>1333</v>
      </c>
      <c r="G1923" s="27">
        <v>2000</v>
      </c>
      <c r="H1923" s="31" t="s">
        <v>54</v>
      </c>
      <c r="I1923" s="31" t="s">
        <v>1334</v>
      </c>
      <c r="J1923" s="26" t="s">
        <v>59</v>
      </c>
      <c r="K1923" s="27">
        <v>2000</v>
      </c>
      <c r="L1923" s="31" t="s">
        <v>601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546</v>
      </c>
      <c r="D1924" s="31" t="s">
        <v>625</v>
      </c>
      <c r="E1924" s="31"/>
      <c r="F1924" s="31" t="s">
        <v>626</v>
      </c>
      <c r="G1924" s="27">
        <v>19200</v>
      </c>
      <c r="H1924" s="31" t="s">
        <v>54</v>
      </c>
      <c r="I1924" s="31"/>
      <c r="J1924" s="26" t="s">
        <v>630</v>
      </c>
      <c r="K1924" s="27">
        <v>19200</v>
      </c>
      <c r="L1924" s="31" t="s">
        <v>601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546</v>
      </c>
      <c r="D1925" s="31" t="s">
        <v>452</v>
      </c>
      <c r="E1925" s="31" t="s">
        <v>733</v>
      </c>
      <c r="F1925" s="31" t="s">
        <v>1335</v>
      </c>
      <c r="G1925" s="27">
        <v>10000</v>
      </c>
      <c r="H1925" s="31" t="s">
        <v>54</v>
      </c>
      <c r="I1925" s="31"/>
      <c r="J1925" s="26" t="s">
        <v>606</v>
      </c>
      <c r="K1925" s="27">
        <v>10000</v>
      </c>
      <c r="L1925" s="31" t="s">
        <v>601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546</v>
      </c>
      <c r="D1926" s="31" t="s">
        <v>452</v>
      </c>
      <c r="E1926" s="31" t="s">
        <v>603</v>
      </c>
      <c r="F1926" s="31" t="s">
        <v>946</v>
      </c>
      <c r="G1926" s="27">
        <v>3000</v>
      </c>
      <c r="H1926" s="31" t="s">
        <v>54</v>
      </c>
      <c r="I1926" s="31"/>
      <c r="J1926" s="26" t="s">
        <v>606</v>
      </c>
      <c r="K1926" s="27">
        <v>3000</v>
      </c>
      <c r="L1926" s="31" t="s">
        <v>601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546</v>
      </c>
      <c r="D1927" s="31" t="s">
        <v>453</v>
      </c>
      <c r="E1927" s="31"/>
      <c r="F1927" s="31" t="s">
        <v>453</v>
      </c>
      <c r="G1927" s="27">
        <v>5000</v>
      </c>
      <c r="H1927" s="31" t="s">
        <v>54</v>
      </c>
      <c r="I1927" s="31"/>
      <c r="J1927" s="26" t="s">
        <v>609</v>
      </c>
      <c r="K1927" s="27">
        <v>5000</v>
      </c>
      <c r="L1927" s="31" t="s">
        <v>601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598</v>
      </c>
      <c r="D1928" s="31" t="s">
        <v>705</v>
      </c>
      <c r="E1928" s="31"/>
      <c r="F1928" s="31" t="s">
        <v>717</v>
      </c>
      <c r="G1928" s="27">
        <v>12400</v>
      </c>
      <c r="H1928" s="31" t="s">
        <v>54</v>
      </c>
      <c r="I1928" s="31"/>
      <c r="J1928" s="26" t="s">
        <v>600</v>
      </c>
      <c r="K1928" s="27">
        <v>12400</v>
      </c>
      <c r="L1928" s="31" t="s">
        <v>601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546</v>
      </c>
      <c r="D1929" s="31" t="s">
        <v>741</v>
      </c>
      <c r="E1929" s="31" t="s">
        <v>1019</v>
      </c>
      <c r="F1929" s="31" t="s">
        <v>946</v>
      </c>
      <c r="G1929" s="27">
        <v>25300</v>
      </c>
      <c r="H1929" s="31" t="s">
        <v>54</v>
      </c>
      <c r="I1929" s="31" t="s">
        <v>688</v>
      </c>
      <c r="J1929" s="26" t="s">
        <v>614</v>
      </c>
      <c r="K1929" s="27">
        <v>25300</v>
      </c>
      <c r="L1929" s="31" t="s">
        <v>601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546</v>
      </c>
      <c r="D1930" s="31" t="s">
        <v>669</v>
      </c>
      <c r="E1930" s="31"/>
      <c r="F1930" s="31" t="s">
        <v>1336</v>
      </c>
      <c r="G1930" s="27">
        <v>129000</v>
      </c>
      <c r="H1930" s="31" t="s">
        <v>54</v>
      </c>
      <c r="I1930" s="31" t="s">
        <v>1337</v>
      </c>
      <c r="J1930" s="26" t="s">
        <v>617</v>
      </c>
      <c r="K1930" s="27">
        <v>129000</v>
      </c>
      <c r="L1930" s="31" t="s">
        <v>601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546</v>
      </c>
      <c r="D1931" s="31" t="s">
        <v>741</v>
      </c>
      <c r="E1931" s="31" t="s">
        <v>1019</v>
      </c>
      <c r="F1931" s="31" t="s">
        <v>604</v>
      </c>
      <c r="G1931" s="27">
        <v>4900</v>
      </c>
      <c r="H1931" s="31" t="s">
        <v>54</v>
      </c>
      <c r="I1931" s="31" t="s">
        <v>1338</v>
      </c>
      <c r="J1931" s="26" t="s">
        <v>614</v>
      </c>
      <c r="K1931" s="27">
        <v>4900</v>
      </c>
      <c r="L1931" s="31" t="s">
        <v>601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546</v>
      </c>
      <c r="D1932" s="31" t="s">
        <v>452</v>
      </c>
      <c r="E1932" s="31" t="s">
        <v>603</v>
      </c>
      <c r="F1932" s="31" t="s">
        <v>1339</v>
      </c>
      <c r="G1932" s="27">
        <v>21000</v>
      </c>
      <c r="H1932" s="31" t="s">
        <v>54</v>
      </c>
      <c r="I1932" s="31"/>
      <c r="J1932" s="26" t="s">
        <v>606</v>
      </c>
      <c r="K1932" s="27">
        <v>21000</v>
      </c>
      <c r="L1932" s="31" t="s">
        <v>601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546</v>
      </c>
      <c r="D1933" s="31" t="s">
        <v>453</v>
      </c>
      <c r="E1933" s="31"/>
      <c r="F1933" s="31" t="s">
        <v>453</v>
      </c>
      <c r="G1933" s="27">
        <v>5000</v>
      </c>
      <c r="H1933" s="31" t="s">
        <v>54</v>
      </c>
      <c r="I1933" s="31"/>
      <c r="J1933" s="26" t="s">
        <v>609</v>
      </c>
      <c r="K1933" s="27">
        <v>5000</v>
      </c>
      <c r="L1933" s="31" t="s">
        <v>601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546</v>
      </c>
      <c r="D1934" s="31" t="s">
        <v>452</v>
      </c>
      <c r="E1934" s="31" t="s">
        <v>714</v>
      </c>
      <c r="F1934" s="31" t="s">
        <v>604</v>
      </c>
      <c r="G1934" s="27">
        <v>9100</v>
      </c>
      <c r="H1934" s="31" t="s">
        <v>54</v>
      </c>
      <c r="I1934" s="31" t="s">
        <v>821</v>
      </c>
      <c r="J1934" s="26" t="s">
        <v>606</v>
      </c>
      <c r="K1934" s="27">
        <v>9100</v>
      </c>
      <c r="L1934" s="31" t="s">
        <v>601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681</v>
      </c>
      <c r="D1935" s="31" t="s">
        <v>625</v>
      </c>
      <c r="E1935" s="31"/>
      <c r="F1935" s="31" t="s">
        <v>365</v>
      </c>
      <c r="G1935" s="27">
        <v>55440</v>
      </c>
      <c r="H1935" s="31" t="s">
        <v>54</v>
      </c>
      <c r="I1935" s="31" t="s">
        <v>1340</v>
      </c>
      <c r="J1935" s="26" t="s">
        <v>630</v>
      </c>
      <c r="K1935" s="27">
        <v>55440</v>
      </c>
      <c r="L1935" s="31" t="s">
        <v>601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1108</v>
      </c>
      <c r="D1936" s="31" t="s">
        <v>741</v>
      </c>
      <c r="E1936" s="31" t="s">
        <v>1019</v>
      </c>
      <c r="F1936" s="31" t="s">
        <v>946</v>
      </c>
      <c r="G1936" s="27">
        <v>6300</v>
      </c>
      <c r="H1936" s="31" t="s">
        <v>54</v>
      </c>
      <c r="I1936" s="31" t="s">
        <v>1341</v>
      </c>
      <c r="J1936" s="26" t="s">
        <v>614</v>
      </c>
      <c r="K1936" s="27">
        <v>3150</v>
      </c>
      <c r="L1936" s="31" t="s">
        <v>190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1108</v>
      </c>
      <c r="D1937" s="31" t="s">
        <v>741</v>
      </c>
      <c r="E1937" s="31" t="s">
        <v>1019</v>
      </c>
      <c r="F1937" s="31" t="s">
        <v>682</v>
      </c>
      <c r="G1937" s="27">
        <v>29500</v>
      </c>
      <c r="H1937" s="31" t="s">
        <v>54</v>
      </c>
      <c r="I1937" s="31" t="s">
        <v>1342</v>
      </c>
      <c r="J1937" s="26" t="s">
        <v>614</v>
      </c>
      <c r="K1937" s="27">
        <v>14750</v>
      </c>
      <c r="L1937" s="31" t="s">
        <v>190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154</v>
      </c>
      <c r="D1938" s="31" t="s">
        <v>19</v>
      </c>
      <c r="E1938" s="31"/>
      <c r="F1938" s="31" t="s">
        <v>179</v>
      </c>
      <c r="G1938" s="27">
        <v>4272</v>
      </c>
      <c r="H1938" s="31" t="s">
        <v>397</v>
      </c>
      <c r="I1938" s="31"/>
      <c r="J1938" s="26" t="s">
        <v>653</v>
      </c>
      <c r="K1938" s="27">
        <v>4272</v>
      </c>
      <c r="L1938" s="31" t="s">
        <v>601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546</v>
      </c>
      <c r="D1939" s="31" t="s">
        <v>672</v>
      </c>
      <c r="E1939" s="31" t="s">
        <v>673</v>
      </c>
      <c r="F1939" s="31" t="s">
        <v>1232</v>
      </c>
      <c r="G1939" s="27">
        <v>1500</v>
      </c>
      <c r="H1939" s="31" t="s">
        <v>54</v>
      </c>
      <c r="I1939" s="31"/>
      <c r="J1939" s="26" t="s">
        <v>606</v>
      </c>
      <c r="K1939" s="27">
        <v>1500</v>
      </c>
      <c r="L1939" s="31" t="s">
        <v>601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546</v>
      </c>
      <c r="D1940" s="31" t="s">
        <v>452</v>
      </c>
      <c r="E1940" s="31" t="s">
        <v>603</v>
      </c>
      <c r="F1940" s="31" t="s">
        <v>803</v>
      </c>
      <c r="G1940" s="27">
        <v>6600</v>
      </c>
      <c r="H1940" s="31" t="s">
        <v>54</v>
      </c>
      <c r="I1940" s="31"/>
      <c r="J1940" s="26" t="s">
        <v>606</v>
      </c>
      <c r="K1940" s="27">
        <v>6600</v>
      </c>
      <c r="L1940" s="31" t="s">
        <v>601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681</v>
      </c>
      <c r="D1941" s="31" t="s">
        <v>741</v>
      </c>
      <c r="E1941" s="31" t="s">
        <v>1019</v>
      </c>
      <c r="F1941" s="31" t="s">
        <v>682</v>
      </c>
      <c r="G1941" s="27">
        <v>36500</v>
      </c>
      <c r="H1941" s="31" t="s">
        <v>54</v>
      </c>
      <c r="I1941" s="31" t="s">
        <v>1343</v>
      </c>
      <c r="J1941" s="26" t="s">
        <v>614</v>
      </c>
      <c r="K1941" s="27">
        <v>36500</v>
      </c>
      <c r="L1941" s="31" t="s">
        <v>601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681</v>
      </c>
      <c r="D1942" s="31" t="s">
        <v>625</v>
      </c>
      <c r="E1942" s="31"/>
      <c r="F1942" s="31" t="s">
        <v>365</v>
      </c>
      <c r="G1942" s="27">
        <v>8470</v>
      </c>
      <c r="H1942" s="31" t="s">
        <v>54</v>
      </c>
      <c r="I1942" s="31" t="s">
        <v>702</v>
      </c>
      <c r="J1942" s="26" t="s">
        <v>630</v>
      </c>
      <c r="K1942" s="27">
        <v>8470</v>
      </c>
      <c r="L1942" s="31" t="s">
        <v>601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1158</v>
      </c>
      <c r="D1943" s="31" t="s">
        <v>452</v>
      </c>
      <c r="E1943" s="31" t="s">
        <v>603</v>
      </c>
      <c r="F1943" s="31" t="s">
        <v>604</v>
      </c>
      <c r="G1943" s="27">
        <v>3300</v>
      </c>
      <c r="H1943" s="31" t="s">
        <v>54</v>
      </c>
      <c r="I1943" s="31" t="s">
        <v>623</v>
      </c>
      <c r="J1943" s="26" t="s">
        <v>606</v>
      </c>
      <c r="K1943" s="27">
        <v>3300</v>
      </c>
      <c r="L1943" s="31" t="s">
        <v>601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1158</v>
      </c>
      <c r="D1944" s="31" t="s">
        <v>453</v>
      </c>
      <c r="E1944" s="31"/>
      <c r="F1944" s="31" t="s">
        <v>453</v>
      </c>
      <c r="G1944" s="27">
        <v>5000</v>
      </c>
      <c r="H1944" s="31" t="s">
        <v>54</v>
      </c>
      <c r="I1944" s="31"/>
      <c r="J1944" s="26" t="s">
        <v>609</v>
      </c>
      <c r="K1944" s="27">
        <v>5000</v>
      </c>
      <c r="L1944" s="31" t="s">
        <v>601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1158</v>
      </c>
      <c r="D1945" s="31" t="s">
        <v>452</v>
      </c>
      <c r="E1945" s="31" t="s">
        <v>612</v>
      </c>
      <c r="F1945" s="31" t="s">
        <v>604</v>
      </c>
      <c r="G1945" s="27">
        <v>6500</v>
      </c>
      <c r="H1945" s="31" t="s">
        <v>54</v>
      </c>
      <c r="I1945" s="31" t="s">
        <v>63</v>
      </c>
      <c r="J1945" s="26" t="s">
        <v>606</v>
      </c>
      <c r="K1945" s="27">
        <v>6500</v>
      </c>
      <c r="L1945" s="31" t="s">
        <v>601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1158</v>
      </c>
      <c r="D1946" s="31" t="s">
        <v>453</v>
      </c>
      <c r="E1946" s="31"/>
      <c r="F1946" s="31" t="s">
        <v>453</v>
      </c>
      <c r="G1946" s="27">
        <v>5000</v>
      </c>
      <c r="H1946" s="31" t="s">
        <v>54</v>
      </c>
      <c r="I1946" s="31"/>
      <c r="J1946" s="26" t="s">
        <v>609</v>
      </c>
      <c r="K1946" s="27">
        <v>5000</v>
      </c>
      <c r="L1946" s="31" t="s">
        <v>601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1158</v>
      </c>
      <c r="D1947" s="31" t="s">
        <v>452</v>
      </c>
      <c r="E1947" s="31" t="s">
        <v>714</v>
      </c>
      <c r="F1947" s="31" t="s">
        <v>604</v>
      </c>
      <c r="G1947" s="27">
        <v>1300</v>
      </c>
      <c r="H1947" s="31" t="s">
        <v>54</v>
      </c>
      <c r="I1947" s="31" t="s">
        <v>1161</v>
      </c>
      <c r="J1947" s="26" t="s">
        <v>606</v>
      </c>
      <c r="K1947" s="27">
        <v>1300</v>
      </c>
      <c r="L1947" s="31" t="s">
        <v>601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154</v>
      </c>
      <c r="D1948" s="31" t="s">
        <v>705</v>
      </c>
      <c r="E1948" s="31"/>
      <c r="F1948" s="31" t="s">
        <v>123</v>
      </c>
      <c r="G1948" s="27">
        <v>7448</v>
      </c>
      <c r="H1948" s="31" t="s">
        <v>54</v>
      </c>
      <c r="I1948" s="31" t="s">
        <v>1344</v>
      </c>
      <c r="J1948" s="26" t="s">
        <v>600</v>
      </c>
      <c r="K1948" s="27">
        <v>7448</v>
      </c>
      <c r="L1948" s="31" t="s">
        <v>601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681</v>
      </c>
      <c r="D1949" s="31" t="s">
        <v>625</v>
      </c>
      <c r="E1949" s="31"/>
      <c r="F1949" s="31" t="s">
        <v>365</v>
      </c>
      <c r="G1949" s="27">
        <v>16790</v>
      </c>
      <c r="H1949" s="31" t="s">
        <v>54</v>
      </c>
      <c r="I1949" s="31" t="s">
        <v>1345</v>
      </c>
      <c r="J1949" s="26" t="s">
        <v>630</v>
      </c>
      <c r="K1949" s="27">
        <v>16790</v>
      </c>
      <c r="L1949" s="31" t="s">
        <v>601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598</v>
      </c>
      <c r="D1950" s="31" t="s">
        <v>362</v>
      </c>
      <c r="E1950" s="31"/>
      <c r="F1950" s="31" t="s">
        <v>746</v>
      </c>
      <c r="G1950" s="27">
        <v>13333</v>
      </c>
      <c r="H1950" s="31" t="s">
        <v>54</v>
      </c>
      <c r="I1950" s="31" t="s">
        <v>1346</v>
      </c>
      <c r="J1950" s="26" t="s">
        <v>600</v>
      </c>
      <c r="K1950" s="27">
        <v>13333</v>
      </c>
      <c r="L1950" s="31" t="s">
        <v>601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1158</v>
      </c>
      <c r="D1951" s="31" t="s">
        <v>452</v>
      </c>
      <c r="E1951" s="31" t="s">
        <v>603</v>
      </c>
      <c r="F1951" s="31" t="s">
        <v>604</v>
      </c>
      <c r="G1951" s="27">
        <v>5300</v>
      </c>
      <c r="H1951" s="31" t="s">
        <v>54</v>
      </c>
      <c r="I1951" s="31" t="s">
        <v>1323</v>
      </c>
      <c r="J1951" s="26" t="s">
        <v>606</v>
      </c>
      <c r="K1951" s="27">
        <v>5300</v>
      </c>
      <c r="L1951" s="31" t="s">
        <v>601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1158</v>
      </c>
      <c r="D1952" s="31" t="s">
        <v>672</v>
      </c>
      <c r="E1952" s="31" t="s">
        <v>673</v>
      </c>
      <c r="F1952" s="31" t="s">
        <v>799</v>
      </c>
      <c r="G1952" s="27">
        <v>12500</v>
      </c>
      <c r="H1952" s="31" t="s">
        <v>54</v>
      </c>
      <c r="I1952" s="31" t="s">
        <v>1347</v>
      </c>
      <c r="J1952" s="26" t="s">
        <v>606</v>
      </c>
      <c r="K1952" s="27">
        <v>12500</v>
      </c>
      <c r="L1952" s="31" t="s">
        <v>601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154</v>
      </c>
      <c r="D1953" s="31" t="s">
        <v>452</v>
      </c>
      <c r="E1953" s="31" t="s">
        <v>603</v>
      </c>
      <c r="F1953" s="31" t="s">
        <v>1103</v>
      </c>
      <c r="G1953" s="27">
        <v>5000</v>
      </c>
      <c r="H1953" s="31" t="s">
        <v>54</v>
      </c>
      <c r="I1953" s="31"/>
      <c r="J1953" s="26" t="s">
        <v>606</v>
      </c>
      <c r="K1953" s="27">
        <v>5000</v>
      </c>
      <c r="L1953" s="31" t="s">
        <v>601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1158</v>
      </c>
      <c r="D1954" s="31" t="s">
        <v>452</v>
      </c>
      <c r="E1954" s="31" t="s">
        <v>612</v>
      </c>
      <c r="F1954" s="31" t="s">
        <v>886</v>
      </c>
      <c r="G1954" s="27">
        <v>9000</v>
      </c>
      <c r="H1954" s="31" t="s">
        <v>54</v>
      </c>
      <c r="I1954" s="31"/>
      <c r="J1954" s="26" t="s">
        <v>606</v>
      </c>
      <c r="K1954" s="27">
        <v>9000</v>
      </c>
      <c r="L1954" s="31" t="s">
        <v>601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1158</v>
      </c>
      <c r="D1955" s="31" t="s">
        <v>741</v>
      </c>
      <c r="E1955" s="31" t="s">
        <v>1019</v>
      </c>
      <c r="F1955" s="31" t="s">
        <v>1348</v>
      </c>
      <c r="G1955" s="27">
        <v>38600</v>
      </c>
      <c r="H1955" s="31" t="s">
        <v>54</v>
      </c>
      <c r="I1955" s="31" t="s">
        <v>95</v>
      </c>
      <c r="J1955" s="26" t="s">
        <v>614</v>
      </c>
      <c r="K1955" s="27">
        <v>38600</v>
      </c>
      <c r="L1955" s="31" t="s">
        <v>601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1158</v>
      </c>
      <c r="D1956" s="31" t="s">
        <v>625</v>
      </c>
      <c r="E1956" s="31"/>
      <c r="F1956" s="31" t="s">
        <v>626</v>
      </c>
      <c r="G1956" s="27">
        <v>7000</v>
      </c>
      <c r="H1956" s="31" t="s">
        <v>54</v>
      </c>
      <c r="I1956" s="31"/>
      <c r="J1956" s="26" t="s">
        <v>630</v>
      </c>
      <c r="K1956" s="27">
        <v>7000</v>
      </c>
      <c r="L1956" s="31" t="s">
        <v>601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712</v>
      </c>
      <c r="D1957" s="31" t="s">
        <v>741</v>
      </c>
      <c r="E1957" s="31" t="s">
        <v>1019</v>
      </c>
      <c r="F1957" s="31" t="s">
        <v>1298</v>
      </c>
      <c r="G1957" s="27">
        <v>-96000</v>
      </c>
      <c r="H1957" s="31" t="s">
        <v>54</v>
      </c>
      <c r="I1957" s="31" t="s">
        <v>1349</v>
      </c>
      <c r="J1957" s="26" t="s">
        <v>59</v>
      </c>
      <c r="K1957" s="27">
        <v>-96000</v>
      </c>
      <c r="L1957" s="31" t="s">
        <v>601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712</v>
      </c>
      <c r="D1958" s="31" t="s">
        <v>735</v>
      </c>
      <c r="E1958" s="31"/>
      <c r="F1958" s="31" t="s">
        <v>1350</v>
      </c>
      <c r="G1958" s="27">
        <v>130000</v>
      </c>
      <c r="H1958" s="31" t="s">
        <v>54</v>
      </c>
      <c r="I1958" s="31"/>
      <c r="J1958" s="26" t="s">
        <v>618</v>
      </c>
      <c r="K1958" s="27">
        <v>130000</v>
      </c>
      <c r="L1958" s="31" t="s">
        <v>601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154</v>
      </c>
      <c r="D1959" s="31" t="s">
        <v>712</v>
      </c>
      <c r="E1959" s="31"/>
      <c r="F1959" s="31" t="s">
        <v>72</v>
      </c>
      <c r="G1959" s="27">
        <v>34000</v>
      </c>
      <c r="H1959" s="31" t="s">
        <v>636</v>
      </c>
      <c r="I1959" s="31" t="s">
        <v>1351</v>
      </c>
      <c r="J1959" s="26" t="s">
        <v>634</v>
      </c>
      <c r="K1959" s="27">
        <v>34000</v>
      </c>
      <c r="L1959" s="31" t="s">
        <v>601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712</v>
      </c>
      <c r="D1960" s="31" t="s">
        <v>154</v>
      </c>
      <c r="E1960" s="31"/>
      <c r="F1960" s="31" t="s">
        <v>72</v>
      </c>
      <c r="G1960" s="27">
        <v>34000</v>
      </c>
      <c r="H1960" s="31" t="s">
        <v>633</v>
      </c>
      <c r="I1960" s="31" t="s">
        <v>1351</v>
      </c>
      <c r="J1960" s="26" t="s">
        <v>634</v>
      </c>
      <c r="K1960" s="27">
        <v>34000</v>
      </c>
      <c r="L1960" s="31" t="s">
        <v>601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1158</v>
      </c>
      <c r="D1961" s="31" t="s">
        <v>452</v>
      </c>
      <c r="E1961" s="31" t="s">
        <v>603</v>
      </c>
      <c r="F1961" s="31" t="s">
        <v>604</v>
      </c>
      <c r="G1961" s="27">
        <v>3300</v>
      </c>
      <c r="H1961" s="31" t="s">
        <v>54</v>
      </c>
      <c r="I1961" s="31" t="s">
        <v>623</v>
      </c>
      <c r="J1961" s="26" t="s">
        <v>606</v>
      </c>
      <c r="K1961" s="27">
        <v>3300</v>
      </c>
      <c r="L1961" s="31" t="s">
        <v>601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1158</v>
      </c>
      <c r="D1962" s="31" t="s">
        <v>453</v>
      </c>
      <c r="E1962" s="31"/>
      <c r="F1962" s="31" t="s">
        <v>453</v>
      </c>
      <c r="G1962" s="27">
        <v>5000</v>
      </c>
      <c r="H1962" s="31" t="s">
        <v>54</v>
      </c>
      <c r="I1962" s="31"/>
      <c r="J1962" s="26" t="s">
        <v>609</v>
      </c>
      <c r="K1962" s="27">
        <v>5000</v>
      </c>
      <c r="L1962" s="31" t="s">
        <v>601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154</v>
      </c>
      <c r="D1963" s="31" t="s">
        <v>452</v>
      </c>
      <c r="E1963" s="31" t="s">
        <v>612</v>
      </c>
      <c r="F1963" s="31" t="s">
        <v>108</v>
      </c>
      <c r="G1963" s="27">
        <v>8500</v>
      </c>
      <c r="H1963" s="31" t="s">
        <v>54</v>
      </c>
      <c r="I1963" s="31"/>
      <c r="J1963" s="26" t="s">
        <v>606</v>
      </c>
      <c r="K1963" s="27">
        <v>8500</v>
      </c>
      <c r="L1963" s="31" t="s">
        <v>601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611</v>
      </c>
      <c r="D1964" s="31" t="s">
        <v>646</v>
      </c>
      <c r="E1964" s="31"/>
      <c r="F1964" s="31" t="s">
        <v>1352</v>
      </c>
      <c r="G1964" s="27">
        <v>3010</v>
      </c>
      <c r="H1964" s="31" t="s">
        <v>54</v>
      </c>
      <c r="I1964" s="31"/>
      <c r="J1964" s="26" t="s">
        <v>600</v>
      </c>
      <c r="K1964" s="27">
        <v>3010</v>
      </c>
      <c r="L1964" s="31" t="s">
        <v>601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1158</v>
      </c>
      <c r="D1965" s="31" t="s">
        <v>453</v>
      </c>
      <c r="E1965" s="31"/>
      <c r="F1965" s="31" t="s">
        <v>453</v>
      </c>
      <c r="G1965" s="27">
        <v>5000</v>
      </c>
      <c r="H1965" s="31" t="s">
        <v>54</v>
      </c>
      <c r="I1965" s="31"/>
      <c r="J1965" s="26" t="s">
        <v>609</v>
      </c>
      <c r="K1965" s="27">
        <v>5000</v>
      </c>
      <c r="L1965" s="31" t="s">
        <v>601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1158</v>
      </c>
      <c r="D1966" s="31" t="s">
        <v>452</v>
      </c>
      <c r="E1966" s="31" t="s">
        <v>714</v>
      </c>
      <c r="F1966" s="31" t="s">
        <v>604</v>
      </c>
      <c r="G1966" s="27">
        <v>4900</v>
      </c>
      <c r="H1966" s="31" t="s">
        <v>54</v>
      </c>
      <c r="I1966" s="31" t="s">
        <v>1353</v>
      </c>
      <c r="J1966" s="26" t="s">
        <v>606</v>
      </c>
      <c r="K1966" s="27">
        <v>4900</v>
      </c>
      <c r="L1966" s="31" t="s">
        <v>601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1158</v>
      </c>
      <c r="D1967" s="31" t="s">
        <v>452</v>
      </c>
      <c r="E1967" s="31" t="s">
        <v>612</v>
      </c>
      <c r="F1967" s="31" t="s">
        <v>759</v>
      </c>
      <c r="G1967" s="27">
        <v>9500</v>
      </c>
      <c r="H1967" s="31" t="s">
        <v>54</v>
      </c>
      <c r="I1967" s="31" t="s">
        <v>1354</v>
      </c>
      <c r="J1967" s="26" t="s">
        <v>606</v>
      </c>
      <c r="K1967" s="27">
        <v>9500</v>
      </c>
      <c r="L1967" s="31" t="s">
        <v>601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681</v>
      </c>
      <c r="D1968" s="31" t="s">
        <v>741</v>
      </c>
      <c r="E1968" s="31" t="s">
        <v>457</v>
      </c>
      <c r="F1968" s="31" t="s">
        <v>682</v>
      </c>
      <c r="G1968" s="27">
        <v>23900</v>
      </c>
      <c r="H1968" s="31" t="s">
        <v>54</v>
      </c>
      <c r="I1968" s="31" t="s">
        <v>1355</v>
      </c>
      <c r="J1968" s="26" t="s">
        <v>614</v>
      </c>
      <c r="K1968" s="27">
        <v>23900</v>
      </c>
      <c r="L1968" s="31" t="s">
        <v>601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681</v>
      </c>
      <c r="D1969" s="31" t="s">
        <v>741</v>
      </c>
      <c r="E1969" s="31" t="s">
        <v>457</v>
      </c>
      <c r="F1969" s="31" t="s">
        <v>682</v>
      </c>
      <c r="G1969" s="27">
        <v>18650</v>
      </c>
      <c r="H1969" s="31" t="s">
        <v>54</v>
      </c>
      <c r="I1969" s="31" t="s">
        <v>1356</v>
      </c>
      <c r="J1969" s="26" t="s">
        <v>614</v>
      </c>
      <c r="K1969" s="27">
        <v>18650</v>
      </c>
      <c r="L1969" s="31" t="s">
        <v>601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1158</v>
      </c>
      <c r="D1970" s="31" t="s">
        <v>453</v>
      </c>
      <c r="E1970" s="31"/>
      <c r="F1970" s="31" t="s">
        <v>453</v>
      </c>
      <c r="G1970" s="27">
        <v>5000</v>
      </c>
      <c r="H1970" s="31" t="s">
        <v>54</v>
      </c>
      <c r="I1970" s="31"/>
      <c r="J1970" s="26" t="s">
        <v>609</v>
      </c>
      <c r="K1970" s="27">
        <v>5000</v>
      </c>
      <c r="L1970" s="31" t="s">
        <v>601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1158</v>
      </c>
      <c r="D1971" s="31" t="s">
        <v>452</v>
      </c>
      <c r="E1971" s="31" t="s">
        <v>733</v>
      </c>
      <c r="F1971" s="31" t="s">
        <v>1357</v>
      </c>
      <c r="G1971" s="27">
        <v>17000</v>
      </c>
      <c r="H1971" s="31" t="s">
        <v>54</v>
      </c>
      <c r="I1971" s="31"/>
      <c r="J1971" s="26" t="s">
        <v>606</v>
      </c>
      <c r="K1971" s="27">
        <v>17000</v>
      </c>
      <c r="L1971" s="31" t="s">
        <v>601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1158</v>
      </c>
      <c r="D1972" s="31" t="s">
        <v>452</v>
      </c>
      <c r="E1972" s="31" t="s">
        <v>603</v>
      </c>
      <c r="F1972" s="31" t="s">
        <v>803</v>
      </c>
      <c r="G1972" s="27">
        <v>5800</v>
      </c>
      <c r="H1972" s="31" t="s">
        <v>54</v>
      </c>
      <c r="I1972" s="31"/>
      <c r="J1972" s="26" t="s">
        <v>606</v>
      </c>
      <c r="K1972" s="27">
        <v>5800</v>
      </c>
      <c r="L1972" s="31" t="s">
        <v>601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154</v>
      </c>
      <c r="D1973" s="31" t="s">
        <v>19</v>
      </c>
      <c r="E1973" s="31"/>
      <c r="F1973" s="31" t="s">
        <v>179</v>
      </c>
      <c r="G1973" s="27">
        <v>2595</v>
      </c>
      <c r="H1973" s="31" t="s">
        <v>397</v>
      </c>
      <c r="I1973" s="31"/>
      <c r="J1973" s="26" t="s">
        <v>653</v>
      </c>
      <c r="K1973" s="27">
        <v>2595</v>
      </c>
      <c r="L1973" s="31" t="s">
        <v>601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1158</v>
      </c>
      <c r="D1974" s="31" t="s">
        <v>452</v>
      </c>
      <c r="E1974" s="31" t="s">
        <v>603</v>
      </c>
      <c r="F1974" s="31" t="s">
        <v>604</v>
      </c>
      <c r="G1974" s="27">
        <v>3300</v>
      </c>
      <c r="H1974" s="31" t="s">
        <v>54</v>
      </c>
      <c r="I1974" s="31" t="s">
        <v>1358</v>
      </c>
      <c r="J1974" s="26" t="s">
        <v>606</v>
      </c>
      <c r="K1974" s="27">
        <v>3300</v>
      </c>
      <c r="L1974" s="31" t="s">
        <v>601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1158</v>
      </c>
      <c r="D1975" s="31" t="s">
        <v>672</v>
      </c>
      <c r="E1975" s="31" t="s">
        <v>673</v>
      </c>
      <c r="F1975" s="31" t="s">
        <v>1232</v>
      </c>
      <c r="G1975" s="27">
        <v>19000</v>
      </c>
      <c r="H1975" s="31" t="s">
        <v>54</v>
      </c>
      <c r="I1975" s="31"/>
      <c r="J1975" s="26" t="s">
        <v>606</v>
      </c>
      <c r="K1975" s="27">
        <v>19000</v>
      </c>
      <c r="L1975" s="31" t="s">
        <v>601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1158</v>
      </c>
      <c r="D1976" s="31" t="s">
        <v>453</v>
      </c>
      <c r="E1976" s="31"/>
      <c r="F1976" s="31" t="s">
        <v>453</v>
      </c>
      <c r="G1976" s="27">
        <v>5000</v>
      </c>
      <c r="H1976" s="31" t="s">
        <v>54</v>
      </c>
      <c r="I1976" s="31"/>
      <c r="J1976" s="26" t="s">
        <v>609</v>
      </c>
      <c r="K1976" s="27">
        <v>5000</v>
      </c>
      <c r="L1976" s="31" t="s">
        <v>601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1158</v>
      </c>
      <c r="D1977" s="31" t="s">
        <v>452</v>
      </c>
      <c r="E1977" s="31" t="s">
        <v>733</v>
      </c>
      <c r="F1977" s="31" t="s">
        <v>823</v>
      </c>
      <c r="G1977" s="27">
        <v>13400</v>
      </c>
      <c r="H1977" s="31" t="s">
        <v>54</v>
      </c>
      <c r="I1977" s="31"/>
      <c r="J1977" s="26" t="s">
        <v>606</v>
      </c>
      <c r="K1977" s="27">
        <v>13400</v>
      </c>
      <c r="L1977" s="31" t="s">
        <v>601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1158</v>
      </c>
      <c r="D1978" s="31" t="s">
        <v>453</v>
      </c>
      <c r="E1978" s="31"/>
      <c r="F1978" s="31" t="s">
        <v>453</v>
      </c>
      <c r="G1978" s="27">
        <v>5000</v>
      </c>
      <c r="H1978" s="31" t="s">
        <v>54</v>
      </c>
      <c r="I1978" s="31"/>
      <c r="J1978" s="26" t="s">
        <v>609</v>
      </c>
      <c r="K1978" s="27">
        <v>5000</v>
      </c>
      <c r="L1978" s="31" t="s">
        <v>601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681</v>
      </c>
      <c r="D1979" s="31" t="s">
        <v>625</v>
      </c>
      <c r="E1979" s="31"/>
      <c r="F1979" s="31" t="s">
        <v>365</v>
      </c>
      <c r="G1979" s="27">
        <v>28310</v>
      </c>
      <c r="H1979" s="31" t="s">
        <v>54</v>
      </c>
      <c r="I1979" s="31" t="s">
        <v>1359</v>
      </c>
      <c r="J1979" s="26" t="s">
        <v>630</v>
      </c>
      <c r="K1979" s="27">
        <v>28310</v>
      </c>
      <c r="L1979" s="31" t="s">
        <v>601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1158</v>
      </c>
      <c r="D1980" s="31" t="s">
        <v>882</v>
      </c>
      <c r="E1980" s="31"/>
      <c r="F1980" s="31" t="s">
        <v>1360</v>
      </c>
      <c r="G1980" s="27">
        <v>134000</v>
      </c>
      <c r="H1980" s="31" t="s">
        <v>54</v>
      </c>
      <c r="I1980" s="31" t="s">
        <v>1361</v>
      </c>
      <c r="J1980" s="26" t="s">
        <v>606</v>
      </c>
      <c r="K1980" s="27">
        <v>134000</v>
      </c>
      <c r="L1980" s="31" t="s">
        <v>601</v>
      </c>
      <c r="M1980" s="31" t="s">
        <v>1362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546</v>
      </c>
      <c r="D1981" s="31" t="s">
        <v>640</v>
      </c>
      <c r="E1981" s="31"/>
      <c r="F1981" s="31" t="s">
        <v>654</v>
      </c>
      <c r="G1981" s="27">
        <v>360050</v>
      </c>
      <c r="H1981" s="31" t="s">
        <v>54</v>
      </c>
      <c r="I1981" s="31" t="s">
        <v>1363</v>
      </c>
      <c r="J1981" s="26" t="s">
        <v>630</v>
      </c>
      <c r="K1981" s="27">
        <v>360050</v>
      </c>
      <c r="L1981" s="31" t="s">
        <v>601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598</v>
      </c>
      <c r="D1982" s="31" t="s">
        <v>362</v>
      </c>
      <c r="E1982" s="31"/>
      <c r="F1982" s="31" t="s">
        <v>746</v>
      </c>
      <c r="G1982" s="27">
        <v>8701</v>
      </c>
      <c r="H1982" s="31" t="s">
        <v>54</v>
      </c>
      <c r="I1982" s="31" t="s">
        <v>747</v>
      </c>
      <c r="J1982" s="26" t="s">
        <v>600</v>
      </c>
      <c r="K1982" s="27">
        <v>8701</v>
      </c>
      <c r="L1982" s="31" t="s">
        <v>601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611</v>
      </c>
      <c r="D1983" s="31" t="s">
        <v>735</v>
      </c>
      <c r="E1983" s="31"/>
      <c r="F1983" s="31" t="s">
        <v>1364</v>
      </c>
      <c r="G1983" s="27">
        <v>4400</v>
      </c>
      <c r="H1983" s="31" t="s">
        <v>54</v>
      </c>
      <c r="I1983" s="31" t="s">
        <v>1365</v>
      </c>
      <c r="J1983" s="26" t="s">
        <v>606</v>
      </c>
      <c r="K1983" s="27">
        <v>4400</v>
      </c>
      <c r="L1983" s="31" t="s">
        <v>601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1158</v>
      </c>
      <c r="D1984" s="31" t="s">
        <v>452</v>
      </c>
      <c r="E1984" s="31" t="s">
        <v>612</v>
      </c>
      <c r="F1984" s="31" t="s">
        <v>852</v>
      </c>
      <c r="G1984" s="27">
        <v>10000</v>
      </c>
      <c r="H1984" s="31" t="s">
        <v>54</v>
      </c>
      <c r="I1984" s="31"/>
      <c r="J1984" s="26" t="s">
        <v>606</v>
      </c>
      <c r="K1984" s="27">
        <v>10000</v>
      </c>
      <c r="L1984" s="31" t="s">
        <v>601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138</v>
      </c>
      <c r="D1985" s="31" t="s">
        <v>650</v>
      </c>
      <c r="E1985" s="31"/>
      <c r="F1985" s="31" t="s">
        <v>687</v>
      </c>
      <c r="G1985" s="27">
        <v>100000</v>
      </c>
      <c r="H1985" s="31" t="s">
        <v>397</v>
      </c>
      <c r="I1985" s="31"/>
      <c r="J1985" s="26" t="s">
        <v>650</v>
      </c>
      <c r="K1985" s="27">
        <v>100000</v>
      </c>
      <c r="L1985" s="31" t="s">
        <v>601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1158</v>
      </c>
      <c r="D1986" s="31" t="s">
        <v>741</v>
      </c>
      <c r="E1986" s="31" t="s">
        <v>1019</v>
      </c>
      <c r="F1986" s="31" t="s">
        <v>1366</v>
      </c>
      <c r="G1986" s="27">
        <v>31000</v>
      </c>
      <c r="H1986" s="31" t="s">
        <v>54</v>
      </c>
      <c r="I1986" s="31"/>
      <c r="J1986" s="26" t="s">
        <v>614</v>
      </c>
      <c r="K1986" s="27">
        <v>31000</v>
      </c>
      <c r="L1986" s="31" t="s">
        <v>601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187</v>
      </c>
      <c r="D1987" s="31" t="s">
        <v>741</v>
      </c>
      <c r="E1987" s="31" t="s">
        <v>1019</v>
      </c>
      <c r="F1987" s="31" t="s">
        <v>742</v>
      </c>
      <c r="G1987" s="27">
        <v>-15500</v>
      </c>
      <c r="H1987" s="31" t="s">
        <v>54</v>
      </c>
      <c r="I1987" s="31"/>
      <c r="J1987" s="26" t="s">
        <v>614</v>
      </c>
      <c r="K1987" s="27">
        <v>-15500</v>
      </c>
      <c r="L1987" s="31" t="s">
        <v>601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611</v>
      </c>
      <c r="D1988" s="31" t="s">
        <v>646</v>
      </c>
      <c r="E1988" s="31"/>
      <c r="F1988" s="31" t="s">
        <v>328</v>
      </c>
      <c r="G1988" s="27">
        <v>59600</v>
      </c>
      <c r="H1988" s="31" t="s">
        <v>54</v>
      </c>
      <c r="I1988" s="31"/>
      <c r="J1988" s="26" t="s">
        <v>600</v>
      </c>
      <c r="K1988" s="27">
        <v>59600</v>
      </c>
      <c r="L1988" s="31" t="s">
        <v>601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1158</v>
      </c>
      <c r="D1989" s="31" t="s">
        <v>452</v>
      </c>
      <c r="E1989" s="31" t="s">
        <v>603</v>
      </c>
      <c r="F1989" s="31" t="s">
        <v>604</v>
      </c>
      <c r="G1989" s="27">
        <v>6200</v>
      </c>
      <c r="H1989" s="31" t="s">
        <v>54</v>
      </c>
      <c r="I1989" s="31" t="s">
        <v>1367</v>
      </c>
      <c r="J1989" s="26" t="s">
        <v>606</v>
      </c>
      <c r="K1989" s="27">
        <v>6200</v>
      </c>
      <c r="L1989" s="31" t="s">
        <v>601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1158</v>
      </c>
      <c r="D1990" s="31" t="s">
        <v>453</v>
      </c>
      <c r="E1990" s="31"/>
      <c r="F1990" s="31" t="s">
        <v>453</v>
      </c>
      <c r="G1990" s="27">
        <v>5000</v>
      </c>
      <c r="H1990" s="31" t="s">
        <v>54</v>
      </c>
      <c r="I1990" s="31"/>
      <c r="J1990" s="26" t="s">
        <v>609</v>
      </c>
      <c r="K1990" s="27">
        <v>5000</v>
      </c>
      <c r="L1990" s="31" t="s">
        <v>601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172</v>
      </c>
      <c r="D1991" s="31" t="s">
        <v>57</v>
      </c>
      <c r="E1991" s="31"/>
      <c r="F1991" s="31" t="s">
        <v>57</v>
      </c>
      <c r="G1991" s="27">
        <v>2776050</v>
      </c>
      <c r="H1991" s="31" t="s">
        <v>397</v>
      </c>
      <c r="I1991" s="31"/>
      <c r="J1991" s="26" t="s">
        <v>57</v>
      </c>
      <c r="K1991" s="27">
        <v>2776050</v>
      </c>
      <c r="L1991" s="31" t="s">
        <v>601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1158</v>
      </c>
      <c r="D1992" s="31" t="s">
        <v>452</v>
      </c>
      <c r="E1992" s="31" t="s">
        <v>612</v>
      </c>
      <c r="F1992" s="31" t="s">
        <v>731</v>
      </c>
      <c r="G1992" s="27">
        <v>11000</v>
      </c>
      <c r="H1992" s="31" t="s">
        <v>54</v>
      </c>
      <c r="I1992" s="31"/>
      <c r="J1992" s="26" t="s">
        <v>606</v>
      </c>
      <c r="K1992" s="27">
        <v>11000</v>
      </c>
      <c r="L1992" s="31" t="s">
        <v>601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681</v>
      </c>
      <c r="D1993" s="31" t="s">
        <v>775</v>
      </c>
      <c r="E1993" s="31"/>
      <c r="F1993" s="31" t="s">
        <v>365</v>
      </c>
      <c r="G1993" s="27">
        <v>25900</v>
      </c>
      <c r="H1993" s="31" t="s">
        <v>54</v>
      </c>
      <c r="I1993" s="31" t="s">
        <v>1368</v>
      </c>
      <c r="J1993" s="26" t="s">
        <v>606</v>
      </c>
      <c r="K1993" s="27">
        <v>25900</v>
      </c>
      <c r="L1993" s="31" t="s">
        <v>601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1158</v>
      </c>
      <c r="D1994" s="31" t="s">
        <v>453</v>
      </c>
      <c r="E1994" s="31"/>
      <c r="F1994" s="31" t="s">
        <v>453</v>
      </c>
      <c r="G1994" s="27">
        <v>5000</v>
      </c>
      <c r="H1994" s="31" t="s">
        <v>54</v>
      </c>
      <c r="I1994" s="31"/>
      <c r="J1994" s="26" t="s">
        <v>609</v>
      </c>
      <c r="K1994" s="27">
        <v>5000</v>
      </c>
      <c r="L1994" s="31" t="s">
        <v>601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1158</v>
      </c>
      <c r="D1995" s="31" t="s">
        <v>452</v>
      </c>
      <c r="E1995" s="31" t="s">
        <v>603</v>
      </c>
      <c r="F1995" s="31" t="s">
        <v>604</v>
      </c>
      <c r="G1995" s="27">
        <v>1500</v>
      </c>
      <c r="H1995" s="31" t="s">
        <v>54</v>
      </c>
      <c r="I1995" s="31" t="s">
        <v>890</v>
      </c>
      <c r="J1995" s="26" t="s">
        <v>606</v>
      </c>
      <c r="K1995" s="27">
        <v>1500</v>
      </c>
      <c r="L1995" s="31" t="s">
        <v>601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172</v>
      </c>
      <c r="D1996" s="31" t="s">
        <v>404</v>
      </c>
      <c r="E1996" s="31"/>
      <c r="F1996" s="31" t="s">
        <v>72</v>
      </c>
      <c r="G1996" s="27">
        <v>20000</v>
      </c>
      <c r="H1996" s="31" t="s">
        <v>636</v>
      </c>
      <c r="I1996" s="31"/>
      <c r="J1996" s="26" t="s">
        <v>659</v>
      </c>
      <c r="K1996" s="27">
        <v>20000</v>
      </c>
      <c r="L1996" s="31" t="s">
        <v>601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404</v>
      </c>
      <c r="D1997" s="31" t="s">
        <v>172</v>
      </c>
      <c r="E1997" s="31"/>
      <c r="F1997" s="31" t="s">
        <v>72</v>
      </c>
      <c r="G1997" s="27">
        <v>20000</v>
      </c>
      <c r="H1997" s="31" t="s">
        <v>633</v>
      </c>
      <c r="I1997" s="31"/>
      <c r="J1997" s="26" t="s">
        <v>634</v>
      </c>
      <c r="K1997" s="27">
        <v>20000</v>
      </c>
      <c r="L1997" s="31" t="s">
        <v>601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172</v>
      </c>
      <c r="D1998" s="31" t="s">
        <v>751</v>
      </c>
      <c r="E1998" s="31"/>
      <c r="F1998" s="31" t="s">
        <v>72</v>
      </c>
      <c r="G1998" s="27">
        <v>150000</v>
      </c>
      <c r="H1998" s="31" t="s">
        <v>636</v>
      </c>
      <c r="I1998" s="31"/>
      <c r="J1998" s="26" t="s">
        <v>658</v>
      </c>
      <c r="K1998" s="27">
        <v>150000</v>
      </c>
      <c r="L1998" s="31" t="s">
        <v>601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751</v>
      </c>
      <c r="D1999" s="31" t="s">
        <v>172</v>
      </c>
      <c r="E1999" s="31"/>
      <c r="F1999" s="31" t="s">
        <v>72</v>
      </c>
      <c r="G1999" s="27">
        <v>150000</v>
      </c>
      <c r="H1999" s="31" t="s">
        <v>633</v>
      </c>
      <c r="I1999" s="31"/>
      <c r="J1999" s="26" t="s">
        <v>634</v>
      </c>
      <c r="K1999" s="27">
        <v>150000</v>
      </c>
      <c r="L1999" s="31" t="s">
        <v>601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187</v>
      </c>
      <c r="D2000" s="31" t="s">
        <v>19</v>
      </c>
      <c r="E2000" s="31"/>
      <c r="F2000" s="31" t="s">
        <v>763</v>
      </c>
      <c r="G2000" s="27">
        <v>1</v>
      </c>
      <c r="H2000" s="31" t="s">
        <v>397</v>
      </c>
      <c r="I2000" s="31"/>
      <c r="J2000" s="26" t="s">
        <v>653</v>
      </c>
      <c r="K2000" s="27">
        <v>1</v>
      </c>
      <c r="L2000" s="31" t="s">
        <v>601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172</v>
      </c>
      <c r="D2001" s="31" t="s">
        <v>1108</v>
      </c>
      <c r="E2001" s="31"/>
      <c r="F2001" s="31" t="s">
        <v>72</v>
      </c>
      <c r="G2001" s="27">
        <v>200000</v>
      </c>
      <c r="H2001" s="31" t="s">
        <v>636</v>
      </c>
      <c r="I2001" s="31"/>
      <c r="J2001" s="26" t="s">
        <v>665</v>
      </c>
      <c r="K2001" s="27">
        <v>200000</v>
      </c>
      <c r="L2001" s="31" t="s">
        <v>601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1108</v>
      </c>
      <c r="D2002" s="31" t="s">
        <v>172</v>
      </c>
      <c r="E2002" s="31"/>
      <c r="F2002" s="31" t="s">
        <v>72</v>
      </c>
      <c r="G2002" s="27">
        <v>200000</v>
      </c>
      <c r="H2002" s="31" t="s">
        <v>633</v>
      </c>
      <c r="I2002" s="31"/>
      <c r="J2002" s="26" t="s">
        <v>634</v>
      </c>
      <c r="K2002" s="27">
        <v>200000</v>
      </c>
      <c r="L2002" s="31" t="s">
        <v>601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1108</v>
      </c>
      <c r="D2003" s="31" t="s">
        <v>650</v>
      </c>
      <c r="E2003" s="31"/>
      <c r="F2003" s="31" t="s">
        <v>687</v>
      </c>
      <c r="G2003" s="27">
        <v>200000</v>
      </c>
      <c r="H2003" s="31" t="s">
        <v>397</v>
      </c>
      <c r="I2003" s="31"/>
      <c r="J2003" s="26" t="s">
        <v>650</v>
      </c>
      <c r="K2003" s="27">
        <v>200000</v>
      </c>
      <c r="L2003" s="31" t="s">
        <v>601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172</v>
      </c>
      <c r="D2004" s="31" t="s">
        <v>835</v>
      </c>
      <c r="E2004" s="31"/>
      <c r="F2004" s="31" t="s">
        <v>72</v>
      </c>
      <c r="G2004" s="27">
        <v>60000</v>
      </c>
      <c r="H2004" s="31" t="s">
        <v>636</v>
      </c>
      <c r="I2004" s="31"/>
      <c r="J2004" s="26" t="s">
        <v>662</v>
      </c>
      <c r="K2004" s="27">
        <v>60000</v>
      </c>
      <c r="L2004" s="31" t="s">
        <v>601</v>
      </c>
      <c r="M2004" s="31" t="s">
        <v>1369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835</v>
      </c>
      <c r="D2005" s="31" t="s">
        <v>172</v>
      </c>
      <c r="E2005" s="31"/>
      <c r="F2005" s="31" t="s">
        <v>72</v>
      </c>
      <c r="G2005" s="27">
        <v>60000</v>
      </c>
      <c r="H2005" s="31" t="s">
        <v>633</v>
      </c>
      <c r="I2005" s="31"/>
      <c r="J2005" s="26" t="s">
        <v>634</v>
      </c>
      <c r="K2005" s="27">
        <v>60000</v>
      </c>
      <c r="L2005" s="31" t="s">
        <v>601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172</v>
      </c>
      <c r="D2006" s="31" t="s">
        <v>834</v>
      </c>
      <c r="E2006" s="31"/>
      <c r="F2006" s="31" t="s">
        <v>72</v>
      </c>
      <c r="G2006" s="27">
        <v>60000</v>
      </c>
      <c r="H2006" s="31" t="s">
        <v>636</v>
      </c>
      <c r="I2006" s="31"/>
      <c r="J2006" s="26" t="s">
        <v>662</v>
      </c>
      <c r="K2006" s="27">
        <v>60000</v>
      </c>
      <c r="L2006" s="31" t="s">
        <v>601</v>
      </c>
      <c r="M2006" s="31" t="s">
        <v>1369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834</v>
      </c>
      <c r="D2007" s="31" t="s">
        <v>172</v>
      </c>
      <c r="E2007" s="31"/>
      <c r="F2007" s="31" t="s">
        <v>72</v>
      </c>
      <c r="G2007" s="27">
        <v>60000</v>
      </c>
      <c r="H2007" s="31" t="s">
        <v>633</v>
      </c>
      <c r="I2007" s="31"/>
      <c r="J2007" s="26" t="s">
        <v>634</v>
      </c>
      <c r="K2007" s="27">
        <v>60000</v>
      </c>
      <c r="L2007" s="31" t="s">
        <v>601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835</v>
      </c>
      <c r="D2008" s="31" t="s">
        <v>635</v>
      </c>
      <c r="E2008" s="31"/>
      <c r="F2008" s="31" t="s">
        <v>865</v>
      </c>
      <c r="G2008" s="27">
        <v>68936</v>
      </c>
      <c r="H2008" s="31" t="s">
        <v>54</v>
      </c>
      <c r="I2008" s="31" t="s">
        <v>880</v>
      </c>
      <c r="J2008" s="26" t="s">
        <v>635</v>
      </c>
      <c r="K2008" s="27">
        <v>68936</v>
      </c>
      <c r="L2008" s="31" t="s">
        <v>601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834</v>
      </c>
      <c r="D2009" s="31" t="s">
        <v>635</v>
      </c>
      <c r="E2009" s="31"/>
      <c r="F2009" s="31" t="s">
        <v>865</v>
      </c>
      <c r="G2009" s="27">
        <v>58552</v>
      </c>
      <c r="H2009" s="31" t="s">
        <v>54</v>
      </c>
      <c r="I2009" s="31" t="s">
        <v>880</v>
      </c>
      <c r="J2009" s="26" t="s">
        <v>635</v>
      </c>
      <c r="K2009" s="27">
        <v>58552</v>
      </c>
      <c r="L2009" s="31" t="s">
        <v>601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172</v>
      </c>
      <c r="D2010" s="31" t="s">
        <v>436</v>
      </c>
      <c r="E2010" s="31"/>
      <c r="F2010" s="31" t="s">
        <v>72</v>
      </c>
      <c r="G2010" s="27">
        <v>20000</v>
      </c>
      <c r="H2010" s="31" t="s">
        <v>636</v>
      </c>
      <c r="I2010" s="31"/>
      <c r="J2010" s="26" t="s">
        <v>668</v>
      </c>
      <c r="K2010" s="27">
        <v>20000</v>
      </c>
      <c r="L2010" s="31" t="s">
        <v>601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436</v>
      </c>
      <c r="D2011" s="31" t="s">
        <v>172</v>
      </c>
      <c r="E2011" s="31"/>
      <c r="F2011" s="31" t="s">
        <v>72</v>
      </c>
      <c r="G2011" s="27">
        <v>20000</v>
      </c>
      <c r="H2011" s="31" t="s">
        <v>633</v>
      </c>
      <c r="I2011" s="31"/>
      <c r="J2011" s="26" t="s">
        <v>634</v>
      </c>
      <c r="K2011" s="27">
        <v>20000</v>
      </c>
      <c r="L2011" s="31" t="s">
        <v>601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154</v>
      </c>
      <c r="D2012" s="31" t="s">
        <v>172</v>
      </c>
      <c r="E2012" s="31"/>
      <c r="F2012" s="31" t="s">
        <v>72</v>
      </c>
      <c r="G2012" s="27">
        <v>391000</v>
      </c>
      <c r="H2012" s="31" t="s">
        <v>636</v>
      </c>
      <c r="I2012" s="31"/>
      <c r="J2012" s="26" t="s">
        <v>634</v>
      </c>
      <c r="K2012" s="27">
        <v>391000</v>
      </c>
      <c r="L2012" s="31" t="s">
        <v>601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172</v>
      </c>
      <c r="D2013" s="31" t="s">
        <v>154</v>
      </c>
      <c r="E2013" s="31"/>
      <c r="F2013" s="31" t="s">
        <v>72</v>
      </c>
      <c r="G2013" s="27">
        <v>391000</v>
      </c>
      <c r="H2013" s="31" t="s">
        <v>633</v>
      </c>
      <c r="I2013" s="31"/>
      <c r="J2013" s="26" t="s">
        <v>634</v>
      </c>
      <c r="K2013" s="27">
        <v>391000</v>
      </c>
      <c r="L2013" s="31" t="s">
        <v>601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172</v>
      </c>
      <c r="D2014" s="31" t="s">
        <v>646</v>
      </c>
      <c r="E2014" s="31"/>
      <c r="F2014" s="31" t="s">
        <v>73</v>
      </c>
      <c r="G2014" s="27">
        <v>391000</v>
      </c>
      <c r="H2014" s="31" t="s">
        <v>54</v>
      </c>
      <c r="I2014" s="31"/>
      <c r="J2014" s="26" t="s">
        <v>600</v>
      </c>
      <c r="K2014" s="27">
        <v>391000</v>
      </c>
      <c r="L2014" s="31" t="s">
        <v>601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172</v>
      </c>
      <c r="D2015" s="31" t="s">
        <v>154</v>
      </c>
      <c r="E2015" s="31"/>
      <c r="F2015" s="31" t="s">
        <v>72</v>
      </c>
      <c r="G2015" s="27">
        <v>2266060</v>
      </c>
      <c r="H2015" s="31" t="s">
        <v>636</v>
      </c>
      <c r="I2015" s="31"/>
      <c r="J2015" s="26" t="s">
        <v>634</v>
      </c>
      <c r="K2015" s="27">
        <v>2266060</v>
      </c>
      <c r="L2015" s="31" t="s">
        <v>601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154</v>
      </c>
      <c r="D2016" s="31" t="s">
        <v>172</v>
      </c>
      <c r="E2016" s="31"/>
      <c r="F2016" s="31" t="s">
        <v>72</v>
      </c>
      <c r="G2016" s="27">
        <v>2266060</v>
      </c>
      <c r="H2016" s="31" t="s">
        <v>633</v>
      </c>
      <c r="I2016" s="31"/>
      <c r="J2016" s="26" t="s">
        <v>634</v>
      </c>
      <c r="K2016" s="27">
        <v>2266060</v>
      </c>
      <c r="L2016" s="31" t="s">
        <v>601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154</v>
      </c>
      <c r="D2017" s="31" t="s">
        <v>19</v>
      </c>
      <c r="E2017" s="31"/>
      <c r="F2017" s="31" t="s">
        <v>179</v>
      </c>
      <c r="G2017" s="27">
        <v>1539</v>
      </c>
      <c r="H2017" s="31" t="s">
        <v>397</v>
      </c>
      <c r="I2017" s="31"/>
      <c r="J2017" s="26" t="s">
        <v>653</v>
      </c>
      <c r="K2017" s="27">
        <v>1539</v>
      </c>
      <c r="L2017" s="31" t="s">
        <v>601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681</v>
      </c>
      <c r="D2018" s="31" t="s">
        <v>775</v>
      </c>
      <c r="E2018" s="31"/>
      <c r="F2018" s="31" t="s">
        <v>365</v>
      </c>
      <c r="G2018" s="27">
        <v>35150</v>
      </c>
      <c r="H2018" s="31" t="s">
        <v>54</v>
      </c>
      <c r="I2018" s="31" t="s">
        <v>1370</v>
      </c>
      <c r="J2018" s="26" t="s">
        <v>606</v>
      </c>
      <c r="K2018" s="27">
        <v>35150</v>
      </c>
      <c r="L2018" s="31" t="s">
        <v>601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598</v>
      </c>
      <c r="D2019" s="31" t="s">
        <v>362</v>
      </c>
      <c r="E2019" s="31"/>
      <c r="F2019" s="31" t="s">
        <v>755</v>
      </c>
      <c r="G2019" s="27">
        <v>4890</v>
      </c>
      <c r="H2019" s="31" t="s">
        <v>54</v>
      </c>
      <c r="I2019" s="31"/>
      <c r="J2019" s="26" t="s">
        <v>600</v>
      </c>
      <c r="K2019" s="27">
        <v>4890</v>
      </c>
      <c r="L2019" s="31" t="s">
        <v>601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1158</v>
      </c>
      <c r="D2020" s="31" t="s">
        <v>672</v>
      </c>
      <c r="E2020" s="31" t="s">
        <v>673</v>
      </c>
      <c r="F2020" s="31" t="s">
        <v>799</v>
      </c>
      <c r="G2020" s="27">
        <v>16000</v>
      </c>
      <c r="H2020" s="31" t="s">
        <v>54</v>
      </c>
      <c r="I2020" s="31"/>
      <c r="J2020" s="26" t="s">
        <v>606</v>
      </c>
      <c r="K2020" s="27">
        <v>16000</v>
      </c>
      <c r="L2020" s="31" t="s">
        <v>601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598</v>
      </c>
      <c r="D2021" s="31" t="s">
        <v>362</v>
      </c>
      <c r="E2021" s="31"/>
      <c r="F2021" s="31" t="s">
        <v>1371</v>
      </c>
      <c r="G2021" s="27">
        <v>29000</v>
      </c>
      <c r="H2021" s="31" t="s">
        <v>54</v>
      </c>
      <c r="I2021" s="31"/>
      <c r="J2021" s="26" t="s">
        <v>600</v>
      </c>
      <c r="K2021" s="27">
        <v>29000</v>
      </c>
      <c r="L2021" s="31" t="s">
        <v>601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1158</v>
      </c>
      <c r="D2022" s="31" t="s">
        <v>452</v>
      </c>
      <c r="E2022" s="31" t="s">
        <v>612</v>
      </c>
      <c r="F2022" s="31" t="s">
        <v>739</v>
      </c>
      <c r="G2022" s="27">
        <v>13000</v>
      </c>
      <c r="H2022" s="31" t="s">
        <v>54</v>
      </c>
      <c r="I2022" s="31"/>
      <c r="J2022" s="26" t="s">
        <v>606</v>
      </c>
      <c r="K2022" s="27">
        <v>13000</v>
      </c>
      <c r="L2022" s="31" t="s">
        <v>601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1158</v>
      </c>
      <c r="D2023" s="31" t="s">
        <v>452</v>
      </c>
      <c r="E2023" s="31" t="s">
        <v>603</v>
      </c>
      <c r="F2023" s="31" t="s">
        <v>643</v>
      </c>
      <c r="G2023" s="27">
        <v>7000</v>
      </c>
      <c r="H2023" s="31" t="s">
        <v>54</v>
      </c>
      <c r="I2023" s="31"/>
      <c r="J2023" s="26" t="s">
        <v>606</v>
      </c>
      <c r="K2023" s="27">
        <v>7000</v>
      </c>
      <c r="L2023" s="31" t="s">
        <v>601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611</v>
      </c>
      <c r="D2024" s="31" t="s">
        <v>672</v>
      </c>
      <c r="E2024" s="31" t="s">
        <v>761</v>
      </c>
      <c r="F2024" s="31" t="s">
        <v>762</v>
      </c>
      <c r="G2024" s="27">
        <v>143056</v>
      </c>
      <c r="H2024" s="31" t="s">
        <v>54</v>
      </c>
      <c r="I2024" s="31"/>
      <c r="J2024" s="26" t="s">
        <v>600</v>
      </c>
      <c r="K2024" s="27">
        <v>143056</v>
      </c>
      <c r="L2024" s="31" t="s">
        <v>601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1158</v>
      </c>
      <c r="D2025" s="31" t="s">
        <v>452</v>
      </c>
      <c r="E2025" s="31" t="s">
        <v>714</v>
      </c>
      <c r="F2025" s="31" t="s">
        <v>604</v>
      </c>
      <c r="G2025" s="27">
        <v>4750</v>
      </c>
      <c r="H2025" s="31" t="s">
        <v>54</v>
      </c>
      <c r="I2025" s="31" t="s">
        <v>821</v>
      </c>
      <c r="J2025" s="26" t="s">
        <v>606</v>
      </c>
      <c r="K2025" s="27">
        <v>4750</v>
      </c>
      <c r="L2025" s="31" t="s">
        <v>601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1158</v>
      </c>
      <c r="D2026" s="31" t="s">
        <v>453</v>
      </c>
      <c r="E2026" s="31"/>
      <c r="F2026" s="31" t="s">
        <v>453</v>
      </c>
      <c r="G2026" s="27">
        <v>5000</v>
      </c>
      <c r="H2026" s="31" t="s">
        <v>54</v>
      </c>
      <c r="I2026" s="31"/>
      <c r="J2026" s="26" t="s">
        <v>609</v>
      </c>
      <c r="K2026" s="27">
        <v>5000</v>
      </c>
      <c r="L2026" s="31" t="s">
        <v>601</v>
      </c>
      <c r="M2026" s="31" t="s">
        <v>1372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1158</v>
      </c>
      <c r="D2027" s="31" t="s">
        <v>453</v>
      </c>
      <c r="E2027" s="31"/>
      <c r="F2027" s="31" t="s">
        <v>453</v>
      </c>
      <c r="G2027" s="27">
        <v>5000</v>
      </c>
      <c r="H2027" s="31" t="s">
        <v>54</v>
      </c>
      <c r="I2027" s="31"/>
      <c r="J2027" s="26" t="s">
        <v>609</v>
      </c>
      <c r="K2027" s="27">
        <v>5000</v>
      </c>
      <c r="L2027" s="31" t="s">
        <v>601</v>
      </c>
      <c r="M2027" s="31" t="s">
        <v>1372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187</v>
      </c>
      <c r="D2028" s="31" t="s">
        <v>19</v>
      </c>
      <c r="E2028" s="31"/>
      <c r="F2028" s="31" t="s">
        <v>836</v>
      </c>
      <c r="G2028" s="27">
        <v>90</v>
      </c>
      <c r="H2028" s="31" t="s">
        <v>397</v>
      </c>
      <c r="I2028" s="31"/>
      <c r="J2028" s="26" t="s">
        <v>653</v>
      </c>
      <c r="K2028" s="27">
        <v>90</v>
      </c>
      <c r="L2028" s="31" t="s">
        <v>601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1158</v>
      </c>
      <c r="D2029" s="31" t="s">
        <v>640</v>
      </c>
      <c r="E2029" s="31"/>
      <c r="F2029" s="31" t="s">
        <v>654</v>
      </c>
      <c r="G2029" s="27">
        <v>7330</v>
      </c>
      <c r="H2029" s="31" t="s">
        <v>54</v>
      </c>
      <c r="I2029" s="31" t="s">
        <v>1373</v>
      </c>
      <c r="J2029" s="26" t="s">
        <v>630</v>
      </c>
      <c r="K2029" s="27">
        <v>7330</v>
      </c>
      <c r="L2029" s="31" t="s">
        <v>601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1158</v>
      </c>
      <c r="D2030" s="31" t="s">
        <v>452</v>
      </c>
      <c r="E2030" s="31" t="s">
        <v>603</v>
      </c>
      <c r="F2030" s="31" t="s">
        <v>604</v>
      </c>
      <c r="G2030" s="27">
        <v>8600</v>
      </c>
      <c r="H2030" s="31" t="s">
        <v>54</v>
      </c>
      <c r="I2030" s="31" t="s">
        <v>1323</v>
      </c>
      <c r="J2030" s="26" t="s">
        <v>606</v>
      </c>
      <c r="K2030" s="27">
        <v>8600</v>
      </c>
      <c r="L2030" s="31" t="s">
        <v>601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1158</v>
      </c>
      <c r="D2031" s="31" t="s">
        <v>452</v>
      </c>
      <c r="E2031" s="31" t="s">
        <v>612</v>
      </c>
      <c r="F2031" s="31" t="s">
        <v>1374</v>
      </c>
      <c r="G2031" s="27">
        <v>10000</v>
      </c>
      <c r="H2031" s="31" t="s">
        <v>54</v>
      </c>
      <c r="I2031" s="31" t="s">
        <v>1375</v>
      </c>
      <c r="J2031" s="26" t="s">
        <v>606</v>
      </c>
      <c r="K2031" s="27">
        <v>10000</v>
      </c>
      <c r="L2031" s="31" t="s">
        <v>601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1158</v>
      </c>
      <c r="D2032" s="31" t="s">
        <v>452</v>
      </c>
      <c r="E2032" s="31" t="s">
        <v>714</v>
      </c>
      <c r="F2032" s="31" t="s">
        <v>604</v>
      </c>
      <c r="G2032" s="27">
        <v>2700</v>
      </c>
      <c r="H2032" s="31" t="s">
        <v>54</v>
      </c>
      <c r="I2032" s="31" t="s">
        <v>821</v>
      </c>
      <c r="J2032" s="26" t="s">
        <v>606</v>
      </c>
      <c r="K2032" s="27">
        <v>2700</v>
      </c>
      <c r="L2032" s="31" t="s">
        <v>601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1158</v>
      </c>
      <c r="D2033" s="31" t="s">
        <v>453</v>
      </c>
      <c r="E2033" s="31"/>
      <c r="F2033" s="31" t="s">
        <v>453</v>
      </c>
      <c r="G2033" s="27">
        <v>5000</v>
      </c>
      <c r="H2033" s="31" t="s">
        <v>54</v>
      </c>
      <c r="I2033" s="31"/>
      <c r="J2033" s="26" t="s">
        <v>609</v>
      </c>
      <c r="K2033" s="27">
        <v>5000</v>
      </c>
      <c r="L2033" s="31" t="s">
        <v>601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154</v>
      </c>
      <c r="D2034" s="31" t="s">
        <v>138</v>
      </c>
      <c r="E2034" s="31"/>
      <c r="F2034" s="31" t="s">
        <v>72</v>
      </c>
      <c r="G2034" s="27">
        <v>100000</v>
      </c>
      <c r="H2034" s="31" t="s">
        <v>636</v>
      </c>
      <c r="I2034" s="31"/>
      <c r="J2034" s="26" t="s">
        <v>667</v>
      </c>
      <c r="K2034" s="27">
        <v>100000</v>
      </c>
      <c r="L2034" s="31" t="s">
        <v>601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138</v>
      </c>
      <c r="D2035" s="31" t="s">
        <v>154</v>
      </c>
      <c r="E2035" s="31"/>
      <c r="F2035" s="31" t="s">
        <v>72</v>
      </c>
      <c r="G2035" s="27">
        <v>100000</v>
      </c>
      <c r="H2035" s="31" t="s">
        <v>633</v>
      </c>
      <c r="I2035" s="31"/>
      <c r="J2035" s="26" t="s">
        <v>634</v>
      </c>
      <c r="K2035" s="27">
        <v>100000</v>
      </c>
      <c r="L2035" s="31" t="s">
        <v>601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1158</v>
      </c>
      <c r="D2036" s="31" t="s">
        <v>669</v>
      </c>
      <c r="E2036" s="31"/>
      <c r="F2036" s="31" t="s">
        <v>670</v>
      </c>
      <c r="G2036" s="27">
        <v>8500</v>
      </c>
      <c r="H2036" s="31" t="s">
        <v>54</v>
      </c>
      <c r="I2036" s="31" t="s">
        <v>535</v>
      </c>
      <c r="J2036" s="26" t="s">
        <v>617</v>
      </c>
      <c r="K2036" s="27">
        <v>8500</v>
      </c>
      <c r="L2036" s="31" t="s">
        <v>601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1158</v>
      </c>
      <c r="D2037" s="31" t="s">
        <v>775</v>
      </c>
      <c r="E2037" s="31"/>
      <c r="F2037" s="31" t="s">
        <v>911</v>
      </c>
      <c r="G2037" s="27">
        <v>51500</v>
      </c>
      <c r="H2037" s="31" t="s">
        <v>54</v>
      </c>
      <c r="I2037" s="31" t="s">
        <v>1376</v>
      </c>
      <c r="J2037" s="26" t="s">
        <v>606</v>
      </c>
      <c r="K2037" s="27">
        <v>51500</v>
      </c>
      <c r="L2037" s="31" t="s">
        <v>601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1158</v>
      </c>
      <c r="D2038" s="31" t="s">
        <v>625</v>
      </c>
      <c r="E2038" s="31"/>
      <c r="F2038" s="31" t="s">
        <v>626</v>
      </c>
      <c r="G2038" s="27">
        <v>8200</v>
      </c>
      <c r="H2038" s="31" t="s">
        <v>54</v>
      </c>
      <c r="I2038" s="31"/>
      <c r="J2038" s="26" t="s">
        <v>630</v>
      </c>
      <c r="K2038" s="27">
        <v>8200</v>
      </c>
      <c r="L2038" s="31" t="s">
        <v>601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1158</v>
      </c>
      <c r="D2039" s="31" t="s">
        <v>741</v>
      </c>
      <c r="E2039" s="31" t="s">
        <v>1019</v>
      </c>
      <c r="F2039" s="31" t="s">
        <v>1377</v>
      </c>
      <c r="G2039" s="27">
        <v>11800</v>
      </c>
      <c r="H2039" s="31" t="s">
        <v>54</v>
      </c>
      <c r="I2039" s="31"/>
      <c r="J2039" s="26" t="s">
        <v>614</v>
      </c>
      <c r="K2039" s="27">
        <v>11800</v>
      </c>
      <c r="L2039" s="31" t="s">
        <v>601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1158</v>
      </c>
      <c r="D2040" s="31" t="s">
        <v>735</v>
      </c>
      <c r="E2040" s="31"/>
      <c r="F2040" s="31" t="s">
        <v>1378</v>
      </c>
      <c r="G2040" s="27">
        <v>299200</v>
      </c>
      <c r="H2040" s="31" t="s">
        <v>54</v>
      </c>
      <c r="I2040" s="31" t="s">
        <v>1379</v>
      </c>
      <c r="J2040" s="26" t="s">
        <v>618</v>
      </c>
      <c r="K2040" s="27">
        <v>299200</v>
      </c>
      <c r="L2040" s="31" t="s">
        <v>601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166</v>
      </c>
      <c r="D2041" s="31" t="s">
        <v>19</v>
      </c>
      <c r="E2041" s="31"/>
      <c r="F2041" s="31" t="s">
        <v>767</v>
      </c>
      <c r="G2041" s="27">
        <v>1</v>
      </c>
      <c r="H2041" s="31" t="s">
        <v>397</v>
      </c>
      <c r="I2041" s="31"/>
      <c r="J2041" s="26" t="s">
        <v>653</v>
      </c>
      <c r="K2041" s="27">
        <v>1</v>
      </c>
      <c r="L2041" s="31" t="s">
        <v>601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436</v>
      </c>
      <c r="D2042" s="31" t="s">
        <v>19</v>
      </c>
      <c r="E2042" s="31"/>
      <c r="F2042" s="31" t="s">
        <v>756</v>
      </c>
      <c r="G2042" s="27">
        <v>1217</v>
      </c>
      <c r="H2042" s="31" t="s">
        <v>397</v>
      </c>
      <c r="I2042" s="31"/>
      <c r="J2042" s="26" t="s">
        <v>653</v>
      </c>
      <c r="K2042" s="27">
        <v>1217</v>
      </c>
      <c r="L2042" s="31" t="s">
        <v>601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1380</v>
      </c>
      <c r="D2043" s="31" t="s">
        <v>154</v>
      </c>
      <c r="E2043" s="31"/>
      <c r="F2043" s="31" t="s">
        <v>72</v>
      </c>
      <c r="G2043" s="27">
        <v>70000</v>
      </c>
      <c r="H2043" s="31" t="s">
        <v>633</v>
      </c>
      <c r="I2043" s="31"/>
      <c r="J2043" s="26" t="s">
        <v>634</v>
      </c>
      <c r="K2043" s="27">
        <v>70000</v>
      </c>
      <c r="L2043" s="31" t="s">
        <v>601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154</v>
      </c>
      <c r="D2044" s="31" t="s">
        <v>1380</v>
      </c>
      <c r="E2044" s="31"/>
      <c r="F2044" s="31" t="s">
        <v>72</v>
      </c>
      <c r="G2044" s="27">
        <v>70000</v>
      </c>
      <c r="H2044" s="31" t="s">
        <v>636</v>
      </c>
      <c r="I2044" s="31"/>
      <c r="J2044" s="26" t="s">
        <v>664</v>
      </c>
      <c r="K2044" s="27">
        <v>70000</v>
      </c>
      <c r="L2044" s="31" t="s">
        <v>601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611</v>
      </c>
      <c r="D2045" s="31" t="s">
        <v>741</v>
      </c>
      <c r="E2045" s="31" t="s">
        <v>59</v>
      </c>
      <c r="F2045" s="31" t="s">
        <v>923</v>
      </c>
      <c r="G2045" s="27">
        <v>9600</v>
      </c>
      <c r="H2045" s="31" t="s">
        <v>54</v>
      </c>
      <c r="I2045" s="31"/>
      <c r="J2045" s="26" t="s">
        <v>59</v>
      </c>
      <c r="K2045" s="27">
        <v>9600</v>
      </c>
      <c r="L2045" s="31" t="s">
        <v>601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611</v>
      </c>
      <c r="D2046" s="31" t="s">
        <v>452</v>
      </c>
      <c r="E2046" s="31" t="s">
        <v>603</v>
      </c>
      <c r="F2046" s="31" t="s">
        <v>945</v>
      </c>
      <c r="G2046" s="27">
        <v>6700</v>
      </c>
      <c r="H2046" s="31" t="s">
        <v>54</v>
      </c>
      <c r="I2046" s="31" t="s">
        <v>1381</v>
      </c>
      <c r="J2046" s="26" t="s">
        <v>606</v>
      </c>
      <c r="K2046" s="27">
        <v>6700</v>
      </c>
      <c r="L2046" s="31" t="s">
        <v>601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1158</v>
      </c>
      <c r="D2047" s="31" t="s">
        <v>741</v>
      </c>
      <c r="E2047" s="31" t="s">
        <v>59</v>
      </c>
      <c r="F2047" s="31" t="s">
        <v>1382</v>
      </c>
      <c r="G2047" s="27">
        <v>300680</v>
      </c>
      <c r="H2047" s="31" t="s">
        <v>54</v>
      </c>
      <c r="I2047" s="31"/>
      <c r="J2047" s="26" t="s">
        <v>59</v>
      </c>
      <c r="K2047" s="27">
        <v>300680</v>
      </c>
      <c r="L2047" s="31" t="s">
        <v>601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1158</v>
      </c>
      <c r="D2048" s="31" t="s">
        <v>741</v>
      </c>
      <c r="E2048" s="31" t="s">
        <v>59</v>
      </c>
      <c r="F2048" s="31" t="s">
        <v>604</v>
      </c>
      <c r="G2048" s="27">
        <v>19800</v>
      </c>
      <c r="H2048" s="31" t="s">
        <v>54</v>
      </c>
      <c r="I2048" s="31" t="s">
        <v>616</v>
      </c>
      <c r="J2048" s="26" t="s">
        <v>59</v>
      </c>
      <c r="K2048" s="27">
        <v>19800</v>
      </c>
      <c r="L2048" s="31" t="s">
        <v>601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598</v>
      </c>
      <c r="D2049" s="31" t="s">
        <v>362</v>
      </c>
      <c r="E2049" s="31"/>
      <c r="F2049" s="31" t="s">
        <v>363</v>
      </c>
      <c r="G2049" s="27">
        <v>7890</v>
      </c>
      <c r="H2049" s="31" t="s">
        <v>54</v>
      </c>
      <c r="I2049" s="31"/>
      <c r="J2049" s="26" t="s">
        <v>600</v>
      </c>
      <c r="K2049" s="27">
        <v>7890</v>
      </c>
      <c r="L2049" s="31" t="s">
        <v>601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1158</v>
      </c>
      <c r="D2050" s="31" t="s">
        <v>741</v>
      </c>
      <c r="E2050" s="31" t="s">
        <v>59</v>
      </c>
      <c r="F2050" s="31" t="s">
        <v>1383</v>
      </c>
      <c r="G2050" s="27">
        <v>26000</v>
      </c>
      <c r="H2050" s="31" t="s">
        <v>54</v>
      </c>
      <c r="I2050" s="31"/>
      <c r="J2050" s="26" t="s">
        <v>59</v>
      </c>
      <c r="K2050" s="27">
        <v>26000</v>
      </c>
      <c r="L2050" s="31" t="s">
        <v>601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611</v>
      </c>
      <c r="D2051" s="31" t="s">
        <v>741</v>
      </c>
      <c r="E2051" s="31" t="s">
        <v>59</v>
      </c>
      <c r="F2051" s="31" t="s">
        <v>604</v>
      </c>
      <c r="G2051" s="27">
        <v>9500</v>
      </c>
      <c r="H2051" s="31" t="s">
        <v>54</v>
      </c>
      <c r="I2051" s="31" t="s">
        <v>616</v>
      </c>
      <c r="J2051" s="26" t="s">
        <v>59</v>
      </c>
      <c r="K2051" s="27">
        <v>9500</v>
      </c>
      <c r="L2051" s="31" t="s">
        <v>601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611</v>
      </c>
      <c r="D2052" s="31" t="s">
        <v>741</v>
      </c>
      <c r="E2052" s="31" t="s">
        <v>59</v>
      </c>
      <c r="F2052" s="31" t="s">
        <v>1384</v>
      </c>
      <c r="G2052" s="27">
        <v>45000</v>
      </c>
      <c r="H2052" s="31" t="s">
        <v>54</v>
      </c>
      <c r="I2052" s="31"/>
      <c r="J2052" s="26" t="s">
        <v>59</v>
      </c>
      <c r="K2052" s="27">
        <v>45000</v>
      </c>
      <c r="L2052" s="31" t="s">
        <v>601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154</v>
      </c>
      <c r="D2053" s="31" t="s">
        <v>741</v>
      </c>
      <c r="E2053" s="31"/>
      <c r="F2053" s="31" t="s">
        <v>132</v>
      </c>
      <c r="G2053" s="27">
        <v>30000</v>
      </c>
      <c r="H2053" s="31" t="s">
        <v>54</v>
      </c>
      <c r="I2053" s="31"/>
      <c r="J2053" s="26" t="s">
        <v>59</v>
      </c>
      <c r="K2053" s="27">
        <v>30000</v>
      </c>
      <c r="L2053" s="31" t="s">
        <v>601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138</v>
      </c>
      <c r="D2054" s="31" t="s">
        <v>19</v>
      </c>
      <c r="E2054" s="31"/>
      <c r="F2054" s="31" t="s">
        <v>1141</v>
      </c>
      <c r="G2054" s="27">
        <v>1</v>
      </c>
      <c r="H2054" s="31" t="s">
        <v>397</v>
      </c>
      <c r="I2054" s="31"/>
      <c r="J2054" s="26" t="s">
        <v>653</v>
      </c>
      <c r="K2054" s="27">
        <v>1</v>
      </c>
      <c r="L2054" s="31" t="s">
        <v>601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1158</v>
      </c>
      <c r="D2055" s="31" t="s">
        <v>452</v>
      </c>
      <c r="E2055" s="31" t="s">
        <v>603</v>
      </c>
      <c r="F2055" s="31" t="s">
        <v>604</v>
      </c>
      <c r="G2055" s="27">
        <v>1900</v>
      </c>
      <c r="H2055" s="31" t="s">
        <v>54</v>
      </c>
      <c r="I2055" s="31" t="s">
        <v>871</v>
      </c>
      <c r="J2055" s="26" t="s">
        <v>606</v>
      </c>
      <c r="K2055" s="27">
        <v>1900</v>
      </c>
      <c r="L2055" s="31" t="s">
        <v>601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1158</v>
      </c>
      <c r="D2056" s="31" t="s">
        <v>741</v>
      </c>
      <c r="E2056" s="31" t="s">
        <v>59</v>
      </c>
      <c r="F2056" s="31" t="s">
        <v>1385</v>
      </c>
      <c r="G2056" s="27">
        <v>53000</v>
      </c>
      <c r="H2056" s="31" t="s">
        <v>54</v>
      </c>
      <c r="I2056" s="31" t="s">
        <v>1386</v>
      </c>
      <c r="J2056" s="26" t="s">
        <v>59</v>
      </c>
      <c r="K2056" s="27">
        <v>53000</v>
      </c>
      <c r="L2056" s="31" t="s">
        <v>601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1158</v>
      </c>
      <c r="D2057" s="31" t="s">
        <v>741</v>
      </c>
      <c r="E2057" s="31" t="s">
        <v>59</v>
      </c>
      <c r="F2057" s="31" t="s">
        <v>1387</v>
      </c>
      <c r="G2057" s="27">
        <v>54100</v>
      </c>
      <c r="H2057" s="31" t="s">
        <v>54</v>
      </c>
      <c r="I2057" s="31" t="s">
        <v>1388</v>
      </c>
      <c r="J2057" s="26" t="s">
        <v>59</v>
      </c>
      <c r="K2057" s="27">
        <v>54100</v>
      </c>
      <c r="L2057" s="31" t="s">
        <v>601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1158</v>
      </c>
      <c r="D2058" s="31" t="s">
        <v>741</v>
      </c>
      <c r="E2058" s="31" t="s">
        <v>59</v>
      </c>
      <c r="F2058" s="31" t="s">
        <v>945</v>
      </c>
      <c r="G2058" s="27">
        <v>14400</v>
      </c>
      <c r="H2058" s="31" t="s">
        <v>54</v>
      </c>
      <c r="I2058" s="31"/>
      <c r="J2058" s="26" t="s">
        <v>59</v>
      </c>
      <c r="K2058" s="27">
        <v>14400</v>
      </c>
      <c r="L2058" s="31" t="s">
        <v>601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712</v>
      </c>
      <c r="D2059" s="31" t="s">
        <v>741</v>
      </c>
      <c r="E2059" s="31" t="s">
        <v>59</v>
      </c>
      <c r="F2059" s="31" t="s">
        <v>962</v>
      </c>
      <c r="G2059" s="27">
        <v>-814000</v>
      </c>
      <c r="H2059" s="31" t="s">
        <v>54</v>
      </c>
      <c r="I2059" s="31"/>
      <c r="J2059" s="26" t="s">
        <v>59</v>
      </c>
      <c r="K2059" s="27">
        <v>-814000</v>
      </c>
      <c r="L2059" s="31" t="s">
        <v>601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681</v>
      </c>
      <c r="D2060" s="31" t="s">
        <v>452</v>
      </c>
      <c r="E2060" s="31" t="s">
        <v>621</v>
      </c>
      <c r="F2060" s="31" t="s">
        <v>682</v>
      </c>
      <c r="G2060" s="27">
        <v>13900</v>
      </c>
      <c r="H2060" s="31" t="s">
        <v>54</v>
      </c>
      <c r="I2060" s="31" t="s">
        <v>1044</v>
      </c>
      <c r="J2060" s="26" t="s">
        <v>606</v>
      </c>
      <c r="K2060" s="27">
        <v>13900</v>
      </c>
      <c r="L2060" s="31" t="s">
        <v>601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1262</v>
      </c>
      <c r="D2061" s="31" t="s">
        <v>771</v>
      </c>
      <c r="E2061" s="31"/>
      <c r="F2061" s="31" t="s">
        <v>1389</v>
      </c>
      <c r="G2061" s="27">
        <v>149300</v>
      </c>
      <c r="H2061" s="31" t="s">
        <v>54</v>
      </c>
      <c r="I2061" s="31"/>
      <c r="J2061" s="26" t="s">
        <v>600</v>
      </c>
      <c r="K2061" s="27">
        <v>149300</v>
      </c>
      <c r="L2061" s="31" t="s">
        <v>601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1108</v>
      </c>
      <c r="D2062" s="31" t="s">
        <v>741</v>
      </c>
      <c r="E2062" s="31" t="s">
        <v>1019</v>
      </c>
      <c r="F2062" s="31" t="s">
        <v>1390</v>
      </c>
      <c r="G2062" s="27">
        <v>12500</v>
      </c>
      <c r="H2062" s="31" t="s">
        <v>54</v>
      </c>
      <c r="I2062" s="31" t="s">
        <v>1188</v>
      </c>
      <c r="J2062" s="26" t="s">
        <v>614</v>
      </c>
      <c r="K2062" s="27">
        <v>6250</v>
      </c>
      <c r="L2062" s="31" t="s">
        <v>190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1108</v>
      </c>
      <c r="D2063" s="31" t="s">
        <v>741</v>
      </c>
      <c r="E2063" s="31" t="s">
        <v>1019</v>
      </c>
      <c r="F2063" s="31" t="s">
        <v>1391</v>
      </c>
      <c r="G2063" s="27">
        <v>70500</v>
      </c>
      <c r="H2063" s="31" t="s">
        <v>54</v>
      </c>
      <c r="I2063" s="31" t="s">
        <v>1392</v>
      </c>
      <c r="J2063" s="26" t="s">
        <v>614</v>
      </c>
      <c r="K2063" s="27">
        <v>35250</v>
      </c>
      <c r="L2063" s="31" t="s">
        <v>190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546</v>
      </c>
      <c r="D2064" s="31" t="s">
        <v>19</v>
      </c>
      <c r="E2064" s="31"/>
      <c r="F2064" s="31" t="s">
        <v>1393</v>
      </c>
      <c r="G2064" s="27">
        <v>10000</v>
      </c>
      <c r="H2064" s="31" t="s">
        <v>54</v>
      </c>
      <c r="I2064" s="31"/>
      <c r="J2064" s="26" t="s">
        <v>600</v>
      </c>
      <c r="K2064" s="27">
        <v>10000</v>
      </c>
      <c r="L2064" s="31" t="s">
        <v>601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1158</v>
      </c>
      <c r="D2065" s="31" t="s">
        <v>19</v>
      </c>
      <c r="E2065" s="31"/>
      <c r="F2065" s="31" t="s">
        <v>1261</v>
      </c>
      <c r="G2065" s="27">
        <v>-32163</v>
      </c>
      <c r="H2065" s="31" t="s">
        <v>54</v>
      </c>
      <c r="I2065" s="31"/>
      <c r="J2065" s="26" t="s">
        <v>678</v>
      </c>
      <c r="K2065" s="27">
        <v>-32163</v>
      </c>
      <c r="L2065" s="31" t="s">
        <v>601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598</v>
      </c>
      <c r="D2066" s="31" t="s">
        <v>19</v>
      </c>
      <c r="E2066" s="31"/>
      <c r="F2066" s="31" t="s">
        <v>770</v>
      </c>
      <c r="G2066" s="27">
        <v>-60000</v>
      </c>
      <c r="H2066" s="31" t="s">
        <v>54</v>
      </c>
      <c r="I2066" s="31"/>
      <c r="J2066" s="26" t="s">
        <v>678</v>
      </c>
      <c r="K2066" s="27">
        <v>-60000</v>
      </c>
      <c r="L2066" s="31" t="s">
        <v>601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187</v>
      </c>
      <c r="D2067" s="31" t="s">
        <v>771</v>
      </c>
      <c r="E2067" s="31"/>
      <c r="F2067" s="31" t="s">
        <v>1128</v>
      </c>
      <c r="G2067" s="27">
        <v>-30000</v>
      </c>
      <c r="H2067" s="31" t="s">
        <v>54</v>
      </c>
      <c r="I2067" s="31" t="s">
        <v>1394</v>
      </c>
      <c r="J2067" s="26" t="s">
        <v>600</v>
      </c>
      <c r="K2067" s="27">
        <v>-30000</v>
      </c>
      <c r="L2067" s="31" t="s">
        <v>601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611</v>
      </c>
      <c r="D2068" s="31" t="s">
        <v>672</v>
      </c>
      <c r="E2068" s="31" t="s">
        <v>673</v>
      </c>
      <c r="F2068" s="31" t="s">
        <v>1395</v>
      </c>
      <c r="G2068" s="27">
        <v>8400</v>
      </c>
      <c r="H2068" s="31" t="s">
        <v>54</v>
      </c>
      <c r="I2068" s="31"/>
      <c r="J2068" s="26" t="s">
        <v>606</v>
      </c>
      <c r="K2068" s="27">
        <v>8400</v>
      </c>
      <c r="L2068" s="31" t="s">
        <v>601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1158</v>
      </c>
      <c r="D2069" s="31" t="s">
        <v>672</v>
      </c>
      <c r="E2069" s="31" t="s">
        <v>673</v>
      </c>
      <c r="F2069" s="31" t="s">
        <v>1395</v>
      </c>
      <c r="G2069" s="27">
        <v>61020</v>
      </c>
      <c r="H2069" s="31" t="s">
        <v>54</v>
      </c>
      <c r="I2069" s="31" t="s">
        <v>1396</v>
      </c>
      <c r="J2069" s="26" t="s">
        <v>606</v>
      </c>
      <c r="K2069" s="27">
        <v>61020</v>
      </c>
      <c r="L2069" s="31" t="s">
        <v>601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681</v>
      </c>
      <c r="D2070" s="31" t="s">
        <v>640</v>
      </c>
      <c r="E2070" s="31"/>
      <c r="F2070" s="31" t="s">
        <v>365</v>
      </c>
      <c r="G2070" s="27">
        <v>25010</v>
      </c>
      <c r="H2070" s="31" t="s">
        <v>54</v>
      </c>
      <c r="I2070" s="31" t="s">
        <v>1397</v>
      </c>
      <c r="J2070" s="26" t="s">
        <v>630</v>
      </c>
      <c r="K2070" s="27">
        <v>25010</v>
      </c>
      <c r="L2070" s="31" t="s">
        <v>601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1158</v>
      </c>
      <c r="D2071" s="31" t="s">
        <v>672</v>
      </c>
      <c r="E2071" s="31" t="s">
        <v>673</v>
      </c>
      <c r="F2071" s="31" t="s">
        <v>1398</v>
      </c>
      <c r="G2071" s="27">
        <v>9500</v>
      </c>
      <c r="H2071" s="31" t="s">
        <v>54</v>
      </c>
      <c r="I2071" s="31"/>
      <c r="J2071" s="26" t="s">
        <v>606</v>
      </c>
      <c r="K2071" s="27">
        <v>9500</v>
      </c>
      <c r="L2071" s="31" t="s">
        <v>601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1158</v>
      </c>
      <c r="D2072" s="31" t="s">
        <v>672</v>
      </c>
      <c r="E2072" s="31" t="s">
        <v>673</v>
      </c>
      <c r="F2072" s="31" t="s">
        <v>1232</v>
      </c>
      <c r="G2072" s="27">
        <v>10000</v>
      </c>
      <c r="H2072" s="31" t="s">
        <v>54</v>
      </c>
      <c r="I2072" s="31" t="s">
        <v>1399</v>
      </c>
      <c r="J2072" s="26" t="s">
        <v>606</v>
      </c>
      <c r="K2072" s="27">
        <v>10000</v>
      </c>
      <c r="L2072" s="31" t="s">
        <v>601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1158</v>
      </c>
      <c r="D2073" s="31" t="s">
        <v>453</v>
      </c>
      <c r="E2073" s="31"/>
      <c r="F2073" s="31" t="s">
        <v>453</v>
      </c>
      <c r="G2073" s="27">
        <v>5000</v>
      </c>
      <c r="H2073" s="31" t="s">
        <v>54</v>
      </c>
      <c r="I2073" s="31"/>
      <c r="J2073" s="26" t="s">
        <v>609</v>
      </c>
      <c r="K2073" s="27">
        <v>5000</v>
      </c>
      <c r="L2073" s="31" t="s">
        <v>601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1158</v>
      </c>
      <c r="D2074" s="31" t="s">
        <v>452</v>
      </c>
      <c r="E2074" s="31" t="s">
        <v>714</v>
      </c>
      <c r="F2074" s="31" t="s">
        <v>604</v>
      </c>
      <c r="G2074" s="27">
        <v>10000</v>
      </c>
      <c r="H2074" s="31" t="s">
        <v>54</v>
      </c>
      <c r="I2074" s="31" t="s">
        <v>63</v>
      </c>
      <c r="J2074" s="26" t="s">
        <v>606</v>
      </c>
      <c r="K2074" s="27">
        <v>10000</v>
      </c>
      <c r="L2074" s="31" t="s">
        <v>601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1158</v>
      </c>
      <c r="D2075" s="31" t="s">
        <v>669</v>
      </c>
      <c r="E2075" s="31"/>
      <c r="F2075" s="31" t="s">
        <v>1400</v>
      </c>
      <c r="G2075" s="27">
        <v>20100</v>
      </c>
      <c r="H2075" s="31" t="s">
        <v>54</v>
      </c>
      <c r="I2075" s="31" t="s">
        <v>1401</v>
      </c>
      <c r="J2075" s="26" t="s">
        <v>617</v>
      </c>
      <c r="K2075" s="27">
        <v>20100</v>
      </c>
      <c r="L2075" s="31" t="s">
        <v>601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1158</v>
      </c>
      <c r="D2076" s="31" t="s">
        <v>625</v>
      </c>
      <c r="E2076" s="31"/>
      <c r="F2076" s="31" t="s">
        <v>1402</v>
      </c>
      <c r="G2076" s="27">
        <v>71300</v>
      </c>
      <c r="H2076" s="31" t="s">
        <v>54</v>
      </c>
      <c r="I2076" s="31"/>
      <c r="J2076" s="26" t="s">
        <v>630</v>
      </c>
      <c r="K2076" s="27">
        <v>71300</v>
      </c>
      <c r="L2076" s="31" t="s">
        <v>601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1158</v>
      </c>
      <c r="D2077" s="31" t="s">
        <v>625</v>
      </c>
      <c r="E2077" s="31"/>
      <c r="F2077" s="31" t="s">
        <v>654</v>
      </c>
      <c r="G2077" s="27">
        <v>76260</v>
      </c>
      <c r="H2077" s="31" t="s">
        <v>54</v>
      </c>
      <c r="I2077" s="31" t="s">
        <v>1403</v>
      </c>
      <c r="J2077" s="26" t="s">
        <v>630</v>
      </c>
      <c r="K2077" s="27">
        <v>76260</v>
      </c>
      <c r="L2077" s="31" t="s">
        <v>601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187</v>
      </c>
      <c r="D2078" s="31" t="s">
        <v>735</v>
      </c>
      <c r="E2078" s="31"/>
      <c r="F2078" s="31" t="s">
        <v>1404</v>
      </c>
      <c r="G2078" s="27">
        <v>-149600</v>
      </c>
      <c r="H2078" s="31" t="s">
        <v>54</v>
      </c>
      <c r="I2078" s="31"/>
      <c r="J2078" s="26" t="s">
        <v>618</v>
      </c>
      <c r="K2078" s="27">
        <v>-149600</v>
      </c>
      <c r="L2078" s="31" t="s">
        <v>601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1108</v>
      </c>
      <c r="D2079" s="76" t="s">
        <v>19</v>
      </c>
      <c r="E2079" s="76"/>
      <c r="F2079" s="76" t="s">
        <v>1141</v>
      </c>
      <c r="G2079" s="79">
        <v>11</v>
      </c>
      <c r="H2079" s="76" t="s">
        <v>397</v>
      </c>
      <c r="I2079" s="76"/>
      <c r="J2079" s="76" t="s">
        <v>653</v>
      </c>
      <c r="K2079" s="79">
        <v>11</v>
      </c>
      <c r="L2079" s="76" t="s">
        <v>601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154</v>
      </c>
      <c r="D2080" s="76" t="s">
        <v>775</v>
      </c>
      <c r="E2080" s="76"/>
      <c r="F2080" s="76" t="s">
        <v>139</v>
      </c>
      <c r="G2080" s="79">
        <v>11000</v>
      </c>
      <c r="H2080" s="76" t="s">
        <v>54</v>
      </c>
      <c r="I2080" s="76" t="s">
        <v>551</v>
      </c>
      <c r="J2080" s="76" t="s">
        <v>606</v>
      </c>
      <c r="K2080" s="79">
        <v>11000</v>
      </c>
      <c r="L2080" s="76" t="s">
        <v>601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611</v>
      </c>
      <c r="D2081" s="76" t="s">
        <v>452</v>
      </c>
      <c r="E2081" s="76" t="s">
        <v>612</v>
      </c>
      <c r="F2081" s="76" t="s">
        <v>1303</v>
      </c>
      <c r="G2081" s="79">
        <v>10900</v>
      </c>
      <c r="H2081" s="76" t="s">
        <v>54</v>
      </c>
      <c r="I2081" s="76"/>
      <c r="J2081" s="76" t="s">
        <v>606</v>
      </c>
      <c r="K2081" s="79">
        <v>10900</v>
      </c>
      <c r="L2081" s="76" t="s">
        <v>601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598</v>
      </c>
      <c r="D2082" s="76" t="s">
        <v>362</v>
      </c>
      <c r="E2082" s="76"/>
      <c r="F2082" s="76" t="s">
        <v>599</v>
      </c>
      <c r="G2082" s="79">
        <v>4898</v>
      </c>
      <c r="H2082" s="76" t="s">
        <v>54</v>
      </c>
      <c r="I2082" s="76"/>
      <c r="J2082" s="76" t="s">
        <v>600</v>
      </c>
      <c r="K2082" s="79">
        <v>4898</v>
      </c>
      <c r="L2082" s="76" t="s">
        <v>601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611</v>
      </c>
      <c r="D2083" s="76" t="s">
        <v>625</v>
      </c>
      <c r="E2083" s="76"/>
      <c r="F2083" s="76" t="s">
        <v>626</v>
      </c>
      <c r="G2083" s="79">
        <v>6700</v>
      </c>
      <c r="H2083" s="76" t="s">
        <v>54</v>
      </c>
      <c r="I2083" s="76"/>
      <c r="J2083" s="76" t="s">
        <v>606</v>
      </c>
      <c r="K2083" s="79">
        <v>6700</v>
      </c>
      <c r="L2083" s="76" t="s">
        <v>601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611</v>
      </c>
      <c r="D2084" s="76" t="s">
        <v>625</v>
      </c>
      <c r="E2084" s="76"/>
      <c r="F2084" s="76" t="s">
        <v>365</v>
      </c>
      <c r="G2084" s="79">
        <v>18900</v>
      </c>
      <c r="H2084" s="76" t="s">
        <v>54</v>
      </c>
      <c r="I2084" s="76" t="s">
        <v>1405</v>
      </c>
      <c r="J2084" s="76" t="s">
        <v>606</v>
      </c>
      <c r="K2084" s="79">
        <v>18900</v>
      </c>
      <c r="L2084" s="76" t="s">
        <v>601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546</v>
      </c>
      <c r="D2085" s="76" t="s">
        <v>362</v>
      </c>
      <c r="E2085" s="76"/>
      <c r="F2085" s="76" t="s">
        <v>1406</v>
      </c>
      <c r="G2085" s="79">
        <v>1390</v>
      </c>
      <c r="H2085" s="76" t="s">
        <v>54</v>
      </c>
      <c r="I2085" s="76" t="s">
        <v>1407</v>
      </c>
      <c r="J2085" s="76" t="s">
        <v>600</v>
      </c>
      <c r="K2085" s="79">
        <v>1390</v>
      </c>
      <c r="L2085" s="76" t="s">
        <v>601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611</v>
      </c>
      <c r="D2086" s="76" t="s">
        <v>453</v>
      </c>
      <c r="E2086" s="76"/>
      <c r="F2086" s="76" t="s">
        <v>453</v>
      </c>
      <c r="G2086" s="79">
        <v>5000</v>
      </c>
      <c r="H2086" s="76" t="s">
        <v>54</v>
      </c>
      <c r="I2086" s="76"/>
      <c r="J2086" s="76" t="s">
        <v>609</v>
      </c>
      <c r="K2086" s="79">
        <v>5000</v>
      </c>
      <c r="L2086" s="76" t="s">
        <v>601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154</v>
      </c>
      <c r="D2087" s="76" t="s">
        <v>19</v>
      </c>
      <c r="E2087" s="76"/>
      <c r="F2087" s="76" t="s">
        <v>179</v>
      </c>
      <c r="G2087" s="79">
        <v>4467</v>
      </c>
      <c r="H2087" s="76" t="s">
        <v>397</v>
      </c>
      <c r="I2087" s="76"/>
      <c r="J2087" s="76" t="s">
        <v>653</v>
      </c>
      <c r="K2087" s="79">
        <v>4467</v>
      </c>
      <c r="L2087" s="76" t="s">
        <v>601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712</v>
      </c>
      <c r="D2088" s="76" t="s">
        <v>154</v>
      </c>
      <c r="E2088" s="76"/>
      <c r="F2088" s="76" t="s">
        <v>72</v>
      </c>
      <c r="G2088" s="79">
        <v>814000</v>
      </c>
      <c r="H2088" s="76" t="s">
        <v>1408</v>
      </c>
      <c r="I2088" s="76"/>
      <c r="J2088" s="76" t="s">
        <v>634</v>
      </c>
      <c r="K2088" s="79">
        <v>814000</v>
      </c>
      <c r="L2088" s="76" t="s">
        <v>601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187</v>
      </c>
      <c r="D2089" s="76" t="s">
        <v>162</v>
      </c>
      <c r="E2089" s="76"/>
      <c r="F2089" s="76" t="s">
        <v>72</v>
      </c>
      <c r="G2089" s="79">
        <v>30000</v>
      </c>
      <c r="H2089" s="76" t="s">
        <v>1408</v>
      </c>
      <c r="I2089" s="76"/>
      <c r="J2089" s="76" t="s">
        <v>634</v>
      </c>
      <c r="K2089" s="79">
        <v>30000</v>
      </c>
      <c r="L2089" s="76" t="s">
        <v>601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187</v>
      </c>
      <c r="D2090" s="76" t="s">
        <v>154</v>
      </c>
      <c r="E2090" s="76"/>
      <c r="F2090" s="76" t="s">
        <v>72</v>
      </c>
      <c r="G2090" s="79">
        <v>165100</v>
      </c>
      <c r="H2090" s="76" t="s">
        <v>1408</v>
      </c>
      <c r="I2090" s="76"/>
      <c r="J2090" s="76" t="s">
        <v>634</v>
      </c>
      <c r="K2090" s="79">
        <v>165100</v>
      </c>
      <c r="L2090" s="76" t="s">
        <v>601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611</v>
      </c>
      <c r="D2091" s="76" t="s">
        <v>362</v>
      </c>
      <c r="E2091" s="76"/>
      <c r="F2091" s="76" t="s">
        <v>1409</v>
      </c>
      <c r="G2091" s="79">
        <v>26300</v>
      </c>
      <c r="H2091" s="76" t="s">
        <v>54</v>
      </c>
      <c r="I2091" s="76" t="s">
        <v>1145</v>
      </c>
      <c r="J2091" s="76" t="s">
        <v>600</v>
      </c>
      <c r="K2091" s="79">
        <v>26300</v>
      </c>
      <c r="L2091" s="76" t="s">
        <v>601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611</v>
      </c>
      <c r="D2092" s="76" t="s">
        <v>453</v>
      </c>
      <c r="E2092" s="76"/>
      <c r="F2092" s="76" t="s">
        <v>453</v>
      </c>
      <c r="G2092" s="79">
        <v>5000</v>
      </c>
      <c r="H2092" s="76" t="s">
        <v>54</v>
      </c>
      <c r="I2092" s="76"/>
      <c r="J2092" s="76" t="s">
        <v>609</v>
      </c>
      <c r="K2092" s="79">
        <v>5000</v>
      </c>
      <c r="L2092" s="76" t="s">
        <v>601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166</v>
      </c>
      <c r="D2093" s="76" t="s">
        <v>19</v>
      </c>
      <c r="E2093" s="76"/>
      <c r="F2093" s="76" t="s">
        <v>1410</v>
      </c>
      <c r="G2093" s="79">
        <v>100</v>
      </c>
      <c r="H2093" s="76" t="s">
        <v>397</v>
      </c>
      <c r="I2093" s="76" t="s">
        <v>1411</v>
      </c>
      <c r="J2093" s="76" t="s">
        <v>653</v>
      </c>
      <c r="K2093" s="79">
        <v>100</v>
      </c>
      <c r="L2093" s="76" t="s">
        <v>601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598</v>
      </c>
      <c r="D2094" s="76" t="s">
        <v>362</v>
      </c>
      <c r="E2094" s="76"/>
      <c r="F2094" s="76" t="s">
        <v>608</v>
      </c>
      <c r="G2094" s="79">
        <v>18000</v>
      </c>
      <c r="H2094" s="76" t="s">
        <v>54</v>
      </c>
      <c r="I2094" s="76"/>
      <c r="J2094" s="76" t="s">
        <v>600</v>
      </c>
      <c r="K2094" s="79">
        <v>18000</v>
      </c>
      <c r="L2094" s="76" t="s">
        <v>601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611</v>
      </c>
      <c r="D2095" s="76" t="s">
        <v>452</v>
      </c>
      <c r="E2095" s="76" t="s">
        <v>612</v>
      </c>
      <c r="F2095" s="76" t="s">
        <v>108</v>
      </c>
      <c r="G2095" s="79">
        <v>9000</v>
      </c>
      <c r="H2095" s="76" t="s">
        <v>54</v>
      </c>
      <c r="I2095" s="76"/>
      <c r="J2095" s="76" t="s">
        <v>606</v>
      </c>
      <c r="K2095" s="79">
        <v>9000</v>
      </c>
      <c r="L2095" s="76" t="s">
        <v>601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611</v>
      </c>
      <c r="D2096" s="76" t="s">
        <v>452</v>
      </c>
      <c r="E2096" s="76" t="s">
        <v>714</v>
      </c>
      <c r="F2096" s="76" t="s">
        <v>604</v>
      </c>
      <c r="G2096" s="79">
        <v>9100</v>
      </c>
      <c r="H2096" s="76" t="s">
        <v>54</v>
      </c>
      <c r="I2096" s="76" t="s">
        <v>821</v>
      </c>
      <c r="J2096" s="76" t="s">
        <v>606</v>
      </c>
      <c r="K2096" s="79">
        <v>9100</v>
      </c>
      <c r="L2096" s="76" t="s">
        <v>601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611</v>
      </c>
      <c r="D2097" s="76" t="s">
        <v>735</v>
      </c>
      <c r="E2097" s="76"/>
      <c r="F2097" s="76" t="s">
        <v>1412</v>
      </c>
      <c r="G2097" s="79">
        <v>10500</v>
      </c>
      <c r="H2097" s="76" t="s">
        <v>54</v>
      </c>
      <c r="I2097" s="76"/>
      <c r="J2097" s="76" t="s">
        <v>606</v>
      </c>
      <c r="K2097" s="79">
        <v>10500</v>
      </c>
      <c r="L2097" s="76" t="s">
        <v>601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611</v>
      </c>
      <c r="D2098" s="76" t="s">
        <v>453</v>
      </c>
      <c r="E2098" s="76"/>
      <c r="F2098" s="76" t="s">
        <v>453</v>
      </c>
      <c r="G2098" s="79">
        <v>5000</v>
      </c>
      <c r="H2098" s="76" t="s">
        <v>54</v>
      </c>
      <c r="I2098" s="76"/>
      <c r="J2098" s="76" t="s">
        <v>609</v>
      </c>
      <c r="K2098" s="79">
        <v>5000</v>
      </c>
      <c r="L2098" s="76" t="s">
        <v>601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187</v>
      </c>
      <c r="D2099" s="76" t="s">
        <v>19</v>
      </c>
      <c r="E2099" s="76"/>
      <c r="F2099" s="76" t="s">
        <v>763</v>
      </c>
      <c r="G2099" s="79">
        <v>1</v>
      </c>
      <c r="H2099" s="76" t="s">
        <v>397</v>
      </c>
      <c r="I2099" s="76"/>
      <c r="J2099" s="76" t="s">
        <v>653</v>
      </c>
      <c r="K2099" s="79">
        <v>1</v>
      </c>
      <c r="L2099" s="76" t="s">
        <v>601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1413</v>
      </c>
      <c r="D2100" s="76" t="s">
        <v>625</v>
      </c>
      <c r="E2100" s="76"/>
      <c r="F2100" s="76" t="s">
        <v>365</v>
      </c>
      <c r="G2100" s="79">
        <v>16990</v>
      </c>
      <c r="H2100" s="76" t="s">
        <v>54</v>
      </c>
      <c r="I2100" s="76" t="s">
        <v>1414</v>
      </c>
      <c r="J2100" s="76" t="s">
        <v>606</v>
      </c>
      <c r="K2100" s="79">
        <v>16990</v>
      </c>
      <c r="L2100" s="76" t="s">
        <v>601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611</v>
      </c>
      <c r="D2101" s="76" t="s">
        <v>453</v>
      </c>
      <c r="E2101" s="76"/>
      <c r="F2101" s="76" t="s">
        <v>453</v>
      </c>
      <c r="G2101" s="79">
        <v>5000</v>
      </c>
      <c r="H2101" s="76" t="s">
        <v>54</v>
      </c>
      <c r="I2101" s="76"/>
      <c r="J2101" s="76" t="s">
        <v>609</v>
      </c>
      <c r="K2101" s="79">
        <v>5000</v>
      </c>
      <c r="L2101" s="76" t="s">
        <v>601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611</v>
      </c>
      <c r="D2102" s="76" t="s">
        <v>452</v>
      </c>
      <c r="E2102" s="76" t="s">
        <v>603</v>
      </c>
      <c r="F2102" s="76" t="s">
        <v>604</v>
      </c>
      <c r="G2102" s="79">
        <v>5400</v>
      </c>
      <c r="H2102" s="76" t="s">
        <v>54</v>
      </c>
      <c r="I2102" s="76" t="s">
        <v>1083</v>
      </c>
      <c r="J2102" s="76" t="s">
        <v>606</v>
      </c>
      <c r="K2102" s="79">
        <v>5400</v>
      </c>
      <c r="L2102" s="76" t="s">
        <v>601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1413</v>
      </c>
      <c r="D2103" s="76" t="s">
        <v>672</v>
      </c>
      <c r="E2103" s="76" t="s">
        <v>1005</v>
      </c>
      <c r="F2103" s="76" t="s">
        <v>365</v>
      </c>
      <c r="G2103" s="79">
        <v>53720</v>
      </c>
      <c r="H2103" s="76" t="s">
        <v>54</v>
      </c>
      <c r="I2103" s="76" t="s">
        <v>1005</v>
      </c>
      <c r="J2103" s="76" t="s">
        <v>606</v>
      </c>
      <c r="K2103" s="79">
        <v>53720</v>
      </c>
      <c r="L2103" s="76" t="s">
        <v>601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611</v>
      </c>
      <c r="D2104" s="76" t="s">
        <v>452</v>
      </c>
      <c r="E2104" s="76" t="s">
        <v>612</v>
      </c>
      <c r="F2104" s="76" t="s">
        <v>108</v>
      </c>
      <c r="G2104" s="79">
        <v>9000</v>
      </c>
      <c r="H2104" s="76" t="s">
        <v>54</v>
      </c>
      <c r="I2104" s="76"/>
      <c r="J2104" s="76" t="s">
        <v>606</v>
      </c>
      <c r="K2104" s="79">
        <v>9000</v>
      </c>
      <c r="L2104" s="76" t="s">
        <v>601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154</v>
      </c>
      <c r="D2105" s="76" t="s">
        <v>162</v>
      </c>
      <c r="E2105" s="76"/>
      <c r="F2105" s="76" t="s">
        <v>72</v>
      </c>
      <c r="G2105" s="79">
        <v>7030</v>
      </c>
      <c r="H2105" s="76" t="s">
        <v>1408</v>
      </c>
      <c r="I2105" s="76"/>
      <c r="J2105" s="76" t="s">
        <v>634</v>
      </c>
      <c r="K2105" s="79">
        <v>7030</v>
      </c>
      <c r="L2105" s="76" t="s">
        <v>601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162</v>
      </c>
      <c r="D2106" s="76" t="s">
        <v>1262</v>
      </c>
      <c r="E2106" s="76"/>
      <c r="F2106" s="76" t="s">
        <v>657</v>
      </c>
      <c r="G2106" s="79">
        <v>149300</v>
      </c>
      <c r="H2106" s="76" t="s">
        <v>1408</v>
      </c>
      <c r="I2106" s="76"/>
      <c r="J2106" s="76" t="s">
        <v>634</v>
      </c>
      <c r="K2106" s="79">
        <v>149300</v>
      </c>
      <c r="L2106" s="76" t="s">
        <v>601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166</v>
      </c>
      <c r="D2107" s="76" t="s">
        <v>19</v>
      </c>
      <c r="E2107" s="76"/>
      <c r="F2107" s="76" t="s">
        <v>1410</v>
      </c>
      <c r="G2107" s="79">
        <v>100</v>
      </c>
      <c r="H2107" s="76" t="s">
        <v>397</v>
      </c>
      <c r="I2107" s="76" t="s">
        <v>1411</v>
      </c>
      <c r="J2107" s="76" t="s">
        <v>653</v>
      </c>
      <c r="K2107" s="79">
        <v>100</v>
      </c>
      <c r="L2107" s="76" t="s">
        <v>601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1108</v>
      </c>
      <c r="D2108" s="76" t="s">
        <v>741</v>
      </c>
      <c r="E2108" s="76" t="s">
        <v>1019</v>
      </c>
      <c r="F2108" s="76" t="s">
        <v>1415</v>
      </c>
      <c r="G2108" s="79">
        <v>27800</v>
      </c>
      <c r="H2108" s="76" t="s">
        <v>54</v>
      </c>
      <c r="I2108" s="76" t="s">
        <v>1416</v>
      </c>
      <c r="J2108" s="76" t="s">
        <v>614</v>
      </c>
      <c r="K2108" s="79">
        <v>13900</v>
      </c>
      <c r="L2108" s="76" t="s">
        <v>190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1108</v>
      </c>
      <c r="D2109" s="76" t="s">
        <v>741</v>
      </c>
      <c r="E2109" s="76" t="s">
        <v>1019</v>
      </c>
      <c r="F2109" s="76" t="s">
        <v>946</v>
      </c>
      <c r="G2109" s="79">
        <v>7600</v>
      </c>
      <c r="H2109" s="76" t="s">
        <v>54</v>
      </c>
      <c r="I2109" s="76" t="s">
        <v>688</v>
      </c>
      <c r="J2109" s="76" t="s">
        <v>614</v>
      </c>
      <c r="K2109" s="79">
        <v>3800</v>
      </c>
      <c r="L2109" s="76" t="s">
        <v>190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162</v>
      </c>
      <c r="D2110" s="76" t="s">
        <v>19</v>
      </c>
      <c r="E2110" s="76"/>
      <c r="F2110" s="76" t="s">
        <v>1417</v>
      </c>
      <c r="G2110" s="79">
        <v>20201</v>
      </c>
      <c r="H2110" s="76" t="s">
        <v>397</v>
      </c>
      <c r="I2110" s="76"/>
      <c r="J2110" s="76" t="s">
        <v>653</v>
      </c>
      <c r="K2110" s="79">
        <v>20201</v>
      </c>
      <c r="L2110" s="76" t="s">
        <v>601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611</v>
      </c>
      <c r="D2111" s="76" t="s">
        <v>453</v>
      </c>
      <c r="E2111" s="76"/>
      <c r="F2111" s="76" t="s">
        <v>453</v>
      </c>
      <c r="G2111" s="79">
        <v>4500</v>
      </c>
      <c r="H2111" s="76" t="s">
        <v>54</v>
      </c>
      <c r="I2111" s="76"/>
      <c r="J2111" s="76" t="s">
        <v>609</v>
      </c>
      <c r="K2111" s="79">
        <v>4500</v>
      </c>
      <c r="L2111" s="76" t="s">
        <v>601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611</v>
      </c>
      <c r="D2112" s="76" t="s">
        <v>669</v>
      </c>
      <c r="E2112" s="76" t="s">
        <v>1418</v>
      </c>
      <c r="F2112" s="76" t="s">
        <v>946</v>
      </c>
      <c r="G2112" s="79">
        <v>50900</v>
      </c>
      <c r="H2112" s="76" t="s">
        <v>54</v>
      </c>
      <c r="I2112" s="76" t="s">
        <v>1419</v>
      </c>
      <c r="J2112" s="76" t="s">
        <v>617</v>
      </c>
      <c r="K2112" s="79">
        <v>50900</v>
      </c>
      <c r="L2112" s="76" t="s">
        <v>601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598</v>
      </c>
      <c r="D2113" s="76" t="s">
        <v>362</v>
      </c>
      <c r="E2113" s="76"/>
      <c r="F2113" s="76" t="s">
        <v>561</v>
      </c>
      <c r="G2113" s="79">
        <v>1800</v>
      </c>
      <c r="H2113" s="76" t="s">
        <v>54</v>
      </c>
      <c r="I2113" s="76" t="s">
        <v>639</v>
      </c>
      <c r="J2113" s="76" t="s">
        <v>600</v>
      </c>
      <c r="K2113" s="79">
        <v>1800</v>
      </c>
      <c r="L2113" s="76" t="s">
        <v>601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611</v>
      </c>
      <c r="D2114" s="76" t="s">
        <v>452</v>
      </c>
      <c r="E2114" s="76" t="s">
        <v>612</v>
      </c>
      <c r="F2114" s="76" t="s">
        <v>740</v>
      </c>
      <c r="G2114" s="79">
        <v>11000</v>
      </c>
      <c r="H2114" s="76" t="s">
        <v>54</v>
      </c>
      <c r="I2114" s="76" t="s">
        <v>1420</v>
      </c>
      <c r="J2114" s="76" t="s">
        <v>606</v>
      </c>
      <c r="K2114" s="79">
        <v>11000</v>
      </c>
      <c r="L2114" s="76" t="s">
        <v>601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598</v>
      </c>
      <c r="D2115" s="76" t="s">
        <v>362</v>
      </c>
      <c r="E2115" s="76"/>
      <c r="F2115" s="76" t="s">
        <v>637</v>
      </c>
      <c r="G2115" s="79">
        <v>8995</v>
      </c>
      <c r="H2115" s="76" t="s">
        <v>54</v>
      </c>
      <c r="I2115" s="76"/>
      <c r="J2115" s="76" t="s">
        <v>600</v>
      </c>
      <c r="K2115" s="79">
        <v>8995</v>
      </c>
      <c r="L2115" s="76" t="s">
        <v>601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611</v>
      </c>
      <c r="D2116" s="76" t="s">
        <v>452</v>
      </c>
      <c r="E2116" s="76" t="s">
        <v>603</v>
      </c>
      <c r="F2116" s="76" t="s">
        <v>713</v>
      </c>
      <c r="G2116" s="79">
        <v>7700</v>
      </c>
      <c r="H2116" s="76" t="s">
        <v>54</v>
      </c>
      <c r="I2116" s="76"/>
      <c r="J2116" s="76" t="s">
        <v>606</v>
      </c>
      <c r="K2116" s="79">
        <v>7700</v>
      </c>
      <c r="L2116" s="76" t="s">
        <v>601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1108</v>
      </c>
      <c r="D2117" s="76" t="s">
        <v>19</v>
      </c>
      <c r="E2117" s="76"/>
      <c r="F2117" s="76" t="s">
        <v>1140</v>
      </c>
      <c r="G2117" s="79">
        <v>500</v>
      </c>
      <c r="H2117" s="76" t="s">
        <v>397</v>
      </c>
      <c r="I2117" s="76"/>
      <c r="J2117" s="76" t="s">
        <v>653</v>
      </c>
      <c r="K2117" s="79">
        <v>500</v>
      </c>
      <c r="L2117" s="76" t="s">
        <v>601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611</v>
      </c>
      <c r="D2118" s="76" t="s">
        <v>625</v>
      </c>
      <c r="E2118" s="76"/>
      <c r="F2118" s="76" t="s">
        <v>626</v>
      </c>
      <c r="G2118" s="79">
        <v>17000</v>
      </c>
      <c r="H2118" s="76" t="s">
        <v>54</v>
      </c>
      <c r="I2118" s="76"/>
      <c r="J2118" s="76" t="s">
        <v>606</v>
      </c>
      <c r="K2118" s="79">
        <v>17000</v>
      </c>
      <c r="L2118" s="76" t="s">
        <v>601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166</v>
      </c>
      <c r="D2119" s="76" t="s">
        <v>19</v>
      </c>
      <c r="E2119" s="76"/>
      <c r="F2119" s="76" t="s">
        <v>1410</v>
      </c>
      <c r="G2119" s="79">
        <v>100</v>
      </c>
      <c r="H2119" s="76" t="s">
        <v>397</v>
      </c>
      <c r="I2119" s="76" t="s">
        <v>1411</v>
      </c>
      <c r="J2119" s="76" t="s">
        <v>653</v>
      </c>
      <c r="K2119" s="79">
        <v>100</v>
      </c>
      <c r="L2119" s="76" t="s">
        <v>601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1108</v>
      </c>
      <c r="D2120" s="76" t="s">
        <v>741</v>
      </c>
      <c r="E2120" s="76" t="s">
        <v>1019</v>
      </c>
      <c r="F2120" s="76" t="s">
        <v>1377</v>
      </c>
      <c r="G2120" s="79">
        <v>11700</v>
      </c>
      <c r="H2120" s="76" t="s">
        <v>54</v>
      </c>
      <c r="I2120" s="76" t="s">
        <v>1421</v>
      </c>
      <c r="J2120" s="76" t="s">
        <v>614</v>
      </c>
      <c r="K2120" s="79">
        <v>5850</v>
      </c>
      <c r="L2120" s="76" t="s">
        <v>190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1108</v>
      </c>
      <c r="D2121" s="76" t="s">
        <v>741</v>
      </c>
      <c r="E2121" s="76" t="s">
        <v>1019</v>
      </c>
      <c r="F2121" s="76" t="s">
        <v>1422</v>
      </c>
      <c r="G2121" s="79">
        <v>23500</v>
      </c>
      <c r="H2121" s="76" t="s">
        <v>54</v>
      </c>
      <c r="I2121" s="76"/>
      <c r="J2121" s="76" t="s">
        <v>614</v>
      </c>
      <c r="K2121" s="79">
        <v>11750</v>
      </c>
      <c r="L2121" s="76" t="s">
        <v>190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611</v>
      </c>
      <c r="D2122" s="76" t="s">
        <v>640</v>
      </c>
      <c r="E2122" s="76"/>
      <c r="F2122" s="76" t="s">
        <v>1423</v>
      </c>
      <c r="G2122" s="79">
        <v>10200</v>
      </c>
      <c r="H2122" s="76" t="s">
        <v>54</v>
      </c>
      <c r="I2122" s="76" t="s">
        <v>496</v>
      </c>
      <c r="J2122" s="76" t="s">
        <v>600</v>
      </c>
      <c r="K2122" s="79">
        <v>10200</v>
      </c>
      <c r="L2122" s="76" t="s">
        <v>601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611</v>
      </c>
      <c r="D2123" s="76" t="s">
        <v>452</v>
      </c>
      <c r="E2123" s="76" t="s">
        <v>603</v>
      </c>
      <c r="F2123" s="76" t="s">
        <v>604</v>
      </c>
      <c r="G2123" s="79">
        <v>2700</v>
      </c>
      <c r="H2123" s="76" t="s">
        <v>54</v>
      </c>
      <c r="I2123" s="76" t="s">
        <v>714</v>
      </c>
      <c r="J2123" s="76" t="s">
        <v>606</v>
      </c>
      <c r="K2123" s="79">
        <v>2700</v>
      </c>
      <c r="L2123" s="76" t="s">
        <v>601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611</v>
      </c>
      <c r="D2124" s="76" t="s">
        <v>453</v>
      </c>
      <c r="E2124" s="76"/>
      <c r="F2124" s="76" t="s">
        <v>453</v>
      </c>
      <c r="G2124" s="79">
        <v>4500</v>
      </c>
      <c r="H2124" s="76" t="s">
        <v>54</v>
      </c>
      <c r="I2124" s="76"/>
      <c r="J2124" s="76" t="s">
        <v>609</v>
      </c>
      <c r="K2124" s="79">
        <v>4500</v>
      </c>
      <c r="L2124" s="76" t="s">
        <v>601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611</v>
      </c>
      <c r="D2125" s="76" t="s">
        <v>735</v>
      </c>
      <c r="E2125" s="76"/>
      <c r="F2125" s="76" t="s">
        <v>1412</v>
      </c>
      <c r="G2125" s="79">
        <v>20000</v>
      </c>
      <c r="H2125" s="76" t="s">
        <v>54</v>
      </c>
      <c r="I2125" s="76"/>
      <c r="J2125" s="76" t="s">
        <v>606</v>
      </c>
      <c r="K2125" s="79">
        <v>20000</v>
      </c>
      <c r="L2125" s="76" t="s">
        <v>601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611</v>
      </c>
      <c r="D2126" s="76" t="s">
        <v>625</v>
      </c>
      <c r="E2126" s="76"/>
      <c r="F2126" s="76" t="s">
        <v>1424</v>
      </c>
      <c r="G2126" s="79">
        <v>13950</v>
      </c>
      <c r="H2126" s="76" t="s">
        <v>54</v>
      </c>
      <c r="I2126" s="76"/>
      <c r="J2126" s="76" t="s">
        <v>606</v>
      </c>
      <c r="K2126" s="79">
        <v>13950</v>
      </c>
      <c r="L2126" s="76" t="s">
        <v>601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166</v>
      </c>
      <c r="D2127" s="76" t="s">
        <v>19</v>
      </c>
      <c r="E2127" s="76"/>
      <c r="F2127" s="76" t="s">
        <v>1410</v>
      </c>
      <c r="G2127" s="79">
        <v>100</v>
      </c>
      <c r="H2127" s="76" t="s">
        <v>397</v>
      </c>
      <c r="I2127" s="76" t="s">
        <v>1411</v>
      </c>
      <c r="J2127" s="76" t="s">
        <v>653</v>
      </c>
      <c r="K2127" s="79">
        <v>100</v>
      </c>
      <c r="L2127" s="76" t="s">
        <v>601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611</v>
      </c>
      <c r="D2128" s="76" t="s">
        <v>669</v>
      </c>
      <c r="E2128" s="76" t="s">
        <v>1425</v>
      </c>
      <c r="F2128" s="76" t="s">
        <v>794</v>
      </c>
      <c r="G2128" s="79">
        <v>7800</v>
      </c>
      <c r="H2128" s="76" t="s">
        <v>54</v>
      </c>
      <c r="I2128" s="76"/>
      <c r="J2128" s="76" t="s">
        <v>617</v>
      </c>
      <c r="K2128" s="79">
        <v>7800</v>
      </c>
      <c r="L2128" s="76" t="s">
        <v>601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1413</v>
      </c>
      <c r="D2129" s="76" t="s">
        <v>625</v>
      </c>
      <c r="E2129" s="76"/>
      <c r="F2129" s="76" t="s">
        <v>365</v>
      </c>
      <c r="G2129" s="79">
        <v>15550</v>
      </c>
      <c r="H2129" s="76" t="s">
        <v>54</v>
      </c>
      <c r="I2129" s="76"/>
      <c r="J2129" s="76" t="s">
        <v>606</v>
      </c>
      <c r="K2129" s="79">
        <v>15550</v>
      </c>
      <c r="L2129" s="76" t="s">
        <v>601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611</v>
      </c>
      <c r="D2130" s="76" t="s">
        <v>452</v>
      </c>
      <c r="E2130" s="76" t="s">
        <v>603</v>
      </c>
      <c r="F2130" s="76" t="s">
        <v>643</v>
      </c>
      <c r="G2130" s="79">
        <v>4800</v>
      </c>
      <c r="H2130" s="76" t="s">
        <v>54</v>
      </c>
      <c r="I2130" s="76"/>
      <c r="J2130" s="76" t="s">
        <v>606</v>
      </c>
      <c r="K2130" s="79">
        <v>4800</v>
      </c>
      <c r="L2130" s="76" t="s">
        <v>601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611</v>
      </c>
      <c r="D2131" s="76" t="s">
        <v>452</v>
      </c>
      <c r="E2131" s="76" t="s">
        <v>603</v>
      </c>
      <c r="F2131" s="76" t="s">
        <v>803</v>
      </c>
      <c r="G2131" s="79">
        <v>1300</v>
      </c>
      <c r="H2131" s="76" t="s">
        <v>54</v>
      </c>
      <c r="I2131" s="76"/>
      <c r="J2131" s="76" t="s">
        <v>606</v>
      </c>
      <c r="K2131" s="79">
        <v>1300</v>
      </c>
      <c r="L2131" s="76" t="s">
        <v>601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681</v>
      </c>
      <c r="D2132" s="76" t="s">
        <v>452</v>
      </c>
      <c r="E2132" s="76" t="s">
        <v>621</v>
      </c>
      <c r="F2132" s="76" t="s">
        <v>682</v>
      </c>
      <c r="G2132" s="79">
        <v>12900</v>
      </c>
      <c r="H2132" s="76" t="s">
        <v>54</v>
      </c>
      <c r="I2132" s="76"/>
      <c r="J2132" s="76" t="s">
        <v>606</v>
      </c>
      <c r="K2132" s="79">
        <v>12900</v>
      </c>
      <c r="L2132" s="76" t="s">
        <v>601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166</v>
      </c>
      <c r="D2133" s="76" t="s">
        <v>19</v>
      </c>
      <c r="E2133" s="76"/>
      <c r="F2133" s="76" t="s">
        <v>1410</v>
      </c>
      <c r="G2133" s="79">
        <v>100</v>
      </c>
      <c r="H2133" s="76" t="s">
        <v>397</v>
      </c>
      <c r="I2133" s="76" t="s">
        <v>1411</v>
      </c>
      <c r="J2133" s="76" t="s">
        <v>653</v>
      </c>
      <c r="K2133" s="79">
        <v>100</v>
      </c>
      <c r="L2133" s="76" t="s">
        <v>601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166</v>
      </c>
      <c r="D2134" s="76" t="s">
        <v>19</v>
      </c>
      <c r="E2134" s="76"/>
      <c r="F2134" s="76" t="s">
        <v>1410</v>
      </c>
      <c r="G2134" s="79">
        <v>100</v>
      </c>
      <c r="H2134" s="76" t="s">
        <v>397</v>
      </c>
      <c r="I2134" s="76" t="s">
        <v>1411</v>
      </c>
      <c r="J2134" s="76" t="s">
        <v>653</v>
      </c>
      <c r="K2134" s="79">
        <v>100</v>
      </c>
      <c r="L2134" s="76" t="s">
        <v>601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611</v>
      </c>
      <c r="D2135" s="76" t="s">
        <v>735</v>
      </c>
      <c r="E2135" s="76"/>
      <c r="F2135" s="76" t="s">
        <v>654</v>
      </c>
      <c r="G2135" s="79">
        <v>15670</v>
      </c>
      <c r="H2135" s="76" t="s">
        <v>54</v>
      </c>
      <c r="I2135" s="76" t="s">
        <v>1426</v>
      </c>
      <c r="J2135" s="76" t="s">
        <v>606</v>
      </c>
      <c r="K2135" s="79">
        <v>15670</v>
      </c>
      <c r="L2135" s="76" t="s">
        <v>601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611</v>
      </c>
      <c r="D2136" s="76" t="s">
        <v>452</v>
      </c>
      <c r="E2136" s="76" t="s">
        <v>612</v>
      </c>
      <c r="F2136" s="76" t="s">
        <v>886</v>
      </c>
      <c r="G2136" s="79">
        <v>9600</v>
      </c>
      <c r="H2136" s="76" t="s">
        <v>54</v>
      </c>
      <c r="I2136" s="76"/>
      <c r="J2136" s="76" t="s">
        <v>606</v>
      </c>
      <c r="K2136" s="79">
        <v>9600</v>
      </c>
      <c r="L2136" s="76" t="s">
        <v>601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611</v>
      </c>
      <c r="D2137" s="76" t="s">
        <v>735</v>
      </c>
      <c r="E2137" s="76"/>
      <c r="F2137" s="76" t="s">
        <v>1427</v>
      </c>
      <c r="G2137" s="79">
        <v>5000</v>
      </c>
      <c r="H2137" s="76" t="s">
        <v>54</v>
      </c>
      <c r="I2137" s="76"/>
      <c r="J2137" s="76" t="s">
        <v>606</v>
      </c>
      <c r="K2137" s="79">
        <v>5000</v>
      </c>
      <c r="L2137" s="76" t="s">
        <v>601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611</v>
      </c>
      <c r="D2138" s="76" t="s">
        <v>669</v>
      </c>
      <c r="E2138" s="76" t="s">
        <v>1418</v>
      </c>
      <c r="F2138" s="76" t="s">
        <v>604</v>
      </c>
      <c r="G2138" s="79">
        <v>2300</v>
      </c>
      <c r="H2138" s="76" t="s">
        <v>54</v>
      </c>
      <c r="I2138" s="76" t="s">
        <v>1428</v>
      </c>
      <c r="J2138" s="76" t="s">
        <v>617</v>
      </c>
      <c r="K2138" s="79">
        <v>2300</v>
      </c>
      <c r="L2138" s="76" t="s">
        <v>601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611</v>
      </c>
      <c r="D2139" s="76" t="s">
        <v>453</v>
      </c>
      <c r="E2139" s="76"/>
      <c r="F2139" s="76" t="s">
        <v>453</v>
      </c>
      <c r="G2139" s="79">
        <v>4500</v>
      </c>
      <c r="H2139" s="76" t="s">
        <v>54</v>
      </c>
      <c r="I2139" s="76"/>
      <c r="J2139" s="76" t="s">
        <v>609</v>
      </c>
      <c r="K2139" s="79">
        <v>4500</v>
      </c>
      <c r="L2139" s="76" t="s">
        <v>601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598</v>
      </c>
      <c r="D2140" s="76" t="s">
        <v>669</v>
      </c>
      <c r="E2140" s="76" t="s">
        <v>1425</v>
      </c>
      <c r="F2140" s="76" t="s">
        <v>1429</v>
      </c>
      <c r="G2140" s="79">
        <v>5070</v>
      </c>
      <c r="H2140" s="76" t="s">
        <v>54</v>
      </c>
      <c r="I2140" s="76" t="s">
        <v>1430</v>
      </c>
      <c r="J2140" s="76" t="s">
        <v>617</v>
      </c>
      <c r="K2140" s="79">
        <v>5070</v>
      </c>
      <c r="L2140" s="76" t="s">
        <v>601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611</v>
      </c>
      <c r="D2141" s="76" t="s">
        <v>453</v>
      </c>
      <c r="E2141" s="76"/>
      <c r="F2141" s="76" t="s">
        <v>453</v>
      </c>
      <c r="G2141" s="79">
        <v>4500</v>
      </c>
      <c r="H2141" s="76" t="s">
        <v>54</v>
      </c>
      <c r="I2141" s="76"/>
      <c r="J2141" s="76" t="s">
        <v>609</v>
      </c>
      <c r="K2141" s="79">
        <v>4500</v>
      </c>
      <c r="L2141" s="76" t="s">
        <v>601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611</v>
      </c>
      <c r="D2142" s="76" t="s">
        <v>452</v>
      </c>
      <c r="E2142" s="76" t="s">
        <v>603</v>
      </c>
      <c r="F2142" s="76" t="s">
        <v>604</v>
      </c>
      <c r="G2142" s="79">
        <v>5400</v>
      </c>
      <c r="H2142" s="76" t="s">
        <v>54</v>
      </c>
      <c r="I2142" s="76" t="s">
        <v>1083</v>
      </c>
      <c r="J2142" s="76" t="s">
        <v>606</v>
      </c>
      <c r="K2142" s="79">
        <v>5400</v>
      </c>
      <c r="L2142" s="76" t="s">
        <v>601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611</v>
      </c>
      <c r="D2143" s="76" t="s">
        <v>452</v>
      </c>
      <c r="E2143" s="76" t="s">
        <v>612</v>
      </c>
      <c r="F2143" s="76" t="s">
        <v>833</v>
      </c>
      <c r="G2143" s="79">
        <v>8500</v>
      </c>
      <c r="H2143" s="76" t="s">
        <v>54</v>
      </c>
      <c r="I2143" s="76"/>
      <c r="J2143" s="76" t="s">
        <v>606</v>
      </c>
      <c r="K2143" s="79">
        <v>8500</v>
      </c>
      <c r="L2143" s="76" t="s">
        <v>601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166</v>
      </c>
      <c r="D2144" s="76" t="s">
        <v>19</v>
      </c>
      <c r="E2144" s="76"/>
      <c r="F2144" s="76" t="s">
        <v>1410</v>
      </c>
      <c r="G2144" s="79">
        <v>100</v>
      </c>
      <c r="H2144" s="76" t="s">
        <v>397</v>
      </c>
      <c r="I2144" s="76" t="s">
        <v>1411</v>
      </c>
      <c r="J2144" s="76" t="s">
        <v>653</v>
      </c>
      <c r="K2144" s="79">
        <v>100</v>
      </c>
      <c r="L2144" s="76" t="s">
        <v>601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611</v>
      </c>
      <c r="D2145" s="76" t="s">
        <v>453</v>
      </c>
      <c r="E2145" s="76"/>
      <c r="F2145" s="76" t="s">
        <v>453</v>
      </c>
      <c r="G2145" s="79">
        <v>4500</v>
      </c>
      <c r="H2145" s="76" t="s">
        <v>54</v>
      </c>
      <c r="I2145" s="76"/>
      <c r="J2145" s="76" t="s">
        <v>609</v>
      </c>
      <c r="K2145" s="79">
        <v>4500</v>
      </c>
      <c r="L2145" s="76" t="s">
        <v>601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611</v>
      </c>
      <c r="D2146" s="76" t="s">
        <v>452</v>
      </c>
      <c r="E2146" s="76" t="s">
        <v>603</v>
      </c>
      <c r="F2146" s="76" t="s">
        <v>604</v>
      </c>
      <c r="G2146" s="79">
        <v>3200</v>
      </c>
      <c r="H2146" s="76" t="s">
        <v>54</v>
      </c>
      <c r="I2146" s="76" t="s">
        <v>1431</v>
      </c>
      <c r="J2146" s="76" t="s">
        <v>606</v>
      </c>
      <c r="K2146" s="79">
        <v>3200</v>
      </c>
      <c r="L2146" s="76" t="s">
        <v>601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611</v>
      </c>
      <c r="D2147" s="76" t="s">
        <v>452</v>
      </c>
      <c r="E2147" s="76" t="s">
        <v>603</v>
      </c>
      <c r="F2147" s="76" t="s">
        <v>604</v>
      </c>
      <c r="G2147" s="79">
        <v>1200</v>
      </c>
      <c r="H2147" s="76" t="s">
        <v>54</v>
      </c>
      <c r="I2147" s="76" t="s">
        <v>758</v>
      </c>
      <c r="J2147" s="76" t="s">
        <v>606</v>
      </c>
      <c r="K2147" s="79">
        <v>1200</v>
      </c>
      <c r="L2147" s="76" t="s">
        <v>601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681</v>
      </c>
      <c r="D2148" s="76" t="s">
        <v>625</v>
      </c>
      <c r="E2148" s="76"/>
      <c r="F2148" s="76" t="s">
        <v>365</v>
      </c>
      <c r="G2148" s="79">
        <v>11020</v>
      </c>
      <c r="H2148" s="76" t="s">
        <v>54</v>
      </c>
      <c r="I2148" s="76" t="s">
        <v>999</v>
      </c>
      <c r="J2148" s="76" t="s">
        <v>606</v>
      </c>
      <c r="K2148" s="79">
        <v>11020</v>
      </c>
      <c r="L2148" s="76" t="s">
        <v>601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611</v>
      </c>
      <c r="D2149" s="76" t="s">
        <v>453</v>
      </c>
      <c r="E2149" s="76"/>
      <c r="F2149" s="76" t="s">
        <v>453</v>
      </c>
      <c r="G2149" s="79">
        <v>5000</v>
      </c>
      <c r="H2149" s="76" t="s">
        <v>54</v>
      </c>
      <c r="I2149" s="76"/>
      <c r="J2149" s="76" t="s">
        <v>609</v>
      </c>
      <c r="K2149" s="79">
        <v>5000</v>
      </c>
      <c r="L2149" s="76" t="s">
        <v>601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611</v>
      </c>
      <c r="D2150" s="76" t="s">
        <v>452</v>
      </c>
      <c r="E2150" s="76" t="s">
        <v>603</v>
      </c>
      <c r="F2150" s="76" t="s">
        <v>604</v>
      </c>
      <c r="G2150" s="79">
        <v>2000</v>
      </c>
      <c r="H2150" s="76" t="s">
        <v>54</v>
      </c>
      <c r="I2150" s="76" t="s">
        <v>1186</v>
      </c>
      <c r="J2150" s="76" t="s">
        <v>606</v>
      </c>
      <c r="K2150" s="79">
        <v>2000</v>
      </c>
      <c r="L2150" s="76" t="s">
        <v>601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598</v>
      </c>
      <c r="D2151" s="76" t="s">
        <v>452</v>
      </c>
      <c r="E2151" s="76" t="s">
        <v>612</v>
      </c>
      <c r="F2151" s="76" t="s">
        <v>1432</v>
      </c>
      <c r="G2151" s="79">
        <v>11000</v>
      </c>
      <c r="H2151" s="76" t="s">
        <v>54</v>
      </c>
      <c r="I2151" s="76"/>
      <c r="J2151" s="76" t="s">
        <v>606</v>
      </c>
      <c r="K2151" s="79">
        <v>11000</v>
      </c>
      <c r="L2151" s="76" t="s">
        <v>601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611</v>
      </c>
      <c r="D2152" s="76" t="s">
        <v>705</v>
      </c>
      <c r="E2152" s="76"/>
      <c r="F2152" s="76" t="s">
        <v>526</v>
      </c>
      <c r="G2152" s="79">
        <v>27610</v>
      </c>
      <c r="H2152" s="76" t="s">
        <v>54</v>
      </c>
      <c r="I2152" s="76"/>
      <c r="J2152" s="76" t="s">
        <v>600</v>
      </c>
      <c r="K2152" s="79">
        <v>27610</v>
      </c>
      <c r="L2152" s="76" t="s">
        <v>601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166</v>
      </c>
      <c r="D2153" s="76" t="s">
        <v>19</v>
      </c>
      <c r="E2153" s="76"/>
      <c r="F2153" s="76" t="s">
        <v>1410</v>
      </c>
      <c r="G2153" s="79">
        <v>100</v>
      </c>
      <c r="H2153" s="76" t="s">
        <v>397</v>
      </c>
      <c r="I2153" s="76" t="s">
        <v>1411</v>
      </c>
      <c r="J2153" s="76" t="s">
        <v>653</v>
      </c>
      <c r="K2153" s="79">
        <v>100</v>
      </c>
      <c r="L2153" s="76" t="s">
        <v>601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436</v>
      </c>
      <c r="D2154" s="76" t="s">
        <v>650</v>
      </c>
      <c r="E2154" s="76"/>
      <c r="F2154" s="76" t="s">
        <v>687</v>
      </c>
      <c r="G2154" s="79">
        <v>20000</v>
      </c>
      <c r="H2154" s="76" t="s">
        <v>397</v>
      </c>
      <c r="I2154" s="76"/>
      <c r="J2154" s="76" t="s">
        <v>650</v>
      </c>
      <c r="K2154" s="79">
        <v>20000</v>
      </c>
      <c r="L2154" s="76" t="s">
        <v>601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598</v>
      </c>
      <c r="D2155" s="76" t="s">
        <v>452</v>
      </c>
      <c r="E2155" s="76" t="s">
        <v>603</v>
      </c>
      <c r="F2155" s="76" t="s">
        <v>604</v>
      </c>
      <c r="G2155" s="79">
        <v>5000</v>
      </c>
      <c r="H2155" s="76" t="s">
        <v>54</v>
      </c>
      <c r="I2155" s="76"/>
      <c r="J2155" s="76" t="s">
        <v>606</v>
      </c>
      <c r="K2155" s="79">
        <v>5000</v>
      </c>
      <c r="L2155" s="76" t="s">
        <v>601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598</v>
      </c>
      <c r="D2156" s="76" t="s">
        <v>453</v>
      </c>
      <c r="E2156" s="76"/>
      <c r="F2156" s="76" t="s">
        <v>453</v>
      </c>
      <c r="G2156" s="79">
        <v>5000</v>
      </c>
      <c r="H2156" s="76" t="s">
        <v>54</v>
      </c>
      <c r="I2156" s="76"/>
      <c r="J2156" s="76" t="s">
        <v>609</v>
      </c>
      <c r="K2156" s="79">
        <v>5000</v>
      </c>
      <c r="L2156" s="76" t="s">
        <v>601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154</v>
      </c>
      <c r="D2157" s="76" t="s">
        <v>646</v>
      </c>
      <c r="E2157" s="76"/>
      <c r="F2157" s="76" t="s">
        <v>550</v>
      </c>
      <c r="G2157" s="79">
        <v>14701</v>
      </c>
      <c r="H2157" s="76" t="s">
        <v>54</v>
      </c>
      <c r="I2157" s="76" t="s">
        <v>1433</v>
      </c>
      <c r="J2157" s="76" t="s">
        <v>628</v>
      </c>
      <c r="K2157" s="79">
        <v>14701</v>
      </c>
      <c r="L2157" s="76" t="s">
        <v>601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598</v>
      </c>
      <c r="D2158" s="76" t="s">
        <v>452</v>
      </c>
      <c r="E2158" s="76" t="s">
        <v>612</v>
      </c>
      <c r="F2158" s="76" t="s">
        <v>108</v>
      </c>
      <c r="G2158" s="79">
        <v>9000</v>
      </c>
      <c r="H2158" s="76" t="s">
        <v>54</v>
      </c>
      <c r="I2158" s="76"/>
      <c r="J2158" s="76" t="s">
        <v>606</v>
      </c>
      <c r="K2158" s="79">
        <v>9000</v>
      </c>
      <c r="L2158" s="76" t="s">
        <v>601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681</v>
      </c>
      <c r="D2159" s="76" t="s">
        <v>741</v>
      </c>
      <c r="E2159" s="76" t="s">
        <v>457</v>
      </c>
      <c r="F2159" s="76" t="s">
        <v>682</v>
      </c>
      <c r="G2159" s="79">
        <v>35700</v>
      </c>
      <c r="H2159" s="76" t="s">
        <v>54</v>
      </c>
      <c r="I2159" s="76" t="s">
        <v>1434</v>
      </c>
      <c r="J2159" s="76" t="s">
        <v>614</v>
      </c>
      <c r="K2159" s="79">
        <v>35700</v>
      </c>
      <c r="L2159" s="76" t="s">
        <v>601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166</v>
      </c>
      <c r="D2160" s="76" t="s">
        <v>19</v>
      </c>
      <c r="E2160" s="76"/>
      <c r="F2160" s="76" t="s">
        <v>1410</v>
      </c>
      <c r="G2160" s="79">
        <v>100</v>
      </c>
      <c r="H2160" s="76" t="s">
        <v>397</v>
      </c>
      <c r="I2160" s="76" t="s">
        <v>1411</v>
      </c>
      <c r="J2160" s="76" t="s">
        <v>653</v>
      </c>
      <c r="K2160" s="79">
        <v>100</v>
      </c>
      <c r="L2160" s="76" t="s">
        <v>601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681</v>
      </c>
      <c r="D2161" s="76" t="s">
        <v>741</v>
      </c>
      <c r="E2161" s="76" t="s">
        <v>457</v>
      </c>
      <c r="F2161" s="76" t="s">
        <v>682</v>
      </c>
      <c r="G2161" s="79">
        <v>40700</v>
      </c>
      <c r="H2161" s="76" t="s">
        <v>54</v>
      </c>
      <c r="I2161" s="76" t="s">
        <v>1434</v>
      </c>
      <c r="J2161" s="76" t="s">
        <v>614</v>
      </c>
      <c r="K2161" s="79">
        <v>40700</v>
      </c>
      <c r="L2161" s="76" t="s">
        <v>601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598</v>
      </c>
      <c r="D2162" s="76" t="s">
        <v>771</v>
      </c>
      <c r="E2162" s="76"/>
      <c r="F2162" s="76" t="s">
        <v>923</v>
      </c>
      <c r="G2162" s="79">
        <v>25500</v>
      </c>
      <c r="H2162" s="76" t="s">
        <v>54</v>
      </c>
      <c r="I2162" s="76"/>
      <c r="J2162" s="76" t="s">
        <v>606</v>
      </c>
      <c r="K2162" s="79">
        <v>25500</v>
      </c>
      <c r="L2162" s="76" t="s">
        <v>601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598</v>
      </c>
      <c r="D2163" s="76" t="s">
        <v>452</v>
      </c>
      <c r="E2163" s="76" t="s">
        <v>615</v>
      </c>
      <c r="F2163" s="76" t="s">
        <v>604</v>
      </c>
      <c r="G2163" s="79">
        <v>4600</v>
      </c>
      <c r="H2163" s="76" t="s">
        <v>54</v>
      </c>
      <c r="I2163" s="76" t="s">
        <v>1435</v>
      </c>
      <c r="J2163" s="76" t="s">
        <v>606</v>
      </c>
      <c r="K2163" s="79">
        <v>4600</v>
      </c>
      <c r="L2163" s="76" t="s">
        <v>601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166</v>
      </c>
      <c r="D2164" s="76" t="s">
        <v>19</v>
      </c>
      <c r="E2164" s="76"/>
      <c r="F2164" s="76" t="s">
        <v>1410</v>
      </c>
      <c r="G2164" s="79">
        <v>100</v>
      </c>
      <c r="H2164" s="76" t="s">
        <v>397</v>
      </c>
      <c r="I2164" s="76" t="s">
        <v>1411</v>
      </c>
      <c r="J2164" s="76" t="s">
        <v>653</v>
      </c>
      <c r="K2164" s="79">
        <v>100</v>
      </c>
      <c r="L2164" s="76" t="s">
        <v>601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598</v>
      </c>
      <c r="D2165" s="76" t="s">
        <v>672</v>
      </c>
      <c r="E2165" s="76" t="s">
        <v>673</v>
      </c>
      <c r="F2165" s="76" t="s">
        <v>795</v>
      </c>
      <c r="G2165" s="79">
        <v>4600</v>
      </c>
      <c r="H2165" s="76" t="s">
        <v>54</v>
      </c>
      <c r="I2165" s="76"/>
      <c r="J2165" s="76" t="s">
        <v>606</v>
      </c>
      <c r="K2165" s="79">
        <v>4600</v>
      </c>
      <c r="L2165" s="76" t="s">
        <v>601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598</v>
      </c>
      <c r="D2166" s="76" t="s">
        <v>453</v>
      </c>
      <c r="E2166" s="76"/>
      <c r="F2166" s="76" t="s">
        <v>453</v>
      </c>
      <c r="G2166" s="79">
        <v>4500</v>
      </c>
      <c r="H2166" s="76" t="s">
        <v>54</v>
      </c>
      <c r="I2166" s="76"/>
      <c r="J2166" s="76" t="s">
        <v>609</v>
      </c>
      <c r="K2166" s="79">
        <v>4500</v>
      </c>
      <c r="L2166" s="76" t="s">
        <v>601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598</v>
      </c>
      <c r="D2167" s="76" t="s">
        <v>672</v>
      </c>
      <c r="E2167" s="76" t="s">
        <v>673</v>
      </c>
      <c r="F2167" s="76" t="s">
        <v>796</v>
      </c>
      <c r="G2167" s="79">
        <v>6400</v>
      </c>
      <c r="H2167" s="76" t="s">
        <v>54</v>
      </c>
      <c r="I2167" s="76"/>
      <c r="J2167" s="76" t="s">
        <v>606</v>
      </c>
      <c r="K2167" s="79">
        <v>6400</v>
      </c>
      <c r="L2167" s="76" t="s">
        <v>601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598</v>
      </c>
      <c r="D2168" s="76" t="s">
        <v>452</v>
      </c>
      <c r="E2168" s="76" t="s">
        <v>612</v>
      </c>
      <c r="F2168" s="76" t="s">
        <v>604</v>
      </c>
      <c r="G2168" s="79">
        <v>4800</v>
      </c>
      <c r="H2168" s="76" t="s">
        <v>54</v>
      </c>
      <c r="I2168" s="76" t="s">
        <v>821</v>
      </c>
      <c r="J2168" s="76" t="s">
        <v>606</v>
      </c>
      <c r="K2168" s="79">
        <v>4800</v>
      </c>
      <c r="L2168" s="76" t="s">
        <v>601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611</v>
      </c>
      <c r="D2169" s="76" t="s">
        <v>705</v>
      </c>
      <c r="E2169" s="76"/>
      <c r="F2169" s="76" t="s">
        <v>341</v>
      </c>
      <c r="G2169" s="79">
        <v>53620</v>
      </c>
      <c r="H2169" s="76" t="s">
        <v>54</v>
      </c>
      <c r="I2169" s="76"/>
      <c r="J2169" s="76" t="s">
        <v>600</v>
      </c>
      <c r="K2169" s="79">
        <v>53620</v>
      </c>
      <c r="L2169" s="76" t="s">
        <v>601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598</v>
      </c>
      <c r="D2170" s="76" t="s">
        <v>452</v>
      </c>
      <c r="E2170" s="76" t="s">
        <v>603</v>
      </c>
      <c r="F2170" s="76" t="s">
        <v>604</v>
      </c>
      <c r="G2170" s="79">
        <v>2700</v>
      </c>
      <c r="H2170" s="76" t="s">
        <v>54</v>
      </c>
      <c r="I2170" s="76" t="s">
        <v>1436</v>
      </c>
      <c r="J2170" s="76" t="s">
        <v>606</v>
      </c>
      <c r="K2170" s="79">
        <v>2700</v>
      </c>
      <c r="L2170" s="76" t="s">
        <v>601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598</v>
      </c>
      <c r="D2171" s="76" t="s">
        <v>453</v>
      </c>
      <c r="E2171" s="76"/>
      <c r="F2171" s="76" t="s">
        <v>453</v>
      </c>
      <c r="G2171" s="79">
        <v>5000</v>
      </c>
      <c r="H2171" s="76" t="s">
        <v>54</v>
      </c>
      <c r="I2171" s="76"/>
      <c r="J2171" s="76" t="s">
        <v>609</v>
      </c>
      <c r="K2171" s="79">
        <v>5000</v>
      </c>
      <c r="L2171" s="76" t="s">
        <v>601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681</v>
      </c>
      <c r="D2172" s="76" t="s">
        <v>625</v>
      </c>
      <c r="E2172" s="76"/>
      <c r="F2172" s="76" t="s">
        <v>365</v>
      </c>
      <c r="G2172" s="79">
        <v>8690</v>
      </c>
      <c r="H2172" s="76" t="s">
        <v>54</v>
      </c>
      <c r="I2172" s="76" t="s">
        <v>1437</v>
      </c>
      <c r="J2172" s="76" t="s">
        <v>606</v>
      </c>
      <c r="K2172" s="79">
        <v>8690</v>
      </c>
      <c r="L2172" s="76" t="s">
        <v>601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154</v>
      </c>
      <c r="D2173" s="76" t="s">
        <v>187</v>
      </c>
      <c r="E2173" s="76"/>
      <c r="F2173" s="76" t="s">
        <v>187</v>
      </c>
      <c r="G2173" s="79">
        <v>93420</v>
      </c>
      <c r="H2173" s="76" t="s">
        <v>1408</v>
      </c>
      <c r="I2173" s="76" t="s">
        <v>72</v>
      </c>
      <c r="J2173" s="76" t="s">
        <v>634</v>
      </c>
      <c r="K2173" s="79">
        <v>93420</v>
      </c>
      <c r="L2173" s="76" t="s">
        <v>601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681</v>
      </c>
      <c r="D2174" s="76" t="s">
        <v>452</v>
      </c>
      <c r="E2174" s="76" t="s">
        <v>621</v>
      </c>
      <c r="F2174" s="76" t="s">
        <v>682</v>
      </c>
      <c r="G2174" s="79">
        <v>11610</v>
      </c>
      <c r="H2174" s="76" t="s">
        <v>54</v>
      </c>
      <c r="I2174" s="76" t="s">
        <v>824</v>
      </c>
      <c r="J2174" s="76" t="s">
        <v>606</v>
      </c>
      <c r="K2174" s="79">
        <v>11610</v>
      </c>
      <c r="L2174" s="76" t="s">
        <v>601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598</v>
      </c>
      <c r="D2175" s="76" t="s">
        <v>672</v>
      </c>
      <c r="E2175" s="76" t="s">
        <v>673</v>
      </c>
      <c r="F2175" s="76" t="s">
        <v>1232</v>
      </c>
      <c r="G2175" s="79">
        <v>17000</v>
      </c>
      <c r="H2175" s="76" t="s">
        <v>54</v>
      </c>
      <c r="I2175" s="76"/>
      <c r="J2175" s="76" t="s">
        <v>606</v>
      </c>
      <c r="K2175" s="79">
        <v>17000</v>
      </c>
      <c r="L2175" s="76" t="s">
        <v>601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598</v>
      </c>
      <c r="D2176" s="76" t="s">
        <v>453</v>
      </c>
      <c r="E2176" s="76"/>
      <c r="F2176" s="76" t="s">
        <v>453</v>
      </c>
      <c r="G2176" s="79">
        <v>5000</v>
      </c>
      <c r="H2176" s="76" t="s">
        <v>54</v>
      </c>
      <c r="I2176" s="76"/>
      <c r="J2176" s="76" t="s">
        <v>609</v>
      </c>
      <c r="K2176" s="79">
        <v>5000</v>
      </c>
      <c r="L2176" s="76" t="s">
        <v>601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598</v>
      </c>
      <c r="D2177" s="76" t="s">
        <v>452</v>
      </c>
      <c r="E2177" s="76" t="s">
        <v>603</v>
      </c>
      <c r="F2177" s="76" t="s">
        <v>604</v>
      </c>
      <c r="G2177" s="79">
        <v>6100</v>
      </c>
      <c r="H2177" s="76" t="s">
        <v>54</v>
      </c>
      <c r="I2177" s="76" t="s">
        <v>897</v>
      </c>
      <c r="J2177" s="76" t="s">
        <v>606</v>
      </c>
      <c r="K2177" s="79">
        <v>6100</v>
      </c>
      <c r="L2177" s="76" t="s">
        <v>601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598</v>
      </c>
      <c r="D2178" s="76" t="s">
        <v>775</v>
      </c>
      <c r="E2178" s="76"/>
      <c r="F2178" s="76" t="s">
        <v>911</v>
      </c>
      <c r="G2178" s="79">
        <v>28000</v>
      </c>
      <c r="H2178" s="76" t="s">
        <v>54</v>
      </c>
      <c r="I2178" s="76"/>
      <c r="J2178" s="76" t="s">
        <v>606</v>
      </c>
      <c r="K2178" s="79">
        <v>28000</v>
      </c>
      <c r="L2178" s="76" t="s">
        <v>601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1108</v>
      </c>
      <c r="D2179" s="76" t="s">
        <v>741</v>
      </c>
      <c r="E2179" s="76" t="s">
        <v>1019</v>
      </c>
      <c r="F2179" s="76" t="s">
        <v>1438</v>
      </c>
      <c r="G2179" s="79">
        <v>11000</v>
      </c>
      <c r="H2179" s="76" t="s">
        <v>54</v>
      </c>
      <c r="I2179" s="76"/>
      <c r="J2179" s="76" t="s">
        <v>614</v>
      </c>
      <c r="K2179" s="79">
        <v>5500</v>
      </c>
      <c r="L2179" s="76" t="s">
        <v>190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1108</v>
      </c>
      <c r="D2180" s="76" t="s">
        <v>741</v>
      </c>
      <c r="E2180" s="76" t="s">
        <v>1019</v>
      </c>
      <c r="F2180" s="76" t="s">
        <v>1439</v>
      </c>
      <c r="G2180" s="79">
        <v>54600</v>
      </c>
      <c r="H2180" s="76" t="s">
        <v>54</v>
      </c>
      <c r="I2180" s="76"/>
      <c r="J2180" s="76" t="s">
        <v>614</v>
      </c>
      <c r="K2180" s="79">
        <v>27300</v>
      </c>
      <c r="L2180" s="76" t="s">
        <v>190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611</v>
      </c>
      <c r="D2181" s="76" t="s">
        <v>640</v>
      </c>
      <c r="E2181" s="76"/>
      <c r="F2181" s="76" t="s">
        <v>1440</v>
      </c>
      <c r="G2181" s="79">
        <v>74700</v>
      </c>
      <c r="H2181" s="76" t="s">
        <v>54</v>
      </c>
      <c r="I2181" s="76" t="s">
        <v>707</v>
      </c>
      <c r="J2181" s="76" t="s">
        <v>600</v>
      </c>
      <c r="K2181" s="79">
        <v>74700</v>
      </c>
      <c r="L2181" s="76" t="s">
        <v>601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598</v>
      </c>
      <c r="D2182" s="76" t="s">
        <v>735</v>
      </c>
      <c r="E2182" s="76"/>
      <c r="F2182" s="76" t="s">
        <v>1441</v>
      </c>
      <c r="G2182" s="79">
        <v>3300</v>
      </c>
      <c r="H2182" s="76" t="s">
        <v>54</v>
      </c>
      <c r="I2182" s="76"/>
      <c r="J2182" s="76" t="s">
        <v>606</v>
      </c>
      <c r="K2182" s="79">
        <v>3300</v>
      </c>
      <c r="L2182" s="76" t="s">
        <v>601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1108</v>
      </c>
      <c r="D2183" s="76" t="s">
        <v>741</v>
      </c>
      <c r="E2183" s="76" t="s">
        <v>1019</v>
      </c>
      <c r="F2183" s="76" t="s">
        <v>1442</v>
      </c>
      <c r="G2183" s="79">
        <v>89000</v>
      </c>
      <c r="H2183" s="76" t="s">
        <v>54</v>
      </c>
      <c r="I2183" s="76" t="s">
        <v>1443</v>
      </c>
      <c r="J2183" s="76" t="s">
        <v>614</v>
      </c>
      <c r="K2183" s="79">
        <v>44500</v>
      </c>
      <c r="L2183" s="76" t="s">
        <v>190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1108</v>
      </c>
      <c r="D2184" s="76" t="s">
        <v>741</v>
      </c>
      <c r="E2184" s="76" t="s">
        <v>1019</v>
      </c>
      <c r="F2184" s="76" t="s">
        <v>1192</v>
      </c>
      <c r="G2184" s="79">
        <v>14500</v>
      </c>
      <c r="H2184" s="76" t="s">
        <v>54</v>
      </c>
      <c r="I2184" s="76" t="s">
        <v>1444</v>
      </c>
      <c r="J2184" s="76" t="s">
        <v>614</v>
      </c>
      <c r="K2184" s="79">
        <v>7250</v>
      </c>
      <c r="L2184" s="76" t="s">
        <v>190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154</v>
      </c>
      <c r="D2185" s="76" t="s">
        <v>166</v>
      </c>
      <c r="E2185" s="76"/>
      <c r="F2185" s="76" t="s">
        <v>72</v>
      </c>
      <c r="G2185" s="79">
        <v>682526</v>
      </c>
      <c r="H2185" s="76" t="s">
        <v>1408</v>
      </c>
      <c r="I2185" s="76"/>
      <c r="J2185" s="76" t="s">
        <v>634</v>
      </c>
      <c r="K2185" s="79">
        <v>682526</v>
      </c>
      <c r="L2185" s="76" t="s">
        <v>601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154</v>
      </c>
      <c r="D2186" s="76" t="s">
        <v>184</v>
      </c>
      <c r="E2186" s="76"/>
      <c r="F2186" s="76" t="s">
        <v>72</v>
      </c>
      <c r="G2186" s="79">
        <v>679500</v>
      </c>
      <c r="H2186" s="76" t="s">
        <v>1408</v>
      </c>
      <c r="I2186" s="76"/>
      <c r="J2186" s="76" t="s">
        <v>634</v>
      </c>
      <c r="K2186" s="79">
        <v>679500</v>
      </c>
      <c r="L2186" s="76" t="s">
        <v>601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154</v>
      </c>
      <c r="D2187" s="76" t="s">
        <v>172</v>
      </c>
      <c r="E2187" s="76"/>
      <c r="F2187" s="76" t="s">
        <v>72</v>
      </c>
      <c r="G2187" s="79">
        <v>843470</v>
      </c>
      <c r="H2187" s="76" t="s">
        <v>1408</v>
      </c>
      <c r="I2187" s="76"/>
      <c r="J2187" s="76" t="s">
        <v>634</v>
      </c>
      <c r="K2187" s="79">
        <v>843470</v>
      </c>
      <c r="L2187" s="76" t="s">
        <v>601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154</v>
      </c>
      <c r="D2188" s="76" t="s">
        <v>178</v>
      </c>
      <c r="E2188" s="76"/>
      <c r="F2188" s="76" t="s">
        <v>72</v>
      </c>
      <c r="G2188" s="79">
        <v>1066480</v>
      </c>
      <c r="H2188" s="76" t="s">
        <v>1408</v>
      </c>
      <c r="I2188" s="76"/>
      <c r="J2188" s="76" t="s">
        <v>634</v>
      </c>
      <c r="K2188" s="79">
        <v>1066480</v>
      </c>
      <c r="L2188" s="76" t="s">
        <v>601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154</v>
      </c>
      <c r="D2189" s="76" t="s">
        <v>169</v>
      </c>
      <c r="E2189" s="76"/>
      <c r="F2189" s="76" t="s">
        <v>72</v>
      </c>
      <c r="G2189" s="79">
        <v>1576177</v>
      </c>
      <c r="H2189" s="76" t="s">
        <v>1408</v>
      </c>
      <c r="I2189" s="76"/>
      <c r="J2189" s="76" t="s">
        <v>634</v>
      </c>
      <c r="K2189" s="79">
        <v>1576177</v>
      </c>
      <c r="L2189" s="76" t="s">
        <v>601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154</v>
      </c>
      <c r="D2190" s="76" t="s">
        <v>19</v>
      </c>
      <c r="E2190" s="76"/>
      <c r="F2190" s="76" t="s">
        <v>179</v>
      </c>
      <c r="G2190" s="79">
        <v>8803</v>
      </c>
      <c r="H2190" s="76" t="s">
        <v>397</v>
      </c>
      <c r="I2190" s="76"/>
      <c r="J2190" s="76" t="s">
        <v>653</v>
      </c>
      <c r="K2190" s="79">
        <v>8803</v>
      </c>
      <c r="L2190" s="76" t="s">
        <v>601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169</v>
      </c>
      <c r="D2191" s="76" t="s">
        <v>1158</v>
      </c>
      <c r="E2191" s="76"/>
      <c r="F2191" s="76" t="s">
        <v>657</v>
      </c>
      <c r="G2191" s="79">
        <v>1576177</v>
      </c>
      <c r="H2191" s="76" t="s">
        <v>1408</v>
      </c>
      <c r="I2191" s="76"/>
      <c r="J2191" s="76" t="s">
        <v>634</v>
      </c>
      <c r="K2191" s="79">
        <v>1576177</v>
      </c>
      <c r="L2191" s="76" t="s">
        <v>601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187</v>
      </c>
      <c r="D2192" s="76" t="s">
        <v>19</v>
      </c>
      <c r="E2192" s="76"/>
      <c r="F2192" s="76" t="s">
        <v>1324</v>
      </c>
      <c r="G2192" s="79">
        <v>93420</v>
      </c>
      <c r="H2192" s="76" t="s">
        <v>54</v>
      </c>
      <c r="I2192" s="76" t="s">
        <v>507</v>
      </c>
      <c r="J2192" s="76" t="s">
        <v>600</v>
      </c>
      <c r="K2192" s="79">
        <v>93420</v>
      </c>
      <c r="L2192" s="76" t="s">
        <v>601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598</v>
      </c>
      <c r="D2193" s="76" t="s">
        <v>453</v>
      </c>
      <c r="E2193" s="76"/>
      <c r="F2193" s="76" t="s">
        <v>453</v>
      </c>
      <c r="G2193" s="79">
        <v>5000</v>
      </c>
      <c r="H2193" s="76" t="s">
        <v>54</v>
      </c>
      <c r="I2193" s="76"/>
      <c r="J2193" s="76" t="s">
        <v>609</v>
      </c>
      <c r="K2193" s="79">
        <v>5000</v>
      </c>
      <c r="L2193" s="76" t="s">
        <v>601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598</v>
      </c>
      <c r="D2194" s="76" t="s">
        <v>452</v>
      </c>
      <c r="E2194" s="76" t="s">
        <v>603</v>
      </c>
      <c r="F2194" s="76" t="s">
        <v>604</v>
      </c>
      <c r="G2194" s="79">
        <v>4400</v>
      </c>
      <c r="H2194" s="76" t="s">
        <v>54</v>
      </c>
      <c r="I2194" s="76" t="s">
        <v>1323</v>
      </c>
      <c r="J2194" s="76" t="s">
        <v>606</v>
      </c>
      <c r="K2194" s="79">
        <v>4400</v>
      </c>
      <c r="L2194" s="76" t="s">
        <v>601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598</v>
      </c>
      <c r="D2195" s="76" t="s">
        <v>672</v>
      </c>
      <c r="E2195" s="76" t="s">
        <v>673</v>
      </c>
      <c r="F2195" s="76" t="s">
        <v>1232</v>
      </c>
      <c r="G2195" s="79">
        <v>4000</v>
      </c>
      <c r="H2195" s="76" t="s">
        <v>54</v>
      </c>
      <c r="I2195" s="76" t="s">
        <v>1445</v>
      </c>
      <c r="J2195" s="76" t="s">
        <v>606</v>
      </c>
      <c r="K2195" s="79">
        <v>4000</v>
      </c>
      <c r="L2195" s="76" t="s">
        <v>601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184</v>
      </c>
      <c r="D2196" s="76" t="s">
        <v>546</v>
      </c>
      <c r="E2196" s="76"/>
      <c r="F2196" s="76" t="s">
        <v>657</v>
      </c>
      <c r="G2196" s="79">
        <v>679500</v>
      </c>
      <c r="H2196" s="76" t="s">
        <v>1408</v>
      </c>
      <c r="I2196" s="76"/>
      <c r="J2196" s="76" t="s">
        <v>634</v>
      </c>
      <c r="K2196" s="79">
        <v>679500</v>
      </c>
      <c r="L2196" s="76" t="s">
        <v>601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172</v>
      </c>
      <c r="D2197" s="76" t="s">
        <v>681</v>
      </c>
      <c r="E2197" s="76"/>
      <c r="F2197" s="76" t="s">
        <v>657</v>
      </c>
      <c r="G2197" s="79">
        <v>843470</v>
      </c>
      <c r="H2197" s="76" t="s">
        <v>1408</v>
      </c>
      <c r="I2197" s="76"/>
      <c r="J2197" s="76" t="s">
        <v>634</v>
      </c>
      <c r="K2197" s="79">
        <v>843470</v>
      </c>
      <c r="L2197" s="76" t="s">
        <v>601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166</v>
      </c>
      <c r="D2198" s="76" t="s">
        <v>611</v>
      </c>
      <c r="E2198" s="76"/>
      <c r="F2198" s="76" t="s">
        <v>657</v>
      </c>
      <c r="G2198" s="79">
        <v>682526</v>
      </c>
      <c r="H2198" s="76" t="s">
        <v>1408</v>
      </c>
      <c r="I2198" s="76"/>
      <c r="J2198" s="76" t="s">
        <v>634</v>
      </c>
      <c r="K2198" s="79">
        <v>682526</v>
      </c>
      <c r="L2198" s="76" t="s">
        <v>601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162</v>
      </c>
      <c r="D2199" s="76" t="s">
        <v>19</v>
      </c>
      <c r="E2199" s="76"/>
      <c r="F2199" s="76" t="s">
        <v>1446</v>
      </c>
      <c r="G2199" s="79">
        <v>2000</v>
      </c>
      <c r="H2199" s="76" t="s">
        <v>397</v>
      </c>
      <c r="I2199" s="76"/>
      <c r="J2199" s="76" t="s">
        <v>653</v>
      </c>
      <c r="K2199" s="79">
        <v>2000</v>
      </c>
      <c r="L2199" s="76" t="s">
        <v>601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178</v>
      </c>
      <c r="D2200" s="76" t="s">
        <v>598</v>
      </c>
      <c r="E2200" s="76"/>
      <c r="F2200" s="76" t="s">
        <v>657</v>
      </c>
      <c r="G2200" s="79">
        <v>1066480</v>
      </c>
      <c r="H2200" s="76" t="s">
        <v>1408</v>
      </c>
      <c r="I2200" s="76"/>
      <c r="J2200" s="76" t="s">
        <v>634</v>
      </c>
      <c r="K2200" s="79">
        <v>1066480</v>
      </c>
      <c r="L2200" s="76" t="s">
        <v>601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138</v>
      </c>
      <c r="D2201" s="76" t="s">
        <v>650</v>
      </c>
      <c r="E2201" s="76"/>
      <c r="F2201" s="76" t="s">
        <v>687</v>
      </c>
      <c r="G2201" s="79">
        <v>300000</v>
      </c>
      <c r="H2201" s="76" t="s">
        <v>397</v>
      </c>
      <c r="I2201" s="76"/>
      <c r="J2201" s="76" t="s">
        <v>650</v>
      </c>
      <c r="K2201" s="79">
        <v>300000</v>
      </c>
      <c r="L2201" s="76" t="s">
        <v>601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598</v>
      </c>
      <c r="D2202" s="76" t="s">
        <v>453</v>
      </c>
      <c r="E2202" s="76"/>
      <c r="F2202" s="76" t="s">
        <v>453</v>
      </c>
      <c r="G2202" s="79">
        <v>5000</v>
      </c>
      <c r="H2202" s="76" t="s">
        <v>54</v>
      </c>
      <c r="I2202" s="76"/>
      <c r="J2202" s="76" t="s">
        <v>609</v>
      </c>
      <c r="K2202" s="79">
        <v>5000</v>
      </c>
      <c r="L2202" s="76" t="s">
        <v>601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154</v>
      </c>
      <c r="D2203" s="76" t="s">
        <v>669</v>
      </c>
      <c r="E2203" s="76" t="s">
        <v>1447</v>
      </c>
      <c r="F2203" s="76" t="s">
        <v>99</v>
      </c>
      <c r="G2203" s="79">
        <v>50000</v>
      </c>
      <c r="H2203" s="76" t="s">
        <v>54</v>
      </c>
      <c r="I2203" s="76"/>
      <c r="J2203" s="76" t="s">
        <v>617</v>
      </c>
      <c r="K2203" s="79">
        <v>50000</v>
      </c>
      <c r="L2203" s="76" t="s">
        <v>601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598</v>
      </c>
      <c r="D2204" s="76" t="s">
        <v>453</v>
      </c>
      <c r="E2204" s="76"/>
      <c r="F2204" s="76" t="s">
        <v>453</v>
      </c>
      <c r="G2204" s="79">
        <v>5000</v>
      </c>
      <c r="H2204" s="76" t="s">
        <v>54</v>
      </c>
      <c r="I2204" s="76"/>
      <c r="J2204" s="76" t="s">
        <v>609</v>
      </c>
      <c r="K2204" s="79">
        <v>5000</v>
      </c>
      <c r="L2204" s="76" t="s">
        <v>601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598</v>
      </c>
      <c r="D2205" s="76" t="s">
        <v>452</v>
      </c>
      <c r="E2205" s="76" t="s">
        <v>714</v>
      </c>
      <c r="F2205" s="76" t="s">
        <v>604</v>
      </c>
      <c r="G2205" s="79">
        <v>5100</v>
      </c>
      <c r="H2205" s="76" t="s">
        <v>54</v>
      </c>
      <c r="I2205" s="76" t="s">
        <v>821</v>
      </c>
      <c r="J2205" s="76" t="s">
        <v>606</v>
      </c>
      <c r="K2205" s="79">
        <v>5100</v>
      </c>
      <c r="L2205" s="76" t="s">
        <v>601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681</v>
      </c>
      <c r="D2206" s="76" t="s">
        <v>625</v>
      </c>
      <c r="E2206" s="76"/>
      <c r="F2206" s="76" t="s">
        <v>1048</v>
      </c>
      <c r="G2206" s="79">
        <v>6990</v>
      </c>
      <c r="H2206" s="76" t="s">
        <v>54</v>
      </c>
      <c r="I2206" s="76"/>
      <c r="J2206" s="76" t="s">
        <v>606</v>
      </c>
      <c r="K2206" s="79">
        <v>6990</v>
      </c>
      <c r="L2206" s="76" t="s">
        <v>601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598</v>
      </c>
      <c r="D2207" s="76" t="s">
        <v>452</v>
      </c>
      <c r="E2207" s="76" t="s">
        <v>612</v>
      </c>
      <c r="F2207" s="76" t="s">
        <v>886</v>
      </c>
      <c r="G2207" s="79">
        <v>11200</v>
      </c>
      <c r="H2207" s="76" t="s">
        <v>54</v>
      </c>
      <c r="I2207" s="76"/>
      <c r="J2207" s="76" t="s">
        <v>606</v>
      </c>
      <c r="K2207" s="79">
        <v>11200</v>
      </c>
      <c r="L2207" s="76" t="s">
        <v>601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598</v>
      </c>
      <c r="D2208" s="76" t="s">
        <v>741</v>
      </c>
      <c r="E2208" s="76" t="s">
        <v>1019</v>
      </c>
      <c r="F2208" s="76" t="s">
        <v>1378</v>
      </c>
      <c r="G2208" s="79">
        <v>50000</v>
      </c>
      <c r="H2208" s="76" t="s">
        <v>54</v>
      </c>
      <c r="I2208" s="76" t="s">
        <v>1448</v>
      </c>
      <c r="J2208" s="76" t="s">
        <v>614</v>
      </c>
      <c r="K2208" s="79">
        <v>50000</v>
      </c>
      <c r="L2208" s="76" t="s">
        <v>601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598</v>
      </c>
      <c r="D2209" s="76" t="s">
        <v>453</v>
      </c>
      <c r="E2209" s="76"/>
      <c r="F2209" s="76" t="s">
        <v>453</v>
      </c>
      <c r="G2209" s="79">
        <v>5000</v>
      </c>
      <c r="H2209" s="76" t="s">
        <v>54</v>
      </c>
      <c r="I2209" s="76"/>
      <c r="J2209" s="76" t="s">
        <v>609</v>
      </c>
      <c r="K2209" s="79">
        <v>5000</v>
      </c>
      <c r="L2209" s="76" t="s">
        <v>601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598</v>
      </c>
      <c r="D2210" s="76" t="s">
        <v>741</v>
      </c>
      <c r="E2210" s="76" t="s">
        <v>1019</v>
      </c>
      <c r="F2210" s="76" t="s">
        <v>1449</v>
      </c>
      <c r="G2210" s="79">
        <v>23400</v>
      </c>
      <c r="H2210" s="76" t="s">
        <v>54</v>
      </c>
      <c r="I2210" s="76" t="s">
        <v>1450</v>
      </c>
      <c r="J2210" s="76" t="s">
        <v>614</v>
      </c>
      <c r="K2210" s="79">
        <v>23400</v>
      </c>
      <c r="L2210" s="76" t="s">
        <v>601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598</v>
      </c>
      <c r="D2211" s="76" t="s">
        <v>741</v>
      </c>
      <c r="E2211" s="76" t="s">
        <v>1019</v>
      </c>
      <c r="F2211" s="76" t="s">
        <v>1451</v>
      </c>
      <c r="G2211" s="79">
        <v>25500</v>
      </c>
      <c r="H2211" s="76" t="s">
        <v>54</v>
      </c>
      <c r="I2211" s="76" t="s">
        <v>1452</v>
      </c>
      <c r="J2211" s="76" t="s">
        <v>614</v>
      </c>
      <c r="K2211" s="79">
        <v>25500</v>
      </c>
      <c r="L2211" s="76" t="s">
        <v>601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681</v>
      </c>
      <c r="D2212" s="76" t="s">
        <v>625</v>
      </c>
      <c r="E2212" s="76"/>
      <c r="F2212" s="76" t="s">
        <v>365</v>
      </c>
      <c r="G2212" s="79">
        <v>4260</v>
      </c>
      <c r="H2212" s="76" t="s">
        <v>54</v>
      </c>
      <c r="I2212" s="76" t="s">
        <v>1453</v>
      </c>
      <c r="J2212" s="76" t="s">
        <v>606</v>
      </c>
      <c r="K2212" s="79">
        <v>4260</v>
      </c>
      <c r="L2212" s="76" t="s">
        <v>601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598</v>
      </c>
      <c r="D2213" s="76" t="s">
        <v>453</v>
      </c>
      <c r="E2213" s="76"/>
      <c r="F2213" s="76" t="s">
        <v>453</v>
      </c>
      <c r="G2213" s="79">
        <v>5000</v>
      </c>
      <c r="H2213" s="76" t="s">
        <v>54</v>
      </c>
      <c r="I2213" s="76"/>
      <c r="J2213" s="76" t="s">
        <v>609</v>
      </c>
      <c r="K2213" s="79">
        <v>5000</v>
      </c>
      <c r="L2213" s="76" t="s">
        <v>601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598</v>
      </c>
      <c r="D2214" s="76" t="s">
        <v>452</v>
      </c>
      <c r="E2214" s="76" t="s">
        <v>603</v>
      </c>
      <c r="F2214" s="76" t="s">
        <v>604</v>
      </c>
      <c r="G2214" s="79">
        <v>3200</v>
      </c>
      <c r="H2214" s="76" t="s">
        <v>54</v>
      </c>
      <c r="I2214" s="76" t="s">
        <v>623</v>
      </c>
      <c r="J2214" s="76" t="s">
        <v>606</v>
      </c>
      <c r="K2214" s="79">
        <v>3200</v>
      </c>
      <c r="L2214" s="76" t="s">
        <v>601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598</v>
      </c>
      <c r="D2215" s="76" t="s">
        <v>452</v>
      </c>
      <c r="E2215" s="76" t="s">
        <v>612</v>
      </c>
      <c r="F2215" s="76" t="s">
        <v>701</v>
      </c>
      <c r="G2215" s="79">
        <v>12000</v>
      </c>
      <c r="H2215" s="76" t="s">
        <v>54</v>
      </c>
      <c r="I2215" s="76"/>
      <c r="J2215" s="76" t="s">
        <v>606</v>
      </c>
      <c r="K2215" s="79">
        <v>12000</v>
      </c>
      <c r="L2215" s="76" t="s">
        <v>601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436</v>
      </c>
      <c r="D2216" s="76" t="s">
        <v>650</v>
      </c>
      <c r="E2216" s="76"/>
      <c r="F2216" s="76" t="s">
        <v>687</v>
      </c>
      <c r="G2216" s="79">
        <v>20000</v>
      </c>
      <c r="H2216" s="76" t="s">
        <v>397</v>
      </c>
      <c r="I2216" s="76"/>
      <c r="J2216" s="76" t="s">
        <v>650</v>
      </c>
      <c r="K2216" s="79">
        <v>20000</v>
      </c>
      <c r="L2216" s="76" t="s">
        <v>601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598</v>
      </c>
      <c r="D2217" s="76" t="s">
        <v>453</v>
      </c>
      <c r="E2217" s="76"/>
      <c r="F2217" s="76" t="s">
        <v>453</v>
      </c>
      <c r="G2217" s="79">
        <v>5000</v>
      </c>
      <c r="H2217" s="76" t="s">
        <v>54</v>
      </c>
      <c r="I2217" s="76"/>
      <c r="J2217" s="76" t="s">
        <v>609</v>
      </c>
      <c r="K2217" s="79">
        <v>5000</v>
      </c>
      <c r="L2217" s="76" t="s">
        <v>601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598</v>
      </c>
      <c r="D2218" s="76" t="s">
        <v>452</v>
      </c>
      <c r="E2218" s="76" t="s">
        <v>714</v>
      </c>
      <c r="F2218" s="76" t="s">
        <v>604</v>
      </c>
      <c r="G2218" s="79">
        <v>7600</v>
      </c>
      <c r="H2218" s="76" t="s">
        <v>54</v>
      </c>
      <c r="I2218" s="76" t="s">
        <v>821</v>
      </c>
      <c r="J2218" s="76" t="s">
        <v>606</v>
      </c>
      <c r="K2218" s="79">
        <v>7600</v>
      </c>
      <c r="L2218" s="76" t="s">
        <v>601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1413</v>
      </c>
      <c r="D2219" s="76" t="s">
        <v>771</v>
      </c>
      <c r="E2219" s="76"/>
      <c r="F2219" s="76" t="s">
        <v>916</v>
      </c>
      <c r="G2219" s="79">
        <v>82900</v>
      </c>
      <c r="H2219" s="76" t="s">
        <v>54</v>
      </c>
      <c r="I2219" s="76" t="s">
        <v>1454</v>
      </c>
      <c r="J2219" s="76" t="s">
        <v>606</v>
      </c>
      <c r="K2219" s="79">
        <v>82900</v>
      </c>
      <c r="L2219" s="76" t="s">
        <v>601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1413</v>
      </c>
      <c r="D2220" s="76" t="s">
        <v>669</v>
      </c>
      <c r="E2220" s="76" t="s">
        <v>1418</v>
      </c>
      <c r="F2220" s="76" t="s">
        <v>766</v>
      </c>
      <c r="G2220" s="79">
        <v>26000</v>
      </c>
      <c r="H2220" s="76" t="s">
        <v>54</v>
      </c>
      <c r="I2220" s="76" t="s">
        <v>1455</v>
      </c>
      <c r="J2220" s="76" t="s">
        <v>617</v>
      </c>
      <c r="K2220" s="79">
        <v>26000</v>
      </c>
      <c r="L2220" s="76" t="s">
        <v>601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598</v>
      </c>
      <c r="D2221" s="76" t="s">
        <v>669</v>
      </c>
      <c r="E2221" s="76" t="s">
        <v>1418</v>
      </c>
      <c r="F2221" s="76" t="s">
        <v>766</v>
      </c>
      <c r="G2221" s="79">
        <v>20000</v>
      </c>
      <c r="H2221" s="76" t="s">
        <v>54</v>
      </c>
      <c r="I2221" s="76" t="s">
        <v>1456</v>
      </c>
      <c r="J2221" s="76" t="s">
        <v>617</v>
      </c>
      <c r="K2221" s="79">
        <v>20000</v>
      </c>
      <c r="L2221" s="76" t="s">
        <v>601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681</v>
      </c>
      <c r="D2222" s="76" t="s">
        <v>672</v>
      </c>
      <c r="E2222" s="76" t="s">
        <v>1005</v>
      </c>
      <c r="F2222" s="76" t="s">
        <v>365</v>
      </c>
      <c r="G2222" s="79">
        <v>19210</v>
      </c>
      <c r="H2222" s="76" t="s">
        <v>54</v>
      </c>
      <c r="I2222" s="76" t="s">
        <v>1457</v>
      </c>
      <c r="J2222" s="76" t="s">
        <v>606</v>
      </c>
      <c r="K2222" s="79">
        <v>19210</v>
      </c>
      <c r="L2222" s="76" t="s">
        <v>601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598</v>
      </c>
      <c r="D2223" s="76" t="s">
        <v>452</v>
      </c>
      <c r="E2223" s="76" t="s">
        <v>603</v>
      </c>
      <c r="F2223" s="76" t="s">
        <v>643</v>
      </c>
      <c r="G2223" s="79">
        <v>11000</v>
      </c>
      <c r="H2223" s="76" t="s">
        <v>54</v>
      </c>
      <c r="I2223" s="76"/>
      <c r="J2223" s="76" t="s">
        <v>606</v>
      </c>
      <c r="K2223" s="79">
        <v>11000</v>
      </c>
      <c r="L2223" s="76" t="s">
        <v>601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598</v>
      </c>
      <c r="D2224" s="76" t="s">
        <v>452</v>
      </c>
      <c r="E2224" s="76" t="s">
        <v>733</v>
      </c>
      <c r="F2224" s="76" t="s">
        <v>829</v>
      </c>
      <c r="G2224" s="79">
        <v>17800</v>
      </c>
      <c r="H2224" s="76" t="s">
        <v>54</v>
      </c>
      <c r="I2224" s="76"/>
      <c r="J2224" s="76" t="s">
        <v>606</v>
      </c>
      <c r="K2224" s="79">
        <v>17800</v>
      </c>
      <c r="L2224" s="76" t="s">
        <v>601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1413</v>
      </c>
      <c r="D2225" s="76" t="s">
        <v>625</v>
      </c>
      <c r="E2225" s="76"/>
      <c r="F2225" s="76" t="s">
        <v>365</v>
      </c>
      <c r="G2225" s="79">
        <v>26900</v>
      </c>
      <c r="H2225" s="76" t="s">
        <v>54</v>
      </c>
      <c r="I2225" s="76" t="s">
        <v>1458</v>
      </c>
      <c r="J2225" s="76" t="s">
        <v>606</v>
      </c>
      <c r="K2225" s="79">
        <v>26900</v>
      </c>
      <c r="L2225" s="76" t="s">
        <v>601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598</v>
      </c>
      <c r="D2226" s="76" t="s">
        <v>452</v>
      </c>
      <c r="E2226" s="76" t="s">
        <v>603</v>
      </c>
      <c r="F2226" s="76" t="s">
        <v>803</v>
      </c>
      <c r="G2226" s="79">
        <v>3800</v>
      </c>
      <c r="H2226" s="76" t="s">
        <v>54</v>
      </c>
      <c r="I2226" s="76"/>
      <c r="J2226" s="76" t="s">
        <v>606</v>
      </c>
      <c r="K2226" s="79">
        <v>3800</v>
      </c>
      <c r="L2226" s="76" t="s">
        <v>601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598</v>
      </c>
      <c r="D2227" s="76" t="s">
        <v>625</v>
      </c>
      <c r="E2227" s="76"/>
      <c r="F2227" s="76" t="s">
        <v>626</v>
      </c>
      <c r="G2227" s="79">
        <v>9000</v>
      </c>
      <c r="H2227" s="76" t="s">
        <v>54</v>
      </c>
      <c r="I2227" s="76"/>
      <c r="J2227" s="76" t="s">
        <v>606</v>
      </c>
      <c r="K2227" s="79">
        <v>9000</v>
      </c>
      <c r="L2227" s="76" t="s">
        <v>601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598</v>
      </c>
      <c r="D2228" s="76" t="s">
        <v>741</v>
      </c>
      <c r="E2228" s="76" t="s">
        <v>457</v>
      </c>
      <c r="F2228" s="76" t="s">
        <v>845</v>
      </c>
      <c r="G2228" s="79">
        <v>11100</v>
      </c>
      <c r="H2228" s="76" t="s">
        <v>54</v>
      </c>
      <c r="I2228" s="76"/>
      <c r="J2228" s="76" t="s">
        <v>614</v>
      </c>
      <c r="K2228" s="79">
        <v>11100</v>
      </c>
      <c r="L2228" s="76" t="s">
        <v>601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598</v>
      </c>
      <c r="D2229" s="76" t="s">
        <v>741</v>
      </c>
      <c r="E2229" s="76" t="s">
        <v>457</v>
      </c>
      <c r="F2229" s="76" t="s">
        <v>1063</v>
      </c>
      <c r="G2229" s="79">
        <v>10400</v>
      </c>
      <c r="H2229" s="76" t="s">
        <v>54</v>
      </c>
      <c r="I2229" s="76"/>
      <c r="J2229" s="76" t="s">
        <v>614</v>
      </c>
      <c r="K2229" s="79">
        <v>10400</v>
      </c>
      <c r="L2229" s="76" t="s">
        <v>601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187</v>
      </c>
      <c r="D2230" s="76" t="s">
        <v>19</v>
      </c>
      <c r="E2230" s="76"/>
      <c r="F2230" s="76" t="s">
        <v>1089</v>
      </c>
      <c r="G2230" s="79">
        <v>639</v>
      </c>
      <c r="H2230" s="76" t="s">
        <v>397</v>
      </c>
      <c r="I2230" s="76"/>
      <c r="J2230" s="76" t="s">
        <v>653</v>
      </c>
      <c r="K2230" s="79">
        <v>639</v>
      </c>
      <c r="L2230" s="76" t="s">
        <v>601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162</v>
      </c>
      <c r="D2231" s="76" t="s">
        <v>19</v>
      </c>
      <c r="E2231" s="76"/>
      <c r="F2231" s="76" t="s">
        <v>1089</v>
      </c>
      <c r="G2231" s="79">
        <v>9</v>
      </c>
      <c r="H2231" s="76" t="s">
        <v>397</v>
      </c>
      <c r="I2231" s="76"/>
      <c r="J2231" s="76" t="s">
        <v>653</v>
      </c>
      <c r="K2231" s="79">
        <v>9</v>
      </c>
      <c r="L2231" s="76" t="s">
        <v>601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178</v>
      </c>
      <c r="D2232" s="76" t="s">
        <v>19</v>
      </c>
      <c r="E2232" s="76"/>
      <c r="F2232" s="76" t="s">
        <v>1088</v>
      </c>
      <c r="G2232" s="79">
        <v>6</v>
      </c>
      <c r="H2232" s="76" t="s">
        <v>397</v>
      </c>
      <c r="I2232" s="76"/>
      <c r="J2232" s="76" t="s">
        <v>653</v>
      </c>
      <c r="K2232" s="79">
        <v>6</v>
      </c>
      <c r="L2232" s="76" t="s">
        <v>601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169</v>
      </c>
      <c r="D2233" s="76" t="s">
        <v>19</v>
      </c>
      <c r="E2233" s="76"/>
      <c r="F2233" s="76" t="s">
        <v>779</v>
      </c>
      <c r="G2233" s="79">
        <v>1</v>
      </c>
      <c r="H2233" s="76" t="s">
        <v>397</v>
      </c>
      <c r="I2233" s="76"/>
      <c r="J2233" s="76" t="s">
        <v>653</v>
      </c>
      <c r="K2233" s="79">
        <v>1</v>
      </c>
      <c r="L2233" s="76" t="s">
        <v>601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598</v>
      </c>
      <c r="D2234" s="76" t="s">
        <v>453</v>
      </c>
      <c r="E2234" s="76"/>
      <c r="F2234" s="76" t="s">
        <v>453</v>
      </c>
      <c r="G2234" s="79">
        <v>5000</v>
      </c>
      <c r="H2234" s="76" t="s">
        <v>54</v>
      </c>
      <c r="I2234" s="76"/>
      <c r="J2234" s="76" t="s">
        <v>609</v>
      </c>
      <c r="K2234" s="79">
        <v>5000</v>
      </c>
      <c r="L2234" s="76" t="s">
        <v>601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598</v>
      </c>
      <c r="D2235" s="76" t="s">
        <v>452</v>
      </c>
      <c r="E2235" s="76" t="s">
        <v>603</v>
      </c>
      <c r="F2235" s="76" t="s">
        <v>803</v>
      </c>
      <c r="G2235" s="79">
        <v>4500</v>
      </c>
      <c r="H2235" s="76" t="s">
        <v>54</v>
      </c>
      <c r="I2235" s="76"/>
      <c r="J2235" s="76" t="s">
        <v>606</v>
      </c>
      <c r="K2235" s="79">
        <v>4500</v>
      </c>
      <c r="L2235" s="76" t="s">
        <v>601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598</v>
      </c>
      <c r="D2236" s="76" t="s">
        <v>452</v>
      </c>
      <c r="E2236" s="76" t="s">
        <v>603</v>
      </c>
      <c r="F2236" s="76" t="s">
        <v>604</v>
      </c>
      <c r="G2236" s="79">
        <v>2700</v>
      </c>
      <c r="H2236" s="76" t="s">
        <v>54</v>
      </c>
      <c r="I2236" s="76" t="s">
        <v>871</v>
      </c>
      <c r="J2236" s="76" t="s">
        <v>606</v>
      </c>
      <c r="K2236" s="79">
        <v>2700</v>
      </c>
      <c r="L2236" s="76" t="s">
        <v>601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598</v>
      </c>
      <c r="D2237" s="76" t="s">
        <v>452</v>
      </c>
      <c r="E2237" s="76" t="s">
        <v>714</v>
      </c>
      <c r="F2237" s="76" t="s">
        <v>604</v>
      </c>
      <c r="G2237" s="79">
        <v>11750</v>
      </c>
      <c r="H2237" s="76" t="s">
        <v>54</v>
      </c>
      <c r="I2237" s="76" t="s">
        <v>1459</v>
      </c>
      <c r="J2237" s="76" t="s">
        <v>606</v>
      </c>
      <c r="K2237" s="79">
        <v>11750</v>
      </c>
      <c r="L2237" s="76" t="s">
        <v>601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598</v>
      </c>
      <c r="D2238" s="76" t="s">
        <v>452</v>
      </c>
      <c r="E2238" s="76" t="s">
        <v>603</v>
      </c>
      <c r="F2238" s="76" t="s">
        <v>604</v>
      </c>
      <c r="G2238" s="79">
        <v>3000</v>
      </c>
      <c r="H2238" s="76" t="s">
        <v>54</v>
      </c>
      <c r="I2238" s="76" t="s">
        <v>623</v>
      </c>
      <c r="J2238" s="76" t="s">
        <v>606</v>
      </c>
      <c r="K2238" s="79">
        <v>3000</v>
      </c>
      <c r="L2238" s="76" t="s">
        <v>601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598</v>
      </c>
      <c r="D2239" s="76" t="s">
        <v>452</v>
      </c>
      <c r="E2239" s="76" t="s">
        <v>612</v>
      </c>
      <c r="F2239" s="76" t="s">
        <v>886</v>
      </c>
      <c r="G2239" s="79">
        <v>10000</v>
      </c>
      <c r="H2239" s="76" t="s">
        <v>54</v>
      </c>
      <c r="I2239" s="76"/>
      <c r="J2239" s="76" t="s">
        <v>606</v>
      </c>
      <c r="K2239" s="79">
        <v>10000</v>
      </c>
      <c r="L2239" s="76" t="s">
        <v>601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598</v>
      </c>
      <c r="D2240" s="76" t="s">
        <v>453</v>
      </c>
      <c r="E2240" s="76"/>
      <c r="F2240" s="76" t="s">
        <v>453</v>
      </c>
      <c r="G2240" s="79">
        <v>5000</v>
      </c>
      <c r="H2240" s="76" t="s">
        <v>54</v>
      </c>
      <c r="I2240" s="76"/>
      <c r="J2240" s="76" t="s">
        <v>609</v>
      </c>
      <c r="K2240" s="79">
        <v>5000</v>
      </c>
      <c r="L2240" s="76" t="s">
        <v>601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611</v>
      </c>
      <c r="D2241" s="76" t="s">
        <v>646</v>
      </c>
      <c r="E2241" s="76"/>
      <c r="F2241" s="76" t="s">
        <v>1352</v>
      </c>
      <c r="G2241" s="79">
        <v>7690</v>
      </c>
      <c r="H2241" s="76" t="s">
        <v>54</v>
      </c>
      <c r="I2241" s="76"/>
      <c r="J2241" s="76" t="s">
        <v>600</v>
      </c>
      <c r="K2241" s="79">
        <v>7690</v>
      </c>
      <c r="L2241" s="76" t="s">
        <v>601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598</v>
      </c>
      <c r="D2242" s="76" t="s">
        <v>453</v>
      </c>
      <c r="E2242" s="76"/>
      <c r="F2242" s="76" t="s">
        <v>453</v>
      </c>
      <c r="G2242" s="79">
        <v>4500</v>
      </c>
      <c r="H2242" s="76" t="s">
        <v>54</v>
      </c>
      <c r="I2242" s="76"/>
      <c r="J2242" s="76" t="s">
        <v>609</v>
      </c>
      <c r="K2242" s="79">
        <v>4500</v>
      </c>
      <c r="L2242" s="76" t="s">
        <v>601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598</v>
      </c>
      <c r="D2243" s="76" t="s">
        <v>882</v>
      </c>
      <c r="E2243" s="76"/>
      <c r="F2243" s="76" t="s">
        <v>883</v>
      </c>
      <c r="G2243" s="79">
        <v>11300</v>
      </c>
      <c r="H2243" s="76" t="s">
        <v>54</v>
      </c>
      <c r="I2243" s="76" t="s">
        <v>1460</v>
      </c>
      <c r="J2243" s="76" t="s">
        <v>606</v>
      </c>
      <c r="K2243" s="79">
        <v>11300</v>
      </c>
      <c r="L2243" s="76" t="s">
        <v>601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598</v>
      </c>
      <c r="D2244" s="76" t="s">
        <v>452</v>
      </c>
      <c r="E2244" s="76" t="s">
        <v>603</v>
      </c>
      <c r="F2244" s="76" t="s">
        <v>604</v>
      </c>
      <c r="G2244" s="79">
        <v>5000</v>
      </c>
      <c r="H2244" s="76" t="s">
        <v>54</v>
      </c>
      <c r="I2244" s="76" t="s">
        <v>1323</v>
      </c>
      <c r="J2244" s="76" t="s">
        <v>606</v>
      </c>
      <c r="K2244" s="79">
        <v>5000</v>
      </c>
      <c r="L2244" s="76" t="s">
        <v>601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598</v>
      </c>
      <c r="D2245" s="76" t="s">
        <v>453</v>
      </c>
      <c r="E2245" s="76"/>
      <c r="F2245" s="76" t="s">
        <v>453</v>
      </c>
      <c r="G2245" s="79">
        <v>4500</v>
      </c>
      <c r="H2245" s="76" t="s">
        <v>54</v>
      </c>
      <c r="I2245" s="76"/>
      <c r="J2245" s="76" t="s">
        <v>609</v>
      </c>
      <c r="K2245" s="79">
        <v>4500</v>
      </c>
      <c r="L2245" s="76" t="s">
        <v>601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598</v>
      </c>
      <c r="D2246" s="76" t="s">
        <v>452</v>
      </c>
      <c r="E2246" s="76" t="s">
        <v>612</v>
      </c>
      <c r="F2246" s="76" t="s">
        <v>759</v>
      </c>
      <c r="G2246" s="79">
        <v>13000</v>
      </c>
      <c r="H2246" s="76" t="s">
        <v>54</v>
      </c>
      <c r="I2246" s="76"/>
      <c r="J2246" s="76" t="s">
        <v>606</v>
      </c>
      <c r="K2246" s="79">
        <v>13000</v>
      </c>
      <c r="L2246" s="76" t="s">
        <v>601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598</v>
      </c>
      <c r="D2247" s="76" t="s">
        <v>453</v>
      </c>
      <c r="E2247" s="76"/>
      <c r="F2247" s="76" t="s">
        <v>453</v>
      </c>
      <c r="G2247" s="79">
        <v>5000</v>
      </c>
      <c r="H2247" s="76" t="s">
        <v>54</v>
      </c>
      <c r="I2247" s="76"/>
      <c r="J2247" s="76" t="s">
        <v>609</v>
      </c>
      <c r="K2247" s="79">
        <v>5000</v>
      </c>
      <c r="L2247" s="76" t="s">
        <v>601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598</v>
      </c>
      <c r="D2248" s="76" t="s">
        <v>452</v>
      </c>
      <c r="E2248" s="76" t="s">
        <v>603</v>
      </c>
      <c r="F2248" s="76" t="s">
        <v>604</v>
      </c>
      <c r="G2248" s="79">
        <v>900</v>
      </c>
      <c r="H2248" s="76" t="s">
        <v>54</v>
      </c>
      <c r="I2248" s="76" t="s">
        <v>791</v>
      </c>
      <c r="J2248" s="76" t="s">
        <v>606</v>
      </c>
      <c r="K2248" s="79">
        <v>900</v>
      </c>
      <c r="L2248" s="76" t="s">
        <v>601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172</v>
      </c>
      <c r="D2249" s="76" t="s">
        <v>57</v>
      </c>
      <c r="E2249" s="76"/>
      <c r="F2249" s="76" t="s">
        <v>57</v>
      </c>
      <c r="G2249" s="79">
        <v>2776050</v>
      </c>
      <c r="H2249" s="76" t="s">
        <v>397</v>
      </c>
      <c r="I2249" s="76"/>
      <c r="J2249" s="76" t="s">
        <v>57</v>
      </c>
      <c r="K2249" s="79">
        <v>2776050</v>
      </c>
      <c r="L2249" s="76" t="s">
        <v>601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632</v>
      </c>
      <c r="D2250" s="76" t="s">
        <v>267</v>
      </c>
      <c r="E2250" s="76"/>
      <c r="F2250" s="76" t="s">
        <v>801</v>
      </c>
      <c r="G2250" s="79">
        <v>300000</v>
      </c>
      <c r="H2250" s="76" t="s">
        <v>397</v>
      </c>
      <c r="I2250" s="76"/>
      <c r="J2250" s="76" t="s">
        <v>267</v>
      </c>
      <c r="K2250" s="79">
        <v>300000</v>
      </c>
      <c r="L2250" s="76" t="s">
        <v>601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598</v>
      </c>
      <c r="D2251" s="76" t="s">
        <v>669</v>
      </c>
      <c r="E2251" s="76" t="s">
        <v>1425</v>
      </c>
      <c r="F2251" s="76" t="s">
        <v>1461</v>
      </c>
      <c r="G2251" s="79">
        <v>16600</v>
      </c>
      <c r="H2251" s="76" t="s">
        <v>54</v>
      </c>
      <c r="I2251" s="76"/>
      <c r="J2251" s="76" t="s">
        <v>617</v>
      </c>
      <c r="K2251" s="79">
        <v>16600</v>
      </c>
      <c r="L2251" s="76" t="s">
        <v>601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598</v>
      </c>
      <c r="D2252" s="76" t="s">
        <v>452</v>
      </c>
      <c r="E2252" s="76" t="s">
        <v>603</v>
      </c>
      <c r="F2252" s="76" t="s">
        <v>769</v>
      </c>
      <c r="G2252" s="79">
        <v>890</v>
      </c>
      <c r="H2252" s="76" t="s">
        <v>54</v>
      </c>
      <c r="I2252" s="76"/>
      <c r="J2252" s="76" t="s">
        <v>606</v>
      </c>
      <c r="K2252" s="79">
        <v>890</v>
      </c>
      <c r="L2252" s="76" t="s">
        <v>601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598</v>
      </c>
      <c r="D2253" s="76" t="s">
        <v>625</v>
      </c>
      <c r="E2253" s="76"/>
      <c r="F2253" s="76" t="s">
        <v>626</v>
      </c>
      <c r="G2253" s="79">
        <v>14000</v>
      </c>
      <c r="H2253" s="76" t="s">
        <v>54</v>
      </c>
      <c r="I2253" s="76"/>
      <c r="J2253" s="76" t="s">
        <v>606</v>
      </c>
      <c r="K2253" s="79">
        <v>14000</v>
      </c>
      <c r="L2253" s="76" t="s">
        <v>601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598</v>
      </c>
      <c r="D2254" s="76" t="s">
        <v>705</v>
      </c>
      <c r="E2254" s="76"/>
      <c r="F2254" s="76" t="s">
        <v>717</v>
      </c>
      <c r="G2254" s="79">
        <v>12400</v>
      </c>
      <c r="H2254" s="76" t="s">
        <v>54</v>
      </c>
      <c r="I2254" s="76"/>
      <c r="J2254" s="76" t="s">
        <v>600</v>
      </c>
      <c r="K2254" s="79">
        <v>12400</v>
      </c>
      <c r="L2254" s="76" t="s">
        <v>601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681</v>
      </c>
      <c r="D2255" s="76" t="s">
        <v>452</v>
      </c>
      <c r="E2255" s="76" t="s">
        <v>621</v>
      </c>
      <c r="F2255" s="76" t="s">
        <v>682</v>
      </c>
      <c r="G2255" s="79">
        <v>10400</v>
      </c>
      <c r="H2255" s="76" t="s">
        <v>54</v>
      </c>
      <c r="I2255" s="76"/>
      <c r="J2255" s="76" t="s">
        <v>606</v>
      </c>
      <c r="K2255" s="79">
        <v>10400</v>
      </c>
      <c r="L2255" s="76" t="s">
        <v>601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598</v>
      </c>
      <c r="D2256" s="76" t="s">
        <v>771</v>
      </c>
      <c r="E2256" s="76"/>
      <c r="F2256" s="76" t="s">
        <v>923</v>
      </c>
      <c r="G2256" s="79">
        <v>41300</v>
      </c>
      <c r="H2256" s="76" t="s">
        <v>54</v>
      </c>
      <c r="I2256" s="76"/>
      <c r="J2256" s="76" t="s">
        <v>606</v>
      </c>
      <c r="K2256" s="79">
        <v>41300</v>
      </c>
      <c r="L2256" s="76" t="s">
        <v>601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598</v>
      </c>
      <c r="D2257" s="76" t="s">
        <v>452</v>
      </c>
      <c r="E2257" s="76" t="s">
        <v>603</v>
      </c>
      <c r="F2257" s="76" t="s">
        <v>886</v>
      </c>
      <c r="G2257" s="79">
        <v>3600</v>
      </c>
      <c r="H2257" s="76" t="s">
        <v>54</v>
      </c>
      <c r="I2257" s="76" t="s">
        <v>1462</v>
      </c>
      <c r="J2257" s="76" t="s">
        <v>606</v>
      </c>
      <c r="K2257" s="79">
        <v>3600</v>
      </c>
      <c r="L2257" s="76" t="s">
        <v>601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681</v>
      </c>
      <c r="D2258" s="76" t="s">
        <v>775</v>
      </c>
      <c r="E2258" s="76"/>
      <c r="F2258" s="76" t="s">
        <v>365</v>
      </c>
      <c r="G2258" s="79">
        <v>140320</v>
      </c>
      <c r="H2258" s="76" t="s">
        <v>54</v>
      </c>
      <c r="I2258" s="76" t="s">
        <v>1463</v>
      </c>
      <c r="J2258" s="76" t="s">
        <v>606</v>
      </c>
      <c r="K2258" s="79">
        <v>140320</v>
      </c>
      <c r="L2258" s="76" t="s">
        <v>601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598</v>
      </c>
      <c r="D2259" s="76" t="s">
        <v>362</v>
      </c>
      <c r="E2259" s="76"/>
      <c r="F2259" s="76" t="s">
        <v>746</v>
      </c>
      <c r="G2259" s="79">
        <v>7737</v>
      </c>
      <c r="H2259" s="76" t="s">
        <v>54</v>
      </c>
      <c r="I2259" s="76" t="s">
        <v>747</v>
      </c>
      <c r="J2259" s="76" t="s">
        <v>600</v>
      </c>
      <c r="K2259" s="79">
        <v>7737</v>
      </c>
      <c r="L2259" s="76" t="s">
        <v>601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598</v>
      </c>
      <c r="D2260" s="76" t="s">
        <v>625</v>
      </c>
      <c r="E2260" s="76"/>
      <c r="F2260" s="76" t="s">
        <v>626</v>
      </c>
      <c r="G2260" s="79">
        <v>7200</v>
      </c>
      <c r="H2260" s="76" t="s">
        <v>54</v>
      </c>
      <c r="I2260" s="76"/>
      <c r="J2260" s="76" t="s">
        <v>606</v>
      </c>
      <c r="K2260" s="79">
        <v>7200</v>
      </c>
      <c r="L2260" s="76" t="s">
        <v>601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598</v>
      </c>
      <c r="D2261" s="76" t="s">
        <v>453</v>
      </c>
      <c r="E2261" s="76"/>
      <c r="F2261" s="76" t="s">
        <v>453</v>
      </c>
      <c r="G2261" s="79">
        <v>5000</v>
      </c>
      <c r="H2261" s="76" t="s">
        <v>54</v>
      </c>
      <c r="I2261" s="76"/>
      <c r="J2261" s="76" t="s">
        <v>609</v>
      </c>
      <c r="K2261" s="79">
        <v>5000</v>
      </c>
      <c r="L2261" s="76" t="s">
        <v>601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598</v>
      </c>
      <c r="D2262" s="76" t="s">
        <v>453</v>
      </c>
      <c r="E2262" s="76"/>
      <c r="F2262" s="76" t="s">
        <v>453</v>
      </c>
      <c r="G2262" s="79">
        <v>5000</v>
      </c>
      <c r="H2262" s="76" t="s">
        <v>54</v>
      </c>
      <c r="I2262" s="76"/>
      <c r="J2262" s="76" t="s">
        <v>609</v>
      </c>
      <c r="K2262" s="79">
        <v>5000</v>
      </c>
      <c r="L2262" s="76" t="s">
        <v>601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187</v>
      </c>
      <c r="D2263" s="76" t="s">
        <v>61</v>
      </c>
      <c r="E2263" s="76"/>
      <c r="F2263" s="76" t="s">
        <v>913</v>
      </c>
      <c r="G2263" s="79">
        <v>50000</v>
      </c>
      <c r="H2263" s="76" t="s">
        <v>397</v>
      </c>
      <c r="I2263" s="76"/>
      <c r="J2263" s="76" t="s">
        <v>61</v>
      </c>
      <c r="K2263" s="79">
        <v>50000</v>
      </c>
      <c r="L2263" s="76" t="s">
        <v>601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598</v>
      </c>
      <c r="D2264" s="76" t="s">
        <v>452</v>
      </c>
      <c r="E2264" s="76" t="s">
        <v>714</v>
      </c>
      <c r="F2264" s="76" t="s">
        <v>604</v>
      </c>
      <c r="G2264" s="79">
        <v>5100</v>
      </c>
      <c r="H2264" s="76" t="s">
        <v>54</v>
      </c>
      <c r="I2264" s="76"/>
      <c r="J2264" s="76" t="s">
        <v>606</v>
      </c>
      <c r="K2264" s="79">
        <v>5100</v>
      </c>
      <c r="L2264" s="76" t="s">
        <v>601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598</v>
      </c>
      <c r="D2265" s="76" t="s">
        <v>452</v>
      </c>
      <c r="E2265" s="76" t="s">
        <v>714</v>
      </c>
      <c r="F2265" s="76" t="s">
        <v>604</v>
      </c>
      <c r="G2265" s="79">
        <v>4400</v>
      </c>
      <c r="H2265" s="76" t="s">
        <v>54</v>
      </c>
      <c r="I2265" s="76"/>
      <c r="J2265" s="76" t="s">
        <v>606</v>
      </c>
      <c r="K2265" s="79">
        <v>4400</v>
      </c>
      <c r="L2265" s="76" t="s">
        <v>601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681</v>
      </c>
      <c r="D2266" s="76" t="s">
        <v>775</v>
      </c>
      <c r="E2266" s="76"/>
      <c r="F2266" s="76" t="s">
        <v>365</v>
      </c>
      <c r="G2266" s="79">
        <v>33210</v>
      </c>
      <c r="H2266" s="76" t="s">
        <v>54</v>
      </c>
      <c r="I2266" s="76"/>
      <c r="J2266" s="76" t="s">
        <v>606</v>
      </c>
      <c r="K2266" s="79">
        <v>33210</v>
      </c>
      <c r="L2266" s="76" t="s">
        <v>601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598</v>
      </c>
      <c r="D2267" s="76" t="s">
        <v>453</v>
      </c>
      <c r="E2267" s="76"/>
      <c r="F2267" s="76" t="s">
        <v>453</v>
      </c>
      <c r="G2267" s="79">
        <v>4500</v>
      </c>
      <c r="H2267" s="76" t="s">
        <v>54</v>
      </c>
      <c r="I2267" s="76"/>
      <c r="J2267" s="76" t="s">
        <v>609</v>
      </c>
      <c r="K2267" s="79">
        <v>4500</v>
      </c>
      <c r="L2267" s="76" t="s">
        <v>601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598</v>
      </c>
      <c r="D2268" s="76" t="s">
        <v>452</v>
      </c>
      <c r="E2268" s="76" t="s">
        <v>603</v>
      </c>
      <c r="F2268" s="76" t="s">
        <v>604</v>
      </c>
      <c r="G2268" s="79">
        <v>3300</v>
      </c>
      <c r="H2268" s="76" t="s">
        <v>54</v>
      </c>
      <c r="I2268" s="76" t="s">
        <v>623</v>
      </c>
      <c r="J2268" s="76" t="s">
        <v>606</v>
      </c>
      <c r="K2268" s="79">
        <v>3300</v>
      </c>
      <c r="L2268" s="76" t="s">
        <v>601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598</v>
      </c>
      <c r="D2269" s="76" t="s">
        <v>640</v>
      </c>
      <c r="E2269" s="76"/>
      <c r="F2269" s="76" t="s">
        <v>946</v>
      </c>
      <c r="G2269" s="79">
        <v>5500</v>
      </c>
      <c r="H2269" s="76" t="s">
        <v>54</v>
      </c>
      <c r="I2269" s="76" t="s">
        <v>1464</v>
      </c>
      <c r="J2269" s="76" t="s">
        <v>606</v>
      </c>
      <c r="K2269" s="79">
        <v>5500</v>
      </c>
      <c r="L2269" s="76" t="s">
        <v>601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598</v>
      </c>
      <c r="D2270" s="76" t="s">
        <v>741</v>
      </c>
      <c r="E2270" s="76" t="s">
        <v>457</v>
      </c>
      <c r="F2270" s="76" t="s">
        <v>1465</v>
      </c>
      <c r="G2270" s="79">
        <v>47000</v>
      </c>
      <c r="H2270" s="76" t="s">
        <v>54</v>
      </c>
      <c r="I2270" s="76"/>
      <c r="J2270" s="76" t="s">
        <v>614</v>
      </c>
      <c r="K2270" s="79">
        <v>47000</v>
      </c>
      <c r="L2270" s="76" t="s">
        <v>601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598</v>
      </c>
      <c r="D2271" s="76" t="s">
        <v>362</v>
      </c>
      <c r="E2271" s="76"/>
      <c r="F2271" s="76" t="s">
        <v>755</v>
      </c>
      <c r="G2271" s="79">
        <v>4890</v>
      </c>
      <c r="H2271" s="76" t="s">
        <v>54</v>
      </c>
      <c r="I2271" s="76" t="s">
        <v>367</v>
      </c>
      <c r="J2271" s="76" t="s">
        <v>600</v>
      </c>
      <c r="K2271" s="79">
        <v>4890</v>
      </c>
      <c r="L2271" s="76" t="s">
        <v>601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598</v>
      </c>
      <c r="D2272" s="76" t="s">
        <v>775</v>
      </c>
      <c r="E2272" s="76"/>
      <c r="F2272" s="76" t="s">
        <v>1332</v>
      </c>
      <c r="G2272" s="79">
        <v>30000</v>
      </c>
      <c r="H2272" s="76" t="s">
        <v>54</v>
      </c>
      <c r="I2272" s="76"/>
      <c r="J2272" s="76" t="s">
        <v>606</v>
      </c>
      <c r="K2272" s="79">
        <v>30000</v>
      </c>
      <c r="L2272" s="76" t="s">
        <v>601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1158</v>
      </c>
      <c r="D2273" s="76" t="s">
        <v>672</v>
      </c>
      <c r="E2273" s="76"/>
      <c r="F2273" s="76" t="s">
        <v>1232</v>
      </c>
      <c r="G2273" s="79">
        <v>17000</v>
      </c>
      <c r="H2273" s="76" t="s">
        <v>54</v>
      </c>
      <c r="I2273" s="76"/>
      <c r="J2273" s="76" t="s">
        <v>606</v>
      </c>
      <c r="K2273" s="79">
        <v>17000</v>
      </c>
      <c r="L2273" s="76" t="s">
        <v>601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1158</v>
      </c>
      <c r="D2274" s="76" t="s">
        <v>625</v>
      </c>
      <c r="E2274" s="76"/>
      <c r="F2274" s="76" t="s">
        <v>626</v>
      </c>
      <c r="G2274" s="79">
        <v>5000</v>
      </c>
      <c r="H2274" s="76" t="s">
        <v>54</v>
      </c>
      <c r="I2274" s="76"/>
      <c r="J2274" s="76" t="s">
        <v>606</v>
      </c>
      <c r="K2274" s="79">
        <v>5000</v>
      </c>
      <c r="L2274" s="76" t="s">
        <v>601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598</v>
      </c>
      <c r="D2275" s="76" t="s">
        <v>362</v>
      </c>
      <c r="E2275" s="76"/>
      <c r="F2275" s="76" t="s">
        <v>1371</v>
      </c>
      <c r="G2275" s="79">
        <v>29000</v>
      </c>
      <c r="H2275" s="76" t="s">
        <v>54</v>
      </c>
      <c r="I2275" s="76"/>
      <c r="J2275" s="76" t="s">
        <v>600</v>
      </c>
      <c r="K2275" s="79">
        <v>29000</v>
      </c>
      <c r="L2275" s="76" t="s">
        <v>601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172</v>
      </c>
      <c r="D2276" s="76" t="s">
        <v>1108</v>
      </c>
      <c r="E2276" s="76"/>
      <c r="F2276" s="76" t="s">
        <v>750</v>
      </c>
      <c r="G2276" s="79">
        <v>200000</v>
      </c>
      <c r="H2276" s="76" t="s">
        <v>1408</v>
      </c>
      <c r="I2276" s="76"/>
      <c r="J2276" s="76" t="s">
        <v>665</v>
      </c>
      <c r="K2276" s="79">
        <v>200000</v>
      </c>
      <c r="L2276" s="76" t="s">
        <v>601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138</v>
      </c>
      <c r="D2277" s="76" t="s">
        <v>19</v>
      </c>
      <c r="E2277" s="76"/>
      <c r="F2277" s="76" t="s">
        <v>756</v>
      </c>
      <c r="G2277" s="79">
        <v>24</v>
      </c>
      <c r="H2277" s="76" t="s">
        <v>397</v>
      </c>
      <c r="I2277" s="76"/>
      <c r="J2277" s="76" t="s">
        <v>653</v>
      </c>
      <c r="K2277" s="79">
        <v>24</v>
      </c>
      <c r="L2277" s="76" t="s">
        <v>601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184</v>
      </c>
      <c r="D2278" s="76" t="s">
        <v>19</v>
      </c>
      <c r="E2278" s="76"/>
      <c r="F2278" s="76" t="s">
        <v>756</v>
      </c>
      <c r="G2278" s="79">
        <v>1</v>
      </c>
      <c r="H2278" s="76" t="s">
        <v>397</v>
      </c>
      <c r="I2278" s="76"/>
      <c r="J2278" s="76" t="s">
        <v>653</v>
      </c>
      <c r="K2278" s="79">
        <v>1</v>
      </c>
      <c r="L2278" s="76" t="s">
        <v>601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436</v>
      </c>
      <c r="D2279" s="76" t="s">
        <v>19</v>
      </c>
      <c r="E2279" s="76"/>
      <c r="F2279" s="76" t="s">
        <v>756</v>
      </c>
      <c r="G2279" s="79">
        <v>1116</v>
      </c>
      <c r="H2279" s="76" t="s">
        <v>397</v>
      </c>
      <c r="I2279" s="76"/>
      <c r="J2279" s="76" t="s">
        <v>653</v>
      </c>
      <c r="K2279" s="79">
        <v>1116</v>
      </c>
      <c r="L2279" s="76" t="s">
        <v>601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1108</v>
      </c>
      <c r="D2280" s="76" t="s">
        <v>741</v>
      </c>
      <c r="E2280" s="76" t="s">
        <v>1019</v>
      </c>
      <c r="F2280" s="76" t="s">
        <v>626</v>
      </c>
      <c r="G2280" s="79">
        <v>25000</v>
      </c>
      <c r="H2280" s="76" t="s">
        <v>54</v>
      </c>
      <c r="I2280" s="76"/>
      <c r="J2280" s="76" t="s">
        <v>614</v>
      </c>
      <c r="K2280" s="79">
        <v>12500</v>
      </c>
      <c r="L2280" s="76" t="s">
        <v>190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1108</v>
      </c>
      <c r="D2281" s="76" t="s">
        <v>741</v>
      </c>
      <c r="E2281" s="76" t="s">
        <v>1019</v>
      </c>
      <c r="F2281" s="76" t="s">
        <v>1466</v>
      </c>
      <c r="G2281" s="79">
        <v>31500</v>
      </c>
      <c r="H2281" s="76" t="s">
        <v>54</v>
      </c>
      <c r="I2281" s="76"/>
      <c r="J2281" s="76" t="s">
        <v>614</v>
      </c>
      <c r="K2281" s="79">
        <v>15750</v>
      </c>
      <c r="L2281" s="76" t="s">
        <v>190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1108</v>
      </c>
      <c r="D2282" s="76" t="s">
        <v>741</v>
      </c>
      <c r="E2282" s="76" t="s">
        <v>1019</v>
      </c>
      <c r="F2282" s="76" t="s">
        <v>1467</v>
      </c>
      <c r="G2282" s="79">
        <v>6700</v>
      </c>
      <c r="H2282" s="76" t="s">
        <v>54</v>
      </c>
      <c r="I2282" s="76"/>
      <c r="J2282" s="76" t="s">
        <v>614</v>
      </c>
      <c r="K2282" s="79">
        <v>3350</v>
      </c>
      <c r="L2282" s="76" t="s">
        <v>190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1108</v>
      </c>
      <c r="D2283" s="76" t="s">
        <v>741</v>
      </c>
      <c r="E2283" s="76" t="s">
        <v>1019</v>
      </c>
      <c r="F2283" s="76" t="s">
        <v>1468</v>
      </c>
      <c r="G2283" s="79">
        <v>23500</v>
      </c>
      <c r="H2283" s="76" t="s">
        <v>54</v>
      </c>
      <c r="I2283" s="76" t="s">
        <v>1469</v>
      </c>
      <c r="J2283" s="76" t="s">
        <v>614</v>
      </c>
      <c r="K2283" s="79">
        <v>11750</v>
      </c>
      <c r="L2283" s="76" t="s">
        <v>190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1108</v>
      </c>
      <c r="D2284" s="76" t="s">
        <v>741</v>
      </c>
      <c r="E2284" s="76" t="s">
        <v>1019</v>
      </c>
      <c r="F2284" s="76" t="s">
        <v>682</v>
      </c>
      <c r="G2284" s="79">
        <v>68600</v>
      </c>
      <c r="H2284" s="76" t="s">
        <v>54</v>
      </c>
      <c r="I2284" s="76" t="s">
        <v>1470</v>
      </c>
      <c r="J2284" s="76" t="s">
        <v>614</v>
      </c>
      <c r="K2284" s="79">
        <v>34300</v>
      </c>
      <c r="L2284" s="76" t="s">
        <v>190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1108</v>
      </c>
      <c r="D2285" s="76" t="s">
        <v>741</v>
      </c>
      <c r="E2285" s="76" t="s">
        <v>1019</v>
      </c>
      <c r="F2285" s="76" t="s">
        <v>922</v>
      </c>
      <c r="G2285" s="79">
        <v>50400</v>
      </c>
      <c r="H2285" s="76" t="s">
        <v>54</v>
      </c>
      <c r="I2285" s="76" t="s">
        <v>1471</v>
      </c>
      <c r="J2285" s="76" t="s">
        <v>614</v>
      </c>
      <c r="K2285" s="79">
        <v>25200</v>
      </c>
      <c r="L2285" s="76" t="s">
        <v>190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154</v>
      </c>
      <c r="D2286" s="76" t="s">
        <v>741</v>
      </c>
      <c r="E2286" s="76" t="s">
        <v>1019</v>
      </c>
      <c r="F2286" s="76" t="s">
        <v>742</v>
      </c>
      <c r="G2286" s="79">
        <v>150000</v>
      </c>
      <c r="H2286" s="76" t="s">
        <v>54</v>
      </c>
      <c r="I2286" s="76" t="s">
        <v>1472</v>
      </c>
      <c r="J2286" s="76" t="s">
        <v>614</v>
      </c>
      <c r="K2286" s="79">
        <v>150000</v>
      </c>
      <c r="L2286" s="76" t="s">
        <v>601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598</v>
      </c>
      <c r="D2287" s="76" t="s">
        <v>453</v>
      </c>
      <c r="E2287" s="76"/>
      <c r="F2287" s="76" t="s">
        <v>453</v>
      </c>
      <c r="G2287" s="79">
        <v>5000</v>
      </c>
      <c r="H2287" s="76" t="s">
        <v>54</v>
      </c>
      <c r="I2287" s="76"/>
      <c r="J2287" s="76" t="s">
        <v>609</v>
      </c>
      <c r="K2287" s="79">
        <v>5000</v>
      </c>
      <c r="L2287" s="76" t="s">
        <v>601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1158</v>
      </c>
      <c r="D2288" s="76" t="s">
        <v>741</v>
      </c>
      <c r="E2288" s="76" t="s">
        <v>1019</v>
      </c>
      <c r="F2288" s="76" t="s">
        <v>1473</v>
      </c>
      <c r="G2288" s="79">
        <v>43000</v>
      </c>
      <c r="H2288" s="76" t="s">
        <v>54</v>
      </c>
      <c r="I2288" s="76" t="s">
        <v>1474</v>
      </c>
      <c r="J2288" s="76" t="s">
        <v>614</v>
      </c>
      <c r="K2288" s="79">
        <v>43000</v>
      </c>
      <c r="L2288" s="76" t="s">
        <v>601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632</v>
      </c>
      <c r="D2289" s="76" t="s">
        <v>172</v>
      </c>
      <c r="E2289" s="76"/>
      <c r="F2289" s="76" t="s">
        <v>72</v>
      </c>
      <c r="G2289" s="79">
        <v>300000</v>
      </c>
      <c r="H2289" s="76" t="s">
        <v>1408</v>
      </c>
      <c r="I2289" s="76"/>
      <c r="J2289" s="76" t="s">
        <v>634</v>
      </c>
      <c r="K2289" s="79">
        <v>300000</v>
      </c>
      <c r="L2289" s="76" t="s">
        <v>601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172</v>
      </c>
      <c r="D2290" s="76" t="s">
        <v>646</v>
      </c>
      <c r="E2290" s="76"/>
      <c r="F2290" s="76" t="s">
        <v>73</v>
      </c>
      <c r="G2290" s="79">
        <v>391000</v>
      </c>
      <c r="H2290" s="76" t="s">
        <v>54</v>
      </c>
      <c r="I2290" s="76"/>
      <c r="J2290" s="76" t="s">
        <v>600</v>
      </c>
      <c r="K2290" s="79">
        <v>391000</v>
      </c>
      <c r="L2290" s="76" t="s">
        <v>601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172</v>
      </c>
      <c r="D2291" s="76" t="s">
        <v>436</v>
      </c>
      <c r="E2291" s="76"/>
      <c r="F2291" s="76" t="s">
        <v>72</v>
      </c>
      <c r="G2291" s="79">
        <v>20000</v>
      </c>
      <c r="H2291" s="76" t="s">
        <v>1408</v>
      </c>
      <c r="I2291" s="76"/>
      <c r="J2291" s="76" t="s">
        <v>668</v>
      </c>
      <c r="K2291" s="79">
        <v>20000</v>
      </c>
      <c r="L2291" s="76" t="s">
        <v>601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154</v>
      </c>
      <c r="D2292" s="76" t="s">
        <v>138</v>
      </c>
      <c r="E2292" s="76"/>
      <c r="F2292" s="76" t="s">
        <v>72</v>
      </c>
      <c r="G2292" s="79">
        <v>200000</v>
      </c>
      <c r="H2292" s="76" t="s">
        <v>1408</v>
      </c>
      <c r="I2292" s="76"/>
      <c r="J2292" s="76" t="s">
        <v>667</v>
      </c>
      <c r="K2292" s="79">
        <v>200000</v>
      </c>
      <c r="L2292" s="76" t="s">
        <v>601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172</v>
      </c>
      <c r="D2293" s="76" t="s">
        <v>154</v>
      </c>
      <c r="E2293" s="76"/>
      <c r="F2293" s="76" t="s">
        <v>72</v>
      </c>
      <c r="G2293" s="79">
        <v>2465050</v>
      </c>
      <c r="H2293" s="76" t="s">
        <v>1408</v>
      </c>
      <c r="I2293" s="76"/>
      <c r="J2293" s="76" t="s">
        <v>634</v>
      </c>
      <c r="K2293" s="79">
        <v>2465050</v>
      </c>
      <c r="L2293" s="76" t="s">
        <v>601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1108</v>
      </c>
      <c r="D2294" s="76" t="s">
        <v>741</v>
      </c>
      <c r="E2294" s="76" t="s">
        <v>1019</v>
      </c>
      <c r="F2294" s="76" t="s">
        <v>769</v>
      </c>
      <c r="G2294" s="79">
        <v>5120</v>
      </c>
      <c r="H2294" s="76" t="s">
        <v>54</v>
      </c>
      <c r="I2294" s="76" t="s">
        <v>623</v>
      </c>
      <c r="J2294" s="76" t="s">
        <v>614</v>
      </c>
      <c r="K2294" s="79">
        <v>2560</v>
      </c>
      <c r="L2294" s="76" t="s">
        <v>190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1108</v>
      </c>
      <c r="D2295" s="76" t="s">
        <v>741</v>
      </c>
      <c r="E2295" s="76" t="s">
        <v>1019</v>
      </c>
      <c r="F2295" s="76" t="s">
        <v>946</v>
      </c>
      <c r="G2295" s="79">
        <v>7200</v>
      </c>
      <c r="H2295" s="76" t="s">
        <v>54</v>
      </c>
      <c r="I2295" s="76" t="s">
        <v>890</v>
      </c>
      <c r="J2295" s="76" t="s">
        <v>614</v>
      </c>
      <c r="K2295" s="79">
        <v>3600</v>
      </c>
      <c r="L2295" s="76" t="s">
        <v>190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1108</v>
      </c>
      <c r="D2296" s="76" t="s">
        <v>741</v>
      </c>
      <c r="E2296" s="76" t="s">
        <v>1019</v>
      </c>
      <c r="F2296" s="76" t="s">
        <v>1475</v>
      </c>
      <c r="G2296" s="79">
        <v>19000</v>
      </c>
      <c r="H2296" s="76" t="s">
        <v>54</v>
      </c>
      <c r="I2296" s="76" t="s">
        <v>623</v>
      </c>
      <c r="J2296" s="76" t="s">
        <v>614</v>
      </c>
      <c r="K2296" s="79">
        <v>9500</v>
      </c>
      <c r="L2296" s="76" t="s">
        <v>190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1108</v>
      </c>
      <c r="D2297" s="76" t="s">
        <v>650</v>
      </c>
      <c r="E2297" s="76"/>
      <c r="F2297" s="76" t="s">
        <v>750</v>
      </c>
      <c r="G2297" s="79">
        <v>200000</v>
      </c>
      <c r="H2297" s="76" t="s">
        <v>397</v>
      </c>
      <c r="I2297" s="76"/>
      <c r="J2297" s="76" t="s">
        <v>650</v>
      </c>
      <c r="K2297" s="79">
        <v>200000</v>
      </c>
      <c r="L2297" s="76" t="s">
        <v>601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187</v>
      </c>
      <c r="D2298" s="76" t="s">
        <v>154</v>
      </c>
      <c r="E2298" s="76"/>
      <c r="F2298" s="76" t="s">
        <v>72</v>
      </c>
      <c r="G2298" s="79">
        <v>51312</v>
      </c>
      <c r="H2298" s="76" t="s">
        <v>1408</v>
      </c>
      <c r="I2298" s="76"/>
      <c r="J2298" s="76" t="s">
        <v>634</v>
      </c>
      <c r="K2298" s="79">
        <v>51312</v>
      </c>
      <c r="L2298" s="76" t="s">
        <v>601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154</v>
      </c>
      <c r="D2299" s="76" t="s">
        <v>834</v>
      </c>
      <c r="E2299" s="76"/>
      <c r="F2299" s="76" t="s">
        <v>72</v>
      </c>
      <c r="G2299" s="79">
        <v>60000</v>
      </c>
      <c r="H2299" s="76" t="s">
        <v>1408</v>
      </c>
      <c r="I2299" s="76"/>
      <c r="J2299" s="76" t="s">
        <v>662</v>
      </c>
      <c r="K2299" s="79">
        <v>60000</v>
      </c>
      <c r="L2299" s="76" t="s">
        <v>601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154</v>
      </c>
      <c r="D2300" s="76" t="s">
        <v>835</v>
      </c>
      <c r="E2300" s="76"/>
      <c r="F2300" s="76" t="s">
        <v>72</v>
      </c>
      <c r="G2300" s="79">
        <v>60000</v>
      </c>
      <c r="H2300" s="76" t="s">
        <v>1408</v>
      </c>
      <c r="I2300" s="76"/>
      <c r="J2300" s="76" t="s">
        <v>662</v>
      </c>
      <c r="K2300" s="79">
        <v>60000</v>
      </c>
      <c r="L2300" s="76" t="s">
        <v>601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834</v>
      </c>
      <c r="D2301" s="76" t="s">
        <v>635</v>
      </c>
      <c r="E2301" s="76"/>
      <c r="F2301" s="76" t="s">
        <v>865</v>
      </c>
      <c r="G2301" s="79">
        <v>5504</v>
      </c>
      <c r="H2301" s="76" t="s">
        <v>54</v>
      </c>
      <c r="I2301" s="76" t="s">
        <v>1476</v>
      </c>
      <c r="J2301" s="76" t="s">
        <v>635</v>
      </c>
      <c r="K2301" s="79">
        <v>5504</v>
      </c>
      <c r="L2301" s="76" t="s">
        <v>601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835</v>
      </c>
      <c r="D2302" s="76" t="s">
        <v>635</v>
      </c>
      <c r="E2302" s="76"/>
      <c r="F2302" s="76" t="s">
        <v>865</v>
      </c>
      <c r="G2302" s="79">
        <v>60687</v>
      </c>
      <c r="H2302" s="76" t="s">
        <v>54</v>
      </c>
      <c r="I2302" s="76" t="s">
        <v>880</v>
      </c>
      <c r="J2302" s="76" t="s">
        <v>635</v>
      </c>
      <c r="K2302" s="79">
        <v>60687</v>
      </c>
      <c r="L2302" s="76" t="s">
        <v>601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154</v>
      </c>
      <c r="D2303" s="76" t="s">
        <v>404</v>
      </c>
      <c r="E2303" s="76"/>
      <c r="F2303" s="76" t="s">
        <v>72</v>
      </c>
      <c r="G2303" s="79">
        <v>20000</v>
      </c>
      <c r="H2303" s="76" t="s">
        <v>1408</v>
      </c>
      <c r="I2303" s="76"/>
      <c r="J2303" s="76" t="s">
        <v>659</v>
      </c>
      <c r="K2303" s="79">
        <v>20000</v>
      </c>
      <c r="L2303" s="76" t="s">
        <v>601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154</v>
      </c>
      <c r="D2304" s="76" t="s">
        <v>751</v>
      </c>
      <c r="E2304" s="76"/>
      <c r="F2304" s="76" t="s">
        <v>72</v>
      </c>
      <c r="G2304" s="79">
        <v>150000</v>
      </c>
      <c r="H2304" s="76" t="s">
        <v>1408</v>
      </c>
      <c r="I2304" s="76"/>
      <c r="J2304" s="76" t="s">
        <v>658</v>
      </c>
      <c r="K2304" s="79">
        <v>150000</v>
      </c>
      <c r="L2304" s="76" t="s">
        <v>601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154</v>
      </c>
      <c r="D2305" s="76" t="s">
        <v>19</v>
      </c>
      <c r="E2305" s="76"/>
      <c r="F2305" s="76" t="s">
        <v>179</v>
      </c>
      <c r="G2305" s="79">
        <v>5923</v>
      </c>
      <c r="H2305" s="76" t="s">
        <v>397</v>
      </c>
      <c r="I2305" s="76"/>
      <c r="J2305" s="76" t="s">
        <v>653</v>
      </c>
      <c r="K2305" s="79">
        <v>5923</v>
      </c>
      <c r="L2305" s="76" t="s">
        <v>601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1158</v>
      </c>
      <c r="D2306" s="76" t="s">
        <v>452</v>
      </c>
      <c r="E2306" s="76" t="s">
        <v>603</v>
      </c>
      <c r="F2306" s="76" t="s">
        <v>604</v>
      </c>
      <c r="G2306" s="79">
        <v>4900</v>
      </c>
      <c r="H2306" s="76" t="s">
        <v>54</v>
      </c>
      <c r="I2306" s="76" t="s">
        <v>1477</v>
      </c>
      <c r="J2306" s="76" t="s">
        <v>606</v>
      </c>
      <c r="K2306" s="79">
        <v>4900</v>
      </c>
      <c r="L2306" s="76" t="s">
        <v>601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1158</v>
      </c>
      <c r="D2307" s="76" t="s">
        <v>453</v>
      </c>
      <c r="E2307" s="76"/>
      <c r="F2307" s="76" t="s">
        <v>453</v>
      </c>
      <c r="G2307" s="79">
        <v>5000</v>
      </c>
      <c r="H2307" s="76" t="s">
        <v>54</v>
      </c>
      <c r="I2307" s="76"/>
      <c r="J2307" s="76" t="s">
        <v>609</v>
      </c>
      <c r="K2307" s="79">
        <v>5000</v>
      </c>
      <c r="L2307" s="76" t="s">
        <v>601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1158</v>
      </c>
      <c r="D2308" s="76" t="s">
        <v>453</v>
      </c>
      <c r="E2308" s="76"/>
      <c r="F2308" s="76" t="s">
        <v>453</v>
      </c>
      <c r="G2308" s="79">
        <v>5000</v>
      </c>
      <c r="H2308" s="76" t="s">
        <v>54</v>
      </c>
      <c r="I2308" s="76"/>
      <c r="J2308" s="76" t="s">
        <v>609</v>
      </c>
      <c r="K2308" s="79">
        <v>5000</v>
      </c>
      <c r="L2308" s="76" t="s">
        <v>601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611</v>
      </c>
      <c r="D2309" s="76" t="s">
        <v>672</v>
      </c>
      <c r="E2309" s="76" t="s">
        <v>761</v>
      </c>
      <c r="F2309" s="76" t="s">
        <v>762</v>
      </c>
      <c r="G2309" s="79">
        <v>143056</v>
      </c>
      <c r="H2309" s="76" t="s">
        <v>54</v>
      </c>
      <c r="I2309" s="76"/>
      <c r="J2309" s="76" t="s">
        <v>600</v>
      </c>
      <c r="K2309" s="79">
        <v>143056</v>
      </c>
      <c r="L2309" s="76" t="s">
        <v>601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166</v>
      </c>
      <c r="D2310" s="76" t="s">
        <v>19</v>
      </c>
      <c r="E2310" s="76"/>
      <c r="F2310" s="76" t="s">
        <v>1325</v>
      </c>
      <c r="G2310" s="79">
        <v>104300</v>
      </c>
      <c r="H2310" s="76" t="s">
        <v>397</v>
      </c>
      <c r="I2310" s="76" t="s">
        <v>1478</v>
      </c>
      <c r="J2310" s="76" t="s">
        <v>653</v>
      </c>
      <c r="K2310" s="79">
        <v>104300</v>
      </c>
      <c r="L2310" s="76" t="s">
        <v>601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1158</v>
      </c>
      <c r="D2311" s="76" t="s">
        <v>452</v>
      </c>
      <c r="E2311" s="76" t="s">
        <v>612</v>
      </c>
      <c r="F2311" s="76" t="s">
        <v>1080</v>
      </c>
      <c r="G2311" s="79">
        <v>9000</v>
      </c>
      <c r="H2311" s="76" t="s">
        <v>54</v>
      </c>
      <c r="I2311" s="76"/>
      <c r="J2311" s="76" t="s">
        <v>606</v>
      </c>
      <c r="K2311" s="79">
        <v>9000</v>
      </c>
      <c r="L2311" s="76" t="s">
        <v>601</v>
      </c>
      <c r="M2311" s="76" t="s">
        <v>1479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1158</v>
      </c>
      <c r="D2312" s="76" t="s">
        <v>669</v>
      </c>
      <c r="E2312" s="76" t="s">
        <v>1418</v>
      </c>
      <c r="F2312" s="76" t="s">
        <v>940</v>
      </c>
      <c r="G2312" s="79">
        <v>42600</v>
      </c>
      <c r="H2312" s="76" t="s">
        <v>54</v>
      </c>
      <c r="I2312" s="76"/>
      <c r="J2312" s="76" t="s">
        <v>617</v>
      </c>
      <c r="K2312" s="79">
        <v>42600</v>
      </c>
      <c r="L2312" s="76" t="s">
        <v>601</v>
      </c>
      <c r="M2312" s="76" t="s">
        <v>1479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1158</v>
      </c>
      <c r="D2313" s="76" t="s">
        <v>452</v>
      </c>
      <c r="E2313" s="76" t="s">
        <v>612</v>
      </c>
      <c r="F2313" s="76" t="s">
        <v>833</v>
      </c>
      <c r="G2313" s="79">
        <v>7500</v>
      </c>
      <c r="H2313" s="76" t="s">
        <v>54</v>
      </c>
      <c r="I2313" s="76"/>
      <c r="J2313" s="76" t="s">
        <v>606</v>
      </c>
      <c r="K2313" s="79">
        <v>7500</v>
      </c>
      <c r="L2313" s="76" t="s">
        <v>601</v>
      </c>
      <c r="M2313" s="76" t="s">
        <v>1479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598</v>
      </c>
      <c r="D2314" s="76" t="s">
        <v>362</v>
      </c>
      <c r="E2314" s="76"/>
      <c r="F2314" s="76" t="s">
        <v>363</v>
      </c>
      <c r="G2314" s="79">
        <v>7890</v>
      </c>
      <c r="H2314" s="76" t="s">
        <v>54</v>
      </c>
      <c r="I2314" s="76"/>
      <c r="J2314" s="76" t="s">
        <v>600</v>
      </c>
      <c r="K2314" s="79">
        <v>7890</v>
      </c>
      <c r="L2314" s="76" t="s">
        <v>601</v>
      </c>
      <c r="M2314" s="76" t="s">
        <v>1479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1158</v>
      </c>
      <c r="D2315" s="76" t="s">
        <v>741</v>
      </c>
      <c r="E2315" s="76" t="s">
        <v>457</v>
      </c>
      <c r="F2315" s="76" t="s">
        <v>1480</v>
      </c>
      <c r="G2315" s="79">
        <v>68000</v>
      </c>
      <c r="H2315" s="76" t="s">
        <v>54</v>
      </c>
      <c r="I2315" s="76" t="s">
        <v>1481</v>
      </c>
      <c r="J2315" s="76" t="s">
        <v>614</v>
      </c>
      <c r="K2315" s="79">
        <v>68000</v>
      </c>
      <c r="L2315" s="76" t="s">
        <v>601</v>
      </c>
      <c r="M2315" s="76" t="s">
        <v>1479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1158</v>
      </c>
      <c r="D2316" s="76" t="s">
        <v>625</v>
      </c>
      <c r="E2316" s="76"/>
      <c r="F2316" s="76" t="s">
        <v>365</v>
      </c>
      <c r="G2316" s="79">
        <v>18350</v>
      </c>
      <c r="H2316" s="76" t="s">
        <v>54</v>
      </c>
      <c r="I2316" s="76" t="s">
        <v>959</v>
      </c>
      <c r="J2316" s="76" t="s">
        <v>606</v>
      </c>
      <c r="K2316" s="79">
        <v>18350</v>
      </c>
      <c r="L2316" s="76" t="s">
        <v>601</v>
      </c>
      <c r="M2316" s="76" t="s">
        <v>1479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1158</v>
      </c>
      <c r="D2317" s="76" t="s">
        <v>669</v>
      </c>
      <c r="E2317" s="76" t="s">
        <v>1425</v>
      </c>
      <c r="F2317" s="76" t="s">
        <v>365</v>
      </c>
      <c r="G2317" s="79">
        <v>7500</v>
      </c>
      <c r="H2317" s="76" t="s">
        <v>54</v>
      </c>
      <c r="I2317" s="76" t="s">
        <v>1482</v>
      </c>
      <c r="J2317" s="76" t="s">
        <v>617</v>
      </c>
      <c r="K2317" s="79">
        <v>7500</v>
      </c>
      <c r="L2317" s="76" t="s">
        <v>601</v>
      </c>
      <c r="M2317" s="76" t="s">
        <v>1479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1158</v>
      </c>
      <c r="D2318" s="76" t="s">
        <v>669</v>
      </c>
      <c r="E2318" s="76" t="s">
        <v>1425</v>
      </c>
      <c r="F2318" s="76" t="s">
        <v>1483</v>
      </c>
      <c r="G2318" s="79">
        <v>22800</v>
      </c>
      <c r="H2318" s="76" t="s">
        <v>54</v>
      </c>
      <c r="I2318" s="76" t="s">
        <v>1484</v>
      </c>
      <c r="J2318" s="76" t="s">
        <v>617</v>
      </c>
      <c r="K2318" s="79">
        <v>22800</v>
      </c>
      <c r="L2318" s="76" t="s">
        <v>601</v>
      </c>
      <c r="M2318" s="76" t="s">
        <v>1479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1158</v>
      </c>
      <c r="D2319" s="76" t="s">
        <v>453</v>
      </c>
      <c r="E2319" s="76"/>
      <c r="F2319" s="76" t="s">
        <v>453</v>
      </c>
      <c r="G2319" s="79">
        <v>5000</v>
      </c>
      <c r="H2319" s="76" t="s">
        <v>54</v>
      </c>
      <c r="I2319" s="76"/>
      <c r="J2319" s="76" t="s">
        <v>609</v>
      </c>
      <c r="K2319" s="79">
        <v>5000</v>
      </c>
      <c r="L2319" s="76" t="s">
        <v>601</v>
      </c>
      <c r="M2319" s="76" t="s">
        <v>1479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1158</v>
      </c>
      <c r="D2320" s="76" t="s">
        <v>452</v>
      </c>
      <c r="E2320" s="76" t="s">
        <v>612</v>
      </c>
      <c r="F2320" s="76" t="s">
        <v>759</v>
      </c>
      <c r="G2320" s="79">
        <v>9500</v>
      </c>
      <c r="H2320" s="76" t="s">
        <v>54</v>
      </c>
      <c r="I2320" s="76"/>
      <c r="J2320" s="76" t="s">
        <v>606</v>
      </c>
      <c r="K2320" s="79">
        <v>9500</v>
      </c>
      <c r="L2320" s="76" t="s">
        <v>601</v>
      </c>
      <c r="M2320" s="76" t="s">
        <v>1479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1158</v>
      </c>
      <c r="D2321" s="76" t="s">
        <v>452</v>
      </c>
      <c r="E2321" s="76" t="s">
        <v>714</v>
      </c>
      <c r="F2321" s="76" t="s">
        <v>604</v>
      </c>
      <c r="G2321" s="79">
        <v>2300</v>
      </c>
      <c r="H2321" s="76" t="s">
        <v>54</v>
      </c>
      <c r="I2321" s="76" t="s">
        <v>821</v>
      </c>
      <c r="J2321" s="76" t="s">
        <v>606</v>
      </c>
      <c r="K2321" s="79">
        <v>2300</v>
      </c>
      <c r="L2321" s="76" t="s">
        <v>601</v>
      </c>
      <c r="M2321" s="76" t="s">
        <v>1479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1158</v>
      </c>
      <c r="D2322" s="76" t="s">
        <v>453</v>
      </c>
      <c r="E2322" s="76"/>
      <c r="F2322" s="76" t="s">
        <v>453</v>
      </c>
      <c r="G2322" s="79">
        <v>5000</v>
      </c>
      <c r="H2322" s="76" t="s">
        <v>54</v>
      </c>
      <c r="I2322" s="76"/>
      <c r="J2322" s="76" t="s">
        <v>609</v>
      </c>
      <c r="K2322" s="79">
        <v>5000</v>
      </c>
      <c r="L2322" s="76" t="s">
        <v>601</v>
      </c>
      <c r="M2322" s="76" t="s">
        <v>1479</v>
      </c>
      <c r="N2322" s="76"/>
      <c r="O2322" s="76"/>
      <c r="P2322" s="76"/>
      <c r="Q2322" s="76"/>
    </row>
    <row r="2323" spans="1:19">
      <c r="A2323" s="113">
        <v>46296.613898206022</v>
      </c>
      <c r="B2323" s="78">
        <v>46296</v>
      </c>
      <c r="C2323" s="76" t="s">
        <v>611</v>
      </c>
      <c r="D2323" s="76" t="s">
        <v>452</v>
      </c>
      <c r="E2323" s="76" t="s">
        <v>612</v>
      </c>
      <c r="F2323" s="76" t="s">
        <v>731</v>
      </c>
      <c r="G2323" s="79">
        <v>11000</v>
      </c>
      <c r="H2323" s="76" t="s">
        <v>54</v>
      </c>
      <c r="I2323" s="76"/>
      <c r="J2323" s="76" t="s">
        <v>606</v>
      </c>
      <c r="K2323" s="79">
        <v>11000</v>
      </c>
      <c r="L2323" s="76" t="s">
        <v>601</v>
      </c>
      <c r="M2323" s="76" t="s">
        <v>1485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1486</v>
      </c>
    </row>
    <row r="2324" spans="1:19">
      <c r="A2324" s="113">
        <v>46296.614591874997</v>
      </c>
      <c r="B2324" s="78">
        <v>46296</v>
      </c>
      <c r="C2324" s="76" t="s">
        <v>611</v>
      </c>
      <c r="D2324" s="76" t="s">
        <v>452</v>
      </c>
      <c r="E2324" s="76" t="s">
        <v>603</v>
      </c>
      <c r="F2324" s="76" t="s">
        <v>604</v>
      </c>
      <c r="G2324" s="79">
        <v>1300</v>
      </c>
      <c r="H2324" s="76" t="s">
        <v>54</v>
      </c>
      <c r="I2324" s="76"/>
      <c r="J2324" s="76" t="s">
        <v>606</v>
      </c>
      <c r="K2324" s="79">
        <v>1300</v>
      </c>
      <c r="L2324" s="76" t="s">
        <v>601</v>
      </c>
      <c r="M2324" s="76" t="s">
        <v>1487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1486</v>
      </c>
    </row>
    <row r="2325" spans="1:19">
      <c r="A2325" s="113">
        <v>46296.615973715278</v>
      </c>
      <c r="B2325" s="78">
        <v>46296</v>
      </c>
      <c r="C2325" s="76" t="s">
        <v>611</v>
      </c>
      <c r="D2325" s="76" t="s">
        <v>453</v>
      </c>
      <c r="E2325" s="76"/>
      <c r="F2325" s="76" t="s">
        <v>453</v>
      </c>
      <c r="G2325" s="79">
        <v>5000</v>
      </c>
      <c r="H2325" s="76" t="s">
        <v>54</v>
      </c>
      <c r="I2325" s="76"/>
      <c r="J2325" s="76" t="s">
        <v>609</v>
      </c>
      <c r="K2325" s="79">
        <v>5000</v>
      </c>
      <c r="L2325" s="76" t="s">
        <v>601</v>
      </c>
      <c r="M2325" s="76" t="s">
        <v>1488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1486</v>
      </c>
    </row>
    <row r="2326" spans="1:19">
      <c r="A2326" s="113">
        <v>46296.617366759259</v>
      </c>
      <c r="B2326" s="78">
        <v>46296</v>
      </c>
      <c r="C2326" s="76" t="s">
        <v>190</v>
      </c>
      <c r="D2326" s="76" t="s">
        <v>19</v>
      </c>
      <c r="E2326" s="76"/>
      <c r="F2326" s="76" t="s">
        <v>1141</v>
      </c>
      <c r="G2326" s="79">
        <v>15</v>
      </c>
      <c r="H2326" s="76" t="s">
        <v>397</v>
      </c>
      <c r="I2326" s="76"/>
      <c r="J2326" s="76" t="s">
        <v>653</v>
      </c>
      <c r="K2326" s="79">
        <v>7.5</v>
      </c>
      <c r="L2326" s="76" t="s">
        <v>190</v>
      </c>
      <c r="M2326" s="76" t="s">
        <v>1489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1490</v>
      </c>
    </row>
    <row r="2327" spans="1:19">
      <c r="A2327" s="113">
        <v>46296.837503877323</v>
      </c>
      <c r="B2327" s="78">
        <v>46296</v>
      </c>
      <c r="C2327" s="76" t="s">
        <v>166</v>
      </c>
      <c r="D2327" s="76" t="s">
        <v>19</v>
      </c>
      <c r="E2327" s="76"/>
      <c r="F2327" s="76" t="s">
        <v>767</v>
      </c>
      <c r="G2327" s="79">
        <v>27</v>
      </c>
      <c r="H2327" s="76" t="s">
        <v>397</v>
      </c>
      <c r="I2327" s="76"/>
      <c r="J2327" s="76" t="s">
        <v>653</v>
      </c>
      <c r="K2327" s="79">
        <v>27</v>
      </c>
      <c r="L2327" s="76" t="s">
        <v>601</v>
      </c>
      <c r="M2327" s="76" t="s">
        <v>1491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1490</v>
      </c>
    </row>
    <row r="2328" spans="1:19">
      <c r="A2328" s="113">
        <v>46296.859034062501</v>
      </c>
      <c r="B2328" s="78">
        <v>46296</v>
      </c>
      <c r="C2328" s="76" t="s">
        <v>598</v>
      </c>
      <c r="D2328" s="76" t="s">
        <v>362</v>
      </c>
      <c r="E2328" s="76"/>
      <c r="F2328" s="76" t="s">
        <v>599</v>
      </c>
      <c r="G2328" s="79">
        <v>0</v>
      </c>
      <c r="H2328" s="76" t="s">
        <v>54</v>
      </c>
      <c r="I2328" s="76"/>
      <c r="J2328" s="76" t="s">
        <v>600</v>
      </c>
      <c r="K2328" s="79">
        <v>0</v>
      </c>
      <c r="L2328" s="76" t="s">
        <v>601</v>
      </c>
      <c r="M2328" s="76" t="s">
        <v>1492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1486</v>
      </c>
    </row>
    <row r="2329" spans="1:19">
      <c r="A2329" s="113">
        <v>46297.615975740737</v>
      </c>
      <c r="B2329" s="78">
        <v>46296</v>
      </c>
      <c r="C2329" s="76" t="s">
        <v>598</v>
      </c>
      <c r="D2329" s="76" t="s">
        <v>362</v>
      </c>
      <c r="E2329" s="76"/>
      <c r="F2329" s="76" t="s">
        <v>608</v>
      </c>
      <c r="G2329" s="79">
        <v>18000</v>
      </c>
      <c r="H2329" s="76" t="s">
        <v>54</v>
      </c>
      <c r="I2329" s="76"/>
      <c r="J2329" s="76" t="s">
        <v>600</v>
      </c>
      <c r="K2329" s="79">
        <v>18000</v>
      </c>
      <c r="L2329" s="76" t="s">
        <v>601</v>
      </c>
      <c r="M2329" s="76" t="s">
        <v>1493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1486</v>
      </c>
    </row>
    <row r="2330" spans="1:19">
      <c r="A2330" s="113">
        <v>46297.615982916657</v>
      </c>
      <c r="B2330" s="78">
        <v>46296</v>
      </c>
      <c r="C2330" s="76" t="s">
        <v>166</v>
      </c>
      <c r="D2330" s="76" t="s">
        <v>19</v>
      </c>
      <c r="E2330" s="76"/>
      <c r="F2330" s="76" t="s">
        <v>1410</v>
      </c>
      <c r="G2330" s="79">
        <v>100</v>
      </c>
      <c r="H2330" s="76" t="s">
        <v>397</v>
      </c>
      <c r="I2330" s="76" t="s">
        <v>1494</v>
      </c>
      <c r="J2330" s="76" t="s">
        <v>653</v>
      </c>
      <c r="K2330" s="79">
        <v>100</v>
      </c>
      <c r="L2330" s="76" t="s">
        <v>601</v>
      </c>
      <c r="M2330" s="76" t="s">
        <v>1495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1490</v>
      </c>
    </row>
    <row r="2331" spans="1:19">
      <c r="A2331" s="113">
        <v>46297.616675543977</v>
      </c>
      <c r="B2331" s="78">
        <v>46296</v>
      </c>
      <c r="C2331" s="76" t="s">
        <v>611</v>
      </c>
      <c r="D2331" s="76" t="s">
        <v>453</v>
      </c>
      <c r="E2331" s="76"/>
      <c r="F2331" s="76" t="s">
        <v>453</v>
      </c>
      <c r="G2331" s="79">
        <v>5000</v>
      </c>
      <c r="H2331" s="76" t="s">
        <v>54</v>
      </c>
      <c r="I2331" s="76"/>
      <c r="J2331" s="76" t="s">
        <v>609</v>
      </c>
      <c r="K2331" s="79">
        <v>5000</v>
      </c>
      <c r="L2331" s="76" t="s">
        <v>601</v>
      </c>
      <c r="M2331" s="76" t="s">
        <v>1496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1486</v>
      </c>
    </row>
    <row r="2332" spans="1:19">
      <c r="A2332" s="113">
        <v>46297.616676770827</v>
      </c>
      <c r="B2332" s="78">
        <v>46296</v>
      </c>
      <c r="C2332" s="76" t="s">
        <v>611</v>
      </c>
      <c r="D2332" s="76" t="s">
        <v>452</v>
      </c>
      <c r="E2332" s="76" t="s">
        <v>714</v>
      </c>
      <c r="F2332" s="76" t="s">
        <v>604</v>
      </c>
      <c r="G2332" s="79">
        <v>13600</v>
      </c>
      <c r="H2332" s="76" t="s">
        <v>54</v>
      </c>
      <c r="I2332" s="76"/>
      <c r="J2332" s="76" t="s">
        <v>606</v>
      </c>
      <c r="K2332" s="79">
        <v>13600</v>
      </c>
      <c r="L2332" s="76" t="s">
        <v>601</v>
      </c>
      <c r="M2332" s="76" t="s">
        <v>1497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1486</v>
      </c>
    </row>
    <row r="2333" spans="1:19">
      <c r="A2333" s="113">
        <v>46297.61736851852</v>
      </c>
      <c r="B2333" s="78">
        <v>46296</v>
      </c>
      <c r="C2333" s="76" t="s">
        <v>190</v>
      </c>
      <c r="D2333" s="76" t="s">
        <v>741</v>
      </c>
      <c r="E2333" s="76" t="s">
        <v>1019</v>
      </c>
      <c r="F2333" s="76" t="s">
        <v>1498</v>
      </c>
      <c r="G2333" s="79">
        <v>30000</v>
      </c>
      <c r="H2333" s="76" t="s">
        <v>54</v>
      </c>
      <c r="I2333" s="76" t="s">
        <v>1499</v>
      </c>
      <c r="J2333" s="76" t="s">
        <v>614</v>
      </c>
      <c r="K2333" s="79">
        <v>15000</v>
      </c>
      <c r="L2333" s="76" t="s">
        <v>190</v>
      </c>
      <c r="M2333" s="76" t="s">
        <v>1500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1490</v>
      </c>
    </row>
    <row r="2334" spans="1:19">
      <c r="A2334" s="113">
        <v>46297.622223078703</v>
      </c>
      <c r="B2334" s="78">
        <v>46296</v>
      </c>
      <c r="C2334" s="76" t="s">
        <v>154</v>
      </c>
      <c r="D2334" s="76" t="s">
        <v>452</v>
      </c>
      <c r="E2334" s="76" t="s">
        <v>612</v>
      </c>
      <c r="F2334" s="76" t="s">
        <v>191</v>
      </c>
      <c r="G2334" s="79">
        <v>11900</v>
      </c>
      <c r="H2334" s="76" t="s">
        <v>54</v>
      </c>
      <c r="I2334" s="76"/>
      <c r="J2334" s="76" t="s">
        <v>606</v>
      </c>
      <c r="K2334" s="79">
        <v>11900</v>
      </c>
      <c r="L2334" s="76" t="s">
        <v>601</v>
      </c>
      <c r="M2334" s="76" t="s">
        <v>1501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1502</v>
      </c>
      <c r="S2334" s="76" t="s">
        <v>53</v>
      </c>
    </row>
    <row r="2335" spans="1:19">
      <c r="A2335" s="113">
        <v>46297.622917986111</v>
      </c>
      <c r="B2335" s="78">
        <v>46296</v>
      </c>
      <c r="C2335" s="76" t="s">
        <v>172</v>
      </c>
      <c r="D2335" s="76" t="s">
        <v>19</v>
      </c>
      <c r="E2335" s="76"/>
      <c r="F2335" s="76" t="s">
        <v>763</v>
      </c>
      <c r="G2335" s="79">
        <v>1</v>
      </c>
      <c r="H2335" s="76" t="s">
        <v>397</v>
      </c>
      <c r="I2335" s="76"/>
      <c r="J2335" s="76" t="s">
        <v>653</v>
      </c>
      <c r="K2335" s="79">
        <v>1</v>
      </c>
      <c r="L2335" s="76" t="s">
        <v>601</v>
      </c>
      <c r="M2335" s="76" t="s">
        <v>1503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1490</v>
      </c>
    </row>
    <row r="2336" spans="1:19">
      <c r="A2336" s="113">
        <v>46297.622927418983</v>
      </c>
      <c r="B2336" s="78">
        <v>46296</v>
      </c>
      <c r="C2336" s="76" t="s">
        <v>187</v>
      </c>
      <c r="D2336" s="76" t="s">
        <v>19</v>
      </c>
      <c r="E2336" s="76"/>
      <c r="F2336" s="76" t="s">
        <v>763</v>
      </c>
      <c r="G2336" s="79">
        <v>1</v>
      </c>
      <c r="H2336" s="76" t="s">
        <v>397</v>
      </c>
      <c r="I2336" s="76"/>
      <c r="J2336" s="76" t="s">
        <v>653</v>
      </c>
      <c r="K2336" s="79">
        <v>1</v>
      </c>
      <c r="L2336" s="76" t="s">
        <v>601</v>
      </c>
      <c r="M2336" s="76" t="s">
        <v>1504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1490</v>
      </c>
    </row>
    <row r="2337" spans="1:19">
      <c r="A2337" s="113">
        <v>46298.618056574072</v>
      </c>
      <c r="B2337" s="78">
        <v>46296</v>
      </c>
      <c r="C2337" s="76" t="s">
        <v>190</v>
      </c>
      <c r="D2337" s="76" t="s">
        <v>741</v>
      </c>
      <c r="E2337" s="76" t="s">
        <v>1019</v>
      </c>
      <c r="F2337" s="76" t="s">
        <v>1498</v>
      </c>
      <c r="G2337" s="79">
        <v>7000</v>
      </c>
      <c r="H2337" s="76" t="s">
        <v>54</v>
      </c>
      <c r="I2337" s="76" t="s">
        <v>897</v>
      </c>
      <c r="J2337" s="76" t="s">
        <v>614</v>
      </c>
      <c r="K2337" s="79">
        <v>3500</v>
      </c>
      <c r="L2337" s="76" t="s">
        <v>190</v>
      </c>
      <c r="M2337" s="76" t="s">
        <v>1505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1490</v>
      </c>
    </row>
    <row r="2338" spans="1:19">
      <c r="A2338" s="113">
        <v>46298.618057094907</v>
      </c>
      <c r="B2338" s="78">
        <v>46296</v>
      </c>
      <c r="C2338" s="76" t="s">
        <v>190</v>
      </c>
      <c r="D2338" s="76" t="s">
        <v>741</v>
      </c>
      <c r="E2338" s="76" t="s">
        <v>1019</v>
      </c>
      <c r="F2338" s="76" t="s">
        <v>1506</v>
      </c>
      <c r="G2338" s="79">
        <v>56000</v>
      </c>
      <c r="H2338" s="76" t="s">
        <v>54</v>
      </c>
      <c r="I2338" s="76" t="s">
        <v>1507</v>
      </c>
      <c r="J2338" s="76" t="s">
        <v>614</v>
      </c>
      <c r="K2338" s="79">
        <v>28000</v>
      </c>
      <c r="L2338" s="76" t="s">
        <v>190</v>
      </c>
      <c r="M2338" s="76" t="s">
        <v>1508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1490</v>
      </c>
    </row>
    <row r="2339" spans="1:19">
      <c r="A2339" s="113">
        <v>46298.618060671302</v>
      </c>
      <c r="B2339" s="78">
        <v>46296</v>
      </c>
      <c r="C2339" s="76" t="s">
        <v>190</v>
      </c>
      <c r="D2339" s="76" t="s">
        <v>741</v>
      </c>
      <c r="E2339" s="76" t="s">
        <v>1019</v>
      </c>
      <c r="F2339" s="76" t="s">
        <v>1509</v>
      </c>
      <c r="G2339" s="79">
        <v>88500</v>
      </c>
      <c r="H2339" s="76" t="s">
        <v>54</v>
      </c>
      <c r="I2339" s="76" t="s">
        <v>1507</v>
      </c>
      <c r="J2339" s="76" t="s">
        <v>614</v>
      </c>
      <c r="K2339" s="79">
        <v>44250</v>
      </c>
      <c r="L2339" s="76" t="s">
        <v>190</v>
      </c>
      <c r="M2339" s="76" t="s">
        <v>1510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1490</v>
      </c>
    </row>
    <row r="2340" spans="1:19">
      <c r="A2340" s="113">
        <v>46298.61806306713</v>
      </c>
      <c r="B2340" s="78">
        <v>46296</v>
      </c>
      <c r="C2340" s="76" t="s">
        <v>190</v>
      </c>
      <c r="D2340" s="76" t="s">
        <v>741</v>
      </c>
      <c r="E2340" s="76" t="s">
        <v>1019</v>
      </c>
      <c r="F2340" s="76" t="s">
        <v>1511</v>
      </c>
      <c r="G2340" s="79">
        <v>21000</v>
      </c>
      <c r="H2340" s="76" t="s">
        <v>54</v>
      </c>
      <c r="I2340" s="76" t="s">
        <v>1507</v>
      </c>
      <c r="J2340" s="76" t="s">
        <v>614</v>
      </c>
      <c r="K2340" s="79">
        <v>10500</v>
      </c>
      <c r="L2340" s="76" t="s">
        <v>190</v>
      </c>
      <c r="M2340" s="76" t="s">
        <v>1512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1490</v>
      </c>
    </row>
    <row r="2341" spans="1:19">
      <c r="A2341" s="113">
        <v>46298.618063368063</v>
      </c>
      <c r="B2341" s="78">
        <v>46296</v>
      </c>
      <c r="C2341" s="76" t="s">
        <v>190</v>
      </c>
      <c r="D2341" s="76" t="s">
        <v>741</v>
      </c>
      <c r="E2341" s="76" t="s">
        <v>1019</v>
      </c>
      <c r="F2341" s="76" t="s">
        <v>1513</v>
      </c>
      <c r="G2341" s="79">
        <v>5000</v>
      </c>
      <c r="H2341" s="76" t="s">
        <v>54</v>
      </c>
      <c r="I2341" s="76" t="s">
        <v>1507</v>
      </c>
      <c r="J2341" s="76" t="s">
        <v>614</v>
      </c>
      <c r="K2341" s="79">
        <v>2500</v>
      </c>
      <c r="L2341" s="76" t="s">
        <v>190</v>
      </c>
      <c r="M2341" s="76" t="s">
        <v>1514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1490</v>
      </c>
    </row>
    <row r="2342" spans="1:19">
      <c r="A2342" s="113">
        <v>46298.618064803239</v>
      </c>
      <c r="B2342" s="78">
        <v>46296</v>
      </c>
      <c r="C2342" s="76" t="s">
        <v>190</v>
      </c>
      <c r="D2342" s="76" t="s">
        <v>741</v>
      </c>
      <c r="E2342" s="76" t="s">
        <v>1019</v>
      </c>
      <c r="F2342" s="76" t="s">
        <v>1515</v>
      </c>
      <c r="G2342" s="79">
        <v>14600</v>
      </c>
      <c r="H2342" s="76" t="s">
        <v>54</v>
      </c>
      <c r="I2342" s="76" t="s">
        <v>1507</v>
      </c>
      <c r="J2342" s="76" t="s">
        <v>614</v>
      </c>
      <c r="K2342" s="79">
        <v>7300</v>
      </c>
      <c r="L2342" s="76" t="s">
        <v>190</v>
      </c>
      <c r="M2342" s="76" t="s">
        <v>1516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1490</v>
      </c>
    </row>
    <row r="2343" spans="1:19">
      <c r="A2343" s="113">
        <v>46298.618065740739</v>
      </c>
      <c r="B2343" s="78">
        <v>46296</v>
      </c>
      <c r="C2343" s="76" t="s">
        <v>190</v>
      </c>
      <c r="D2343" s="76" t="s">
        <v>19</v>
      </c>
      <c r="E2343" s="76"/>
      <c r="F2343" s="76" t="s">
        <v>1140</v>
      </c>
      <c r="G2343" s="79">
        <v>500</v>
      </c>
      <c r="H2343" s="76" t="s">
        <v>397</v>
      </c>
      <c r="I2343" s="76"/>
      <c r="J2343" s="76" t="s">
        <v>653</v>
      </c>
      <c r="K2343" s="79">
        <v>250</v>
      </c>
      <c r="L2343" s="76" t="s">
        <v>190</v>
      </c>
      <c r="M2343" s="76" t="s">
        <v>1517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1490</v>
      </c>
    </row>
    <row r="2344" spans="1:19">
      <c r="A2344" s="113">
        <v>46298.619447199068</v>
      </c>
      <c r="B2344" s="78">
        <v>46296</v>
      </c>
      <c r="C2344" s="76" t="s">
        <v>190</v>
      </c>
      <c r="D2344" s="76" t="s">
        <v>741</v>
      </c>
      <c r="E2344" s="76" t="s">
        <v>1019</v>
      </c>
      <c r="F2344" s="76" t="s">
        <v>946</v>
      </c>
      <c r="G2344" s="79">
        <v>4300</v>
      </c>
      <c r="H2344" s="76" t="s">
        <v>54</v>
      </c>
      <c r="I2344" s="76" t="s">
        <v>890</v>
      </c>
      <c r="J2344" s="76" t="s">
        <v>614</v>
      </c>
      <c r="K2344" s="79">
        <v>2150</v>
      </c>
      <c r="L2344" s="76" t="s">
        <v>190</v>
      </c>
      <c r="M2344" s="76" t="s">
        <v>1518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1490</v>
      </c>
    </row>
    <row r="2345" spans="1:19">
      <c r="A2345" s="113">
        <v>46298.623618969898</v>
      </c>
      <c r="B2345" s="78">
        <v>46296</v>
      </c>
      <c r="C2345" s="76" t="s">
        <v>611</v>
      </c>
      <c r="D2345" s="76" t="s">
        <v>453</v>
      </c>
      <c r="E2345" s="76"/>
      <c r="F2345" s="76" t="s">
        <v>453</v>
      </c>
      <c r="G2345" s="79">
        <v>5000</v>
      </c>
      <c r="H2345" s="76" t="s">
        <v>54</v>
      </c>
      <c r="I2345" s="76"/>
      <c r="J2345" s="76" t="s">
        <v>609</v>
      </c>
      <c r="K2345" s="79">
        <v>5000</v>
      </c>
      <c r="L2345" s="76" t="s">
        <v>601</v>
      </c>
      <c r="M2345" s="76" t="s">
        <v>1519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1486</v>
      </c>
    </row>
    <row r="2346" spans="1:19">
      <c r="A2346" s="113">
        <v>46298.623621192128</v>
      </c>
      <c r="B2346" s="78">
        <v>46296</v>
      </c>
      <c r="C2346" s="76" t="s">
        <v>166</v>
      </c>
      <c r="D2346" s="76" t="s">
        <v>19</v>
      </c>
      <c r="E2346" s="76"/>
      <c r="F2346" s="76" t="s">
        <v>1410</v>
      </c>
      <c r="G2346" s="79">
        <v>100</v>
      </c>
      <c r="H2346" s="76" t="s">
        <v>397</v>
      </c>
      <c r="I2346" s="76" t="s">
        <v>1494</v>
      </c>
      <c r="J2346" s="76" t="s">
        <v>653</v>
      </c>
      <c r="K2346" s="79">
        <v>100</v>
      </c>
      <c r="L2346" s="76" t="s">
        <v>601</v>
      </c>
      <c r="M2346" s="76" t="s">
        <v>1520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1490</v>
      </c>
    </row>
    <row r="2347" spans="1:19">
      <c r="A2347" s="113">
        <v>46299.620147118047</v>
      </c>
      <c r="B2347" s="78">
        <v>46296</v>
      </c>
      <c r="C2347" s="76" t="s">
        <v>154</v>
      </c>
      <c r="D2347" s="76" t="s">
        <v>1108</v>
      </c>
      <c r="E2347" s="76"/>
      <c r="F2347" s="76" t="s">
        <v>750</v>
      </c>
      <c r="G2347" s="79">
        <v>50000</v>
      </c>
      <c r="H2347" s="76" t="s">
        <v>1408</v>
      </c>
      <c r="I2347" s="76" t="s">
        <v>1521</v>
      </c>
      <c r="J2347" s="76" t="s">
        <v>665</v>
      </c>
      <c r="K2347" s="79">
        <v>50000</v>
      </c>
      <c r="L2347" s="76" t="s">
        <v>601</v>
      </c>
      <c r="M2347" s="76" t="s">
        <v>1522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1502</v>
      </c>
      <c r="S2347" s="76" t="s">
        <v>636</v>
      </c>
    </row>
    <row r="2348" spans="1:19">
      <c r="A2348" s="113">
        <v>46299.620147997688</v>
      </c>
      <c r="B2348" s="78">
        <v>46296</v>
      </c>
      <c r="C2348" s="76" t="s">
        <v>190</v>
      </c>
      <c r="D2348" s="76" t="s">
        <v>650</v>
      </c>
      <c r="E2348" s="76"/>
      <c r="F2348" s="76" t="s">
        <v>687</v>
      </c>
      <c r="G2348" s="79">
        <v>50000</v>
      </c>
      <c r="H2348" s="76" t="s">
        <v>397</v>
      </c>
      <c r="I2348" s="76" t="s">
        <v>1521</v>
      </c>
      <c r="J2348" s="76" t="s">
        <v>634</v>
      </c>
      <c r="K2348" s="79">
        <v>25000</v>
      </c>
      <c r="L2348" s="76" t="s">
        <v>190</v>
      </c>
      <c r="M2348" s="76" t="s">
        <v>1523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1490</v>
      </c>
    </row>
    <row r="2349" spans="1:19">
      <c r="A2349" s="113">
        <v>46299.620834421286</v>
      </c>
      <c r="B2349" s="78">
        <v>46296</v>
      </c>
      <c r="C2349" s="76" t="s">
        <v>190</v>
      </c>
      <c r="D2349" s="76" t="s">
        <v>741</v>
      </c>
      <c r="E2349" s="76" t="s">
        <v>1019</v>
      </c>
      <c r="F2349" s="76" t="s">
        <v>1524</v>
      </c>
      <c r="G2349" s="79">
        <v>42500</v>
      </c>
      <c r="H2349" s="76" t="s">
        <v>54</v>
      </c>
      <c r="I2349" s="76" t="s">
        <v>1525</v>
      </c>
      <c r="J2349" s="76" t="s">
        <v>614</v>
      </c>
      <c r="K2349" s="79">
        <v>21250</v>
      </c>
      <c r="L2349" s="76" t="s">
        <v>190</v>
      </c>
      <c r="M2349" s="76" t="s">
        <v>1526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1490</v>
      </c>
    </row>
    <row r="2350" spans="1:19">
      <c r="A2350" s="113">
        <v>46299.620839131952</v>
      </c>
      <c r="B2350" s="78">
        <v>46296</v>
      </c>
      <c r="C2350" s="76" t="s">
        <v>190</v>
      </c>
      <c r="D2350" s="76" t="s">
        <v>741</v>
      </c>
      <c r="E2350" s="76" t="s">
        <v>1019</v>
      </c>
      <c r="F2350" s="76" t="s">
        <v>1527</v>
      </c>
      <c r="G2350" s="79">
        <v>11430</v>
      </c>
      <c r="H2350" s="76" t="s">
        <v>54</v>
      </c>
      <c r="I2350" s="76" t="s">
        <v>1188</v>
      </c>
      <c r="J2350" s="76" t="s">
        <v>614</v>
      </c>
      <c r="K2350" s="79">
        <v>5715</v>
      </c>
      <c r="L2350" s="76" t="s">
        <v>190</v>
      </c>
      <c r="M2350" s="76" t="s">
        <v>1528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1490</v>
      </c>
    </row>
    <row r="2351" spans="1:19">
      <c r="A2351" s="113">
        <v>46299.623615694443</v>
      </c>
      <c r="B2351" s="78">
        <v>46296</v>
      </c>
      <c r="C2351" s="76" t="s">
        <v>598</v>
      </c>
      <c r="D2351" s="76" t="s">
        <v>362</v>
      </c>
      <c r="E2351" s="76"/>
      <c r="F2351" s="76" t="s">
        <v>1529</v>
      </c>
      <c r="G2351" s="79">
        <v>45267</v>
      </c>
      <c r="H2351" s="76" t="s">
        <v>54</v>
      </c>
      <c r="I2351" s="76" t="s">
        <v>1530</v>
      </c>
      <c r="J2351" s="76" t="s">
        <v>600</v>
      </c>
      <c r="K2351" s="79">
        <v>45267</v>
      </c>
      <c r="L2351" s="76" t="s">
        <v>601</v>
      </c>
      <c r="M2351" s="76" t="s">
        <v>1531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1486</v>
      </c>
    </row>
    <row r="2352" spans="1:19">
      <c r="A2352" s="113">
        <v>46299.62430959491</v>
      </c>
      <c r="B2352" s="78">
        <v>46296</v>
      </c>
      <c r="C2352" s="76" t="s">
        <v>598</v>
      </c>
      <c r="D2352" s="76" t="s">
        <v>771</v>
      </c>
      <c r="E2352" s="76"/>
      <c r="F2352" s="76" t="s">
        <v>923</v>
      </c>
      <c r="G2352" s="79">
        <v>42800</v>
      </c>
      <c r="H2352" s="76" t="s">
        <v>54</v>
      </c>
      <c r="I2352" s="76" t="s">
        <v>1532</v>
      </c>
      <c r="J2352" s="76" t="s">
        <v>606</v>
      </c>
      <c r="K2352" s="79">
        <v>42800</v>
      </c>
      <c r="L2352" s="76" t="s">
        <v>601</v>
      </c>
      <c r="M2352" s="76" t="s">
        <v>1533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1486</v>
      </c>
    </row>
    <row r="2353" spans="1:18">
      <c r="A2353" s="113">
        <v>46299.625004988433</v>
      </c>
      <c r="B2353" s="78">
        <v>46296</v>
      </c>
      <c r="C2353" s="76" t="s">
        <v>598</v>
      </c>
      <c r="D2353" s="76" t="s">
        <v>362</v>
      </c>
      <c r="E2353" s="76"/>
      <c r="F2353" s="76" t="s">
        <v>561</v>
      </c>
      <c r="G2353" s="79">
        <v>4900</v>
      </c>
      <c r="H2353" s="76" t="s">
        <v>54</v>
      </c>
      <c r="I2353" s="76" t="s">
        <v>639</v>
      </c>
      <c r="J2353" s="76" t="s">
        <v>600</v>
      </c>
      <c r="K2353" s="79">
        <v>4900</v>
      </c>
      <c r="L2353" s="76" t="s">
        <v>601</v>
      </c>
      <c r="M2353" s="76" t="s">
        <v>1534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1486</v>
      </c>
    </row>
    <row r="2354" spans="1:18">
      <c r="A2354" s="113">
        <v>46299.626390810183</v>
      </c>
      <c r="B2354" s="78">
        <v>46296</v>
      </c>
      <c r="C2354" s="76" t="s">
        <v>611</v>
      </c>
      <c r="D2354" s="76" t="s">
        <v>669</v>
      </c>
      <c r="E2354" s="76" t="s">
        <v>1425</v>
      </c>
      <c r="F2354" s="76" t="s">
        <v>1232</v>
      </c>
      <c r="G2354" s="79">
        <v>6000</v>
      </c>
      <c r="H2354" s="76" t="s">
        <v>54</v>
      </c>
      <c r="I2354" s="76" t="s">
        <v>1535</v>
      </c>
      <c r="J2354" s="76" t="s">
        <v>617</v>
      </c>
      <c r="K2354" s="79">
        <v>6000</v>
      </c>
      <c r="L2354" s="76" t="s">
        <v>601</v>
      </c>
      <c r="M2354" s="76" t="s">
        <v>1536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1486</v>
      </c>
    </row>
    <row r="2355" spans="1:18">
      <c r="A2355" s="113">
        <v>46299.626394837956</v>
      </c>
      <c r="B2355" s="78">
        <v>46296</v>
      </c>
      <c r="C2355" s="76" t="s">
        <v>598</v>
      </c>
      <c r="D2355" s="76" t="s">
        <v>362</v>
      </c>
      <c r="E2355" s="76"/>
      <c r="F2355" s="76" t="s">
        <v>637</v>
      </c>
      <c r="G2355" s="79">
        <v>8965</v>
      </c>
      <c r="H2355" s="76" t="s">
        <v>54</v>
      </c>
      <c r="I2355" s="76"/>
      <c r="J2355" s="76" t="s">
        <v>600</v>
      </c>
      <c r="K2355" s="79">
        <v>8965</v>
      </c>
      <c r="L2355" s="76" t="s">
        <v>601</v>
      </c>
      <c r="M2355" s="76" t="s">
        <v>1537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1486</v>
      </c>
    </row>
    <row r="2356" spans="1:18">
      <c r="A2356" s="113">
        <v>46299.627083854168</v>
      </c>
      <c r="B2356" s="78">
        <v>46296</v>
      </c>
      <c r="C2356" s="76" t="s">
        <v>611</v>
      </c>
      <c r="D2356" s="76" t="s">
        <v>625</v>
      </c>
      <c r="E2356" s="76"/>
      <c r="F2356" s="76" t="s">
        <v>1402</v>
      </c>
      <c r="G2356" s="79">
        <v>39800</v>
      </c>
      <c r="H2356" s="76" t="s">
        <v>54</v>
      </c>
      <c r="I2356" s="76"/>
      <c r="J2356" s="76" t="s">
        <v>606</v>
      </c>
      <c r="K2356" s="79">
        <v>39800</v>
      </c>
      <c r="L2356" s="76" t="s">
        <v>601</v>
      </c>
      <c r="M2356" s="76" t="s">
        <v>1538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1486</v>
      </c>
    </row>
    <row r="2357" spans="1:18">
      <c r="A2357" s="113">
        <v>46299.62777958333</v>
      </c>
      <c r="B2357" s="78">
        <v>46296</v>
      </c>
      <c r="C2357" s="76" t="s">
        <v>611</v>
      </c>
      <c r="D2357" s="76" t="s">
        <v>452</v>
      </c>
      <c r="E2357" s="76" t="s">
        <v>603</v>
      </c>
      <c r="F2357" s="76" t="s">
        <v>1424</v>
      </c>
      <c r="G2357" s="79">
        <v>2790</v>
      </c>
      <c r="H2357" s="76" t="s">
        <v>54</v>
      </c>
      <c r="I2357" s="76" t="s">
        <v>1539</v>
      </c>
      <c r="J2357" s="76" t="s">
        <v>606</v>
      </c>
      <c r="K2357" s="79">
        <v>2790</v>
      </c>
      <c r="L2357" s="76" t="s">
        <v>601</v>
      </c>
      <c r="M2357" s="76" t="s">
        <v>1540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1486</v>
      </c>
    </row>
    <row r="2358" spans="1:18">
      <c r="A2358" s="113">
        <v>46299.627781712959</v>
      </c>
      <c r="B2358" s="78">
        <v>46296</v>
      </c>
      <c r="C2358" s="76" t="s">
        <v>611</v>
      </c>
      <c r="D2358" s="76" t="s">
        <v>452</v>
      </c>
      <c r="E2358" s="76" t="s">
        <v>603</v>
      </c>
      <c r="F2358" s="76" t="s">
        <v>886</v>
      </c>
      <c r="G2358" s="79">
        <v>3600</v>
      </c>
      <c r="H2358" s="76" t="s">
        <v>54</v>
      </c>
      <c r="I2358" s="76" t="s">
        <v>1462</v>
      </c>
      <c r="J2358" s="76" t="s">
        <v>606</v>
      </c>
      <c r="K2358" s="79">
        <v>3600</v>
      </c>
      <c r="L2358" s="76" t="s">
        <v>601</v>
      </c>
      <c r="M2358" s="76" t="s">
        <v>1541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1486</v>
      </c>
    </row>
    <row r="2359" spans="1:18">
      <c r="A2359" s="113">
        <v>46299.627787557867</v>
      </c>
      <c r="B2359" s="78">
        <v>46296</v>
      </c>
      <c r="C2359" s="76" t="s">
        <v>166</v>
      </c>
      <c r="D2359" s="76" t="s">
        <v>19</v>
      </c>
      <c r="E2359" s="76"/>
      <c r="F2359" s="76" t="s">
        <v>1410</v>
      </c>
      <c r="G2359" s="79">
        <v>100</v>
      </c>
      <c r="H2359" s="76" t="s">
        <v>397</v>
      </c>
      <c r="I2359" s="76" t="s">
        <v>1494</v>
      </c>
      <c r="J2359" s="76" t="s">
        <v>653</v>
      </c>
      <c r="K2359" s="79">
        <v>100</v>
      </c>
      <c r="L2359" s="76" t="s">
        <v>601</v>
      </c>
      <c r="M2359" s="76" t="s">
        <v>1542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1490</v>
      </c>
    </row>
    <row r="2360" spans="1:18">
      <c r="A2360" s="113">
        <v>46299.628480254629</v>
      </c>
      <c r="B2360" s="78">
        <v>46296</v>
      </c>
      <c r="C2360" s="76" t="s">
        <v>611</v>
      </c>
      <c r="D2360" s="76" t="s">
        <v>625</v>
      </c>
      <c r="E2360" s="76"/>
      <c r="F2360" s="76" t="s">
        <v>604</v>
      </c>
      <c r="G2360" s="79">
        <v>11900</v>
      </c>
      <c r="H2360" s="76" t="s">
        <v>54</v>
      </c>
      <c r="I2360" s="76" t="s">
        <v>1543</v>
      </c>
      <c r="J2360" s="76" t="s">
        <v>606</v>
      </c>
      <c r="K2360" s="79">
        <v>11900</v>
      </c>
      <c r="L2360" s="76" t="s">
        <v>601</v>
      </c>
      <c r="M2360" s="76" t="s">
        <v>1544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1486</v>
      </c>
    </row>
    <row r="2361" spans="1:18">
      <c r="A2361" s="113">
        <v>46299.628481134263</v>
      </c>
      <c r="B2361" s="78">
        <v>46296</v>
      </c>
      <c r="C2361" s="76" t="s">
        <v>611</v>
      </c>
      <c r="D2361" s="76" t="s">
        <v>452</v>
      </c>
      <c r="E2361" s="76" t="s">
        <v>603</v>
      </c>
      <c r="F2361" s="76" t="s">
        <v>604</v>
      </c>
      <c r="G2361" s="79">
        <v>6000</v>
      </c>
      <c r="H2361" s="76" t="s">
        <v>54</v>
      </c>
      <c r="I2361" s="76" t="s">
        <v>688</v>
      </c>
      <c r="J2361" s="76" t="s">
        <v>606</v>
      </c>
      <c r="K2361" s="79">
        <v>6000</v>
      </c>
      <c r="L2361" s="76" t="s">
        <v>601</v>
      </c>
      <c r="M2361" s="76" t="s">
        <v>1545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1486</v>
      </c>
    </row>
    <row r="2362" spans="1:18">
      <c r="A2362" s="113">
        <v>46300.022222222222</v>
      </c>
      <c r="B2362" s="78">
        <v>46296</v>
      </c>
      <c r="C2362" s="76" t="s">
        <v>611</v>
      </c>
      <c r="D2362" s="76" t="s">
        <v>640</v>
      </c>
      <c r="E2362" s="76"/>
      <c r="F2362" s="76" t="s">
        <v>1546</v>
      </c>
      <c r="G2362" s="79">
        <v>10200</v>
      </c>
      <c r="H2362" s="76" t="s">
        <v>54</v>
      </c>
      <c r="I2362" s="76" t="s">
        <v>496</v>
      </c>
      <c r="J2362" s="76" t="s">
        <v>600</v>
      </c>
      <c r="K2362" s="79">
        <v>10200</v>
      </c>
      <c r="L2362" s="76" t="s">
        <v>601</v>
      </c>
      <c r="M2362" s="76" t="s">
        <v>1547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1486</v>
      </c>
    </row>
    <row r="2363" spans="1:18">
      <c r="A2363" s="113">
        <v>46300.629175821763</v>
      </c>
      <c r="B2363" s="78">
        <v>46296</v>
      </c>
      <c r="C2363" s="76" t="s">
        <v>681</v>
      </c>
      <c r="D2363" s="76" t="s">
        <v>625</v>
      </c>
      <c r="E2363" s="76"/>
      <c r="F2363" s="76" t="s">
        <v>365</v>
      </c>
      <c r="G2363" s="79">
        <v>17460</v>
      </c>
      <c r="H2363" s="76" t="s">
        <v>54</v>
      </c>
      <c r="I2363" s="76" t="s">
        <v>1548</v>
      </c>
      <c r="J2363" s="76" t="s">
        <v>606</v>
      </c>
      <c r="K2363" s="79">
        <v>17460</v>
      </c>
      <c r="L2363" s="76" t="s">
        <v>601</v>
      </c>
      <c r="M2363" s="76" t="s">
        <v>1549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1486</v>
      </c>
    </row>
    <row r="2364" spans="1:18">
      <c r="A2364" s="113">
        <v>46300.62986385417</v>
      </c>
      <c r="B2364" s="78">
        <v>46296</v>
      </c>
      <c r="C2364" s="76" t="s">
        <v>611</v>
      </c>
      <c r="D2364" s="76" t="s">
        <v>625</v>
      </c>
      <c r="E2364" s="76"/>
      <c r="F2364" s="76" t="s">
        <v>934</v>
      </c>
      <c r="G2364" s="79">
        <v>15000</v>
      </c>
      <c r="H2364" s="76" t="s">
        <v>54</v>
      </c>
      <c r="I2364" s="76"/>
      <c r="J2364" s="76" t="s">
        <v>606</v>
      </c>
      <c r="K2364" s="79">
        <v>15000</v>
      </c>
      <c r="L2364" s="76" t="s">
        <v>601</v>
      </c>
      <c r="M2364" s="76" t="s">
        <v>1550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1486</v>
      </c>
    </row>
    <row r="2365" spans="1:18">
      <c r="A2365" s="113">
        <v>46300.629866979158</v>
      </c>
      <c r="B2365" s="78">
        <v>46296</v>
      </c>
      <c r="C2365" s="76" t="s">
        <v>611</v>
      </c>
      <c r="D2365" s="76" t="s">
        <v>735</v>
      </c>
      <c r="E2365" s="76"/>
      <c r="F2365" s="76" t="s">
        <v>1551</v>
      </c>
      <c r="G2365" s="79">
        <v>12900</v>
      </c>
      <c r="H2365" s="76" t="s">
        <v>54</v>
      </c>
      <c r="I2365" s="76" t="s">
        <v>1552</v>
      </c>
      <c r="J2365" s="76" t="s">
        <v>606</v>
      </c>
      <c r="K2365" s="79">
        <v>12900</v>
      </c>
      <c r="L2365" s="76" t="s">
        <v>601</v>
      </c>
      <c r="M2365" s="76" t="s">
        <v>1553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1486</v>
      </c>
    </row>
    <row r="2366" spans="1:18">
      <c r="A2366" s="113">
        <v>46300.6347337037</v>
      </c>
      <c r="B2366" s="78">
        <v>46296</v>
      </c>
      <c r="C2366" s="76" t="s">
        <v>681</v>
      </c>
      <c r="D2366" s="76" t="s">
        <v>452</v>
      </c>
      <c r="E2366" s="76" t="s">
        <v>603</v>
      </c>
      <c r="F2366" s="76" t="s">
        <v>803</v>
      </c>
      <c r="G2366" s="79">
        <v>4400</v>
      </c>
      <c r="H2366" s="76" t="s">
        <v>54</v>
      </c>
      <c r="I2366" s="76"/>
      <c r="J2366" s="76" t="s">
        <v>606</v>
      </c>
      <c r="K2366" s="79">
        <v>4400</v>
      </c>
      <c r="L2366" s="76" t="s">
        <v>601</v>
      </c>
      <c r="M2366" s="76" t="s">
        <v>1554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1486</v>
      </c>
    </row>
    <row r="2367" spans="1:18">
      <c r="A2367" s="113">
        <v>46300.638203958333</v>
      </c>
      <c r="B2367" s="78">
        <v>46296</v>
      </c>
      <c r="C2367" s="76" t="s">
        <v>598</v>
      </c>
      <c r="D2367" s="76" t="s">
        <v>640</v>
      </c>
      <c r="E2367" s="76"/>
      <c r="F2367" s="76" t="s">
        <v>654</v>
      </c>
      <c r="G2367" s="79">
        <v>71130</v>
      </c>
      <c r="H2367" s="76" t="s">
        <v>54</v>
      </c>
      <c r="I2367" s="76" t="s">
        <v>1555</v>
      </c>
      <c r="J2367" s="76" t="s">
        <v>624</v>
      </c>
      <c r="K2367" s="79">
        <v>71130</v>
      </c>
      <c r="L2367" s="76" t="s">
        <v>601</v>
      </c>
      <c r="M2367" s="76" t="s">
        <v>1556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1486</v>
      </c>
    </row>
    <row r="2368" spans="1:18">
      <c r="A2368" s="113">
        <v>46300.860425555547</v>
      </c>
      <c r="B2368" s="78">
        <v>46296</v>
      </c>
      <c r="C2368" s="76" t="s">
        <v>166</v>
      </c>
      <c r="D2368" s="76" t="s">
        <v>19</v>
      </c>
      <c r="E2368" s="76"/>
      <c r="F2368" s="76" t="s">
        <v>1410</v>
      </c>
      <c r="G2368" s="79">
        <v>100</v>
      </c>
      <c r="H2368" s="76" t="s">
        <v>397</v>
      </c>
      <c r="I2368" s="76" t="s">
        <v>1494</v>
      </c>
      <c r="J2368" s="76" t="s">
        <v>653</v>
      </c>
      <c r="K2368" s="79">
        <v>100</v>
      </c>
      <c r="L2368" s="76" t="s">
        <v>601</v>
      </c>
      <c r="M2368" s="76" t="s">
        <v>1557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1490</v>
      </c>
    </row>
    <row r="2369" spans="1:18">
      <c r="A2369" s="113">
        <v>46300.860427546293</v>
      </c>
      <c r="B2369" s="78">
        <v>46296</v>
      </c>
      <c r="C2369" s="76" t="s">
        <v>681</v>
      </c>
      <c r="D2369" s="76" t="s">
        <v>452</v>
      </c>
      <c r="E2369" s="76" t="s">
        <v>615</v>
      </c>
      <c r="F2369" s="76" t="s">
        <v>365</v>
      </c>
      <c r="G2369" s="79">
        <v>60660</v>
      </c>
      <c r="H2369" s="76" t="s">
        <v>54</v>
      </c>
      <c r="I2369" s="76" t="s">
        <v>616</v>
      </c>
      <c r="J2369" s="76" t="s">
        <v>606</v>
      </c>
      <c r="K2369" s="79">
        <v>60660</v>
      </c>
      <c r="L2369" s="76" t="s">
        <v>601</v>
      </c>
      <c r="M2369" s="76" t="s">
        <v>1558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1486</v>
      </c>
    </row>
    <row r="2370" spans="1:18">
      <c r="A2370" s="113">
        <v>46301.861809097223</v>
      </c>
      <c r="B2370" s="78">
        <v>46296</v>
      </c>
      <c r="C2370" s="76" t="s">
        <v>681</v>
      </c>
      <c r="D2370" s="76" t="s">
        <v>625</v>
      </c>
      <c r="E2370" s="76"/>
      <c r="F2370" s="76" t="s">
        <v>365</v>
      </c>
      <c r="G2370" s="79">
        <v>49410</v>
      </c>
      <c r="H2370" s="76" t="s">
        <v>54</v>
      </c>
      <c r="I2370" s="76" t="s">
        <v>1559</v>
      </c>
      <c r="J2370" s="76" t="s">
        <v>606</v>
      </c>
      <c r="K2370" s="79">
        <v>49410</v>
      </c>
      <c r="L2370" s="76" t="s">
        <v>601</v>
      </c>
      <c r="M2370" s="76" t="s">
        <v>1560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1486</v>
      </c>
    </row>
    <row r="2371" spans="1:18">
      <c r="A2371" s="113">
        <v>46301.862507731479</v>
      </c>
      <c r="B2371" s="78">
        <v>46296</v>
      </c>
      <c r="C2371" s="76" t="s">
        <v>598</v>
      </c>
      <c r="D2371" s="76" t="s">
        <v>775</v>
      </c>
      <c r="E2371" s="76"/>
      <c r="F2371" s="76" t="s">
        <v>911</v>
      </c>
      <c r="G2371" s="79">
        <v>14900</v>
      </c>
      <c r="H2371" s="76" t="s">
        <v>54</v>
      </c>
      <c r="I2371" s="76" t="s">
        <v>1561</v>
      </c>
      <c r="J2371" s="76" t="s">
        <v>606</v>
      </c>
      <c r="K2371" s="79">
        <v>14900</v>
      </c>
      <c r="L2371" s="76" t="s">
        <v>601</v>
      </c>
      <c r="M2371" s="76" t="s">
        <v>1562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1486</v>
      </c>
    </row>
    <row r="2372" spans="1:18">
      <c r="A2372" s="113">
        <v>46301.86319935185</v>
      </c>
      <c r="B2372" s="78">
        <v>46296</v>
      </c>
      <c r="C2372" s="76" t="s">
        <v>681</v>
      </c>
      <c r="D2372" s="76" t="s">
        <v>775</v>
      </c>
      <c r="E2372" s="76"/>
      <c r="F2372" s="76" t="s">
        <v>365</v>
      </c>
      <c r="G2372" s="79">
        <v>26310</v>
      </c>
      <c r="H2372" s="76" t="s">
        <v>54</v>
      </c>
      <c r="I2372" s="76" t="s">
        <v>1563</v>
      </c>
      <c r="J2372" s="76" t="s">
        <v>606</v>
      </c>
      <c r="K2372" s="79">
        <v>26310</v>
      </c>
      <c r="L2372" s="76" t="s">
        <v>601</v>
      </c>
      <c r="M2372" s="76" t="s">
        <v>1564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1486</v>
      </c>
    </row>
    <row r="2373" spans="1:18">
      <c r="A2373" s="113">
        <v>46301.863889953704</v>
      </c>
      <c r="B2373" s="78">
        <v>46296</v>
      </c>
      <c r="C2373" s="76" t="s">
        <v>611</v>
      </c>
      <c r="D2373" s="76" t="s">
        <v>453</v>
      </c>
      <c r="E2373" s="76"/>
      <c r="F2373" s="76" t="s">
        <v>453</v>
      </c>
      <c r="G2373" s="79">
        <v>5000</v>
      </c>
      <c r="H2373" s="76" t="s">
        <v>54</v>
      </c>
      <c r="I2373" s="76"/>
      <c r="J2373" s="76" t="s">
        <v>606</v>
      </c>
      <c r="K2373" s="79">
        <v>5000</v>
      </c>
      <c r="L2373" s="76" t="s">
        <v>601</v>
      </c>
      <c r="M2373" s="76" t="s">
        <v>1565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1486</v>
      </c>
    </row>
    <row r="2374" spans="1:18">
      <c r="A2374" s="113">
        <v>46301.864588101853</v>
      </c>
      <c r="B2374" s="78">
        <v>46296</v>
      </c>
      <c r="C2374" s="76" t="s">
        <v>681</v>
      </c>
      <c r="D2374" s="76" t="s">
        <v>775</v>
      </c>
      <c r="E2374" s="76"/>
      <c r="F2374" s="76" t="s">
        <v>365</v>
      </c>
      <c r="G2374" s="79">
        <v>23860</v>
      </c>
      <c r="H2374" s="76" t="s">
        <v>54</v>
      </c>
      <c r="I2374" s="76" t="s">
        <v>1566</v>
      </c>
      <c r="J2374" s="76" t="s">
        <v>606</v>
      </c>
      <c r="K2374" s="79">
        <v>23860</v>
      </c>
      <c r="L2374" s="76" t="s">
        <v>601</v>
      </c>
      <c r="M2374" s="76" t="s">
        <v>1567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1486</v>
      </c>
    </row>
    <row r="2375" spans="1:18">
      <c r="A2375" s="113">
        <v>46301.864593298611</v>
      </c>
      <c r="B2375" s="78">
        <v>46296</v>
      </c>
      <c r="C2375" s="76" t="s">
        <v>187</v>
      </c>
      <c r="D2375" s="76" t="s">
        <v>19</v>
      </c>
      <c r="E2375" s="76"/>
      <c r="F2375" s="76" t="s">
        <v>836</v>
      </c>
      <c r="G2375" s="79">
        <v>160</v>
      </c>
      <c r="H2375" s="76" t="s">
        <v>397</v>
      </c>
      <c r="I2375" s="76"/>
      <c r="J2375" s="76" t="s">
        <v>653</v>
      </c>
      <c r="K2375" s="79">
        <v>160</v>
      </c>
      <c r="L2375" s="76" t="s">
        <v>601</v>
      </c>
      <c r="M2375" s="76" t="s">
        <v>1568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1490</v>
      </c>
    </row>
    <row r="2376" spans="1:18">
      <c r="A2376" s="113">
        <v>46301.864594143517</v>
      </c>
      <c r="B2376" s="78">
        <v>46296</v>
      </c>
      <c r="C2376" s="76" t="s">
        <v>712</v>
      </c>
      <c r="D2376" s="76" t="s">
        <v>452</v>
      </c>
      <c r="E2376" s="76" t="s">
        <v>615</v>
      </c>
      <c r="F2376" s="76" t="s">
        <v>1569</v>
      </c>
      <c r="G2376" s="79">
        <v>-1300</v>
      </c>
      <c r="H2376" s="76" t="s">
        <v>54</v>
      </c>
      <c r="I2376" s="76" t="s">
        <v>1569</v>
      </c>
      <c r="J2376" s="76" t="s">
        <v>606</v>
      </c>
      <c r="K2376" s="79">
        <v>-1300</v>
      </c>
      <c r="L2376" s="76" t="s">
        <v>601</v>
      </c>
      <c r="M2376" s="76" t="s">
        <v>2541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1490</v>
      </c>
    </row>
    <row r="2377" spans="1:18">
      <c r="A2377" s="113">
        <v>46301.872806736108</v>
      </c>
      <c r="B2377" s="78">
        <v>46296</v>
      </c>
      <c r="C2377" s="76" t="s">
        <v>681</v>
      </c>
      <c r="D2377" s="76" t="s">
        <v>452</v>
      </c>
      <c r="E2377" s="76" t="s">
        <v>615</v>
      </c>
      <c r="F2377" s="76" t="s">
        <v>365</v>
      </c>
      <c r="G2377" s="79">
        <v>9680</v>
      </c>
      <c r="H2377" s="76" t="s">
        <v>54</v>
      </c>
      <c r="I2377" s="76" t="s">
        <v>1570</v>
      </c>
      <c r="J2377" s="76" t="s">
        <v>606</v>
      </c>
      <c r="K2377" s="79">
        <v>9680</v>
      </c>
      <c r="L2377" s="76" t="s">
        <v>601</v>
      </c>
      <c r="M2377" s="76" t="s">
        <v>1571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1486</v>
      </c>
    </row>
    <row r="2378" spans="1:18">
      <c r="A2378" s="113">
        <v>46302.798612881947</v>
      </c>
      <c r="B2378" s="78">
        <v>46296</v>
      </c>
      <c r="C2378" s="76" t="s">
        <v>611</v>
      </c>
      <c r="D2378" s="76" t="s">
        <v>453</v>
      </c>
      <c r="E2378" s="76"/>
      <c r="F2378" s="76" t="s">
        <v>453</v>
      </c>
      <c r="G2378" s="79">
        <v>5000</v>
      </c>
      <c r="H2378" s="76" t="s">
        <v>54</v>
      </c>
      <c r="I2378" s="76"/>
      <c r="J2378" s="76" t="s">
        <v>606</v>
      </c>
      <c r="K2378" s="79">
        <v>5000</v>
      </c>
      <c r="L2378" s="76" t="s">
        <v>601</v>
      </c>
      <c r="M2378" s="76" t="s">
        <v>1572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1486</v>
      </c>
    </row>
    <row r="2379" spans="1:18">
      <c r="A2379" s="113">
        <v>46302.799314027783</v>
      </c>
      <c r="B2379" s="78">
        <v>46296</v>
      </c>
      <c r="C2379" s="76" t="s">
        <v>598</v>
      </c>
      <c r="D2379" s="76" t="s">
        <v>741</v>
      </c>
      <c r="E2379" s="76" t="s">
        <v>59</v>
      </c>
      <c r="F2379" s="76" t="s">
        <v>1573</v>
      </c>
      <c r="G2379" s="79">
        <v>39000</v>
      </c>
      <c r="H2379" s="76" t="s">
        <v>54</v>
      </c>
      <c r="I2379" s="76" t="s">
        <v>1574</v>
      </c>
      <c r="J2379" s="76" t="s">
        <v>59</v>
      </c>
      <c r="K2379" s="79">
        <v>39000</v>
      </c>
      <c r="L2379" s="76" t="s">
        <v>601</v>
      </c>
      <c r="M2379" s="76" t="s">
        <v>1575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1486</v>
      </c>
    </row>
    <row r="2380" spans="1:18">
      <c r="A2380" s="113">
        <v>46302.799315416669</v>
      </c>
      <c r="B2380" s="78">
        <v>46296</v>
      </c>
      <c r="C2380" s="76" t="s">
        <v>598</v>
      </c>
      <c r="D2380" s="76" t="s">
        <v>741</v>
      </c>
      <c r="E2380" s="76" t="s">
        <v>59</v>
      </c>
      <c r="F2380" s="76" t="s">
        <v>1576</v>
      </c>
      <c r="G2380" s="79">
        <v>35000</v>
      </c>
      <c r="H2380" s="76" t="s">
        <v>54</v>
      </c>
      <c r="I2380" s="76" t="s">
        <v>1574</v>
      </c>
      <c r="J2380" s="76" t="s">
        <v>59</v>
      </c>
      <c r="K2380" s="79">
        <v>35000</v>
      </c>
      <c r="L2380" s="76" t="s">
        <v>601</v>
      </c>
      <c r="M2380" s="76" t="s">
        <v>1577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1486</v>
      </c>
    </row>
    <row r="2381" spans="1:18">
      <c r="A2381" s="113">
        <v>46302.800002662043</v>
      </c>
      <c r="B2381" s="78">
        <v>46296</v>
      </c>
      <c r="C2381" s="76" t="s">
        <v>611</v>
      </c>
      <c r="D2381" s="76" t="s">
        <v>452</v>
      </c>
      <c r="E2381" s="76" t="s">
        <v>612</v>
      </c>
      <c r="F2381" s="76" t="s">
        <v>886</v>
      </c>
      <c r="G2381" s="79">
        <v>6200</v>
      </c>
      <c r="H2381" s="76" t="s">
        <v>54</v>
      </c>
      <c r="I2381" s="76"/>
      <c r="J2381" s="76" t="s">
        <v>606</v>
      </c>
      <c r="K2381" s="79">
        <v>6200</v>
      </c>
      <c r="L2381" s="76" t="s">
        <v>601</v>
      </c>
      <c r="M2381" s="76" t="s">
        <v>1578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1486</v>
      </c>
    </row>
    <row r="2382" spans="1:18">
      <c r="A2382" s="113">
        <v>46302.800695717589</v>
      </c>
      <c r="B2382" s="78">
        <v>46296</v>
      </c>
      <c r="C2382" s="76" t="s">
        <v>166</v>
      </c>
      <c r="D2382" s="76" t="s">
        <v>19</v>
      </c>
      <c r="E2382" s="76"/>
      <c r="F2382" s="76" t="s">
        <v>1410</v>
      </c>
      <c r="G2382" s="79">
        <v>100</v>
      </c>
      <c r="H2382" s="76" t="s">
        <v>397</v>
      </c>
      <c r="I2382" s="76" t="s">
        <v>1494</v>
      </c>
      <c r="J2382" s="76" t="s">
        <v>653</v>
      </c>
      <c r="K2382" s="79">
        <v>100</v>
      </c>
      <c r="L2382" s="76" t="s">
        <v>601</v>
      </c>
      <c r="M2382" s="76" t="s">
        <v>1579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1490</v>
      </c>
    </row>
    <row r="2383" spans="1:18">
      <c r="A2383" s="113">
        <v>46302.80070349537</v>
      </c>
      <c r="B2383" s="78">
        <v>46296</v>
      </c>
      <c r="C2383" s="76" t="s">
        <v>611</v>
      </c>
      <c r="D2383" s="76" t="s">
        <v>452</v>
      </c>
      <c r="E2383" s="76" t="s">
        <v>615</v>
      </c>
      <c r="F2383" s="76" t="s">
        <v>956</v>
      </c>
      <c r="G2383" s="79">
        <v>32570</v>
      </c>
      <c r="H2383" s="76" t="s">
        <v>54</v>
      </c>
      <c r="I2383" s="76" t="s">
        <v>1580</v>
      </c>
      <c r="J2383" s="76" t="s">
        <v>606</v>
      </c>
      <c r="K2383" s="79">
        <v>32570</v>
      </c>
      <c r="L2383" s="76" t="s">
        <v>601</v>
      </c>
      <c r="M2383" s="76" t="s">
        <v>1581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1486</v>
      </c>
    </row>
    <row r="2384" spans="1:18">
      <c r="A2384" s="113">
        <v>46302.801394097223</v>
      </c>
      <c r="B2384" s="78">
        <v>46296</v>
      </c>
      <c r="C2384" s="76" t="s">
        <v>611</v>
      </c>
      <c r="D2384" s="76" t="s">
        <v>452</v>
      </c>
      <c r="E2384" s="76" t="s">
        <v>603</v>
      </c>
      <c r="F2384" s="76" t="s">
        <v>604</v>
      </c>
      <c r="G2384" s="79">
        <v>3100</v>
      </c>
      <c r="H2384" s="76" t="s">
        <v>54</v>
      </c>
      <c r="I2384" s="76" t="s">
        <v>890</v>
      </c>
      <c r="J2384" s="76" t="s">
        <v>606</v>
      </c>
      <c r="K2384" s="79">
        <v>3100</v>
      </c>
      <c r="L2384" s="76" t="s">
        <v>601</v>
      </c>
      <c r="M2384" s="76" t="s">
        <v>1582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1486</v>
      </c>
    </row>
    <row r="2385" spans="1:18">
      <c r="A2385" s="113">
        <v>46302.802090486111</v>
      </c>
      <c r="B2385" s="78">
        <v>46296</v>
      </c>
      <c r="C2385" s="76" t="s">
        <v>611</v>
      </c>
      <c r="D2385" s="76" t="s">
        <v>453</v>
      </c>
      <c r="E2385" s="76"/>
      <c r="F2385" s="76" t="s">
        <v>453</v>
      </c>
      <c r="G2385" s="79">
        <v>5000</v>
      </c>
      <c r="H2385" s="76" t="s">
        <v>54</v>
      </c>
      <c r="I2385" s="76"/>
      <c r="J2385" s="76" t="s">
        <v>606</v>
      </c>
      <c r="K2385" s="79">
        <v>5000</v>
      </c>
      <c r="L2385" s="76" t="s">
        <v>601</v>
      </c>
      <c r="M2385" s="76" t="s">
        <v>1583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1486</v>
      </c>
    </row>
    <row r="2386" spans="1:18">
      <c r="A2386" s="113">
        <v>46302.838202303239</v>
      </c>
      <c r="B2386" s="78">
        <v>46296</v>
      </c>
      <c r="C2386" s="76" t="s">
        <v>187</v>
      </c>
      <c r="D2386" s="76" t="s">
        <v>19</v>
      </c>
      <c r="E2386" s="76"/>
      <c r="F2386" s="76" t="s">
        <v>763</v>
      </c>
      <c r="G2386" s="79">
        <v>1</v>
      </c>
      <c r="H2386" s="76" t="s">
        <v>397</v>
      </c>
      <c r="I2386" s="76"/>
      <c r="J2386" s="76" t="s">
        <v>653</v>
      </c>
      <c r="K2386" s="79">
        <v>1</v>
      </c>
      <c r="L2386" s="76" t="s">
        <v>601</v>
      </c>
      <c r="M2386" s="76" t="s">
        <v>1584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1490</v>
      </c>
    </row>
    <row r="2387" spans="1:18">
      <c r="A2387" s="113">
        <v>46302.840281273151</v>
      </c>
      <c r="B2387" s="78">
        <v>46296</v>
      </c>
      <c r="C2387" s="76" t="s">
        <v>138</v>
      </c>
      <c r="D2387" s="76" t="s">
        <v>650</v>
      </c>
      <c r="E2387" s="76"/>
      <c r="F2387" s="76" t="s">
        <v>687</v>
      </c>
      <c r="G2387" s="79">
        <v>100000</v>
      </c>
      <c r="H2387" s="76" t="s">
        <v>397</v>
      </c>
      <c r="I2387" s="76"/>
      <c r="J2387" s="76" t="s">
        <v>650</v>
      </c>
      <c r="K2387" s="79">
        <v>0</v>
      </c>
      <c r="L2387" s="76" t="s">
        <v>138</v>
      </c>
      <c r="M2387" s="76" t="s">
        <v>1585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1490</v>
      </c>
    </row>
    <row r="2388" spans="1:18">
      <c r="A2388" s="113">
        <v>46302.840977743057</v>
      </c>
      <c r="B2388" s="78">
        <v>46296</v>
      </c>
      <c r="C2388" s="76" t="s">
        <v>190</v>
      </c>
      <c r="D2388" s="76" t="s">
        <v>741</v>
      </c>
      <c r="E2388" s="76" t="s">
        <v>1019</v>
      </c>
      <c r="F2388" s="76" t="s">
        <v>682</v>
      </c>
      <c r="G2388" s="79">
        <v>40100</v>
      </c>
      <c r="H2388" s="76" t="s">
        <v>54</v>
      </c>
      <c r="I2388" s="76" t="s">
        <v>1586</v>
      </c>
      <c r="J2388" s="76" t="s">
        <v>614</v>
      </c>
      <c r="K2388" s="79">
        <v>20050</v>
      </c>
      <c r="L2388" s="76" t="s">
        <v>190</v>
      </c>
      <c r="M2388" s="76" t="s">
        <v>1587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1490</v>
      </c>
    </row>
    <row r="2389" spans="1:18">
      <c r="A2389" s="113">
        <v>46302.841672476847</v>
      </c>
      <c r="B2389" s="78">
        <v>46296</v>
      </c>
      <c r="C2389" s="76" t="s">
        <v>436</v>
      </c>
      <c r="D2389" s="76" t="s">
        <v>650</v>
      </c>
      <c r="E2389" s="76"/>
      <c r="F2389" s="76" t="s">
        <v>687</v>
      </c>
      <c r="G2389" s="79">
        <v>20000</v>
      </c>
      <c r="H2389" s="76" t="s">
        <v>397</v>
      </c>
      <c r="I2389" s="76"/>
      <c r="J2389" s="76" t="s">
        <v>650</v>
      </c>
      <c r="K2389" s="79">
        <v>0</v>
      </c>
      <c r="L2389" s="76" t="s">
        <v>436</v>
      </c>
      <c r="M2389" s="76" t="s">
        <v>1588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1490</v>
      </c>
    </row>
    <row r="2390" spans="1:18">
      <c r="A2390" s="113">
        <v>46303.802088564807</v>
      </c>
      <c r="B2390" s="78">
        <v>46296</v>
      </c>
      <c r="C2390" s="76" t="s">
        <v>598</v>
      </c>
      <c r="D2390" s="76" t="s">
        <v>771</v>
      </c>
      <c r="E2390" s="76"/>
      <c r="F2390" s="76" t="s">
        <v>923</v>
      </c>
      <c r="G2390" s="79">
        <v>39500</v>
      </c>
      <c r="H2390" s="76" t="s">
        <v>54</v>
      </c>
      <c r="I2390" s="76" t="s">
        <v>1507</v>
      </c>
      <c r="J2390" s="76" t="s">
        <v>606</v>
      </c>
      <c r="K2390" s="79">
        <v>39500</v>
      </c>
      <c r="L2390" s="76" t="s">
        <v>601</v>
      </c>
      <c r="M2390" s="76" t="s">
        <v>1589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1486</v>
      </c>
    </row>
    <row r="2391" spans="1:18">
      <c r="A2391" s="113">
        <v>46303.802782650462</v>
      </c>
      <c r="B2391" s="78">
        <v>46296</v>
      </c>
      <c r="C2391" s="76" t="s">
        <v>611</v>
      </c>
      <c r="D2391" s="76" t="s">
        <v>452</v>
      </c>
      <c r="E2391" s="76" t="s">
        <v>603</v>
      </c>
      <c r="F2391" s="76" t="s">
        <v>604</v>
      </c>
      <c r="G2391" s="79">
        <v>3700</v>
      </c>
      <c r="H2391" s="76" t="s">
        <v>54</v>
      </c>
      <c r="I2391" s="76" t="s">
        <v>1590</v>
      </c>
      <c r="J2391" s="76" t="s">
        <v>606</v>
      </c>
      <c r="K2391" s="79">
        <v>3700</v>
      </c>
      <c r="L2391" s="76" t="s">
        <v>601</v>
      </c>
      <c r="M2391" s="76" t="s">
        <v>1591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1486</v>
      </c>
    </row>
    <row r="2392" spans="1:18">
      <c r="A2392" s="113">
        <v>46303.803476446759</v>
      </c>
      <c r="B2392" s="78">
        <v>46296</v>
      </c>
      <c r="C2392" s="76" t="s">
        <v>611</v>
      </c>
      <c r="D2392" s="76" t="s">
        <v>735</v>
      </c>
      <c r="E2392" s="76"/>
      <c r="F2392" s="76" t="s">
        <v>1412</v>
      </c>
      <c r="G2392" s="79">
        <v>14000</v>
      </c>
      <c r="H2392" s="76" t="s">
        <v>54</v>
      </c>
      <c r="I2392" s="76"/>
      <c r="J2392" s="76" t="s">
        <v>606</v>
      </c>
      <c r="K2392" s="79">
        <v>14000</v>
      </c>
      <c r="L2392" s="76" t="s">
        <v>601</v>
      </c>
      <c r="M2392" s="76" t="s">
        <v>1592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1486</v>
      </c>
    </row>
    <row r="2393" spans="1:18">
      <c r="A2393" s="113">
        <v>46303.803478287038</v>
      </c>
      <c r="B2393" s="78">
        <v>46296</v>
      </c>
      <c r="C2393" s="76" t="s">
        <v>611</v>
      </c>
      <c r="D2393" s="76" t="s">
        <v>452</v>
      </c>
      <c r="E2393" s="76" t="s">
        <v>603</v>
      </c>
      <c r="F2393" s="76" t="s">
        <v>643</v>
      </c>
      <c r="G2393" s="79">
        <v>5000</v>
      </c>
      <c r="H2393" s="76" t="s">
        <v>54</v>
      </c>
      <c r="I2393" s="76"/>
      <c r="J2393" s="76" t="s">
        <v>606</v>
      </c>
      <c r="K2393" s="79">
        <v>5000</v>
      </c>
      <c r="L2393" s="76" t="s">
        <v>601</v>
      </c>
      <c r="M2393" s="76" t="s">
        <v>1593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1486</v>
      </c>
    </row>
    <row r="2394" spans="1:18">
      <c r="A2394" s="113">
        <v>46303.803482546296</v>
      </c>
      <c r="B2394" s="78">
        <v>46296</v>
      </c>
      <c r="C2394" s="76" t="s">
        <v>611</v>
      </c>
      <c r="D2394" s="76" t="s">
        <v>452</v>
      </c>
      <c r="E2394" s="76" t="s">
        <v>603</v>
      </c>
      <c r="F2394" s="76" t="s">
        <v>945</v>
      </c>
      <c r="G2394" s="79">
        <v>8000</v>
      </c>
      <c r="H2394" s="76" t="s">
        <v>54</v>
      </c>
      <c r="I2394" s="76" t="s">
        <v>688</v>
      </c>
      <c r="J2394" s="76" t="s">
        <v>606</v>
      </c>
      <c r="K2394" s="79">
        <v>8000</v>
      </c>
      <c r="L2394" s="76" t="s">
        <v>601</v>
      </c>
      <c r="M2394" s="76" t="s">
        <v>1594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1486</v>
      </c>
    </row>
    <row r="2395" spans="1:18">
      <c r="A2395" s="113">
        <v>46303.804170462958</v>
      </c>
      <c r="B2395" s="78">
        <v>46296</v>
      </c>
      <c r="C2395" s="76" t="s">
        <v>166</v>
      </c>
      <c r="D2395" s="76" t="s">
        <v>19</v>
      </c>
      <c r="E2395" s="76"/>
      <c r="F2395" s="76" t="s">
        <v>1410</v>
      </c>
      <c r="G2395" s="79">
        <v>100</v>
      </c>
      <c r="H2395" s="76" t="s">
        <v>397</v>
      </c>
      <c r="I2395" s="76" t="s">
        <v>1494</v>
      </c>
      <c r="J2395" s="76" t="s">
        <v>653</v>
      </c>
      <c r="K2395" s="79">
        <v>100</v>
      </c>
      <c r="L2395" s="76" t="s">
        <v>601</v>
      </c>
      <c r="M2395" s="76" t="s">
        <v>1595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1490</v>
      </c>
    </row>
    <row r="2396" spans="1:18">
      <c r="A2396" s="113">
        <v>46303.804171215277</v>
      </c>
      <c r="B2396" s="78">
        <v>46296</v>
      </c>
      <c r="C2396" s="76" t="s">
        <v>166</v>
      </c>
      <c r="D2396" s="76" t="s">
        <v>19</v>
      </c>
      <c r="E2396" s="76"/>
      <c r="F2396" s="76" t="s">
        <v>1410</v>
      </c>
      <c r="G2396" s="79">
        <v>100</v>
      </c>
      <c r="H2396" s="76" t="s">
        <v>397</v>
      </c>
      <c r="I2396" s="76" t="s">
        <v>1494</v>
      </c>
      <c r="J2396" s="76" t="s">
        <v>653</v>
      </c>
      <c r="K2396" s="79">
        <v>100</v>
      </c>
      <c r="L2396" s="76" t="s">
        <v>601</v>
      </c>
      <c r="M2396" s="76" t="s">
        <v>1596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1490</v>
      </c>
    </row>
    <row r="2397" spans="1:18">
      <c r="A2397" s="113">
        <v>46303.804861990742</v>
      </c>
      <c r="B2397" s="78">
        <v>46296</v>
      </c>
      <c r="C2397" s="76" t="s">
        <v>598</v>
      </c>
      <c r="D2397" s="76" t="s">
        <v>771</v>
      </c>
      <c r="E2397" s="76"/>
      <c r="F2397" s="76" t="s">
        <v>1597</v>
      </c>
      <c r="G2397" s="79">
        <v>22700</v>
      </c>
      <c r="H2397" s="76" t="s">
        <v>54</v>
      </c>
      <c r="I2397" s="76" t="s">
        <v>1507</v>
      </c>
      <c r="J2397" s="76" t="s">
        <v>606</v>
      </c>
      <c r="K2397" s="79">
        <v>22700</v>
      </c>
      <c r="L2397" s="76" t="s">
        <v>601</v>
      </c>
      <c r="M2397" s="76" t="s">
        <v>1598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1486</v>
      </c>
    </row>
    <row r="2398" spans="1:18">
      <c r="A2398" s="113">
        <v>46303.804864120371</v>
      </c>
      <c r="B2398" s="78">
        <v>46296</v>
      </c>
      <c r="C2398" s="76" t="s">
        <v>598</v>
      </c>
      <c r="D2398" s="76" t="s">
        <v>771</v>
      </c>
      <c r="E2398" s="76"/>
      <c r="F2398" s="76" t="s">
        <v>1597</v>
      </c>
      <c r="G2398" s="79">
        <v>8800</v>
      </c>
      <c r="H2398" s="76" t="s">
        <v>54</v>
      </c>
      <c r="I2398" s="76" t="s">
        <v>1507</v>
      </c>
      <c r="J2398" s="76" t="s">
        <v>606</v>
      </c>
      <c r="K2398" s="79">
        <v>8800</v>
      </c>
      <c r="L2398" s="76" t="s">
        <v>601</v>
      </c>
      <c r="M2398" s="76" t="s">
        <v>1599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1486</v>
      </c>
    </row>
    <row r="2399" spans="1:18">
      <c r="A2399" s="113">
        <v>46303.804867430546</v>
      </c>
      <c r="B2399" s="78">
        <v>46296</v>
      </c>
      <c r="C2399" s="76" t="s">
        <v>611</v>
      </c>
      <c r="D2399" s="76" t="s">
        <v>640</v>
      </c>
      <c r="E2399" s="76"/>
      <c r="F2399" s="76" t="s">
        <v>604</v>
      </c>
      <c r="G2399" s="79">
        <v>6300</v>
      </c>
      <c r="H2399" s="76" t="s">
        <v>54</v>
      </c>
      <c r="I2399" s="76" t="s">
        <v>1464</v>
      </c>
      <c r="J2399" s="76" t="s">
        <v>624</v>
      </c>
      <c r="K2399" s="79">
        <v>6300</v>
      </c>
      <c r="L2399" s="76" t="s">
        <v>601</v>
      </c>
      <c r="M2399" s="76" t="s">
        <v>1600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1486</v>
      </c>
    </row>
    <row r="2400" spans="1:18">
      <c r="A2400" s="113">
        <v>46303.806259907411</v>
      </c>
      <c r="B2400" s="78">
        <v>46296</v>
      </c>
      <c r="C2400" s="76" t="s">
        <v>611</v>
      </c>
      <c r="D2400" s="76" t="s">
        <v>741</v>
      </c>
      <c r="E2400" s="76" t="s">
        <v>457</v>
      </c>
      <c r="F2400" s="76" t="s">
        <v>823</v>
      </c>
      <c r="G2400" s="79">
        <v>2800</v>
      </c>
      <c r="H2400" s="76" t="s">
        <v>54</v>
      </c>
      <c r="I2400" s="76" t="s">
        <v>871</v>
      </c>
      <c r="J2400" s="76" t="s">
        <v>614</v>
      </c>
      <c r="K2400" s="79">
        <v>2800</v>
      </c>
      <c r="L2400" s="76" t="s">
        <v>601</v>
      </c>
      <c r="M2400" s="76" t="s">
        <v>1601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1486</v>
      </c>
    </row>
    <row r="2401" spans="1:18">
      <c r="A2401" s="113">
        <v>46303.817362349539</v>
      </c>
      <c r="B2401" s="78">
        <v>46296</v>
      </c>
      <c r="C2401" s="76" t="s">
        <v>138</v>
      </c>
      <c r="D2401" s="76" t="s">
        <v>669</v>
      </c>
      <c r="E2401" s="76" t="s">
        <v>1447</v>
      </c>
      <c r="F2401" s="76" t="s">
        <v>1602</v>
      </c>
      <c r="G2401" s="79">
        <v>500000</v>
      </c>
      <c r="H2401" s="76" t="s">
        <v>54</v>
      </c>
      <c r="I2401" s="76"/>
      <c r="J2401" s="76" t="s">
        <v>1603</v>
      </c>
      <c r="K2401" s="79">
        <v>0</v>
      </c>
      <c r="L2401" s="76" t="s">
        <v>138</v>
      </c>
      <c r="M2401" s="76" t="s">
        <v>2542</v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1490</v>
      </c>
    </row>
    <row r="2402" spans="1:18">
      <c r="A2402" s="113">
        <v>46303.817364976851</v>
      </c>
      <c r="B2402" s="78">
        <v>46296</v>
      </c>
      <c r="C2402" s="76" t="s">
        <v>611</v>
      </c>
      <c r="D2402" s="76" t="s">
        <v>672</v>
      </c>
      <c r="E2402" s="76" t="s">
        <v>673</v>
      </c>
      <c r="F2402" s="76" t="s">
        <v>1232</v>
      </c>
      <c r="G2402" s="79">
        <v>15000</v>
      </c>
      <c r="H2402" s="76" t="s">
        <v>54</v>
      </c>
      <c r="I2402" s="76"/>
      <c r="J2402" s="76" t="s">
        <v>606</v>
      </c>
      <c r="K2402" s="79">
        <v>15000</v>
      </c>
      <c r="L2402" s="76" t="s">
        <v>601</v>
      </c>
      <c r="M2402" s="76" t="s">
        <v>1604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1486</v>
      </c>
    </row>
    <row r="2403" spans="1:18">
      <c r="A2403" s="113">
        <v>46303.818057835648</v>
      </c>
      <c r="B2403" s="78">
        <v>46296</v>
      </c>
      <c r="C2403" s="76" t="s">
        <v>546</v>
      </c>
      <c r="D2403" s="76" t="s">
        <v>669</v>
      </c>
      <c r="E2403" s="76" t="s">
        <v>1447</v>
      </c>
      <c r="F2403" s="76" t="s">
        <v>1605</v>
      </c>
      <c r="G2403" s="79">
        <v>139000</v>
      </c>
      <c r="H2403" s="76" t="s">
        <v>54</v>
      </c>
      <c r="I2403" s="76"/>
      <c r="J2403" s="76" t="s">
        <v>1603</v>
      </c>
      <c r="K2403" s="79">
        <v>0</v>
      </c>
      <c r="L2403" s="76" t="s">
        <v>446</v>
      </c>
      <c r="M2403" s="76" t="s">
        <v>1606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1486</v>
      </c>
    </row>
    <row r="2404" spans="1:18">
      <c r="A2404" s="113">
        <v>46304.806947581019</v>
      </c>
      <c r="B2404" s="78">
        <v>46296</v>
      </c>
      <c r="C2404" s="76" t="s">
        <v>598</v>
      </c>
      <c r="D2404" s="76" t="s">
        <v>771</v>
      </c>
      <c r="E2404" s="76"/>
      <c r="F2404" s="76" t="s">
        <v>923</v>
      </c>
      <c r="G2404" s="79">
        <v>12300</v>
      </c>
      <c r="H2404" s="76" t="s">
        <v>54</v>
      </c>
      <c r="I2404" s="76" t="s">
        <v>1507</v>
      </c>
      <c r="J2404" s="76" t="s">
        <v>606</v>
      </c>
      <c r="K2404" s="79">
        <v>12300</v>
      </c>
      <c r="L2404" s="76" t="s">
        <v>601</v>
      </c>
      <c r="M2404" s="76" t="s">
        <v>1607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1486</v>
      </c>
    </row>
    <row r="2405" spans="1:18">
      <c r="A2405" s="113">
        <v>46304.806949826387</v>
      </c>
      <c r="B2405" s="78">
        <v>46296</v>
      </c>
      <c r="C2405" s="76" t="s">
        <v>598</v>
      </c>
      <c r="D2405" s="76" t="s">
        <v>771</v>
      </c>
      <c r="E2405" s="76"/>
      <c r="F2405" s="76" t="s">
        <v>923</v>
      </c>
      <c r="G2405" s="79">
        <v>16900</v>
      </c>
      <c r="H2405" s="76" t="s">
        <v>54</v>
      </c>
      <c r="I2405" s="76" t="s">
        <v>1507</v>
      </c>
      <c r="J2405" s="76" t="s">
        <v>606</v>
      </c>
      <c r="K2405" s="79">
        <v>16900</v>
      </c>
      <c r="L2405" s="76" t="s">
        <v>601</v>
      </c>
      <c r="M2405" s="76" t="s">
        <v>1608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1486</v>
      </c>
    </row>
    <row r="2406" spans="1:18">
      <c r="A2406" s="113">
        <v>46304.806951550927</v>
      </c>
      <c r="B2406" s="78">
        <v>46296</v>
      </c>
      <c r="C2406" s="76" t="s">
        <v>598</v>
      </c>
      <c r="D2406" s="76" t="s">
        <v>771</v>
      </c>
      <c r="E2406" s="76"/>
      <c r="F2406" s="76" t="s">
        <v>1597</v>
      </c>
      <c r="G2406" s="79">
        <v>3000</v>
      </c>
      <c r="H2406" s="76" t="s">
        <v>54</v>
      </c>
      <c r="I2406" s="76" t="s">
        <v>1507</v>
      </c>
      <c r="J2406" s="76" t="s">
        <v>606</v>
      </c>
      <c r="K2406" s="79">
        <v>3000</v>
      </c>
      <c r="L2406" s="76" t="s">
        <v>601</v>
      </c>
      <c r="M2406" s="76" t="s">
        <v>1609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1486</v>
      </c>
    </row>
    <row r="2407" spans="1:18">
      <c r="A2407" s="113">
        <v>46304.806951550927</v>
      </c>
      <c r="B2407" s="78">
        <v>46296</v>
      </c>
      <c r="C2407" s="76" t="s">
        <v>598</v>
      </c>
      <c r="D2407" s="76" t="s">
        <v>771</v>
      </c>
      <c r="E2407" s="76"/>
      <c r="F2407" s="76" t="s">
        <v>1597</v>
      </c>
      <c r="G2407" s="79">
        <v>28350</v>
      </c>
      <c r="H2407" s="76" t="s">
        <v>54</v>
      </c>
      <c r="I2407" s="76" t="s">
        <v>1507</v>
      </c>
      <c r="J2407" s="76" t="s">
        <v>606</v>
      </c>
      <c r="K2407" s="79">
        <v>28350</v>
      </c>
      <c r="L2407" s="76" t="s">
        <v>601</v>
      </c>
      <c r="M2407" s="76" t="s">
        <v>1610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1486</v>
      </c>
    </row>
    <row r="2408" spans="1:18">
      <c r="A2408" s="113">
        <v>46304.806955520828</v>
      </c>
      <c r="B2408" s="78">
        <v>46296</v>
      </c>
      <c r="C2408" s="76" t="s">
        <v>598</v>
      </c>
      <c r="D2408" s="76" t="s">
        <v>771</v>
      </c>
      <c r="E2408" s="76"/>
      <c r="F2408" s="76" t="s">
        <v>923</v>
      </c>
      <c r="G2408" s="79">
        <v>8100</v>
      </c>
      <c r="H2408" s="76" t="s">
        <v>54</v>
      </c>
      <c r="I2408" s="76" t="s">
        <v>1507</v>
      </c>
      <c r="J2408" s="76" t="s">
        <v>606</v>
      </c>
      <c r="K2408" s="79">
        <v>8100</v>
      </c>
      <c r="L2408" s="76" t="s">
        <v>601</v>
      </c>
      <c r="M2408" s="76" t="s">
        <v>1611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1486</v>
      </c>
    </row>
    <row r="2409" spans="1:18">
      <c r="A2409" s="113">
        <v>46304.809035497688</v>
      </c>
      <c r="B2409" s="78">
        <v>46296</v>
      </c>
      <c r="C2409" s="76" t="s">
        <v>611</v>
      </c>
      <c r="D2409" s="76" t="s">
        <v>453</v>
      </c>
      <c r="E2409" s="76"/>
      <c r="F2409" s="76" t="s">
        <v>453</v>
      </c>
      <c r="G2409" s="79">
        <v>4500</v>
      </c>
      <c r="H2409" s="76" t="s">
        <v>54</v>
      </c>
      <c r="I2409" s="76"/>
      <c r="J2409" s="76" t="s">
        <v>606</v>
      </c>
      <c r="K2409" s="79">
        <v>4500</v>
      </c>
      <c r="L2409" s="76" t="s">
        <v>601</v>
      </c>
      <c r="M2409" s="76" t="s">
        <v>1612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1486</v>
      </c>
    </row>
    <row r="2410" spans="1:18">
      <c r="A2410" s="113">
        <v>46304.809728425927</v>
      </c>
      <c r="B2410" s="78">
        <v>46296</v>
      </c>
      <c r="C2410" s="76" t="s">
        <v>611</v>
      </c>
      <c r="D2410" s="76" t="s">
        <v>453</v>
      </c>
      <c r="E2410" s="76"/>
      <c r="F2410" s="76" t="s">
        <v>453</v>
      </c>
      <c r="G2410" s="79">
        <v>4500</v>
      </c>
      <c r="H2410" s="76" t="s">
        <v>54</v>
      </c>
      <c r="I2410" s="76"/>
      <c r="J2410" s="76" t="s">
        <v>606</v>
      </c>
      <c r="K2410" s="79">
        <v>4500</v>
      </c>
      <c r="L2410" s="76" t="s">
        <v>601</v>
      </c>
      <c r="M2410" s="76" t="s">
        <v>1613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1486</v>
      </c>
    </row>
    <row r="2411" spans="1:18">
      <c r="A2411" s="113">
        <v>46304.809732905087</v>
      </c>
      <c r="B2411" s="78">
        <v>46296</v>
      </c>
      <c r="C2411" s="76" t="s">
        <v>611</v>
      </c>
      <c r="D2411" s="76" t="s">
        <v>741</v>
      </c>
      <c r="E2411" s="76" t="s">
        <v>457</v>
      </c>
      <c r="F2411" s="76" t="s">
        <v>820</v>
      </c>
      <c r="G2411" s="79">
        <v>3300</v>
      </c>
      <c r="H2411" s="76" t="s">
        <v>54</v>
      </c>
      <c r="I2411" s="76" t="s">
        <v>897</v>
      </c>
      <c r="J2411" s="76" t="s">
        <v>614</v>
      </c>
      <c r="K2411" s="79">
        <v>3300</v>
      </c>
      <c r="L2411" s="76" t="s">
        <v>601</v>
      </c>
      <c r="M2411" s="76" t="s">
        <v>1614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1486</v>
      </c>
    </row>
    <row r="2412" spans="1:18">
      <c r="A2412" s="113">
        <v>46304.810419166657</v>
      </c>
      <c r="B2412" s="78">
        <v>46296</v>
      </c>
      <c r="C2412" s="76" t="s">
        <v>611</v>
      </c>
      <c r="D2412" s="76" t="s">
        <v>452</v>
      </c>
      <c r="E2412" s="76" t="s">
        <v>603</v>
      </c>
      <c r="F2412" s="76" t="s">
        <v>946</v>
      </c>
      <c r="G2412" s="79">
        <v>4700</v>
      </c>
      <c r="H2412" s="76" t="s">
        <v>54</v>
      </c>
      <c r="I2412" s="76" t="s">
        <v>688</v>
      </c>
      <c r="J2412" s="76" t="s">
        <v>606</v>
      </c>
      <c r="K2412" s="79">
        <v>4700</v>
      </c>
      <c r="L2412" s="76" t="s">
        <v>601</v>
      </c>
      <c r="M2412" s="76" t="s">
        <v>1615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1486</v>
      </c>
    </row>
    <row r="2413" spans="1:18">
      <c r="A2413" s="113">
        <v>46304.820140567128</v>
      </c>
      <c r="B2413" s="78">
        <v>46296</v>
      </c>
      <c r="C2413" s="76" t="s">
        <v>546</v>
      </c>
      <c r="D2413" s="76" t="s">
        <v>741</v>
      </c>
      <c r="E2413" s="76" t="s">
        <v>457</v>
      </c>
      <c r="F2413" s="76" t="s">
        <v>1616</v>
      </c>
      <c r="G2413" s="79">
        <v>48000</v>
      </c>
      <c r="H2413" s="76" t="s">
        <v>54</v>
      </c>
      <c r="I2413" s="76"/>
      <c r="J2413" s="76" t="s">
        <v>614</v>
      </c>
      <c r="K2413" s="79">
        <v>48000</v>
      </c>
      <c r="L2413" s="76" t="s">
        <v>601</v>
      </c>
      <c r="M2413" s="76" t="s">
        <v>1617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1486</v>
      </c>
    </row>
    <row r="2414" spans="1:18">
      <c r="A2414" s="113">
        <v>46304.820147800929</v>
      </c>
      <c r="B2414" s="78">
        <v>46296</v>
      </c>
      <c r="C2414" s="76" t="s">
        <v>546</v>
      </c>
      <c r="D2414" s="76" t="s">
        <v>669</v>
      </c>
      <c r="E2414" s="76" t="s">
        <v>1447</v>
      </c>
      <c r="F2414" s="76" t="s">
        <v>911</v>
      </c>
      <c r="G2414" s="79">
        <v>36900</v>
      </c>
      <c r="H2414" s="76" t="s">
        <v>54</v>
      </c>
      <c r="I2414" s="76" t="s">
        <v>1618</v>
      </c>
      <c r="J2414" s="76" t="s">
        <v>617</v>
      </c>
      <c r="K2414" s="79">
        <v>36900</v>
      </c>
      <c r="L2414" s="76" t="s">
        <v>601</v>
      </c>
      <c r="M2414" s="76" t="s">
        <v>1619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1486</v>
      </c>
    </row>
    <row r="2415" spans="1:18">
      <c r="A2415" s="113">
        <v>46305.804169050927</v>
      </c>
      <c r="B2415" s="78">
        <v>46296</v>
      </c>
      <c r="C2415" s="76" t="s">
        <v>166</v>
      </c>
      <c r="D2415" s="76" t="s">
        <v>19</v>
      </c>
      <c r="E2415" s="76"/>
      <c r="F2415" s="76" t="s">
        <v>1410</v>
      </c>
      <c r="G2415" s="79">
        <v>100</v>
      </c>
      <c r="H2415" s="76" t="s">
        <v>397</v>
      </c>
      <c r="I2415" s="76" t="s">
        <v>1494</v>
      </c>
      <c r="J2415" s="76" t="s">
        <v>653</v>
      </c>
      <c r="K2415" s="79">
        <v>100</v>
      </c>
      <c r="L2415" s="76" t="s">
        <v>601</v>
      </c>
      <c r="M2415" s="76" t="s">
        <v>1620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1490</v>
      </c>
    </row>
    <row r="2416" spans="1:18">
      <c r="A2416" s="113">
        <v>46305.811119479164</v>
      </c>
      <c r="B2416" s="78">
        <v>46296</v>
      </c>
      <c r="C2416" s="76" t="s">
        <v>598</v>
      </c>
      <c r="D2416" s="76" t="s">
        <v>771</v>
      </c>
      <c r="E2416" s="76"/>
      <c r="F2416" s="76" t="s">
        <v>923</v>
      </c>
      <c r="G2416" s="79">
        <v>6100</v>
      </c>
      <c r="H2416" s="76" t="s">
        <v>54</v>
      </c>
      <c r="I2416" s="76" t="s">
        <v>1507</v>
      </c>
      <c r="J2416" s="76" t="s">
        <v>606</v>
      </c>
      <c r="K2416" s="79">
        <v>6100</v>
      </c>
      <c r="L2416" s="76" t="s">
        <v>601</v>
      </c>
      <c r="M2416" s="76" t="s">
        <v>1621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1486</v>
      </c>
    </row>
    <row r="2417" spans="1:19">
      <c r="A2417" s="113">
        <v>46305.811809999999</v>
      </c>
      <c r="B2417" s="78">
        <v>46296</v>
      </c>
      <c r="C2417" s="76" t="s">
        <v>611</v>
      </c>
      <c r="D2417" s="76" t="s">
        <v>452</v>
      </c>
      <c r="E2417" s="76" t="s">
        <v>603</v>
      </c>
      <c r="F2417" s="76" t="s">
        <v>945</v>
      </c>
      <c r="G2417" s="79">
        <v>7800</v>
      </c>
      <c r="H2417" s="76" t="s">
        <v>54</v>
      </c>
      <c r="I2417" s="76"/>
      <c r="J2417" s="76" t="s">
        <v>606</v>
      </c>
      <c r="K2417" s="79">
        <v>7800</v>
      </c>
      <c r="L2417" s="76" t="s">
        <v>601</v>
      </c>
      <c r="M2417" s="76" t="s">
        <v>1622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1486</v>
      </c>
    </row>
    <row r="2418" spans="1:19">
      <c r="A2418" s="113">
        <v>46305.812503981477</v>
      </c>
      <c r="B2418" s="78">
        <v>46296</v>
      </c>
      <c r="C2418" s="76" t="s">
        <v>681</v>
      </c>
      <c r="D2418" s="76" t="s">
        <v>640</v>
      </c>
      <c r="E2418" s="76"/>
      <c r="F2418" s="76" t="s">
        <v>365</v>
      </c>
      <c r="G2418" s="79">
        <v>26900</v>
      </c>
      <c r="H2418" s="76" t="s">
        <v>54</v>
      </c>
      <c r="I2418" s="76" t="s">
        <v>1623</v>
      </c>
      <c r="J2418" s="76" t="s">
        <v>624</v>
      </c>
      <c r="K2418" s="79">
        <v>26900</v>
      </c>
      <c r="L2418" s="76" t="s">
        <v>601</v>
      </c>
      <c r="M2418" s="76" t="s">
        <v>1624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1486</v>
      </c>
    </row>
    <row r="2419" spans="1:19">
      <c r="A2419" s="113">
        <v>46306.812501192129</v>
      </c>
      <c r="B2419" s="78">
        <v>46296</v>
      </c>
      <c r="C2419" s="76" t="s">
        <v>611</v>
      </c>
      <c r="D2419" s="76" t="s">
        <v>452</v>
      </c>
      <c r="E2419" s="76" t="s">
        <v>603</v>
      </c>
      <c r="F2419" s="76" t="s">
        <v>604</v>
      </c>
      <c r="G2419" s="79">
        <v>7700</v>
      </c>
      <c r="H2419" s="76" t="s">
        <v>54</v>
      </c>
      <c r="I2419" s="76"/>
      <c r="J2419" s="76" t="s">
        <v>606</v>
      </c>
      <c r="K2419" s="79">
        <v>7700</v>
      </c>
      <c r="L2419" s="76" t="s">
        <v>601</v>
      </c>
      <c r="M2419" s="76" t="s">
        <v>1625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1486</v>
      </c>
    </row>
    <row r="2420" spans="1:19">
      <c r="A2420" s="113">
        <v>46306.813199490738</v>
      </c>
      <c r="B2420" s="78">
        <v>46296</v>
      </c>
      <c r="C2420" s="76" t="s">
        <v>166</v>
      </c>
      <c r="D2420" s="76" t="s">
        <v>19</v>
      </c>
      <c r="E2420" s="76"/>
      <c r="F2420" s="76" t="s">
        <v>1410</v>
      </c>
      <c r="G2420" s="79">
        <v>100</v>
      </c>
      <c r="H2420" s="76" t="s">
        <v>397</v>
      </c>
      <c r="I2420" s="76" t="s">
        <v>1494</v>
      </c>
      <c r="J2420" s="76" t="s">
        <v>653</v>
      </c>
      <c r="K2420" s="79">
        <v>100</v>
      </c>
      <c r="L2420" s="76" t="s">
        <v>601</v>
      </c>
      <c r="M2420" s="76" t="s">
        <v>1626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1490</v>
      </c>
    </row>
    <row r="2421" spans="1:19">
      <c r="A2421" s="113">
        <v>46306.813203101847</v>
      </c>
      <c r="B2421" s="78">
        <v>46296</v>
      </c>
      <c r="C2421" s="76" t="s">
        <v>611</v>
      </c>
      <c r="D2421" s="76" t="s">
        <v>453</v>
      </c>
      <c r="E2421" s="76"/>
      <c r="F2421" s="76" t="s">
        <v>453</v>
      </c>
      <c r="G2421" s="79">
        <v>5000</v>
      </c>
      <c r="H2421" s="76" t="s">
        <v>54</v>
      </c>
      <c r="I2421" s="76"/>
      <c r="J2421" s="76" t="s">
        <v>606</v>
      </c>
      <c r="K2421" s="79">
        <v>5000</v>
      </c>
      <c r="L2421" s="76" t="s">
        <v>601</v>
      </c>
      <c r="M2421" s="76" t="s">
        <v>1627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1486</v>
      </c>
    </row>
    <row r="2422" spans="1:19">
      <c r="A2422" s="113">
        <v>46306.81527777778</v>
      </c>
      <c r="B2422" s="78">
        <v>46296</v>
      </c>
      <c r="C2422" s="76" t="s">
        <v>138</v>
      </c>
      <c r="D2422" s="76" t="s">
        <v>741</v>
      </c>
      <c r="E2422" s="76" t="s">
        <v>457</v>
      </c>
      <c r="F2422" s="76" t="s">
        <v>1628</v>
      </c>
      <c r="G2422" s="79">
        <v>100000</v>
      </c>
      <c r="H2422" s="76" t="s">
        <v>54</v>
      </c>
      <c r="I2422" s="76" t="s">
        <v>72</v>
      </c>
      <c r="J2422" s="76" t="s">
        <v>1603</v>
      </c>
      <c r="K2422" s="79">
        <v>0</v>
      </c>
      <c r="L2422" s="76" t="s">
        <v>138</v>
      </c>
      <c r="M2422" s="76" t="s">
        <v>2543</v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1490</v>
      </c>
    </row>
    <row r="2423" spans="1:19">
      <c r="A2423" s="113">
        <v>46306.815287187499</v>
      </c>
      <c r="B2423" s="78">
        <v>46296</v>
      </c>
      <c r="C2423" s="76" t="s">
        <v>138</v>
      </c>
      <c r="D2423" s="76" t="s">
        <v>166</v>
      </c>
      <c r="E2423" s="76"/>
      <c r="F2423" s="76" t="s">
        <v>1629</v>
      </c>
      <c r="G2423" s="79">
        <v>139000</v>
      </c>
      <c r="H2423" s="76" t="s">
        <v>1408</v>
      </c>
      <c r="I2423" s="76" t="s">
        <v>72</v>
      </c>
      <c r="J2423" s="76" t="s">
        <v>634</v>
      </c>
      <c r="K2423" s="79">
        <v>0</v>
      </c>
      <c r="L2423" s="76" t="s">
        <v>138</v>
      </c>
      <c r="M2423" s="76" t="s">
        <v>1630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1490</v>
      </c>
    </row>
    <row r="2424" spans="1:19">
      <c r="A2424" s="113">
        <v>46306.821531215282</v>
      </c>
      <c r="B2424" s="78">
        <v>46296</v>
      </c>
      <c r="C2424" s="76" t="s">
        <v>546</v>
      </c>
      <c r="D2424" s="76" t="s">
        <v>741</v>
      </c>
      <c r="E2424" s="76" t="s">
        <v>1019</v>
      </c>
      <c r="F2424" s="76" t="s">
        <v>1631</v>
      </c>
      <c r="G2424" s="79">
        <v>14000</v>
      </c>
      <c r="H2424" s="76" t="s">
        <v>54</v>
      </c>
      <c r="I2424" s="76" t="s">
        <v>1507</v>
      </c>
      <c r="J2424" s="76" t="s">
        <v>614</v>
      </c>
      <c r="K2424" s="79">
        <v>14000</v>
      </c>
      <c r="L2424" s="76" t="s">
        <v>601</v>
      </c>
      <c r="M2424" s="76" t="s">
        <v>1632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1486</v>
      </c>
    </row>
    <row r="2425" spans="1:19">
      <c r="A2425" s="113">
        <v>46306.821536238429</v>
      </c>
      <c r="B2425" s="78">
        <v>46296</v>
      </c>
      <c r="C2425" s="76" t="s">
        <v>611</v>
      </c>
      <c r="D2425" s="76" t="s">
        <v>741</v>
      </c>
      <c r="E2425" s="76" t="s">
        <v>1019</v>
      </c>
      <c r="F2425" s="76" t="s">
        <v>1633</v>
      </c>
      <c r="G2425" s="79">
        <v>11000</v>
      </c>
      <c r="H2425" s="76" t="s">
        <v>54</v>
      </c>
      <c r="I2425" s="76" t="s">
        <v>1507</v>
      </c>
      <c r="J2425" s="76" t="s">
        <v>614</v>
      </c>
      <c r="K2425" s="79">
        <v>11000</v>
      </c>
      <c r="L2425" s="76" t="s">
        <v>601</v>
      </c>
      <c r="M2425" s="76" t="s">
        <v>1634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1486</v>
      </c>
    </row>
    <row r="2426" spans="1:19">
      <c r="A2426" s="113">
        <v>46307.822226562501</v>
      </c>
      <c r="B2426" s="78">
        <v>46296</v>
      </c>
      <c r="C2426" s="76" t="s">
        <v>611</v>
      </c>
      <c r="D2426" s="76" t="s">
        <v>452</v>
      </c>
      <c r="E2426" s="76" t="s">
        <v>733</v>
      </c>
      <c r="F2426" s="76" t="s">
        <v>886</v>
      </c>
      <c r="G2426" s="79">
        <v>7600</v>
      </c>
      <c r="H2426" s="76" t="s">
        <v>54</v>
      </c>
      <c r="I2426" s="76"/>
      <c r="J2426" s="76" t="s">
        <v>606</v>
      </c>
      <c r="K2426" s="79">
        <v>7600</v>
      </c>
      <c r="L2426" s="76" t="s">
        <v>601</v>
      </c>
      <c r="M2426" s="76" t="s">
        <v>1635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1486</v>
      </c>
    </row>
    <row r="2427" spans="1:19">
      <c r="A2427" s="113">
        <v>46307.823615891197</v>
      </c>
      <c r="B2427" s="78">
        <v>46296</v>
      </c>
      <c r="C2427" s="76" t="s">
        <v>611</v>
      </c>
      <c r="D2427" s="76" t="s">
        <v>705</v>
      </c>
      <c r="E2427" s="76"/>
      <c r="F2427" s="76" t="s">
        <v>526</v>
      </c>
      <c r="G2427" s="79">
        <v>27610</v>
      </c>
      <c r="H2427" s="76" t="s">
        <v>54</v>
      </c>
      <c r="I2427" s="76"/>
      <c r="J2427" s="76" t="s">
        <v>600</v>
      </c>
      <c r="K2427" s="79">
        <v>27610</v>
      </c>
      <c r="L2427" s="76" t="s">
        <v>601</v>
      </c>
      <c r="M2427" s="76" t="s">
        <v>1636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1486</v>
      </c>
    </row>
    <row r="2428" spans="1:19">
      <c r="A2428" s="113">
        <v>46307.823622002317</v>
      </c>
      <c r="B2428" s="78">
        <v>46296</v>
      </c>
      <c r="C2428" s="76" t="s">
        <v>598</v>
      </c>
      <c r="D2428" s="76" t="s">
        <v>771</v>
      </c>
      <c r="E2428" s="76"/>
      <c r="F2428" s="76" t="s">
        <v>923</v>
      </c>
      <c r="G2428" s="79">
        <v>42900</v>
      </c>
      <c r="H2428" s="76" t="s">
        <v>54</v>
      </c>
      <c r="I2428" s="76"/>
      <c r="J2428" s="76" t="s">
        <v>606</v>
      </c>
      <c r="K2428" s="79">
        <v>42900</v>
      </c>
      <c r="L2428" s="76" t="s">
        <v>601</v>
      </c>
      <c r="M2428" s="76" t="s">
        <v>1637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1486</v>
      </c>
    </row>
    <row r="2429" spans="1:19">
      <c r="A2429" s="113">
        <v>46307.824310555552</v>
      </c>
      <c r="B2429" s="78">
        <v>46296</v>
      </c>
      <c r="C2429" s="76" t="s">
        <v>154</v>
      </c>
      <c r="D2429" s="76" t="s">
        <v>187</v>
      </c>
      <c r="E2429" s="76"/>
      <c r="F2429" s="76" t="s">
        <v>72</v>
      </c>
      <c r="G2429" s="79">
        <v>90410</v>
      </c>
      <c r="H2429" s="76" t="s">
        <v>1408</v>
      </c>
      <c r="I2429" s="76"/>
      <c r="J2429" s="76" t="s">
        <v>634</v>
      </c>
      <c r="K2429" s="79">
        <v>90410</v>
      </c>
      <c r="L2429" s="76" t="s">
        <v>601</v>
      </c>
      <c r="M2429" s="76" t="s">
        <v>1638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1502</v>
      </c>
      <c r="S2429" s="76" t="s">
        <v>636</v>
      </c>
    </row>
    <row r="2430" spans="1:19">
      <c r="A2430" s="113">
        <v>46307.825001041667</v>
      </c>
      <c r="B2430" s="78">
        <v>46296</v>
      </c>
      <c r="C2430" s="76" t="s">
        <v>154</v>
      </c>
      <c r="D2430" s="76" t="s">
        <v>184</v>
      </c>
      <c r="E2430" s="76"/>
      <c r="F2430" s="76" t="s">
        <v>72</v>
      </c>
      <c r="G2430" s="79">
        <v>1390</v>
      </c>
      <c r="H2430" s="76" t="s">
        <v>1408</v>
      </c>
      <c r="I2430" s="76"/>
      <c r="J2430" s="76" t="s">
        <v>634</v>
      </c>
      <c r="K2430" s="79">
        <v>1390</v>
      </c>
      <c r="L2430" s="76" t="s">
        <v>601</v>
      </c>
      <c r="M2430" s="76" t="s">
        <v>1639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1502</v>
      </c>
      <c r="S2430" s="76" t="s">
        <v>636</v>
      </c>
    </row>
    <row r="2431" spans="1:19">
      <c r="A2431" s="113">
        <v>46307.825696446758</v>
      </c>
      <c r="B2431" s="78">
        <v>46296</v>
      </c>
      <c r="C2431" s="76" t="s">
        <v>611</v>
      </c>
      <c r="D2431" s="76" t="s">
        <v>453</v>
      </c>
      <c r="E2431" s="76"/>
      <c r="F2431" s="76" t="s">
        <v>453</v>
      </c>
      <c r="G2431" s="79">
        <v>5000</v>
      </c>
      <c r="H2431" s="76" t="s">
        <v>54</v>
      </c>
      <c r="I2431" s="76"/>
      <c r="J2431" s="76" t="s">
        <v>606</v>
      </c>
      <c r="K2431" s="79">
        <v>5000</v>
      </c>
      <c r="L2431" s="76" t="s">
        <v>601</v>
      </c>
      <c r="M2431" s="76" t="s">
        <v>1640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1486</v>
      </c>
    </row>
    <row r="2432" spans="1:19">
      <c r="A2432" s="113">
        <v>46307.825702685193</v>
      </c>
      <c r="B2432" s="78">
        <v>46296</v>
      </c>
      <c r="C2432" s="76" t="s">
        <v>611</v>
      </c>
      <c r="D2432" s="76" t="s">
        <v>452</v>
      </c>
      <c r="E2432" s="76" t="s">
        <v>603</v>
      </c>
      <c r="F2432" s="76" t="s">
        <v>604</v>
      </c>
      <c r="G2432" s="79">
        <v>2200</v>
      </c>
      <c r="H2432" s="76" t="s">
        <v>54</v>
      </c>
      <c r="I2432" s="76" t="s">
        <v>623</v>
      </c>
      <c r="J2432" s="76" t="s">
        <v>606</v>
      </c>
      <c r="K2432" s="79">
        <v>2200</v>
      </c>
      <c r="L2432" s="76" t="s">
        <v>601</v>
      </c>
      <c r="M2432" s="76" t="s">
        <v>1641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1486</v>
      </c>
    </row>
    <row r="2433" spans="1:19">
      <c r="A2433" s="113">
        <v>46307.82638943287</v>
      </c>
      <c r="B2433" s="78">
        <v>46296</v>
      </c>
      <c r="C2433" s="76" t="s">
        <v>598</v>
      </c>
      <c r="D2433" s="76" t="s">
        <v>741</v>
      </c>
      <c r="E2433" s="76" t="s">
        <v>59</v>
      </c>
      <c r="F2433" s="76" t="s">
        <v>916</v>
      </c>
      <c r="G2433" s="79">
        <v>53900</v>
      </c>
      <c r="H2433" s="76" t="s">
        <v>54</v>
      </c>
      <c r="I2433" s="76" t="s">
        <v>1507</v>
      </c>
      <c r="J2433" s="76" t="s">
        <v>59</v>
      </c>
      <c r="K2433" s="79">
        <v>53900</v>
      </c>
      <c r="L2433" s="76" t="s">
        <v>601</v>
      </c>
      <c r="M2433" s="76" t="s">
        <v>1642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1486</v>
      </c>
    </row>
    <row r="2434" spans="1:19">
      <c r="A2434" s="113">
        <v>46307.827780798609</v>
      </c>
      <c r="B2434" s="78">
        <v>46296</v>
      </c>
      <c r="C2434" s="76" t="s">
        <v>598</v>
      </c>
      <c r="D2434" s="76" t="s">
        <v>741</v>
      </c>
      <c r="E2434" s="76" t="s">
        <v>59</v>
      </c>
      <c r="F2434" s="76" t="s">
        <v>916</v>
      </c>
      <c r="G2434" s="79">
        <v>51800</v>
      </c>
      <c r="H2434" s="76" t="s">
        <v>54</v>
      </c>
      <c r="I2434" s="76" t="s">
        <v>1643</v>
      </c>
      <c r="J2434" s="76" t="s">
        <v>1644</v>
      </c>
      <c r="K2434" s="79">
        <v>0</v>
      </c>
      <c r="L2434" s="76" t="s">
        <v>1645</v>
      </c>
      <c r="M2434" s="76" t="s">
        <v>1646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1486</v>
      </c>
    </row>
    <row r="2435" spans="1:19">
      <c r="A2435" s="113">
        <v>46307.827787337963</v>
      </c>
      <c r="B2435" s="78">
        <v>46296</v>
      </c>
      <c r="C2435" s="76" t="s">
        <v>611</v>
      </c>
      <c r="D2435" s="76" t="s">
        <v>705</v>
      </c>
      <c r="E2435" s="76"/>
      <c r="F2435" s="76" t="s">
        <v>341</v>
      </c>
      <c r="G2435" s="79">
        <v>53620</v>
      </c>
      <c r="H2435" s="76" t="s">
        <v>54</v>
      </c>
      <c r="I2435" s="76"/>
      <c r="J2435" s="76" t="s">
        <v>600</v>
      </c>
      <c r="K2435" s="79">
        <v>53620</v>
      </c>
      <c r="L2435" s="76" t="s">
        <v>601</v>
      </c>
      <c r="M2435" s="76" t="s">
        <v>1647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1486</v>
      </c>
    </row>
    <row r="2436" spans="1:19">
      <c r="A2436" s="113">
        <v>46307.829167731477</v>
      </c>
      <c r="B2436" s="78">
        <v>46296</v>
      </c>
      <c r="C2436" s="76" t="s">
        <v>598</v>
      </c>
      <c r="D2436" s="76" t="s">
        <v>672</v>
      </c>
      <c r="E2436" s="76"/>
      <c r="F2436" s="76" t="s">
        <v>1648</v>
      </c>
      <c r="G2436" s="79">
        <v>114820</v>
      </c>
      <c r="H2436" s="76" t="s">
        <v>54</v>
      </c>
      <c r="I2436" s="76" t="s">
        <v>1507</v>
      </c>
      <c r="J2436" s="76" t="s">
        <v>606</v>
      </c>
      <c r="K2436" s="79">
        <v>114820</v>
      </c>
      <c r="L2436" s="76" t="s">
        <v>601</v>
      </c>
      <c r="M2436" s="76" t="s">
        <v>1649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1486</v>
      </c>
    </row>
    <row r="2437" spans="1:19">
      <c r="A2437" s="113">
        <v>46307.831252557873</v>
      </c>
      <c r="B2437" s="78">
        <v>46296</v>
      </c>
      <c r="C2437" s="76" t="s">
        <v>166</v>
      </c>
      <c r="D2437" s="76" t="s">
        <v>61</v>
      </c>
      <c r="E2437" s="76"/>
      <c r="F2437" s="76" t="s">
        <v>61</v>
      </c>
      <c r="G2437" s="79">
        <v>500000</v>
      </c>
      <c r="H2437" s="76" t="s">
        <v>397</v>
      </c>
      <c r="I2437" s="76"/>
      <c r="J2437" s="76" t="s">
        <v>61</v>
      </c>
      <c r="K2437" s="79">
        <v>500000</v>
      </c>
      <c r="L2437" s="76" t="s">
        <v>601</v>
      </c>
      <c r="M2437" s="76" t="s">
        <v>1650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1490</v>
      </c>
    </row>
    <row r="2438" spans="1:19">
      <c r="A2438" s="113">
        <v>46307.83473072917</v>
      </c>
      <c r="B2438" s="78">
        <v>46296</v>
      </c>
      <c r="C2438" s="76" t="s">
        <v>166</v>
      </c>
      <c r="D2438" s="76" t="s">
        <v>1651</v>
      </c>
      <c r="E2438" s="76"/>
      <c r="F2438" s="76" t="s">
        <v>657</v>
      </c>
      <c r="G2438" s="79">
        <v>136350</v>
      </c>
      <c r="H2438" s="76" t="s">
        <v>1408</v>
      </c>
      <c r="I2438" s="76"/>
      <c r="J2438" s="76" t="s">
        <v>600</v>
      </c>
      <c r="K2438" s="79">
        <v>136350</v>
      </c>
      <c r="L2438" s="76" t="s">
        <v>601</v>
      </c>
      <c r="M2438" s="76" t="s">
        <v>1652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1490</v>
      </c>
    </row>
    <row r="2439" spans="1:19">
      <c r="A2439" s="113">
        <v>46307.835417488423</v>
      </c>
      <c r="B2439" s="78">
        <v>46296</v>
      </c>
      <c r="C2439" s="76" t="s">
        <v>598</v>
      </c>
      <c r="D2439" s="76" t="s">
        <v>741</v>
      </c>
      <c r="E2439" s="76" t="s">
        <v>1019</v>
      </c>
      <c r="F2439" s="76" t="s">
        <v>1377</v>
      </c>
      <c r="G2439" s="79">
        <v>11700</v>
      </c>
      <c r="H2439" s="76" t="s">
        <v>54</v>
      </c>
      <c r="I2439" s="76"/>
      <c r="J2439" s="76" t="s">
        <v>614</v>
      </c>
      <c r="K2439" s="79">
        <v>11700</v>
      </c>
      <c r="L2439" s="76" t="s">
        <v>601</v>
      </c>
      <c r="M2439" s="76" t="s">
        <v>1653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1486</v>
      </c>
    </row>
    <row r="2440" spans="1:19">
      <c r="A2440" s="113">
        <v>46307.835426736106</v>
      </c>
      <c r="B2440" s="78">
        <v>46296</v>
      </c>
      <c r="C2440" s="76" t="s">
        <v>166</v>
      </c>
      <c r="D2440" s="76" t="s">
        <v>19</v>
      </c>
      <c r="E2440" s="76"/>
      <c r="F2440" s="76" t="s">
        <v>1410</v>
      </c>
      <c r="G2440" s="79">
        <v>100</v>
      </c>
      <c r="H2440" s="76" t="s">
        <v>397</v>
      </c>
      <c r="I2440" s="76" t="s">
        <v>1494</v>
      </c>
      <c r="J2440" s="76" t="s">
        <v>653</v>
      </c>
      <c r="K2440" s="79">
        <v>100</v>
      </c>
      <c r="L2440" s="76" t="s">
        <v>601</v>
      </c>
      <c r="M2440" s="76" t="s">
        <v>1654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1490</v>
      </c>
    </row>
    <row r="2441" spans="1:19">
      <c r="A2441" s="113">
        <v>46307.838889386578</v>
      </c>
      <c r="B2441" s="78">
        <v>46296</v>
      </c>
      <c r="C2441" s="76" t="s">
        <v>184</v>
      </c>
      <c r="D2441" s="76" t="s">
        <v>546</v>
      </c>
      <c r="E2441" s="76"/>
      <c r="F2441" s="76" t="s">
        <v>657</v>
      </c>
      <c r="G2441" s="79">
        <v>1390</v>
      </c>
      <c r="H2441" s="76" t="s">
        <v>1408</v>
      </c>
      <c r="I2441" s="76"/>
      <c r="J2441" s="76" t="s">
        <v>634</v>
      </c>
      <c r="K2441" s="79">
        <v>1390</v>
      </c>
      <c r="L2441" s="76" t="s">
        <v>601</v>
      </c>
      <c r="M2441" s="76" t="s">
        <v>1655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1490</v>
      </c>
    </row>
    <row r="2442" spans="1:19">
      <c r="A2442" s="113">
        <v>46307.843067106478</v>
      </c>
      <c r="B2442" s="78">
        <v>46296</v>
      </c>
      <c r="C2442" s="76" t="s">
        <v>154</v>
      </c>
      <c r="D2442" s="76" t="s">
        <v>19</v>
      </c>
      <c r="E2442" s="76"/>
      <c r="F2442" s="76" t="s">
        <v>179</v>
      </c>
      <c r="G2442" s="79">
        <v>8557</v>
      </c>
      <c r="H2442" s="76" t="s">
        <v>397</v>
      </c>
      <c r="I2442" s="76"/>
      <c r="J2442" s="76" t="s">
        <v>653</v>
      </c>
      <c r="K2442" s="79">
        <v>8557</v>
      </c>
      <c r="L2442" s="76" t="s">
        <v>601</v>
      </c>
      <c r="M2442" s="76" t="s">
        <v>1656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1502</v>
      </c>
      <c r="S2442" s="76" t="s">
        <v>50</v>
      </c>
    </row>
    <row r="2443" spans="1:19">
      <c r="A2443" s="113">
        <v>46307.95239583333</v>
      </c>
      <c r="B2443" s="78">
        <v>46296</v>
      </c>
      <c r="C2443" s="76" t="s">
        <v>611</v>
      </c>
      <c r="D2443" s="76" t="s">
        <v>640</v>
      </c>
      <c r="E2443" s="76"/>
      <c r="F2443" s="76" t="s">
        <v>1657</v>
      </c>
      <c r="G2443" s="79">
        <v>74700</v>
      </c>
      <c r="H2443" s="76" t="s">
        <v>54</v>
      </c>
      <c r="I2443" s="76" t="s">
        <v>707</v>
      </c>
      <c r="J2443" s="76" t="s">
        <v>600</v>
      </c>
      <c r="K2443" s="79">
        <v>74700</v>
      </c>
      <c r="L2443" s="76" t="s">
        <v>601</v>
      </c>
      <c r="M2443" s="76" t="s">
        <v>1658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1486</v>
      </c>
    </row>
    <row r="2444" spans="1:19">
      <c r="A2444" s="113">
        <v>46308.450742337962</v>
      </c>
      <c r="B2444" s="78">
        <v>46296</v>
      </c>
      <c r="C2444" s="76" t="s">
        <v>187</v>
      </c>
      <c r="D2444" s="76" t="s">
        <v>19</v>
      </c>
      <c r="E2444" s="76"/>
      <c r="F2444" s="76" t="s">
        <v>1324</v>
      </c>
      <c r="G2444" s="79">
        <v>90410</v>
      </c>
      <c r="H2444" s="76" t="s">
        <v>54</v>
      </c>
      <c r="I2444" s="76" t="s">
        <v>386</v>
      </c>
      <c r="J2444" s="76" t="s">
        <v>600</v>
      </c>
      <c r="K2444" s="79">
        <v>90410</v>
      </c>
      <c r="L2444" s="76" t="s">
        <v>601</v>
      </c>
      <c r="M2444" s="76" t="s">
        <v>1659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1490</v>
      </c>
    </row>
    <row r="2445" spans="1:19">
      <c r="A2445" s="113">
        <v>46308.450992777784</v>
      </c>
      <c r="B2445" s="78">
        <v>46296</v>
      </c>
      <c r="C2445" s="76" t="s">
        <v>187</v>
      </c>
      <c r="D2445" s="76" t="s">
        <v>19</v>
      </c>
      <c r="E2445" s="76"/>
      <c r="F2445" s="76" t="s">
        <v>763</v>
      </c>
      <c r="G2445" s="79">
        <v>1</v>
      </c>
      <c r="H2445" s="76" t="s">
        <v>397</v>
      </c>
      <c r="I2445" s="76"/>
      <c r="J2445" s="76" t="s">
        <v>653</v>
      </c>
      <c r="K2445" s="79">
        <v>1</v>
      </c>
      <c r="L2445" s="76" t="s">
        <v>601</v>
      </c>
      <c r="M2445" s="76" t="s">
        <v>1660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1490</v>
      </c>
    </row>
    <row r="2446" spans="1:19">
      <c r="A2446" s="113">
        <v>46308.749010173611</v>
      </c>
      <c r="B2446" s="78">
        <v>46296</v>
      </c>
      <c r="C2446" s="76" t="s">
        <v>154</v>
      </c>
      <c r="D2446" s="76" t="s">
        <v>178</v>
      </c>
      <c r="E2446" s="76"/>
      <c r="F2446" s="76" t="s">
        <v>72</v>
      </c>
      <c r="G2446" s="79">
        <v>753905</v>
      </c>
      <c r="H2446" s="76" t="s">
        <v>1408</v>
      </c>
      <c r="I2446" s="76"/>
      <c r="J2446" s="76" t="s">
        <v>634</v>
      </c>
      <c r="K2446" s="79">
        <v>753905</v>
      </c>
      <c r="L2446" s="76" t="s">
        <v>601</v>
      </c>
      <c r="M2446" s="76" t="s">
        <v>1661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1502</v>
      </c>
      <c r="S2446" s="76" t="s">
        <v>636</v>
      </c>
    </row>
    <row r="2447" spans="1:19">
      <c r="A2447" s="113">
        <v>46308.786898680562</v>
      </c>
      <c r="B2447" s="78">
        <v>46296</v>
      </c>
      <c r="C2447" s="76" t="s">
        <v>611</v>
      </c>
      <c r="D2447" s="76" t="s">
        <v>453</v>
      </c>
      <c r="E2447" s="76"/>
      <c r="F2447" s="76" t="s">
        <v>453</v>
      </c>
      <c r="G2447" s="79">
        <v>4500</v>
      </c>
      <c r="H2447" s="76" t="s">
        <v>54</v>
      </c>
      <c r="I2447" s="76"/>
      <c r="J2447" s="76" t="s">
        <v>606</v>
      </c>
      <c r="K2447" s="79">
        <v>4500</v>
      </c>
      <c r="L2447" s="76" t="s">
        <v>601</v>
      </c>
      <c r="M2447" s="76" t="s">
        <v>1662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1486</v>
      </c>
    </row>
    <row r="2448" spans="1:19">
      <c r="A2448" s="113">
        <v>46308.845837777779</v>
      </c>
      <c r="B2448" s="78">
        <v>46296</v>
      </c>
      <c r="C2448" s="76" t="s">
        <v>166</v>
      </c>
      <c r="D2448" s="76" t="s">
        <v>154</v>
      </c>
      <c r="E2448" s="76"/>
      <c r="F2448" s="76" t="s">
        <v>72</v>
      </c>
      <c r="G2448" s="79">
        <v>604300</v>
      </c>
      <c r="H2448" s="76" t="s">
        <v>1408</v>
      </c>
      <c r="I2448" s="76"/>
      <c r="J2448" s="76" t="s">
        <v>634</v>
      </c>
      <c r="K2448" s="79">
        <v>604300</v>
      </c>
      <c r="L2448" s="76" t="s">
        <v>601</v>
      </c>
      <c r="M2448" s="76" t="s">
        <v>1663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1502</v>
      </c>
      <c r="S2448" s="76" t="s">
        <v>633</v>
      </c>
    </row>
    <row r="2449" spans="1:19">
      <c r="A2449" s="113">
        <v>46308.847924930553</v>
      </c>
      <c r="B2449" s="78">
        <v>46296</v>
      </c>
      <c r="C2449" s="76" t="s">
        <v>154</v>
      </c>
      <c r="D2449" s="76" t="s">
        <v>166</v>
      </c>
      <c r="E2449" s="76"/>
      <c r="F2449" s="76" t="s">
        <v>72</v>
      </c>
      <c r="G2449" s="79">
        <v>798746</v>
      </c>
      <c r="H2449" s="76" t="s">
        <v>1408</v>
      </c>
      <c r="I2449" s="76"/>
      <c r="J2449" s="76" t="s">
        <v>634</v>
      </c>
      <c r="K2449" s="79">
        <v>798746</v>
      </c>
      <c r="L2449" s="76" t="s">
        <v>601</v>
      </c>
      <c r="M2449" s="76" t="s">
        <v>1664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1502</v>
      </c>
      <c r="S2449" s="76" t="s">
        <v>636</v>
      </c>
    </row>
    <row r="2450" spans="1:19">
      <c r="A2450" s="113">
        <v>46308.848613587958</v>
      </c>
      <c r="B2450" s="78">
        <v>46296</v>
      </c>
      <c r="C2450" s="76" t="s">
        <v>154</v>
      </c>
      <c r="D2450" s="76" t="s">
        <v>172</v>
      </c>
      <c r="E2450" s="76"/>
      <c r="F2450" s="76" t="s">
        <v>72</v>
      </c>
      <c r="G2450" s="79">
        <v>360550</v>
      </c>
      <c r="H2450" s="76" t="s">
        <v>1408</v>
      </c>
      <c r="I2450" s="76"/>
      <c r="J2450" s="76" t="s">
        <v>634</v>
      </c>
      <c r="K2450" s="79">
        <v>360550</v>
      </c>
      <c r="L2450" s="76" t="s">
        <v>601</v>
      </c>
      <c r="M2450" s="76" t="s">
        <v>1665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1502</v>
      </c>
      <c r="S2450" s="76" t="s">
        <v>636</v>
      </c>
    </row>
    <row r="2451" spans="1:19">
      <c r="A2451" s="113">
        <v>46308.85000755787</v>
      </c>
      <c r="B2451" s="78">
        <v>46296</v>
      </c>
      <c r="C2451" s="76" t="s">
        <v>154</v>
      </c>
      <c r="D2451" s="76" t="s">
        <v>169</v>
      </c>
      <c r="E2451" s="76"/>
      <c r="F2451" s="76" t="s">
        <v>72</v>
      </c>
      <c r="G2451" s="79">
        <v>246568</v>
      </c>
      <c r="H2451" s="76" t="s">
        <v>1408</v>
      </c>
      <c r="I2451" s="76"/>
      <c r="J2451" s="76" t="s">
        <v>634</v>
      </c>
      <c r="K2451" s="79">
        <v>246568</v>
      </c>
      <c r="L2451" s="76" t="s">
        <v>601</v>
      </c>
      <c r="M2451" s="76" t="s">
        <v>1666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1502</v>
      </c>
      <c r="S2451" s="76" t="s">
        <v>636</v>
      </c>
    </row>
    <row r="2452" spans="1:19">
      <c r="A2452" s="113">
        <v>46308.850696064823</v>
      </c>
      <c r="B2452" s="78">
        <v>46296</v>
      </c>
      <c r="C2452" s="76" t="s">
        <v>154</v>
      </c>
      <c r="D2452" s="76" t="s">
        <v>166</v>
      </c>
      <c r="E2452" s="76"/>
      <c r="F2452" s="76" t="s">
        <v>72</v>
      </c>
      <c r="G2452" s="79">
        <v>236270</v>
      </c>
      <c r="H2452" s="76" t="s">
        <v>1408</v>
      </c>
      <c r="I2452" s="76"/>
      <c r="J2452" s="76" t="s">
        <v>634</v>
      </c>
      <c r="K2452" s="79">
        <v>236270</v>
      </c>
      <c r="L2452" s="76" t="s">
        <v>601</v>
      </c>
      <c r="M2452" s="76" t="s">
        <v>1667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1502</v>
      </c>
      <c r="S2452" s="76" t="s">
        <v>636</v>
      </c>
    </row>
    <row r="2453" spans="1:19">
      <c r="A2453" s="113">
        <v>46308.851395949067</v>
      </c>
      <c r="B2453" s="78">
        <v>46296</v>
      </c>
      <c r="C2453" s="76" t="s">
        <v>162</v>
      </c>
      <c r="D2453" s="76" t="s">
        <v>154</v>
      </c>
      <c r="E2453" s="76"/>
      <c r="F2453" s="76" t="s">
        <v>72</v>
      </c>
      <c r="G2453" s="79">
        <v>22210</v>
      </c>
      <c r="H2453" s="76" t="s">
        <v>1408</v>
      </c>
      <c r="I2453" s="76"/>
      <c r="J2453" s="76" t="s">
        <v>634</v>
      </c>
      <c r="K2453" s="79">
        <v>22210</v>
      </c>
      <c r="L2453" s="76" t="s">
        <v>601</v>
      </c>
      <c r="M2453" s="76" t="s">
        <v>1668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1502</v>
      </c>
      <c r="S2453" s="76" t="s">
        <v>633</v>
      </c>
    </row>
    <row r="2454" spans="1:19">
      <c r="A2454" s="113">
        <v>46308.859037118054</v>
      </c>
      <c r="B2454" s="78">
        <v>46296</v>
      </c>
      <c r="C2454" s="76" t="s">
        <v>154</v>
      </c>
      <c r="D2454" s="76" t="s">
        <v>19</v>
      </c>
      <c r="E2454" s="76"/>
      <c r="F2454" s="76" t="s">
        <v>179</v>
      </c>
      <c r="G2454" s="79">
        <v>535</v>
      </c>
      <c r="H2454" s="76" t="s">
        <v>397</v>
      </c>
      <c r="I2454" s="76"/>
      <c r="J2454" s="76" t="s">
        <v>653</v>
      </c>
      <c r="K2454" s="79">
        <v>535</v>
      </c>
      <c r="L2454" s="76" t="s">
        <v>601</v>
      </c>
      <c r="M2454" s="76" t="s">
        <v>2544</v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R2454" s="76" t="s">
        <v>1502</v>
      </c>
      <c r="S2454" s="76" t="s">
        <v>50</v>
      </c>
    </row>
    <row r="2455" spans="1:19">
      <c r="A2455" s="113">
        <v>46308.873194444444</v>
      </c>
      <c r="B2455" s="78">
        <v>46296</v>
      </c>
      <c r="C2455" s="76" t="s">
        <v>178</v>
      </c>
      <c r="D2455" s="76" t="s">
        <v>598</v>
      </c>
      <c r="E2455" s="76"/>
      <c r="F2455" s="76" t="s">
        <v>657</v>
      </c>
      <c r="G2455" s="79">
        <v>753905</v>
      </c>
      <c r="H2455" s="76" t="s">
        <v>1408</v>
      </c>
      <c r="I2455" s="76"/>
      <c r="J2455" s="76" t="s">
        <v>634</v>
      </c>
      <c r="K2455" s="79">
        <v>753905</v>
      </c>
      <c r="L2455" s="76" t="s">
        <v>601</v>
      </c>
      <c r="M2455" s="76" t="s">
        <v>2545</v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R2455" s="76" t="s">
        <v>1490</v>
      </c>
      <c r="S2455" s="76"/>
    </row>
    <row r="2456" spans="1:19">
      <c r="A2456" s="113">
        <v>46309.872115636572</v>
      </c>
      <c r="B2456" s="78">
        <v>46296</v>
      </c>
      <c r="C2456" s="76" t="s">
        <v>169</v>
      </c>
      <c r="D2456" s="76" t="s">
        <v>1158</v>
      </c>
      <c r="E2456" s="76"/>
      <c r="F2456" s="76" t="s">
        <v>657</v>
      </c>
      <c r="G2456" s="79">
        <v>246568</v>
      </c>
      <c r="H2456" s="76" t="s">
        <v>1408</v>
      </c>
      <c r="I2456" s="76"/>
      <c r="J2456" s="76" t="s">
        <v>634</v>
      </c>
      <c r="K2456" s="79">
        <v>246568</v>
      </c>
      <c r="L2456" s="76" t="s">
        <v>601</v>
      </c>
      <c r="M2456" s="76" t="s">
        <v>2546</v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R2456" s="76" t="s">
        <v>1490</v>
      </c>
      <c r="S2456" s="76"/>
    </row>
    <row r="2457" spans="1:19">
      <c r="A2457" s="113">
        <v>46309.87217534722</v>
      </c>
      <c r="B2457" s="78">
        <v>46296</v>
      </c>
      <c r="C2457" s="76" t="s">
        <v>611</v>
      </c>
      <c r="D2457" s="76" t="s">
        <v>452</v>
      </c>
      <c r="E2457" s="76" t="s">
        <v>612</v>
      </c>
      <c r="F2457" s="76" t="s">
        <v>833</v>
      </c>
      <c r="G2457" s="79">
        <v>8500</v>
      </c>
      <c r="H2457" s="76" t="s">
        <v>54</v>
      </c>
      <c r="I2457" s="76"/>
      <c r="J2457" s="76" t="s">
        <v>606</v>
      </c>
      <c r="K2457" s="79">
        <v>8500</v>
      </c>
      <c r="L2457" s="76" t="s">
        <v>601</v>
      </c>
      <c r="M2457" s="76" t="s">
        <v>2547</v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R2457" s="76" t="s">
        <v>1486</v>
      </c>
      <c r="S2457" s="76"/>
    </row>
    <row r="2458" spans="1:19">
      <c r="A2458" s="113">
        <v>46309.872401932873</v>
      </c>
      <c r="B2458" s="78">
        <v>46296</v>
      </c>
      <c r="C2458" s="76" t="s">
        <v>598</v>
      </c>
      <c r="D2458" s="76" t="s">
        <v>771</v>
      </c>
      <c r="E2458" s="76"/>
      <c r="F2458" s="76" t="s">
        <v>916</v>
      </c>
      <c r="G2458" s="79">
        <v>51800</v>
      </c>
      <c r="H2458" s="76" t="s">
        <v>54</v>
      </c>
      <c r="I2458" s="76" t="s">
        <v>1643</v>
      </c>
      <c r="J2458" s="76" t="s">
        <v>1644</v>
      </c>
      <c r="K2458" s="79">
        <v>0</v>
      </c>
      <c r="L2458" s="76" t="s">
        <v>1645</v>
      </c>
      <c r="M2458" s="76" t="s">
        <v>2548</v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R2458" s="76" t="s">
        <v>1486</v>
      </c>
      <c r="S2458" s="76"/>
    </row>
    <row r="2459" spans="1:19">
      <c r="A2459" s="113">
        <v>46309.872691180557</v>
      </c>
      <c r="B2459" s="78">
        <v>46296</v>
      </c>
      <c r="C2459" s="76" t="s">
        <v>598</v>
      </c>
      <c r="D2459" s="76" t="s">
        <v>771</v>
      </c>
      <c r="E2459" s="76"/>
      <c r="F2459" s="76" t="s">
        <v>916</v>
      </c>
      <c r="G2459" s="79">
        <v>53900</v>
      </c>
      <c r="H2459" s="76" t="s">
        <v>54</v>
      </c>
      <c r="I2459" s="76"/>
      <c r="J2459" s="76" t="s">
        <v>59</v>
      </c>
      <c r="K2459" s="79">
        <v>53900</v>
      </c>
      <c r="L2459" s="76" t="s">
        <v>601</v>
      </c>
      <c r="M2459" s="76" t="s">
        <v>2549</v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R2459" s="76" t="s">
        <v>1486</v>
      </c>
      <c r="S2459" s="76"/>
    </row>
    <row r="2460" spans="1:19">
      <c r="A2460" s="113">
        <v>46309.872804108796</v>
      </c>
      <c r="B2460" s="78">
        <v>46296</v>
      </c>
      <c r="C2460" s="76" t="s">
        <v>172</v>
      </c>
      <c r="D2460" s="76" t="s">
        <v>681</v>
      </c>
      <c r="E2460" s="76"/>
      <c r="F2460" s="76" t="s">
        <v>657</v>
      </c>
      <c r="G2460" s="79">
        <v>360550</v>
      </c>
      <c r="H2460" s="76" t="s">
        <v>1408</v>
      </c>
      <c r="I2460" s="76"/>
      <c r="J2460" s="76" t="s">
        <v>634</v>
      </c>
      <c r="K2460" s="79">
        <v>360550</v>
      </c>
      <c r="L2460" s="76" t="s">
        <v>601</v>
      </c>
      <c r="M2460" s="76" t="s">
        <v>2550</v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R2460" s="76" t="s">
        <v>1490</v>
      </c>
      <c r="S2460" s="76"/>
    </row>
    <row r="2461" spans="1:19">
      <c r="A2461" s="113">
        <v>46309.872930636571</v>
      </c>
      <c r="B2461" s="78">
        <v>46296</v>
      </c>
      <c r="C2461" s="76" t="s">
        <v>166</v>
      </c>
      <c r="D2461" s="76" t="s">
        <v>611</v>
      </c>
      <c r="E2461" s="76"/>
      <c r="F2461" s="76" t="s">
        <v>657</v>
      </c>
      <c r="G2461" s="79">
        <v>798746</v>
      </c>
      <c r="H2461" s="76" t="s">
        <v>1408</v>
      </c>
      <c r="I2461" s="76"/>
      <c r="J2461" s="76" t="s">
        <v>634</v>
      </c>
      <c r="K2461" s="79">
        <v>798746</v>
      </c>
      <c r="L2461" s="76" t="s">
        <v>601</v>
      </c>
      <c r="M2461" s="76" t="s">
        <v>2551</v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R2461" s="76" t="s">
        <v>1490</v>
      </c>
      <c r="S2461" s="76"/>
    </row>
    <row r="2462" spans="1:19">
      <c r="A2462" s="113">
        <v>46309.873502800925</v>
      </c>
      <c r="B2462" s="78">
        <v>46296</v>
      </c>
      <c r="C2462" s="76" t="s">
        <v>166</v>
      </c>
      <c r="D2462" s="76" t="s">
        <v>1413</v>
      </c>
      <c r="E2462" s="76"/>
      <c r="F2462" s="76" t="s">
        <v>657</v>
      </c>
      <c r="G2462" s="79">
        <v>236270</v>
      </c>
      <c r="H2462" s="76" t="s">
        <v>1408</v>
      </c>
      <c r="I2462" s="76"/>
      <c r="J2462" s="76" t="s">
        <v>634</v>
      </c>
      <c r="K2462" s="79">
        <v>236270</v>
      </c>
      <c r="L2462" s="76" t="s">
        <v>601</v>
      </c>
      <c r="M2462" s="76" t="s">
        <v>2552</v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R2462" s="76" t="s">
        <v>1490</v>
      </c>
      <c r="S2462" s="76"/>
    </row>
    <row r="2463" spans="1:19">
      <c r="A2463" s="113">
        <v>46310.825007129628</v>
      </c>
      <c r="B2463" s="78">
        <v>46296</v>
      </c>
      <c r="C2463" s="76" t="s">
        <v>611</v>
      </c>
      <c r="D2463" s="76" t="s">
        <v>452</v>
      </c>
      <c r="E2463" s="76" t="s">
        <v>612</v>
      </c>
      <c r="F2463" s="76" t="s">
        <v>886</v>
      </c>
      <c r="G2463" s="79">
        <v>7300</v>
      </c>
      <c r="H2463" s="76" t="s">
        <v>54</v>
      </c>
      <c r="I2463" s="76"/>
      <c r="J2463" s="76" t="s">
        <v>606</v>
      </c>
      <c r="K2463" s="79">
        <v>7300</v>
      </c>
      <c r="L2463" s="76" t="s">
        <v>601</v>
      </c>
      <c r="M2463" s="76" t="s">
        <v>2553</v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R2463" s="76" t="s">
        <v>1486</v>
      </c>
      <c r="S2463" s="76"/>
    </row>
    <row r="2464" spans="1:19">
      <c r="A2464" s="113">
        <v>46310.825008472224</v>
      </c>
      <c r="B2464" s="78">
        <v>46296</v>
      </c>
      <c r="C2464" s="76" t="s">
        <v>598</v>
      </c>
      <c r="D2464" s="76" t="s">
        <v>453</v>
      </c>
      <c r="E2464" s="76"/>
      <c r="F2464" s="76" t="s">
        <v>453</v>
      </c>
      <c r="G2464" s="79">
        <v>5000</v>
      </c>
      <c r="H2464" s="76" t="s">
        <v>54</v>
      </c>
      <c r="I2464" s="76"/>
      <c r="J2464" s="76" t="s">
        <v>606</v>
      </c>
      <c r="K2464" s="79">
        <v>5000</v>
      </c>
      <c r="L2464" s="76" t="s">
        <v>601</v>
      </c>
      <c r="M2464" s="76" t="s">
        <v>2554</v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R2464" s="76" t="s">
        <v>1486</v>
      </c>
      <c r="S2464" s="76"/>
    </row>
    <row r="2465" spans="1:19">
      <c r="A2465" s="113">
        <v>46310.825695636573</v>
      </c>
      <c r="B2465" s="78">
        <v>46296</v>
      </c>
      <c r="C2465" s="76" t="s">
        <v>598</v>
      </c>
      <c r="D2465" s="76" t="s">
        <v>452</v>
      </c>
      <c r="E2465" s="76" t="s">
        <v>603</v>
      </c>
      <c r="F2465" s="76" t="s">
        <v>604</v>
      </c>
      <c r="G2465" s="79">
        <v>6600</v>
      </c>
      <c r="H2465" s="76" t="s">
        <v>54</v>
      </c>
      <c r="I2465" s="76" t="s">
        <v>623</v>
      </c>
      <c r="J2465" s="76" t="s">
        <v>606</v>
      </c>
      <c r="K2465" s="79">
        <v>6600</v>
      </c>
      <c r="L2465" s="76" t="s">
        <v>601</v>
      </c>
      <c r="M2465" s="76" t="s">
        <v>2555</v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R2465" s="76" t="s">
        <v>1486</v>
      </c>
      <c r="S2465" s="76"/>
    </row>
    <row r="2466" spans="1:19">
      <c r="A2466" s="113">
        <v>46310.93959303241</v>
      </c>
      <c r="B2466" s="78">
        <v>46296</v>
      </c>
      <c r="C2466" s="76" t="s">
        <v>138</v>
      </c>
      <c r="D2466" s="76" t="s">
        <v>154</v>
      </c>
      <c r="E2466" s="76"/>
      <c r="F2466" s="76" t="s">
        <v>72</v>
      </c>
      <c r="G2466" s="79">
        <v>61000</v>
      </c>
      <c r="H2466" s="76" t="s">
        <v>1408</v>
      </c>
      <c r="I2466" s="76"/>
      <c r="J2466" s="76" t="s">
        <v>634</v>
      </c>
      <c r="K2466" s="79">
        <v>61000</v>
      </c>
      <c r="L2466" s="76" t="s">
        <v>601</v>
      </c>
      <c r="M2466" s="76" t="s">
        <v>2556</v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R2466" s="76" t="s">
        <v>1502</v>
      </c>
      <c r="S2466" s="76" t="s">
        <v>633</v>
      </c>
    </row>
    <row r="2467" spans="1:19">
      <c r="A2467" s="113">
        <v>46311.660425636575</v>
      </c>
      <c r="B2467" s="78">
        <v>46296</v>
      </c>
      <c r="C2467" s="76" t="s">
        <v>1158</v>
      </c>
      <c r="D2467" s="76" t="s">
        <v>452</v>
      </c>
      <c r="E2467" s="76" t="s">
        <v>612</v>
      </c>
      <c r="F2467" s="76" t="s">
        <v>782</v>
      </c>
      <c r="G2467" s="79">
        <v>10900</v>
      </c>
      <c r="H2467" s="76" t="s">
        <v>54</v>
      </c>
      <c r="I2467" s="76"/>
      <c r="J2467" s="76" t="s">
        <v>606</v>
      </c>
      <c r="K2467" s="79">
        <v>10900</v>
      </c>
      <c r="L2467" s="76" t="s">
        <v>601</v>
      </c>
      <c r="M2467" s="76" t="s">
        <v>2557</v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R2467" s="76" t="s">
        <v>1486</v>
      </c>
      <c r="S2467" s="76"/>
    </row>
    <row r="2468" spans="1:19">
      <c r="A2468" s="113">
        <v>46311.660427175928</v>
      </c>
      <c r="B2468" s="78">
        <v>46296</v>
      </c>
      <c r="C2468" s="76" t="s">
        <v>1158</v>
      </c>
      <c r="D2468" s="76" t="s">
        <v>453</v>
      </c>
      <c r="E2468" s="76"/>
      <c r="F2468" s="76" t="s">
        <v>453</v>
      </c>
      <c r="G2468" s="79">
        <v>5000</v>
      </c>
      <c r="H2468" s="76" t="s">
        <v>54</v>
      </c>
      <c r="I2468" s="76"/>
      <c r="J2468" s="76" t="s">
        <v>606</v>
      </c>
      <c r="K2468" s="79">
        <v>5000</v>
      </c>
      <c r="L2468" s="76" t="s">
        <v>601</v>
      </c>
      <c r="M2468" s="76" t="s">
        <v>2558</v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R2468" s="76" t="s">
        <v>1486</v>
      </c>
      <c r="S2468" s="76"/>
    </row>
    <row r="2469" spans="1:19">
      <c r="A2469" s="113">
        <v>46311.661809722224</v>
      </c>
      <c r="B2469" s="78">
        <v>46296</v>
      </c>
      <c r="C2469" s="76" t="s">
        <v>1158</v>
      </c>
      <c r="D2469" s="76" t="s">
        <v>452</v>
      </c>
      <c r="E2469" s="76" t="s">
        <v>603</v>
      </c>
      <c r="F2469" s="76" t="s">
        <v>643</v>
      </c>
      <c r="G2469" s="79">
        <v>7000</v>
      </c>
      <c r="H2469" s="76" t="s">
        <v>54</v>
      </c>
      <c r="I2469" s="76"/>
      <c r="J2469" s="76" t="s">
        <v>606</v>
      </c>
      <c r="K2469" s="79">
        <v>7000</v>
      </c>
      <c r="L2469" s="76" t="s">
        <v>601</v>
      </c>
      <c r="M2469" s="76" t="s">
        <v>2559</v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R2469" s="76" t="s">
        <v>1486</v>
      </c>
      <c r="S2469" s="76"/>
    </row>
    <row r="2470" spans="1:19">
      <c r="A2470" s="113">
        <v>46312.662509710652</v>
      </c>
      <c r="B2470" s="78">
        <v>46296</v>
      </c>
      <c r="C2470" s="76" t="s">
        <v>1158</v>
      </c>
      <c r="D2470" s="76" t="s">
        <v>452</v>
      </c>
      <c r="E2470" s="76" t="s">
        <v>603</v>
      </c>
      <c r="F2470" s="76" t="s">
        <v>604</v>
      </c>
      <c r="G2470" s="79">
        <v>4000</v>
      </c>
      <c r="H2470" s="76" t="s">
        <v>54</v>
      </c>
      <c r="I2470" s="76" t="s">
        <v>697</v>
      </c>
      <c r="J2470" s="76" t="s">
        <v>606</v>
      </c>
      <c r="K2470" s="79">
        <v>4000</v>
      </c>
      <c r="L2470" s="76" t="s">
        <v>601</v>
      </c>
      <c r="M2470" s="76" t="s">
        <v>2560</v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R2470" s="76" t="s">
        <v>1486</v>
      </c>
      <c r="S2470" s="76"/>
    </row>
    <row r="2471" spans="1:19">
      <c r="A2471" s="113">
        <v>46312.663201296295</v>
      </c>
      <c r="B2471" s="78">
        <v>46296</v>
      </c>
      <c r="C2471" s="76" t="s">
        <v>1158</v>
      </c>
      <c r="D2471" s="76" t="s">
        <v>672</v>
      </c>
      <c r="E2471" s="76"/>
      <c r="F2471" s="76" t="s">
        <v>1232</v>
      </c>
      <c r="G2471" s="79">
        <v>5000</v>
      </c>
      <c r="H2471" s="76" t="s">
        <v>54</v>
      </c>
      <c r="I2471" s="76" t="s">
        <v>2561</v>
      </c>
      <c r="J2471" s="76" t="s">
        <v>606</v>
      </c>
      <c r="K2471" s="79">
        <v>5000</v>
      </c>
      <c r="L2471" s="76" t="s">
        <v>601</v>
      </c>
      <c r="M2471" s="76" t="s">
        <v>2562</v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R2471" s="76" t="s">
        <v>1486</v>
      </c>
      <c r="S2471" s="76"/>
    </row>
    <row r="2472" spans="1:19">
      <c r="A2472" s="113">
        <v>46312.663201388888</v>
      </c>
      <c r="B2472" s="78">
        <v>46296</v>
      </c>
      <c r="C2472" s="76" t="s">
        <v>1158</v>
      </c>
      <c r="D2472" s="76" t="s">
        <v>453</v>
      </c>
      <c r="E2472" s="76"/>
      <c r="F2472" s="76" t="s">
        <v>453</v>
      </c>
      <c r="G2472" s="79">
        <v>5000</v>
      </c>
      <c r="H2472" s="76" t="s">
        <v>54</v>
      </c>
      <c r="I2472" s="76"/>
      <c r="J2472" s="76" t="s">
        <v>606</v>
      </c>
      <c r="K2472" s="79">
        <v>5000</v>
      </c>
      <c r="L2472" s="76" t="s">
        <v>601</v>
      </c>
      <c r="M2472" s="76" t="s">
        <v>2563</v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R2472" s="76" t="s">
        <v>1486</v>
      </c>
      <c r="S2472" s="76"/>
    </row>
    <row r="2473" spans="1:19">
      <c r="A2473" s="113">
        <v>46312.664585659724</v>
      </c>
      <c r="B2473" s="78">
        <v>46296</v>
      </c>
      <c r="C2473" s="76" t="s">
        <v>681</v>
      </c>
      <c r="D2473" s="76" t="s">
        <v>775</v>
      </c>
      <c r="E2473" s="76"/>
      <c r="F2473" s="76" t="s">
        <v>365</v>
      </c>
      <c r="G2473" s="79">
        <v>12530</v>
      </c>
      <c r="H2473" s="76" t="s">
        <v>54</v>
      </c>
      <c r="I2473" s="76" t="s">
        <v>2564</v>
      </c>
      <c r="J2473" s="76" t="s">
        <v>606</v>
      </c>
      <c r="K2473" s="79">
        <v>12530</v>
      </c>
      <c r="L2473" s="76" t="s">
        <v>601</v>
      </c>
      <c r="M2473" s="76" t="s">
        <v>2565</v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R2473" s="76" t="s">
        <v>1486</v>
      </c>
      <c r="S2473" s="76"/>
    </row>
    <row r="2474" spans="1:19">
      <c r="A2474" s="113">
        <v>46312.665288912038</v>
      </c>
      <c r="B2474" s="78">
        <v>46296</v>
      </c>
      <c r="C2474" s="76" t="s">
        <v>712</v>
      </c>
      <c r="D2474" s="76" t="s">
        <v>452</v>
      </c>
      <c r="E2474" s="76" t="s">
        <v>603</v>
      </c>
      <c r="F2474" s="76" t="s">
        <v>2533</v>
      </c>
      <c r="G2474" s="79">
        <v>17000</v>
      </c>
      <c r="H2474" s="76" t="s">
        <v>54</v>
      </c>
      <c r="I2474" s="76" t="s">
        <v>2566</v>
      </c>
      <c r="J2474" s="76" t="s">
        <v>606</v>
      </c>
      <c r="K2474" s="79">
        <v>17000</v>
      </c>
      <c r="L2474" s="76" t="s">
        <v>601</v>
      </c>
      <c r="M2474" s="76" t="s">
        <v>2567</v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R2474" s="76" t="s">
        <v>1490</v>
      </c>
      <c r="S2474" s="76"/>
    </row>
    <row r="2475" spans="1:19">
      <c r="A2475" s="113">
        <v>46312.667370740739</v>
      </c>
      <c r="B2475" s="78">
        <v>46296</v>
      </c>
      <c r="C2475" s="76" t="s">
        <v>154</v>
      </c>
      <c r="D2475" s="76" t="s">
        <v>712</v>
      </c>
      <c r="E2475" s="76"/>
      <c r="F2475" s="76" t="s">
        <v>2568</v>
      </c>
      <c r="G2475" s="79">
        <v>15700</v>
      </c>
      <c r="H2475" s="76" t="s">
        <v>1408</v>
      </c>
      <c r="I2475" s="76"/>
      <c r="J2475" s="76" t="s">
        <v>634</v>
      </c>
      <c r="K2475" s="79">
        <v>15700</v>
      </c>
      <c r="L2475" s="76" t="s">
        <v>601</v>
      </c>
      <c r="M2475" s="76" t="s">
        <v>2569</v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R2475" s="76" t="s">
        <v>1502</v>
      </c>
      <c r="S2475" s="76" t="s">
        <v>636</v>
      </c>
    </row>
    <row r="2476" spans="1:19">
      <c r="A2476" s="113">
        <v>46312.668059328702</v>
      </c>
      <c r="B2476" s="78">
        <v>46296</v>
      </c>
      <c r="C2476" s="76" t="s">
        <v>190</v>
      </c>
      <c r="D2476" s="76" t="s">
        <v>741</v>
      </c>
      <c r="E2476" s="76" t="s">
        <v>1019</v>
      </c>
      <c r="F2476" s="76" t="s">
        <v>2570</v>
      </c>
      <c r="G2476" s="79">
        <v>10000</v>
      </c>
      <c r="H2476" s="76" t="s">
        <v>54</v>
      </c>
      <c r="I2476" s="76" t="s">
        <v>2571</v>
      </c>
      <c r="J2476" s="76" t="s">
        <v>614</v>
      </c>
      <c r="K2476" s="79">
        <v>5000</v>
      </c>
      <c r="L2476" s="76" t="s">
        <v>190</v>
      </c>
      <c r="M2476" s="76" t="s">
        <v>2572</v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R2476" s="76" t="s">
        <v>1490</v>
      </c>
      <c r="S2476" s="76"/>
    </row>
    <row r="2477" spans="1:19">
      <c r="A2477" s="113">
        <v>46312.668059432872</v>
      </c>
      <c r="B2477" s="78">
        <v>46296</v>
      </c>
      <c r="C2477" s="76" t="s">
        <v>190</v>
      </c>
      <c r="D2477" s="76" t="s">
        <v>741</v>
      </c>
      <c r="E2477" s="76" t="s">
        <v>1019</v>
      </c>
      <c r="F2477" s="76" t="s">
        <v>2573</v>
      </c>
      <c r="G2477" s="79">
        <v>26800</v>
      </c>
      <c r="H2477" s="76" t="s">
        <v>54</v>
      </c>
      <c r="I2477" s="76" t="s">
        <v>2574</v>
      </c>
      <c r="J2477" s="76" t="s">
        <v>614</v>
      </c>
      <c r="K2477" s="79">
        <v>13400</v>
      </c>
      <c r="L2477" s="76" t="s">
        <v>190</v>
      </c>
      <c r="M2477" s="76" t="s">
        <v>2575</v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R2477" s="76" t="s">
        <v>1490</v>
      </c>
      <c r="S2477" s="76"/>
    </row>
    <row r="2478" spans="1:19">
      <c r="A2478" s="113">
        <v>46312.668752939811</v>
      </c>
      <c r="B2478" s="78">
        <v>46296</v>
      </c>
      <c r="C2478" s="76" t="s">
        <v>1158</v>
      </c>
      <c r="D2478" s="76" t="s">
        <v>452</v>
      </c>
      <c r="E2478" s="76" t="s">
        <v>603</v>
      </c>
      <c r="F2478" s="76" t="s">
        <v>604</v>
      </c>
      <c r="G2478" s="79">
        <v>5900</v>
      </c>
      <c r="H2478" s="76" t="s">
        <v>54</v>
      </c>
      <c r="I2478" s="76" t="s">
        <v>897</v>
      </c>
      <c r="J2478" s="76" t="s">
        <v>606</v>
      </c>
      <c r="K2478" s="79">
        <v>5900</v>
      </c>
      <c r="L2478" s="76" t="s">
        <v>601</v>
      </c>
      <c r="M2478" s="76" t="s">
        <v>2576</v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R2478" s="76" t="s">
        <v>1486</v>
      </c>
      <c r="S2478" s="76"/>
    </row>
    <row r="2479" spans="1:19">
      <c r="A2479" s="113">
        <v>46312.670841064813</v>
      </c>
      <c r="B2479" s="78">
        <v>46296</v>
      </c>
      <c r="C2479" s="76" t="s">
        <v>1158</v>
      </c>
      <c r="D2479" s="76" t="s">
        <v>452</v>
      </c>
      <c r="E2479" s="76" t="s">
        <v>603</v>
      </c>
      <c r="F2479" s="76" t="s">
        <v>886</v>
      </c>
      <c r="G2479" s="79">
        <v>12200</v>
      </c>
      <c r="H2479" s="76" t="s">
        <v>54</v>
      </c>
      <c r="I2479" s="76" t="s">
        <v>688</v>
      </c>
      <c r="J2479" s="76" t="s">
        <v>606</v>
      </c>
      <c r="K2479" s="79">
        <v>12200</v>
      </c>
      <c r="L2479" s="76" t="s">
        <v>601</v>
      </c>
      <c r="M2479" s="76" t="s">
        <v>2577</v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R2479" s="76" t="s">
        <v>1486</v>
      </c>
      <c r="S2479" s="76"/>
    </row>
    <row r="2480" spans="1:19">
      <c r="A2480" s="113">
        <v>46313.67153349537</v>
      </c>
      <c r="B2480" s="78">
        <v>46296</v>
      </c>
      <c r="C2480" s="76" t="s">
        <v>1158</v>
      </c>
      <c r="D2480" s="76" t="s">
        <v>672</v>
      </c>
      <c r="E2480" s="76" t="s">
        <v>673</v>
      </c>
      <c r="F2480" s="76" t="s">
        <v>1232</v>
      </c>
      <c r="G2480" s="79">
        <v>12000</v>
      </c>
      <c r="H2480" s="76" t="s">
        <v>54</v>
      </c>
      <c r="I2480" s="76" t="s">
        <v>2578</v>
      </c>
      <c r="J2480" s="76" t="s">
        <v>606</v>
      </c>
      <c r="K2480" s="79">
        <v>12000</v>
      </c>
      <c r="L2480" s="76" t="s">
        <v>601</v>
      </c>
      <c r="M2480" s="76" t="s">
        <v>2579</v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R2480" s="76" t="s">
        <v>1486</v>
      </c>
      <c r="S2480" s="76"/>
    </row>
    <row r="2481" spans="1:19">
      <c r="A2481" s="113">
        <v>46313.672226805553</v>
      </c>
      <c r="B2481" s="78">
        <v>46296</v>
      </c>
      <c r="C2481" s="76" t="s">
        <v>681</v>
      </c>
      <c r="D2481" s="76" t="s">
        <v>452</v>
      </c>
      <c r="E2481" s="76" t="s">
        <v>621</v>
      </c>
      <c r="F2481" s="76" t="s">
        <v>682</v>
      </c>
      <c r="G2481" s="79">
        <v>12410</v>
      </c>
      <c r="H2481" s="76" t="s">
        <v>54</v>
      </c>
      <c r="I2481" s="76" t="s">
        <v>824</v>
      </c>
      <c r="J2481" s="76" t="s">
        <v>606</v>
      </c>
      <c r="K2481" s="79">
        <v>12410</v>
      </c>
      <c r="L2481" s="76" t="s">
        <v>601</v>
      </c>
      <c r="M2481" s="76" t="s">
        <v>2580</v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R2481" s="76" t="s">
        <v>1486</v>
      </c>
      <c r="S2481" s="76"/>
    </row>
    <row r="2482" spans="1:19">
      <c r="A2482" s="113">
        <v>46313.675007997685</v>
      </c>
      <c r="B2482" s="78">
        <v>46296</v>
      </c>
      <c r="C2482" s="76" t="s">
        <v>1158</v>
      </c>
      <c r="D2482" s="76" t="s">
        <v>735</v>
      </c>
      <c r="E2482" s="76"/>
      <c r="F2482" s="76" t="s">
        <v>1412</v>
      </c>
      <c r="G2482" s="79">
        <v>20000</v>
      </c>
      <c r="H2482" s="76" t="s">
        <v>54</v>
      </c>
      <c r="I2482" s="76"/>
      <c r="J2482" s="76" t="s">
        <v>606</v>
      </c>
      <c r="K2482" s="79">
        <v>20000</v>
      </c>
      <c r="L2482" s="76" t="s">
        <v>601</v>
      </c>
      <c r="M2482" s="76" t="s">
        <v>2581</v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R2482" s="76" t="s">
        <v>1486</v>
      </c>
      <c r="S2482" s="76"/>
    </row>
    <row r="2483" spans="1:19">
      <c r="A2483" s="113">
        <v>46313.67569491898</v>
      </c>
      <c r="B2483" s="78">
        <v>46296</v>
      </c>
      <c r="C2483" s="76" t="s">
        <v>1158</v>
      </c>
      <c r="D2483" s="76" t="s">
        <v>453</v>
      </c>
      <c r="E2483" s="76"/>
      <c r="F2483" s="76" t="s">
        <v>453</v>
      </c>
      <c r="G2483" s="79">
        <v>5000</v>
      </c>
      <c r="H2483" s="76" t="s">
        <v>54</v>
      </c>
      <c r="I2483" s="76"/>
      <c r="J2483" s="76" t="s">
        <v>606</v>
      </c>
      <c r="K2483" s="79">
        <v>5000</v>
      </c>
      <c r="L2483" s="76" t="s">
        <v>601</v>
      </c>
      <c r="M2483" s="76" t="s">
        <v>2582</v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R2483" s="76" t="s">
        <v>1486</v>
      </c>
      <c r="S2483" s="76"/>
    </row>
    <row r="2484" spans="1:19">
      <c r="A2484" s="113">
        <v>46313.675698055558</v>
      </c>
      <c r="B2484" s="78">
        <v>46296</v>
      </c>
      <c r="C2484" s="76" t="s">
        <v>1158</v>
      </c>
      <c r="D2484" s="76" t="s">
        <v>452</v>
      </c>
      <c r="E2484" s="76" t="s">
        <v>603</v>
      </c>
      <c r="F2484" s="76" t="s">
        <v>604</v>
      </c>
      <c r="G2484" s="79">
        <v>3000</v>
      </c>
      <c r="H2484" s="76" t="s">
        <v>54</v>
      </c>
      <c r="I2484" s="76" t="s">
        <v>2583</v>
      </c>
      <c r="J2484" s="76" t="s">
        <v>606</v>
      </c>
      <c r="K2484" s="79">
        <v>3000</v>
      </c>
      <c r="L2484" s="76" t="s">
        <v>601</v>
      </c>
      <c r="M2484" s="76" t="s">
        <v>2584</v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R2484" s="76" t="s">
        <v>1486</v>
      </c>
      <c r="S2484" s="76"/>
    </row>
    <row r="2485" spans="1:19">
      <c r="A2485" s="113">
        <v>46313.676396759256</v>
      </c>
      <c r="B2485" s="78">
        <v>46296</v>
      </c>
      <c r="C2485" s="76" t="s">
        <v>681</v>
      </c>
      <c r="D2485" s="76" t="s">
        <v>625</v>
      </c>
      <c r="E2485" s="76"/>
      <c r="F2485" s="76" t="s">
        <v>365</v>
      </c>
      <c r="G2485" s="79">
        <v>35820</v>
      </c>
      <c r="H2485" s="76" t="s">
        <v>54</v>
      </c>
      <c r="I2485" s="76" t="s">
        <v>2585</v>
      </c>
      <c r="J2485" s="76" t="s">
        <v>606</v>
      </c>
      <c r="K2485" s="79">
        <v>35820</v>
      </c>
      <c r="L2485" s="76" t="s">
        <v>601</v>
      </c>
      <c r="M2485" s="76" t="s">
        <v>2586</v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R2485" s="76" t="s">
        <v>1486</v>
      </c>
      <c r="S2485" s="76"/>
    </row>
    <row r="2486" spans="1:19">
      <c r="A2486" s="113">
        <v>46313.677086319447</v>
      </c>
      <c r="B2486" s="78">
        <v>46296</v>
      </c>
      <c r="C2486" s="76" t="s">
        <v>1158</v>
      </c>
      <c r="D2486" s="76" t="s">
        <v>452</v>
      </c>
      <c r="E2486" s="76" t="s">
        <v>603</v>
      </c>
      <c r="F2486" s="76" t="s">
        <v>803</v>
      </c>
      <c r="G2486" s="79">
        <v>4400</v>
      </c>
      <c r="H2486" s="76" t="s">
        <v>54</v>
      </c>
      <c r="I2486" s="76"/>
      <c r="J2486" s="76" t="s">
        <v>606</v>
      </c>
      <c r="K2486" s="79">
        <v>4400</v>
      </c>
      <c r="L2486" s="76" t="s">
        <v>601</v>
      </c>
      <c r="M2486" s="76" t="s">
        <v>2587</v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R2486" s="76" t="s">
        <v>1486</v>
      </c>
      <c r="S2486" s="76"/>
    </row>
    <row r="2487" spans="1:19">
      <c r="A2487" s="113">
        <v>46313.915867812502</v>
      </c>
      <c r="B2487" s="78">
        <v>46296</v>
      </c>
      <c r="C2487" s="76" t="s">
        <v>1158</v>
      </c>
      <c r="D2487" s="76" t="s">
        <v>625</v>
      </c>
      <c r="E2487" s="76"/>
      <c r="F2487" s="76" t="s">
        <v>2588</v>
      </c>
      <c r="G2487" s="79">
        <v>37760</v>
      </c>
      <c r="H2487" s="76" t="s">
        <v>54</v>
      </c>
      <c r="I2487" s="76" t="s">
        <v>2589</v>
      </c>
      <c r="J2487" s="76" t="s">
        <v>606</v>
      </c>
      <c r="K2487" s="79">
        <v>37760</v>
      </c>
      <c r="L2487" s="76" t="s">
        <v>601</v>
      </c>
      <c r="M2487" s="76" t="s">
        <v>2590</v>
      </c>
      <c r="N2487" s="76" t="str">
        <f>IF(R2487="WRAP",IF((COUNTIF(잔액!$W$64:$W$500,ROW())+COUNTIF(잔액!$X$64:$X$500,ROW()))=1,"연결",IF((COUNTIF(잔액!$W$64:$W$500,ROW())+COUNTIF(잔액!$X$64:$X$500,ROW()))=0,"누락","중복")),IF(R2487="카드사용","월간·계산기","타계좌·잔액제외"))</f>
        <v>월간·계산기</v>
      </c>
      <c r="R2487" s="76" t="s">
        <v>1486</v>
      </c>
      <c r="S2487" s="76"/>
    </row>
    <row r="2488" spans="1:19">
      <c r="A2488" s="113">
        <v>46313.916194178244</v>
      </c>
      <c r="B2488" s="78">
        <v>46296</v>
      </c>
      <c r="C2488" s="76" t="s">
        <v>681</v>
      </c>
      <c r="D2488" s="76" t="s">
        <v>775</v>
      </c>
      <c r="E2488" s="76"/>
      <c r="F2488" s="76" t="s">
        <v>365</v>
      </c>
      <c r="G2488" s="79">
        <v>38990</v>
      </c>
      <c r="H2488" s="76" t="s">
        <v>54</v>
      </c>
      <c r="I2488" s="76" t="s">
        <v>2591</v>
      </c>
      <c r="J2488" s="76" t="s">
        <v>606</v>
      </c>
      <c r="K2488" s="79">
        <v>38990</v>
      </c>
      <c r="L2488" s="76" t="s">
        <v>601</v>
      </c>
      <c r="M2488" s="76" t="s">
        <v>2592</v>
      </c>
      <c r="N2488" s="76" t="str">
        <f>IF(R2488="WRAP",IF((COUNTIF(잔액!$W$64:$W$500,ROW())+COUNTIF(잔액!$X$64:$X$500,ROW()))=1,"연결",IF((COUNTIF(잔액!$W$64:$W$500,ROW())+COUNTIF(잔액!$X$64:$X$500,ROW()))=0,"누락","중복")),IF(R2488="카드사용","월간·계산기","타계좌·잔액제외"))</f>
        <v>월간·계산기</v>
      </c>
      <c r="R2488" s="76" t="s">
        <v>1486</v>
      </c>
      <c r="S2488" s="76"/>
    </row>
    <row r="2489" spans="1:19">
      <c r="A2489" s="113">
        <v>46313.916648495368</v>
      </c>
      <c r="B2489" s="78">
        <v>46296</v>
      </c>
      <c r="C2489" s="76" t="s">
        <v>1158</v>
      </c>
      <c r="D2489" s="76" t="s">
        <v>452</v>
      </c>
      <c r="E2489" s="76" t="s">
        <v>603</v>
      </c>
      <c r="F2489" s="76" t="s">
        <v>604</v>
      </c>
      <c r="G2489" s="79">
        <v>9800</v>
      </c>
      <c r="H2489" s="76" t="s">
        <v>54</v>
      </c>
      <c r="I2489" s="76" t="s">
        <v>688</v>
      </c>
      <c r="J2489" s="76" t="s">
        <v>606</v>
      </c>
      <c r="K2489" s="79">
        <v>9800</v>
      </c>
      <c r="L2489" s="76" t="s">
        <v>601</v>
      </c>
      <c r="M2489" s="76" t="s">
        <v>2593</v>
      </c>
      <c r="N2489" s="76" t="str">
        <f>IF(R2489="WRAP",IF((COUNTIF(잔액!$W$64:$W$500,ROW())+COUNTIF(잔액!$X$64:$X$500,ROW()))=1,"연결",IF((COUNTIF(잔액!$W$64:$W$500,ROW())+COUNTIF(잔액!$X$64:$X$500,ROW()))=0,"누락","중복")),IF(R2489="카드사용","월간·계산기","타계좌·잔액제외"))</f>
        <v>월간·계산기</v>
      </c>
      <c r="R2489" s="76" t="s">
        <v>1486</v>
      </c>
      <c r="S2489" s="76"/>
    </row>
    <row r="2490" spans="1:19">
      <c r="A2490" s="113">
        <v>46314.380274687501</v>
      </c>
      <c r="B2490" s="78">
        <v>46296</v>
      </c>
      <c r="C2490" s="76" t="s">
        <v>1158</v>
      </c>
      <c r="D2490" s="76" t="s">
        <v>453</v>
      </c>
      <c r="E2490" s="76"/>
      <c r="F2490" s="76" t="s">
        <v>453</v>
      </c>
      <c r="G2490" s="79">
        <v>5000</v>
      </c>
      <c r="H2490" s="76" t="s">
        <v>54</v>
      </c>
      <c r="I2490" s="76"/>
      <c r="J2490" s="76" t="s">
        <v>606</v>
      </c>
      <c r="K2490" s="79">
        <v>5000</v>
      </c>
      <c r="L2490" s="76" t="s">
        <v>601</v>
      </c>
      <c r="M2490" s="76" t="s">
        <v>2594</v>
      </c>
      <c r="N2490" s="76" t="str">
        <f>IF(R2490="WRAP",IF((COUNTIF(잔액!$W$64:$W$500,ROW())+COUNTIF(잔액!$X$64:$X$500,ROW()))=1,"연결",IF((COUNTIF(잔액!$W$64:$W$500,ROW())+COUNTIF(잔액!$X$64:$X$500,ROW()))=0,"누락","중복")),IF(R2490="카드사용","월간·계산기","타계좌·잔액제외"))</f>
        <v>월간·계산기</v>
      </c>
      <c r="R2490" s="76" t="s">
        <v>1486</v>
      </c>
      <c r="S2490" s="76"/>
    </row>
    <row r="2491" spans="1:19">
      <c r="A2491" s="113">
        <v>46314.380310671295</v>
      </c>
      <c r="B2491" s="78">
        <v>46296</v>
      </c>
      <c r="C2491" s="76" t="s">
        <v>1158</v>
      </c>
      <c r="D2491" s="76" t="s">
        <v>672</v>
      </c>
      <c r="E2491" s="76" t="s">
        <v>1005</v>
      </c>
      <c r="F2491" s="76" t="s">
        <v>604</v>
      </c>
      <c r="G2491" s="79">
        <v>1900</v>
      </c>
      <c r="H2491" s="76" t="s">
        <v>54</v>
      </c>
      <c r="I2491" s="76" t="s">
        <v>1186</v>
      </c>
      <c r="J2491" s="76" t="s">
        <v>606</v>
      </c>
      <c r="K2491" s="79">
        <v>1900</v>
      </c>
      <c r="L2491" s="76" t="s">
        <v>601</v>
      </c>
      <c r="M2491" s="76" t="s">
        <v>2595</v>
      </c>
      <c r="N2491" s="76" t="str">
        <f>IF(R2491="WRAP",IF((COUNTIF(잔액!$W$64:$W$500,ROW())+COUNTIF(잔액!$X$64:$X$500,ROW()))=1,"연결",IF((COUNTIF(잔액!$W$64:$W$500,ROW())+COUNTIF(잔액!$X$64:$X$500,ROW()))=0,"누락","중복")),IF(R2491="카드사용","월간·계산기","타계좌·잔액제외"))</f>
        <v>월간·계산기</v>
      </c>
      <c r="R2491" s="76" t="s">
        <v>1486</v>
      </c>
      <c r="S2491" s="76"/>
    </row>
    <row r="2492" spans="1:19">
      <c r="A2492" s="113">
        <v>46314.865976562498</v>
      </c>
      <c r="B2492" s="78">
        <v>46296</v>
      </c>
      <c r="C2492" s="76" t="s">
        <v>1158</v>
      </c>
      <c r="D2492" s="76" t="s">
        <v>452</v>
      </c>
      <c r="E2492" s="76" t="s">
        <v>612</v>
      </c>
      <c r="F2492" s="76" t="s">
        <v>731</v>
      </c>
      <c r="G2492" s="79">
        <v>12000</v>
      </c>
      <c r="H2492" s="76" t="s">
        <v>54</v>
      </c>
      <c r="I2492" s="76"/>
      <c r="J2492" s="76" t="s">
        <v>606</v>
      </c>
      <c r="K2492" s="79">
        <v>12000</v>
      </c>
      <c r="L2492" s="76" t="s">
        <v>601</v>
      </c>
      <c r="M2492" s="76" t="s">
        <v>2596</v>
      </c>
      <c r="N2492" s="76" t="str">
        <f>IF(R2492="WRAP",IF((COUNTIF(잔액!$W$64:$W$500,ROW())+COUNTIF(잔액!$X$64:$X$500,ROW()))=1,"연결",IF((COUNTIF(잔액!$W$64:$W$500,ROW())+COUNTIF(잔액!$X$64:$X$500,ROW()))=0,"누락","중복")),IF(R2492="카드사용","월간·계산기","타계좌·잔액제외"))</f>
        <v>월간·계산기</v>
      </c>
      <c r="R2492" s="76" t="s">
        <v>1486</v>
      </c>
      <c r="S2492" s="76"/>
    </row>
    <row r="2493" spans="1:19">
      <c r="A2493" s="113">
        <v>46314.866669293981</v>
      </c>
      <c r="B2493" s="78">
        <v>46296</v>
      </c>
      <c r="C2493" s="76" t="s">
        <v>154</v>
      </c>
      <c r="D2493" s="76" t="s">
        <v>646</v>
      </c>
      <c r="E2493" s="76"/>
      <c r="F2493" s="76" t="s">
        <v>550</v>
      </c>
      <c r="G2493" s="79">
        <v>110075</v>
      </c>
      <c r="H2493" s="76" t="s">
        <v>54</v>
      </c>
      <c r="I2493" s="76" t="s">
        <v>2597</v>
      </c>
      <c r="J2493" s="76" t="s">
        <v>628</v>
      </c>
      <c r="K2493" s="79">
        <v>110075</v>
      </c>
      <c r="L2493" s="76" t="s">
        <v>601</v>
      </c>
      <c r="M2493" s="76" t="s">
        <v>2598</v>
      </c>
      <c r="N2493" s="76" t="str">
        <f>IF(R2493="WRAP",IF((COUNTIF(잔액!$W$64:$W$500,ROW())+COUNTIF(잔액!$X$64:$X$500,ROW()))=1,"연결",IF((COUNTIF(잔액!$W$64:$W$500,ROW())+COUNTIF(잔액!$X$64:$X$500,ROW()))=0,"누락","중복")),IF(R2493="카드사용","월간·계산기","타계좌·잔액제외"))</f>
        <v>연결</v>
      </c>
      <c r="R2493" s="76" t="s">
        <v>1502</v>
      </c>
      <c r="S2493" s="76" t="s">
        <v>53</v>
      </c>
    </row>
  </sheetData>
  <autoFilter ref="A1:S2493" xr:uid="{00000000-0009-0000-0000-00001C000000}"/>
  <phoneticPr fontId="27" type="noConversion"/>
  <conditionalFormatting sqref="N2323:N249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1669</v>
      </c>
    </row>
    <row r="2" spans="1:24">
      <c r="A2" t="s">
        <v>1670</v>
      </c>
    </row>
    <row r="4" spans="1:24">
      <c r="A4" t="s">
        <v>230</v>
      </c>
      <c r="B4" t="s">
        <v>231</v>
      </c>
      <c r="C4" t="s">
        <v>232</v>
      </c>
      <c r="D4" t="s">
        <v>233</v>
      </c>
      <c r="E4" t="s">
        <v>234</v>
      </c>
      <c r="F4" t="s">
        <v>235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236</v>
      </c>
      <c r="V4" t="s">
        <v>237</v>
      </c>
      <c r="W4" t="s">
        <v>1671</v>
      </c>
      <c r="X4" t="s">
        <v>430</v>
      </c>
    </row>
    <row r="5" spans="1:24">
      <c r="A5" t="s">
        <v>1672</v>
      </c>
      <c r="B5" t="s">
        <v>1673</v>
      </c>
      <c r="C5" t="s">
        <v>56</v>
      </c>
      <c r="D5" t="s">
        <v>241</v>
      </c>
      <c r="E5" t="s">
        <v>57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1672</v>
      </c>
      <c r="B6" t="s">
        <v>1673</v>
      </c>
      <c r="C6" t="s">
        <v>86</v>
      </c>
      <c r="D6" t="s">
        <v>241</v>
      </c>
      <c r="F6" t="s">
        <v>247</v>
      </c>
      <c r="Q6" s="2">
        <v>200000</v>
      </c>
      <c r="V6" s="2">
        <v>200000</v>
      </c>
      <c r="W6" s="2">
        <v>0</v>
      </c>
    </row>
    <row r="7" spans="1:24">
      <c r="A7" t="s">
        <v>1672</v>
      </c>
      <c r="B7" t="s">
        <v>244</v>
      </c>
      <c r="C7" t="s">
        <v>56</v>
      </c>
      <c r="D7" t="s">
        <v>245</v>
      </c>
      <c r="E7" t="s">
        <v>57</v>
      </c>
      <c r="L7" s="2">
        <v>50000</v>
      </c>
      <c r="Q7" s="2">
        <v>50000</v>
      </c>
      <c r="U7" s="2">
        <v>100000</v>
      </c>
    </row>
    <row r="8" spans="1:24">
      <c r="A8" t="s">
        <v>1672</v>
      </c>
      <c r="B8" t="s">
        <v>244</v>
      </c>
      <c r="C8" t="s">
        <v>86</v>
      </c>
      <c r="D8" t="s">
        <v>245</v>
      </c>
      <c r="F8" t="s">
        <v>247</v>
      </c>
      <c r="R8" s="2">
        <v>100000</v>
      </c>
      <c r="V8" s="2">
        <v>100000</v>
      </c>
      <c r="W8" s="2">
        <v>0</v>
      </c>
    </row>
    <row r="9" spans="1:24">
      <c r="A9" t="s">
        <v>1672</v>
      </c>
      <c r="B9" t="s">
        <v>248</v>
      </c>
      <c r="C9" t="s">
        <v>56</v>
      </c>
      <c r="D9" t="s">
        <v>249</v>
      </c>
      <c r="E9" t="s">
        <v>57</v>
      </c>
      <c r="G9" s="2">
        <v>50000</v>
      </c>
      <c r="U9" s="2">
        <v>50000</v>
      </c>
    </row>
    <row r="10" spans="1:24">
      <c r="A10" t="s">
        <v>1672</v>
      </c>
      <c r="B10" t="s">
        <v>248</v>
      </c>
      <c r="C10" t="s">
        <v>86</v>
      </c>
      <c r="D10" t="s">
        <v>249</v>
      </c>
      <c r="F10" t="s">
        <v>250</v>
      </c>
      <c r="H10" s="2">
        <v>50000</v>
      </c>
      <c r="V10" s="2">
        <v>50000</v>
      </c>
      <c r="W10" s="2">
        <v>0</v>
      </c>
    </row>
    <row r="11" spans="1:24">
      <c r="A11" t="s">
        <v>1672</v>
      </c>
      <c r="B11" t="s">
        <v>251</v>
      </c>
      <c r="C11" t="s">
        <v>56</v>
      </c>
      <c r="D11" t="s">
        <v>252</v>
      </c>
      <c r="E11" t="s">
        <v>57</v>
      </c>
      <c r="O11" s="2">
        <v>50000</v>
      </c>
      <c r="U11" s="2">
        <v>50000</v>
      </c>
    </row>
    <row r="12" spans="1:24">
      <c r="A12" t="s">
        <v>1672</v>
      </c>
      <c r="B12" t="s">
        <v>251</v>
      </c>
      <c r="C12" t="s">
        <v>86</v>
      </c>
      <c r="D12" t="s">
        <v>252</v>
      </c>
      <c r="F12" t="s">
        <v>250</v>
      </c>
      <c r="P12" s="2">
        <v>50000</v>
      </c>
      <c r="V12" s="2">
        <v>50000</v>
      </c>
      <c r="W12" s="2">
        <v>0</v>
      </c>
    </row>
    <row r="13" spans="1:24">
      <c r="A13" t="s">
        <v>1672</v>
      </c>
      <c r="B13" t="s">
        <v>58</v>
      </c>
      <c r="C13" t="s">
        <v>56</v>
      </c>
      <c r="D13" t="s">
        <v>255</v>
      </c>
      <c r="E13" t="s">
        <v>57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1672</v>
      </c>
      <c r="B14" t="s">
        <v>58</v>
      </c>
      <c r="C14" t="s">
        <v>86</v>
      </c>
      <c r="D14" t="s">
        <v>256</v>
      </c>
      <c r="F14" t="s">
        <v>1674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14</v>
      </c>
      <c r="B15" t="s">
        <v>59</v>
      </c>
      <c r="C15" t="s">
        <v>56</v>
      </c>
      <c r="E15" t="s">
        <v>57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14</v>
      </c>
      <c r="B16" t="s">
        <v>59</v>
      </c>
      <c r="C16" t="s">
        <v>86</v>
      </c>
      <c r="D16" t="s">
        <v>1675</v>
      </c>
      <c r="F16" t="s">
        <v>1676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15</v>
      </c>
      <c r="B17" t="s">
        <v>88</v>
      </c>
      <c r="C17" t="s">
        <v>56</v>
      </c>
      <c r="E17" t="s">
        <v>57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15</v>
      </c>
      <c r="B18" t="s">
        <v>88</v>
      </c>
      <c r="C18" t="s">
        <v>86</v>
      </c>
      <c r="D18" t="s">
        <v>260</v>
      </c>
      <c r="F18" t="s">
        <v>247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16</v>
      </c>
      <c r="B19" t="s">
        <v>262</v>
      </c>
      <c r="C19" t="s">
        <v>56</v>
      </c>
      <c r="D19" t="s">
        <v>263</v>
      </c>
      <c r="E19" t="s">
        <v>57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16</v>
      </c>
      <c r="B20" t="s">
        <v>262</v>
      </c>
      <c r="C20" t="s">
        <v>86</v>
      </c>
      <c r="D20" t="s">
        <v>263</v>
      </c>
      <c r="F20" t="s">
        <v>1677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1678</v>
      </c>
      <c r="B21" t="s">
        <v>266</v>
      </c>
      <c r="C21" t="s">
        <v>56</v>
      </c>
      <c r="E21" t="s">
        <v>267</v>
      </c>
      <c r="G21" s="2">
        <v>100000</v>
      </c>
      <c r="H21" s="2">
        <v>100000</v>
      </c>
      <c r="U21" s="2">
        <v>200000</v>
      </c>
    </row>
    <row r="22" spans="1:24">
      <c r="A22" t="s">
        <v>1678</v>
      </c>
      <c r="B22" t="s">
        <v>266</v>
      </c>
      <c r="C22" t="s">
        <v>86</v>
      </c>
      <c r="D22" t="s">
        <v>268</v>
      </c>
      <c r="F22" t="s">
        <v>269</v>
      </c>
      <c r="H22" s="2">
        <v>200000</v>
      </c>
      <c r="V22" s="2">
        <v>200000</v>
      </c>
      <c r="W22" s="2">
        <v>0</v>
      </c>
    </row>
    <row r="24" spans="1:24">
      <c r="A24" t="s">
        <v>1679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1680</v>
      </c>
    </row>
    <row r="25" spans="1:24">
      <c r="A25" t="s">
        <v>1681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237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1682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1683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1684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1685</v>
      </c>
    </row>
    <row r="30" spans="1:24">
      <c r="A30" t="s">
        <v>1686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1687</v>
      </c>
    </row>
    <row r="34" spans="1:23">
      <c r="A34" t="s">
        <v>230</v>
      </c>
      <c r="B34" t="s">
        <v>232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236</v>
      </c>
      <c r="V34" t="s">
        <v>237</v>
      </c>
      <c r="W34" t="s">
        <v>1688</v>
      </c>
    </row>
    <row r="35" spans="1:23">
      <c r="A35" t="s">
        <v>1672</v>
      </c>
      <c r="B35" t="s">
        <v>56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1672</v>
      </c>
      <c r="B36" t="s">
        <v>86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14</v>
      </c>
      <c r="B37" t="s">
        <v>56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14</v>
      </c>
      <c r="B38" t="s">
        <v>86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15</v>
      </c>
      <c r="B39" t="s">
        <v>56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15</v>
      </c>
      <c r="B40" t="s">
        <v>86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16</v>
      </c>
      <c r="B41" t="s">
        <v>56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16</v>
      </c>
      <c r="B42" t="s">
        <v>86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1678</v>
      </c>
      <c r="B43" t="s">
        <v>56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1678</v>
      </c>
      <c r="B44" t="s">
        <v>86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1689</v>
      </c>
      <c r="H47" t="s">
        <v>1690</v>
      </c>
    </row>
    <row r="48" spans="1:23">
      <c r="A48" t="s">
        <v>232</v>
      </c>
      <c r="B48" t="s">
        <v>316</v>
      </c>
      <c r="D48" t="s">
        <v>31</v>
      </c>
      <c r="E48" t="s">
        <v>1691</v>
      </c>
      <c r="H48" t="s">
        <v>1692</v>
      </c>
      <c r="I48" s="2">
        <v>410000</v>
      </c>
    </row>
    <row r="49" spans="1:9">
      <c r="A49" t="s">
        <v>1693</v>
      </c>
      <c r="B49" t="s">
        <v>1694</v>
      </c>
      <c r="D49" s="2">
        <v>1300000</v>
      </c>
      <c r="E49" t="s">
        <v>1695</v>
      </c>
      <c r="H49" t="s">
        <v>1696</v>
      </c>
      <c r="I49" s="2">
        <v>300000</v>
      </c>
    </row>
    <row r="50" spans="1:9">
      <c r="B50" t="s">
        <v>1697</v>
      </c>
      <c r="D50" s="2">
        <v>400000</v>
      </c>
      <c r="E50" t="s">
        <v>1698</v>
      </c>
      <c r="H50" t="s">
        <v>1699</v>
      </c>
      <c r="I50" s="2">
        <v>600000</v>
      </c>
    </row>
    <row r="51" spans="1:9">
      <c r="B51" t="s">
        <v>1700</v>
      </c>
      <c r="D51" s="2">
        <v>2400000</v>
      </c>
      <c r="E51" t="s">
        <v>1701</v>
      </c>
      <c r="H51" t="s">
        <v>1702</v>
      </c>
      <c r="I51" s="2">
        <v>200000</v>
      </c>
    </row>
    <row r="52" spans="1:9">
      <c r="B52" t="s">
        <v>1703</v>
      </c>
      <c r="D52" s="2">
        <v>4100000</v>
      </c>
      <c r="H52" t="s">
        <v>295</v>
      </c>
      <c r="I52" s="2">
        <v>1510000</v>
      </c>
    </row>
    <row r="53" spans="1:9">
      <c r="A53" t="s">
        <v>1704</v>
      </c>
      <c r="B53" t="s">
        <v>1705</v>
      </c>
      <c r="D53" s="2">
        <v>4000000</v>
      </c>
      <c r="E53" t="s">
        <v>1706</v>
      </c>
    </row>
    <row r="54" spans="1:9">
      <c r="B54" t="s">
        <v>1707</v>
      </c>
      <c r="D54" s="2">
        <v>4000000</v>
      </c>
    </row>
    <row r="55" spans="1:9">
      <c r="A55" t="s">
        <v>1708</v>
      </c>
      <c r="B55" t="s">
        <v>1709</v>
      </c>
      <c r="D55" s="2">
        <v>200000</v>
      </c>
      <c r="E55" t="s">
        <v>1710</v>
      </c>
    </row>
    <row r="56" spans="1:9">
      <c r="B56" t="s">
        <v>1711</v>
      </c>
      <c r="D56" s="2">
        <v>300000</v>
      </c>
      <c r="E56" t="s">
        <v>1710</v>
      </c>
    </row>
    <row r="57" spans="1:9">
      <c r="E57" t="s">
        <v>1712</v>
      </c>
    </row>
    <row r="60" spans="1:9">
      <c r="B60" t="s">
        <v>1713</v>
      </c>
      <c r="D60" s="2">
        <v>500000</v>
      </c>
    </row>
    <row r="61" spans="1:9">
      <c r="A61" t="s">
        <v>1714</v>
      </c>
      <c r="B61" t="s">
        <v>1715</v>
      </c>
      <c r="D61" s="2">
        <v>4500000</v>
      </c>
    </row>
    <row r="62" spans="1:9">
      <c r="B62" t="s">
        <v>1716</v>
      </c>
      <c r="D62" s="2">
        <v>400000</v>
      </c>
      <c r="E62" t="s">
        <v>1717</v>
      </c>
    </row>
  </sheetData>
  <phoneticPr fontId="27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1718</v>
      </c>
    </row>
    <row r="3" spans="1:15">
      <c r="A3" t="s">
        <v>307</v>
      </c>
      <c r="B3" s="3">
        <v>46266</v>
      </c>
      <c r="C3" t="s">
        <v>1719</v>
      </c>
    </row>
    <row r="4" spans="1:15">
      <c r="A4" t="s">
        <v>1720</v>
      </c>
      <c r="C4" t="s">
        <v>1721</v>
      </c>
    </row>
    <row r="6" spans="1:15">
      <c r="A6" t="s">
        <v>3</v>
      </c>
      <c r="B6" t="s">
        <v>1722</v>
      </c>
      <c r="C6" t="s">
        <v>1723</v>
      </c>
      <c r="D6" t="s">
        <v>1724</v>
      </c>
      <c r="E6" t="s">
        <v>1725</v>
      </c>
      <c r="F6" t="s">
        <v>1726</v>
      </c>
      <c r="G6" t="s">
        <v>1727</v>
      </c>
      <c r="H6" t="s">
        <v>1728</v>
      </c>
      <c r="I6" t="s">
        <v>1729</v>
      </c>
      <c r="J6" t="s">
        <v>1730</v>
      </c>
      <c r="K6" t="s">
        <v>1731</v>
      </c>
      <c r="L6" t="s">
        <v>1732</v>
      </c>
      <c r="M6" t="s">
        <v>1733</v>
      </c>
      <c r="N6" t="s">
        <v>1734</v>
      </c>
      <c r="O6" t="s">
        <v>1735</v>
      </c>
    </row>
    <row r="7" spans="1:15">
      <c r="A7" t="s">
        <v>12</v>
      </c>
      <c r="B7" t="s">
        <v>1736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1737</v>
      </c>
      <c r="J7" t="s">
        <v>1737</v>
      </c>
      <c r="K7" t="s">
        <v>1737</v>
      </c>
      <c r="L7" t="s">
        <v>1737</v>
      </c>
      <c r="M7" t="s">
        <v>1737</v>
      </c>
      <c r="N7" t="s">
        <v>1737</v>
      </c>
      <c r="O7" t="s">
        <v>1737</v>
      </c>
    </row>
    <row r="8" spans="1:15">
      <c r="A8" t="s">
        <v>1672</v>
      </c>
      <c r="B8" t="s">
        <v>1738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1739</v>
      </c>
    </row>
    <row r="9" spans="1:15">
      <c r="A9" t="s">
        <v>14</v>
      </c>
      <c r="B9" t="s">
        <v>1740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1739</v>
      </c>
    </row>
    <row r="10" spans="1:15">
      <c r="A10" t="s">
        <v>15</v>
      </c>
      <c r="B10" t="s">
        <v>1741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1739</v>
      </c>
    </row>
    <row r="11" spans="1:15">
      <c r="A11" t="s">
        <v>16</v>
      </c>
      <c r="B11" t="s">
        <v>60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1739</v>
      </c>
    </row>
    <row r="12" spans="1:15">
      <c r="A12" t="s">
        <v>1678</v>
      </c>
      <c r="B12" t="s">
        <v>1742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1739</v>
      </c>
    </row>
    <row r="13" spans="1:15">
      <c r="A13" t="s">
        <v>19</v>
      </c>
      <c r="B13" t="s">
        <v>1743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1737</v>
      </c>
      <c r="J13" t="s">
        <v>1737</v>
      </c>
      <c r="K13" t="s">
        <v>1737</v>
      </c>
      <c r="L13" t="s">
        <v>1737</v>
      </c>
      <c r="M13" t="s">
        <v>1737</v>
      </c>
      <c r="N13" t="s">
        <v>1737</v>
      </c>
      <c r="O13" t="s">
        <v>1737</v>
      </c>
    </row>
    <row r="14" spans="1:15">
      <c r="A14" t="s">
        <v>20</v>
      </c>
      <c r="B14" t="s">
        <v>1744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1737</v>
      </c>
      <c r="J14" t="s">
        <v>1737</v>
      </c>
      <c r="K14" t="s">
        <v>1737</v>
      </c>
      <c r="L14" t="s">
        <v>1737</v>
      </c>
      <c r="M14" t="s">
        <v>1737</v>
      </c>
      <c r="N14" t="s">
        <v>1737</v>
      </c>
      <c r="O14" t="s">
        <v>1737</v>
      </c>
    </row>
    <row r="15" spans="1:15">
      <c r="A15" t="s">
        <v>295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39</v>
      </c>
      <c r="B16" t="s">
        <v>1745</v>
      </c>
      <c r="G16" t="s">
        <v>1746</v>
      </c>
    </row>
    <row r="17" spans="1:55">
      <c r="A17" t="s">
        <v>1747</v>
      </c>
    </row>
    <row r="18" spans="1:55">
      <c r="A18" t="s">
        <v>1748</v>
      </c>
    </row>
    <row r="19" spans="1:55">
      <c r="A19" t="s">
        <v>3</v>
      </c>
      <c r="B19" t="s">
        <v>232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12</v>
      </c>
      <c r="B20" t="s">
        <v>1749</v>
      </c>
      <c r="C20" s="2">
        <v>229000</v>
      </c>
      <c r="D20" t="s">
        <v>1750</v>
      </c>
      <c r="E20" t="s">
        <v>216</v>
      </c>
      <c r="H20" s="2">
        <v>993611</v>
      </c>
      <c r="I20" t="s">
        <v>1751</v>
      </c>
      <c r="J20" t="s">
        <v>217</v>
      </c>
      <c r="M20" s="2">
        <v>944667</v>
      </c>
      <c r="N20" t="s">
        <v>1751</v>
      </c>
      <c r="O20" t="s">
        <v>218</v>
      </c>
      <c r="R20" s="2">
        <v>1062089</v>
      </c>
      <c r="S20" t="s">
        <v>1751</v>
      </c>
      <c r="T20" t="s">
        <v>219</v>
      </c>
      <c r="W20" s="2">
        <v>626802</v>
      </c>
      <c r="X20" t="s">
        <v>1751</v>
      </c>
      <c r="Y20" t="s">
        <v>220</v>
      </c>
      <c r="AB20" s="2">
        <v>-498498</v>
      </c>
      <c r="AC20" t="s">
        <v>1751</v>
      </c>
      <c r="AD20" t="s">
        <v>221</v>
      </c>
      <c r="AG20" s="2">
        <v>0</v>
      </c>
      <c r="AH20" t="s">
        <v>1751</v>
      </c>
      <c r="AI20" t="s">
        <v>222</v>
      </c>
      <c r="AL20" s="2">
        <v>6388603</v>
      </c>
      <c r="AM20" t="s">
        <v>1751</v>
      </c>
      <c r="AN20" t="s">
        <v>1752</v>
      </c>
      <c r="AQ20" s="2">
        <v>6388603</v>
      </c>
      <c r="AR20" t="s">
        <v>1751</v>
      </c>
      <c r="AS20" t="s">
        <v>1753</v>
      </c>
      <c r="AV20" s="2">
        <v>6388603</v>
      </c>
      <c r="AW20" t="s">
        <v>1751</v>
      </c>
      <c r="AX20" t="s">
        <v>1754</v>
      </c>
      <c r="BA20" s="2">
        <v>6388603</v>
      </c>
      <c r="BB20" t="s">
        <v>1751</v>
      </c>
      <c r="BC20" t="s">
        <v>1755</v>
      </c>
    </row>
    <row r="21" spans="1:55">
      <c r="A21" t="s">
        <v>12</v>
      </c>
      <c r="B21" t="s">
        <v>1756</v>
      </c>
      <c r="C21" t="s">
        <v>51</v>
      </c>
      <c r="H21" t="s">
        <v>61</v>
      </c>
      <c r="M21" t="s">
        <v>81</v>
      </c>
      <c r="AB21" t="s">
        <v>119</v>
      </c>
      <c r="AG21" t="s">
        <v>143</v>
      </c>
      <c r="AH21" t="s">
        <v>144</v>
      </c>
    </row>
    <row r="22" spans="1:55">
      <c r="A22" t="s">
        <v>12</v>
      </c>
      <c r="B22" t="s">
        <v>1757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12</v>
      </c>
      <c r="B23" t="s">
        <v>1756</v>
      </c>
    </row>
    <row r="24" spans="1:55">
      <c r="A24" t="s">
        <v>12</v>
      </c>
      <c r="B24" t="s">
        <v>1757</v>
      </c>
    </row>
    <row r="25" spans="1:55">
      <c r="A25" t="s">
        <v>12</v>
      </c>
      <c r="B25" t="s">
        <v>1756</v>
      </c>
    </row>
    <row r="26" spans="1:55">
      <c r="A26" t="s">
        <v>12</v>
      </c>
      <c r="B26" t="s">
        <v>1757</v>
      </c>
    </row>
    <row r="27" spans="1:55">
      <c r="A27" t="s">
        <v>12</v>
      </c>
      <c r="B27" t="s">
        <v>1758</v>
      </c>
      <c r="C27" t="s">
        <v>55</v>
      </c>
      <c r="H27" t="s">
        <v>62</v>
      </c>
      <c r="I27" t="s">
        <v>63</v>
      </c>
      <c r="J27" t="s">
        <v>64</v>
      </c>
      <c r="R27" t="s">
        <v>94</v>
      </c>
      <c r="S27" t="s">
        <v>95</v>
      </c>
      <c r="T27" t="s">
        <v>96</v>
      </c>
      <c r="U27" t="s">
        <v>97</v>
      </c>
      <c r="V27" t="s">
        <v>98</v>
      </c>
      <c r="W27" t="s">
        <v>103</v>
      </c>
      <c r="X27" t="s">
        <v>104</v>
      </c>
      <c r="Y27" t="s">
        <v>105</v>
      </c>
      <c r="Z27" t="s">
        <v>96</v>
      </c>
      <c r="AA27" t="s">
        <v>106</v>
      </c>
      <c r="AB27" t="s">
        <v>97</v>
      </c>
      <c r="AC27" t="s">
        <v>120</v>
      </c>
      <c r="AD27" t="s">
        <v>121</v>
      </c>
      <c r="AE27" t="s">
        <v>122</v>
      </c>
      <c r="AF27" t="s">
        <v>106</v>
      </c>
      <c r="AG27" t="s">
        <v>145</v>
      </c>
      <c r="AH27" t="s">
        <v>146</v>
      </c>
      <c r="AI27" t="s">
        <v>147</v>
      </c>
    </row>
    <row r="28" spans="1:55">
      <c r="A28" t="s">
        <v>12</v>
      </c>
      <c r="B28" t="s">
        <v>1759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12</v>
      </c>
      <c r="B29" t="s">
        <v>1758</v>
      </c>
      <c r="W29" t="s">
        <v>107</v>
      </c>
      <c r="X29" t="s">
        <v>97</v>
      </c>
      <c r="Y29" t="s">
        <v>108</v>
      </c>
      <c r="Z29" t="s">
        <v>109</v>
      </c>
      <c r="AA29" t="s">
        <v>110</v>
      </c>
      <c r="AB29" t="s">
        <v>123</v>
      </c>
      <c r="AC29" t="s">
        <v>124</v>
      </c>
      <c r="AD29" t="s">
        <v>108</v>
      </c>
      <c r="AE29" t="s">
        <v>97</v>
      </c>
    </row>
    <row r="30" spans="1:55">
      <c r="A30" t="s">
        <v>12</v>
      </c>
      <c r="B30" t="s">
        <v>1759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12</v>
      </c>
      <c r="B31" t="s">
        <v>1758</v>
      </c>
      <c r="W31" t="s">
        <v>112</v>
      </c>
    </row>
    <row r="32" spans="1:55">
      <c r="A32" t="s">
        <v>12</v>
      </c>
      <c r="B32" t="s">
        <v>1759</v>
      </c>
      <c r="W32" s="2">
        <v>25000</v>
      </c>
    </row>
    <row r="33" spans="1:55">
      <c r="A33" t="s">
        <v>12</v>
      </c>
      <c r="B33" t="s">
        <v>1760</v>
      </c>
      <c r="H33" t="s">
        <v>66</v>
      </c>
      <c r="I33" t="s">
        <v>67</v>
      </c>
      <c r="J33" t="s">
        <v>68</v>
      </c>
      <c r="M33" t="s">
        <v>1761</v>
      </c>
      <c r="N33" t="s">
        <v>83</v>
      </c>
      <c r="O33" t="s">
        <v>84</v>
      </c>
      <c r="P33" t="s">
        <v>85</v>
      </c>
      <c r="R33" t="s">
        <v>83</v>
      </c>
      <c r="AB33" t="s">
        <v>125</v>
      </c>
      <c r="AC33" t="s">
        <v>126</v>
      </c>
      <c r="AG33" t="s">
        <v>67</v>
      </c>
      <c r="AH33" t="s">
        <v>1762</v>
      </c>
    </row>
    <row r="34" spans="1:55">
      <c r="A34" t="s">
        <v>12</v>
      </c>
      <c r="B34" t="s">
        <v>1763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12</v>
      </c>
      <c r="B35" t="s">
        <v>1760</v>
      </c>
    </row>
    <row r="36" spans="1:55">
      <c r="A36" t="s">
        <v>12</v>
      </c>
      <c r="B36" t="s">
        <v>1763</v>
      </c>
    </row>
    <row r="37" spans="1:55">
      <c r="A37" t="s">
        <v>12</v>
      </c>
      <c r="B37" t="s">
        <v>1760</v>
      </c>
    </row>
    <row r="38" spans="1:55">
      <c r="A38" t="s">
        <v>12</v>
      </c>
      <c r="B38" t="s">
        <v>1763</v>
      </c>
    </row>
    <row r="39" spans="1:55">
      <c r="A39" t="s">
        <v>12</v>
      </c>
      <c r="B39" t="s">
        <v>1764</v>
      </c>
      <c r="C39" s="2">
        <v>0</v>
      </c>
      <c r="D39" t="s">
        <v>57</v>
      </c>
      <c r="E39" t="s">
        <v>1765</v>
      </c>
      <c r="H39" s="2">
        <v>0</v>
      </c>
      <c r="I39" t="s">
        <v>57</v>
      </c>
      <c r="J39" t="s">
        <v>1765</v>
      </c>
      <c r="M39" s="2">
        <v>0</v>
      </c>
      <c r="N39" t="s">
        <v>57</v>
      </c>
      <c r="O39" t="s">
        <v>1765</v>
      </c>
      <c r="R39" s="2">
        <v>0</v>
      </c>
      <c r="S39" t="s">
        <v>57</v>
      </c>
      <c r="T39" t="s">
        <v>1765</v>
      </c>
      <c r="W39" s="2">
        <v>0</v>
      </c>
      <c r="X39" t="s">
        <v>57</v>
      </c>
      <c r="Y39" t="s">
        <v>1765</v>
      </c>
      <c r="AB39" s="2">
        <v>0</v>
      </c>
      <c r="AC39" t="s">
        <v>57</v>
      </c>
      <c r="AD39" t="s">
        <v>1765</v>
      </c>
      <c r="AG39" s="2">
        <v>-300000</v>
      </c>
      <c r="AH39" t="s">
        <v>12</v>
      </c>
      <c r="AI39" t="s">
        <v>1765</v>
      </c>
      <c r="AL39" s="2">
        <v>0</v>
      </c>
      <c r="AM39" t="s">
        <v>12</v>
      </c>
      <c r="AN39" t="s">
        <v>1765</v>
      </c>
      <c r="AQ39" s="2">
        <v>0</v>
      </c>
      <c r="AR39" t="s">
        <v>12</v>
      </c>
      <c r="AS39" t="s">
        <v>1765</v>
      </c>
      <c r="AV39" s="2">
        <v>0</v>
      </c>
      <c r="AW39" t="s">
        <v>12</v>
      </c>
      <c r="AX39" t="s">
        <v>1765</v>
      </c>
      <c r="BA39" s="2">
        <v>0</v>
      </c>
      <c r="BB39" t="s">
        <v>12</v>
      </c>
      <c r="BC39" t="s">
        <v>1765</v>
      </c>
    </row>
    <row r="40" spans="1:55">
      <c r="A40" t="s">
        <v>12</v>
      </c>
      <c r="B40" t="s">
        <v>1766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1672</v>
      </c>
      <c r="B42" t="s">
        <v>1749</v>
      </c>
      <c r="C42" s="2">
        <v>50000</v>
      </c>
      <c r="D42" t="s">
        <v>1750</v>
      </c>
      <c r="E42" t="s">
        <v>216</v>
      </c>
      <c r="H42" s="2">
        <v>100000</v>
      </c>
      <c r="I42" t="s">
        <v>1751</v>
      </c>
      <c r="J42" t="s">
        <v>217</v>
      </c>
      <c r="M42" s="2">
        <v>200000</v>
      </c>
      <c r="N42" t="s">
        <v>1751</v>
      </c>
      <c r="O42" t="s">
        <v>218</v>
      </c>
      <c r="R42" s="2">
        <v>50000</v>
      </c>
      <c r="S42" t="s">
        <v>1751</v>
      </c>
      <c r="T42" t="s">
        <v>219</v>
      </c>
      <c r="W42" s="2">
        <v>150000</v>
      </c>
      <c r="X42" t="s">
        <v>1751</v>
      </c>
      <c r="Y42" t="s">
        <v>220</v>
      </c>
      <c r="AB42" s="2">
        <v>300000</v>
      </c>
      <c r="AC42" t="s">
        <v>1751</v>
      </c>
      <c r="AD42" t="s">
        <v>221</v>
      </c>
      <c r="AG42" s="2">
        <v>450000</v>
      </c>
      <c r="AH42" t="s">
        <v>1751</v>
      </c>
      <c r="AI42" t="s">
        <v>222</v>
      </c>
      <c r="AL42" s="2">
        <v>350000</v>
      </c>
      <c r="AM42" t="s">
        <v>1751</v>
      </c>
      <c r="AN42" t="s">
        <v>1752</v>
      </c>
      <c r="AQ42" s="2">
        <v>350000</v>
      </c>
      <c r="AR42" t="s">
        <v>1751</v>
      </c>
      <c r="AS42" t="s">
        <v>1753</v>
      </c>
      <c r="AV42" s="2">
        <v>350000</v>
      </c>
      <c r="AW42" t="s">
        <v>1751</v>
      </c>
      <c r="AX42" t="s">
        <v>1754</v>
      </c>
      <c r="BA42" s="2">
        <v>350000</v>
      </c>
      <c r="BB42" t="s">
        <v>1751</v>
      </c>
      <c r="BC42" t="s">
        <v>1755</v>
      </c>
    </row>
    <row r="43" spans="1:55">
      <c r="A43" t="s">
        <v>1672</v>
      </c>
      <c r="B43" t="s">
        <v>1767</v>
      </c>
      <c r="C43" t="s">
        <v>58</v>
      </c>
      <c r="H43" t="s">
        <v>58</v>
      </c>
      <c r="M43" t="s">
        <v>58</v>
      </c>
      <c r="R43" t="s">
        <v>58</v>
      </c>
      <c r="S43" t="s">
        <v>1673</v>
      </c>
      <c r="W43" t="s">
        <v>58</v>
      </c>
      <c r="X43" t="s">
        <v>1673</v>
      </c>
      <c r="AB43" t="s">
        <v>58</v>
      </c>
      <c r="AC43" t="s">
        <v>1673</v>
      </c>
      <c r="AG43" t="s">
        <v>1673</v>
      </c>
    </row>
    <row r="44" spans="1:55">
      <c r="A44" t="s">
        <v>1672</v>
      </c>
      <c r="B44" t="s">
        <v>1768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1672</v>
      </c>
      <c r="B45" t="s">
        <v>1767</v>
      </c>
    </row>
    <row r="46" spans="1:55">
      <c r="A46" t="s">
        <v>1672</v>
      </c>
      <c r="B46" t="s">
        <v>1768</v>
      </c>
    </row>
    <row r="47" spans="1:55">
      <c r="A47" t="s">
        <v>1672</v>
      </c>
      <c r="B47" t="s">
        <v>1769</v>
      </c>
      <c r="M47" t="s">
        <v>87</v>
      </c>
      <c r="AG47" t="s">
        <v>251</v>
      </c>
      <c r="AH47" t="s">
        <v>1770</v>
      </c>
    </row>
    <row r="48" spans="1:55">
      <c r="A48" t="s">
        <v>1672</v>
      </c>
      <c r="B48" t="s">
        <v>1771</v>
      </c>
      <c r="M48" s="2">
        <v>148900</v>
      </c>
      <c r="AG48" s="2">
        <v>50000</v>
      </c>
      <c r="AH48" s="2">
        <v>200000</v>
      </c>
    </row>
    <row r="49" spans="1:55">
      <c r="A49" t="s">
        <v>1672</v>
      </c>
      <c r="B49" t="s">
        <v>1769</v>
      </c>
    </row>
    <row r="50" spans="1:55">
      <c r="A50" t="s">
        <v>1672</v>
      </c>
      <c r="B50" t="s">
        <v>1771</v>
      </c>
    </row>
    <row r="51" spans="1:55">
      <c r="A51" t="s">
        <v>1672</v>
      </c>
      <c r="B51" t="s">
        <v>1760</v>
      </c>
      <c r="M51" t="s">
        <v>79</v>
      </c>
      <c r="AG51" t="s">
        <v>1772</v>
      </c>
    </row>
    <row r="52" spans="1:55">
      <c r="A52" t="s">
        <v>1672</v>
      </c>
      <c r="B52" t="s">
        <v>1763</v>
      </c>
      <c r="M52" s="2">
        <v>-51100</v>
      </c>
      <c r="AG52" s="2">
        <v>100000</v>
      </c>
    </row>
    <row r="53" spans="1:55">
      <c r="A53" t="s">
        <v>1672</v>
      </c>
      <c r="B53" t="s">
        <v>1760</v>
      </c>
    </row>
    <row r="54" spans="1:55">
      <c r="A54" t="s">
        <v>1672</v>
      </c>
      <c r="B54" t="s">
        <v>1763</v>
      </c>
    </row>
    <row r="55" spans="1:55">
      <c r="A55" t="s">
        <v>1672</v>
      </c>
      <c r="B55" t="s">
        <v>1766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14</v>
      </c>
      <c r="B57" t="s">
        <v>1749</v>
      </c>
      <c r="C57" s="2">
        <v>1200000</v>
      </c>
      <c r="D57" t="s">
        <v>1750</v>
      </c>
      <c r="E57" t="s">
        <v>216</v>
      </c>
      <c r="H57" s="2">
        <v>1300000</v>
      </c>
      <c r="I57" t="s">
        <v>1751</v>
      </c>
      <c r="J57" t="s">
        <v>217</v>
      </c>
      <c r="M57" s="2">
        <v>1400000</v>
      </c>
      <c r="N57" t="s">
        <v>1751</v>
      </c>
      <c r="O57" t="s">
        <v>218</v>
      </c>
      <c r="R57" s="2">
        <v>1500000</v>
      </c>
      <c r="S57" t="s">
        <v>1751</v>
      </c>
      <c r="T57" t="s">
        <v>219</v>
      </c>
      <c r="W57" s="2">
        <v>1600000</v>
      </c>
      <c r="X57" t="s">
        <v>1751</v>
      </c>
      <c r="Y57" t="s">
        <v>220</v>
      </c>
      <c r="AB57" s="2">
        <v>1600000</v>
      </c>
      <c r="AC57" t="s">
        <v>1751</v>
      </c>
      <c r="AD57" t="s">
        <v>221</v>
      </c>
      <c r="AG57" s="2">
        <v>1300000</v>
      </c>
      <c r="AH57" t="s">
        <v>1751</v>
      </c>
      <c r="AI57" t="s">
        <v>222</v>
      </c>
      <c r="AL57" s="2">
        <v>1400000</v>
      </c>
      <c r="AM57" t="s">
        <v>1751</v>
      </c>
      <c r="AN57" t="s">
        <v>1752</v>
      </c>
      <c r="AQ57" s="2">
        <v>1400000</v>
      </c>
      <c r="AR57" t="s">
        <v>1751</v>
      </c>
      <c r="AS57" t="s">
        <v>1753</v>
      </c>
      <c r="AV57" s="2">
        <v>1400000</v>
      </c>
      <c r="AW57" t="s">
        <v>1751</v>
      </c>
      <c r="AX57" t="s">
        <v>1754</v>
      </c>
      <c r="BA57" s="2">
        <v>1400000</v>
      </c>
      <c r="BB57" t="s">
        <v>1751</v>
      </c>
      <c r="BC57" t="s">
        <v>1755</v>
      </c>
    </row>
    <row r="58" spans="1:55">
      <c r="A58" t="s">
        <v>14</v>
      </c>
      <c r="B58" t="s">
        <v>1767</v>
      </c>
      <c r="C58" t="s">
        <v>59</v>
      </c>
      <c r="H58" t="s">
        <v>59</v>
      </c>
      <c r="M58" t="s">
        <v>59</v>
      </c>
      <c r="R58" t="s">
        <v>59</v>
      </c>
      <c r="AG58" t="s">
        <v>59</v>
      </c>
    </row>
    <row r="59" spans="1:55">
      <c r="A59" t="s">
        <v>14</v>
      </c>
      <c r="B59" t="s">
        <v>1768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14</v>
      </c>
      <c r="B60" t="s">
        <v>1767</v>
      </c>
    </row>
    <row r="61" spans="1:55">
      <c r="A61" t="s">
        <v>14</v>
      </c>
      <c r="B61" t="s">
        <v>1768</v>
      </c>
    </row>
    <row r="62" spans="1:55">
      <c r="A62" t="s">
        <v>14</v>
      </c>
      <c r="B62" t="s">
        <v>1769</v>
      </c>
      <c r="AB62" t="s">
        <v>127</v>
      </c>
    </row>
    <row r="63" spans="1:55">
      <c r="A63" t="s">
        <v>14</v>
      </c>
      <c r="B63" t="s">
        <v>1771</v>
      </c>
      <c r="AB63" s="2">
        <v>300000</v>
      </c>
    </row>
    <row r="64" spans="1:55">
      <c r="A64" t="s">
        <v>14</v>
      </c>
      <c r="B64" t="s">
        <v>1769</v>
      </c>
    </row>
    <row r="65" spans="1:55">
      <c r="A65" t="s">
        <v>14</v>
      </c>
      <c r="B65" t="s">
        <v>1771</v>
      </c>
    </row>
    <row r="66" spans="1:55">
      <c r="A66" t="s">
        <v>14</v>
      </c>
      <c r="B66" t="s">
        <v>1760</v>
      </c>
    </row>
    <row r="67" spans="1:55">
      <c r="A67" t="s">
        <v>14</v>
      </c>
      <c r="B67" t="s">
        <v>1763</v>
      </c>
    </row>
    <row r="68" spans="1:55">
      <c r="A68" t="s">
        <v>14</v>
      </c>
      <c r="B68" t="s">
        <v>1760</v>
      </c>
    </row>
    <row r="69" spans="1:55">
      <c r="A69" t="s">
        <v>14</v>
      </c>
      <c r="B69" t="s">
        <v>1763</v>
      </c>
    </row>
    <row r="70" spans="1:55">
      <c r="A70" t="s">
        <v>14</v>
      </c>
      <c r="B70" t="s">
        <v>1766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15</v>
      </c>
      <c r="B72" t="s">
        <v>1749</v>
      </c>
      <c r="C72" s="2">
        <v>0</v>
      </c>
      <c r="D72" t="s">
        <v>1750</v>
      </c>
      <c r="E72" t="s">
        <v>216</v>
      </c>
      <c r="H72" s="2">
        <v>0</v>
      </c>
      <c r="I72" t="s">
        <v>1751</v>
      </c>
      <c r="J72" t="s">
        <v>217</v>
      </c>
      <c r="M72" s="2">
        <v>0</v>
      </c>
      <c r="N72" t="s">
        <v>1751</v>
      </c>
      <c r="O72" t="s">
        <v>218</v>
      </c>
      <c r="R72" s="2">
        <v>50000</v>
      </c>
      <c r="S72" t="s">
        <v>1751</v>
      </c>
      <c r="T72" t="s">
        <v>219</v>
      </c>
      <c r="W72" s="2">
        <v>50000</v>
      </c>
      <c r="X72" t="s">
        <v>1751</v>
      </c>
      <c r="Y72" t="s">
        <v>220</v>
      </c>
      <c r="AB72" s="2">
        <v>50000</v>
      </c>
      <c r="AC72" t="s">
        <v>1751</v>
      </c>
      <c r="AD72" t="s">
        <v>221</v>
      </c>
      <c r="AG72" s="2">
        <v>50000</v>
      </c>
      <c r="AH72" t="s">
        <v>1751</v>
      </c>
      <c r="AI72" t="s">
        <v>222</v>
      </c>
      <c r="AL72" s="2">
        <v>100000</v>
      </c>
      <c r="AM72" t="s">
        <v>1751</v>
      </c>
      <c r="AN72" t="s">
        <v>1752</v>
      </c>
      <c r="AQ72" s="2">
        <v>100000</v>
      </c>
      <c r="AR72" t="s">
        <v>1751</v>
      </c>
      <c r="AS72" t="s">
        <v>1753</v>
      </c>
      <c r="AV72" s="2">
        <v>100000</v>
      </c>
      <c r="AW72" t="s">
        <v>1751</v>
      </c>
      <c r="AX72" t="s">
        <v>1754</v>
      </c>
      <c r="BA72" s="2">
        <v>100000</v>
      </c>
      <c r="BB72" t="s">
        <v>1751</v>
      </c>
      <c r="BC72" t="s">
        <v>1755</v>
      </c>
    </row>
    <row r="73" spans="1:55">
      <c r="A73" t="s">
        <v>15</v>
      </c>
      <c r="B73" t="s">
        <v>1767</v>
      </c>
      <c r="M73" t="s">
        <v>88</v>
      </c>
      <c r="AG73" t="s">
        <v>88</v>
      </c>
    </row>
    <row r="74" spans="1:55">
      <c r="A74" t="s">
        <v>15</v>
      </c>
      <c r="B74" t="s">
        <v>1768</v>
      </c>
      <c r="M74" s="2">
        <v>50000</v>
      </c>
      <c r="AG74" s="2">
        <v>50000</v>
      </c>
    </row>
    <row r="75" spans="1:55">
      <c r="A75" t="s">
        <v>15</v>
      </c>
      <c r="B75" t="s">
        <v>1767</v>
      </c>
    </row>
    <row r="76" spans="1:55">
      <c r="A76" t="s">
        <v>15</v>
      </c>
      <c r="B76" t="s">
        <v>1768</v>
      </c>
    </row>
    <row r="77" spans="1:55">
      <c r="A77" t="s">
        <v>15</v>
      </c>
      <c r="B77" t="s">
        <v>1769</v>
      </c>
    </row>
    <row r="78" spans="1:55">
      <c r="A78" t="s">
        <v>15</v>
      </c>
      <c r="B78" t="s">
        <v>1771</v>
      </c>
    </row>
    <row r="79" spans="1:55">
      <c r="A79" t="s">
        <v>15</v>
      </c>
      <c r="B79" t="s">
        <v>1769</v>
      </c>
    </row>
    <row r="80" spans="1:55">
      <c r="A80" t="s">
        <v>15</v>
      </c>
      <c r="B80" t="s">
        <v>1771</v>
      </c>
    </row>
    <row r="81" spans="1:55">
      <c r="A81" t="s">
        <v>15</v>
      </c>
      <c r="B81" t="s">
        <v>1760</v>
      </c>
    </row>
    <row r="82" spans="1:55">
      <c r="A82" t="s">
        <v>15</v>
      </c>
      <c r="B82" t="s">
        <v>1763</v>
      </c>
    </row>
    <row r="83" spans="1:55">
      <c r="A83" t="s">
        <v>15</v>
      </c>
      <c r="B83" t="s">
        <v>1760</v>
      </c>
    </row>
    <row r="84" spans="1:55">
      <c r="A84" t="s">
        <v>15</v>
      </c>
      <c r="B84" t="s">
        <v>1763</v>
      </c>
    </row>
    <row r="85" spans="1:55">
      <c r="A85" t="s">
        <v>15</v>
      </c>
      <c r="B85" t="s">
        <v>1766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16</v>
      </c>
      <c r="B87" t="s">
        <v>1749</v>
      </c>
      <c r="C87" s="2">
        <v>300000</v>
      </c>
      <c r="D87" t="s">
        <v>1750</v>
      </c>
      <c r="E87" t="s">
        <v>216</v>
      </c>
      <c r="H87" s="2">
        <v>350000</v>
      </c>
      <c r="I87" t="s">
        <v>1751</v>
      </c>
      <c r="J87" t="s">
        <v>217</v>
      </c>
      <c r="M87" s="2">
        <v>350000</v>
      </c>
      <c r="N87" t="s">
        <v>1751</v>
      </c>
      <c r="O87" t="s">
        <v>218</v>
      </c>
      <c r="R87" s="2">
        <v>0</v>
      </c>
      <c r="S87" t="s">
        <v>1751</v>
      </c>
      <c r="T87" t="s">
        <v>219</v>
      </c>
      <c r="W87" s="2">
        <v>0</v>
      </c>
      <c r="X87" t="s">
        <v>1751</v>
      </c>
      <c r="Y87" t="s">
        <v>220</v>
      </c>
      <c r="AB87" s="2">
        <v>100000</v>
      </c>
      <c r="AC87" t="s">
        <v>1751</v>
      </c>
      <c r="AD87" t="s">
        <v>221</v>
      </c>
      <c r="AG87" s="2">
        <v>200000</v>
      </c>
      <c r="AH87" t="s">
        <v>1751</v>
      </c>
      <c r="AI87" t="s">
        <v>222</v>
      </c>
      <c r="AL87" s="2">
        <v>300000</v>
      </c>
      <c r="AM87" t="s">
        <v>1751</v>
      </c>
      <c r="AN87" t="s">
        <v>1752</v>
      </c>
      <c r="AQ87" s="2">
        <v>300000</v>
      </c>
      <c r="AR87" t="s">
        <v>1751</v>
      </c>
      <c r="AS87" t="s">
        <v>1753</v>
      </c>
      <c r="AV87" s="2">
        <v>300000</v>
      </c>
      <c r="AW87" t="s">
        <v>1751</v>
      </c>
      <c r="AX87" t="s">
        <v>1754</v>
      </c>
      <c r="BA87" s="2">
        <v>300000</v>
      </c>
      <c r="BB87" t="s">
        <v>1751</v>
      </c>
      <c r="BC87" t="s">
        <v>1755</v>
      </c>
    </row>
    <row r="88" spans="1:55">
      <c r="A88" t="s">
        <v>16</v>
      </c>
      <c r="B88" t="s">
        <v>1767</v>
      </c>
      <c r="C88" t="s">
        <v>60</v>
      </c>
      <c r="W88" t="s">
        <v>60</v>
      </c>
      <c r="AB88" t="s">
        <v>60</v>
      </c>
      <c r="AG88" t="s">
        <v>60</v>
      </c>
    </row>
    <row r="89" spans="1:55">
      <c r="A89" t="s">
        <v>16</v>
      </c>
      <c r="B89" t="s">
        <v>1768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16</v>
      </c>
      <c r="B90" t="s">
        <v>1767</v>
      </c>
    </row>
    <row r="91" spans="1:55">
      <c r="A91" t="s">
        <v>16</v>
      </c>
      <c r="B91" t="s">
        <v>1768</v>
      </c>
    </row>
    <row r="92" spans="1:55">
      <c r="A92" t="s">
        <v>16</v>
      </c>
      <c r="B92" t="s">
        <v>1769</v>
      </c>
      <c r="M92" t="s">
        <v>89</v>
      </c>
    </row>
    <row r="93" spans="1:55">
      <c r="A93" t="s">
        <v>16</v>
      </c>
      <c r="B93" t="s">
        <v>1771</v>
      </c>
      <c r="M93" s="2">
        <v>313980</v>
      </c>
    </row>
    <row r="94" spans="1:55">
      <c r="A94" t="s">
        <v>16</v>
      </c>
      <c r="B94" t="s">
        <v>1769</v>
      </c>
    </row>
    <row r="95" spans="1:55">
      <c r="A95" t="s">
        <v>16</v>
      </c>
      <c r="B95" t="s">
        <v>1771</v>
      </c>
    </row>
    <row r="96" spans="1:55">
      <c r="A96" t="s">
        <v>16</v>
      </c>
      <c r="B96" t="s">
        <v>1760</v>
      </c>
      <c r="M96" t="s">
        <v>79</v>
      </c>
    </row>
    <row r="97" spans="1:55">
      <c r="A97" t="s">
        <v>16</v>
      </c>
      <c r="B97" t="s">
        <v>1763</v>
      </c>
      <c r="M97" s="2">
        <v>-36020</v>
      </c>
    </row>
    <row r="98" spans="1:55">
      <c r="A98" t="s">
        <v>16</v>
      </c>
      <c r="B98" t="s">
        <v>1760</v>
      </c>
    </row>
    <row r="99" spans="1:55">
      <c r="A99" t="s">
        <v>16</v>
      </c>
      <c r="B99" t="s">
        <v>1763</v>
      </c>
    </row>
    <row r="100" spans="1:55">
      <c r="A100" t="s">
        <v>16</v>
      </c>
      <c r="B100" t="s">
        <v>1766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1678</v>
      </c>
      <c r="B102" t="s">
        <v>1749</v>
      </c>
      <c r="C102" s="2">
        <v>0</v>
      </c>
      <c r="D102" t="s">
        <v>1750</v>
      </c>
      <c r="E102" t="s">
        <v>216</v>
      </c>
      <c r="H102" s="2">
        <v>0</v>
      </c>
      <c r="I102" t="s">
        <v>1751</v>
      </c>
      <c r="J102" t="s">
        <v>217</v>
      </c>
      <c r="M102" s="2">
        <v>0</v>
      </c>
      <c r="N102" t="s">
        <v>1751</v>
      </c>
      <c r="O102" t="s">
        <v>218</v>
      </c>
      <c r="R102" s="2">
        <v>0</v>
      </c>
      <c r="S102" t="s">
        <v>1751</v>
      </c>
      <c r="T102" t="s">
        <v>219</v>
      </c>
      <c r="W102" s="2">
        <v>0</v>
      </c>
      <c r="X102" t="s">
        <v>1751</v>
      </c>
      <c r="Y102" t="s">
        <v>220</v>
      </c>
      <c r="AB102" s="2">
        <v>0</v>
      </c>
      <c r="AC102" t="s">
        <v>1751</v>
      </c>
      <c r="AD102" t="s">
        <v>221</v>
      </c>
      <c r="AG102" s="2">
        <v>0</v>
      </c>
      <c r="AH102" t="s">
        <v>1751</v>
      </c>
      <c r="AI102" t="s">
        <v>222</v>
      </c>
      <c r="AL102" s="2">
        <v>0</v>
      </c>
      <c r="AM102" t="s">
        <v>1751</v>
      </c>
      <c r="AN102" t="s">
        <v>1752</v>
      </c>
      <c r="AQ102" s="2">
        <v>0</v>
      </c>
      <c r="AR102" t="s">
        <v>1751</v>
      </c>
      <c r="AS102" t="s">
        <v>1753</v>
      </c>
      <c r="AV102" s="2">
        <v>0</v>
      </c>
      <c r="AW102" t="s">
        <v>1751</v>
      </c>
      <c r="AX102" t="s">
        <v>1754</v>
      </c>
      <c r="BA102" s="2">
        <v>0</v>
      </c>
      <c r="BB102" t="s">
        <v>1751</v>
      </c>
      <c r="BC102" t="s">
        <v>1755</v>
      </c>
    </row>
    <row r="103" spans="1:55">
      <c r="A103" t="s">
        <v>1678</v>
      </c>
      <c r="B103" t="s">
        <v>1767</v>
      </c>
    </row>
    <row r="104" spans="1:55">
      <c r="A104" t="s">
        <v>1678</v>
      </c>
      <c r="B104" t="s">
        <v>1768</v>
      </c>
    </row>
    <row r="105" spans="1:55">
      <c r="A105" t="s">
        <v>1678</v>
      </c>
      <c r="B105" t="s">
        <v>1767</v>
      </c>
    </row>
    <row r="106" spans="1:55">
      <c r="A106" t="s">
        <v>1678</v>
      </c>
      <c r="B106" t="s">
        <v>1768</v>
      </c>
    </row>
    <row r="107" spans="1:55">
      <c r="A107" t="s">
        <v>1678</v>
      </c>
      <c r="B107" t="s">
        <v>1769</v>
      </c>
    </row>
    <row r="108" spans="1:55">
      <c r="A108" t="s">
        <v>1678</v>
      </c>
      <c r="B108" t="s">
        <v>1771</v>
      </c>
    </row>
    <row r="109" spans="1:55">
      <c r="A109" t="s">
        <v>1678</v>
      </c>
      <c r="B109" t="s">
        <v>1769</v>
      </c>
    </row>
    <row r="110" spans="1:55">
      <c r="A110" t="s">
        <v>1678</v>
      </c>
      <c r="B110" t="s">
        <v>1771</v>
      </c>
    </row>
    <row r="111" spans="1:55">
      <c r="A111" t="s">
        <v>1678</v>
      </c>
      <c r="B111" t="s">
        <v>1760</v>
      </c>
    </row>
    <row r="112" spans="1:55">
      <c r="A112" t="s">
        <v>1678</v>
      </c>
      <c r="B112" t="s">
        <v>1763</v>
      </c>
    </row>
    <row r="113" spans="1:55">
      <c r="A113" t="s">
        <v>1678</v>
      </c>
      <c r="B113" t="s">
        <v>1760</v>
      </c>
    </row>
    <row r="114" spans="1:55">
      <c r="A114" t="s">
        <v>1678</v>
      </c>
      <c r="B114" t="s">
        <v>1763</v>
      </c>
    </row>
    <row r="115" spans="1:55">
      <c r="A115" t="s">
        <v>1678</v>
      </c>
      <c r="B115" t="s">
        <v>1766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19</v>
      </c>
      <c r="B117" t="s">
        <v>1749</v>
      </c>
      <c r="C117" s="2">
        <v>0</v>
      </c>
      <c r="D117" t="s">
        <v>1750</v>
      </c>
      <c r="E117" t="s">
        <v>216</v>
      </c>
      <c r="H117" s="2">
        <v>0</v>
      </c>
      <c r="I117" t="s">
        <v>1751</v>
      </c>
      <c r="J117" t="s">
        <v>217</v>
      </c>
      <c r="M117" s="2">
        <v>2151</v>
      </c>
      <c r="N117" t="s">
        <v>1751</v>
      </c>
      <c r="O117" t="s">
        <v>218</v>
      </c>
      <c r="R117" s="2">
        <v>1137</v>
      </c>
      <c r="S117" t="s">
        <v>1751</v>
      </c>
      <c r="T117" t="s">
        <v>219</v>
      </c>
      <c r="W117" s="2">
        <v>4897</v>
      </c>
      <c r="X117" t="s">
        <v>1751</v>
      </c>
      <c r="Y117" t="s">
        <v>220</v>
      </c>
      <c r="AB117" s="2">
        <v>27858</v>
      </c>
      <c r="AC117" t="s">
        <v>1751</v>
      </c>
      <c r="AD117" t="s">
        <v>221</v>
      </c>
      <c r="AG117" s="2">
        <v>0</v>
      </c>
      <c r="AH117" t="s">
        <v>1751</v>
      </c>
      <c r="AI117" t="s">
        <v>222</v>
      </c>
      <c r="AL117" s="2">
        <v>0</v>
      </c>
      <c r="AM117" t="s">
        <v>1751</v>
      </c>
      <c r="AN117" t="s">
        <v>1752</v>
      </c>
      <c r="AQ117" s="2">
        <v>0</v>
      </c>
      <c r="AR117" t="s">
        <v>1751</v>
      </c>
      <c r="AS117" t="s">
        <v>1753</v>
      </c>
      <c r="AV117" s="2">
        <v>0</v>
      </c>
      <c r="AW117" t="s">
        <v>1751</v>
      </c>
      <c r="AX117" t="s">
        <v>1754</v>
      </c>
      <c r="BA117" s="2">
        <v>0</v>
      </c>
      <c r="BB117" t="s">
        <v>1751</v>
      </c>
      <c r="BC117" t="s">
        <v>1755</v>
      </c>
    </row>
    <row r="118" spans="1:55">
      <c r="A118" t="s">
        <v>19</v>
      </c>
      <c r="B118" t="s">
        <v>1756</v>
      </c>
      <c r="H118" t="s">
        <v>69</v>
      </c>
      <c r="I118" t="s">
        <v>69</v>
      </c>
      <c r="M118" t="s">
        <v>69</v>
      </c>
      <c r="N118" t="s">
        <v>69</v>
      </c>
      <c r="O118" t="s">
        <v>69</v>
      </c>
      <c r="P118" t="s">
        <v>69</v>
      </c>
      <c r="R118" t="s">
        <v>69</v>
      </c>
      <c r="S118" t="s">
        <v>69</v>
      </c>
      <c r="T118" t="s">
        <v>69</v>
      </c>
      <c r="W118" t="s">
        <v>69</v>
      </c>
      <c r="X118" t="s">
        <v>113</v>
      </c>
      <c r="Y118" t="s">
        <v>69</v>
      </c>
      <c r="Z118" t="s">
        <v>69</v>
      </c>
      <c r="AA118" t="s">
        <v>69</v>
      </c>
      <c r="AB118" t="s">
        <v>69</v>
      </c>
      <c r="AC118" t="s">
        <v>69</v>
      </c>
      <c r="AD118" t="s">
        <v>69</v>
      </c>
    </row>
    <row r="119" spans="1:55">
      <c r="A119" t="s">
        <v>19</v>
      </c>
      <c r="B119" t="s">
        <v>1757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19</v>
      </c>
      <c r="B120" t="s">
        <v>1756</v>
      </c>
    </row>
    <row r="121" spans="1:55">
      <c r="A121" t="s">
        <v>19</v>
      </c>
      <c r="B121" t="s">
        <v>1757</v>
      </c>
    </row>
    <row r="122" spans="1:55">
      <c r="A122" t="s">
        <v>19</v>
      </c>
      <c r="B122" t="s">
        <v>1758</v>
      </c>
      <c r="AB122" t="s">
        <v>128</v>
      </c>
    </row>
    <row r="123" spans="1:55">
      <c r="A123" t="s">
        <v>19</v>
      </c>
      <c r="B123" t="s">
        <v>1759</v>
      </c>
      <c r="AB123" s="2">
        <v>6308</v>
      </c>
    </row>
    <row r="124" spans="1:55">
      <c r="A124" t="s">
        <v>19</v>
      </c>
      <c r="B124" t="s">
        <v>1758</v>
      </c>
    </row>
    <row r="125" spans="1:55">
      <c r="A125" t="s">
        <v>19</v>
      </c>
      <c r="B125" t="s">
        <v>1759</v>
      </c>
    </row>
    <row r="126" spans="1:55">
      <c r="A126" t="s">
        <v>19</v>
      </c>
      <c r="B126" t="s">
        <v>1760</v>
      </c>
      <c r="M126" t="s">
        <v>79</v>
      </c>
      <c r="W126" t="s">
        <v>83</v>
      </c>
      <c r="AB126" t="s">
        <v>83</v>
      </c>
    </row>
    <row r="127" spans="1:55">
      <c r="A127" t="s">
        <v>19</v>
      </c>
      <c r="B127" t="s">
        <v>1763</v>
      </c>
      <c r="M127" s="2">
        <v>-160133</v>
      </c>
      <c r="W127" s="2">
        <v>-15334</v>
      </c>
      <c r="AB127" s="2">
        <v>-34489</v>
      </c>
    </row>
    <row r="128" spans="1:55">
      <c r="A128" t="s">
        <v>19</v>
      </c>
      <c r="B128" t="s">
        <v>1760</v>
      </c>
    </row>
    <row r="129" spans="1:55">
      <c r="A129" t="s">
        <v>19</v>
      </c>
      <c r="B129" t="s">
        <v>1763</v>
      </c>
    </row>
    <row r="130" spans="1:55">
      <c r="A130" t="s">
        <v>19</v>
      </c>
      <c r="B130" t="s">
        <v>1766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20</v>
      </c>
      <c r="B132" t="s">
        <v>1749</v>
      </c>
      <c r="C132" s="2">
        <v>2063724</v>
      </c>
      <c r="D132" t="s">
        <v>1750</v>
      </c>
      <c r="E132" t="s">
        <v>216</v>
      </c>
      <c r="H132" s="2">
        <v>2063724</v>
      </c>
      <c r="I132" t="s">
        <v>1751</v>
      </c>
      <c r="J132" t="s">
        <v>217</v>
      </c>
      <c r="M132" s="2">
        <v>2548910</v>
      </c>
      <c r="N132" t="s">
        <v>1751</v>
      </c>
      <c r="O132" t="s">
        <v>218</v>
      </c>
      <c r="R132" s="2">
        <v>2042174</v>
      </c>
      <c r="S132" t="s">
        <v>1751</v>
      </c>
      <c r="T132" t="s">
        <v>219</v>
      </c>
      <c r="W132" s="2">
        <v>6188750</v>
      </c>
      <c r="X132" t="s">
        <v>1751</v>
      </c>
      <c r="Y132" t="s">
        <v>220</v>
      </c>
      <c r="AB132" s="2">
        <v>11338850</v>
      </c>
      <c r="AC132" t="s">
        <v>1751</v>
      </c>
      <c r="AD132" t="s">
        <v>221</v>
      </c>
      <c r="AG132" s="2">
        <v>9495719</v>
      </c>
      <c r="AH132" t="s">
        <v>1751</v>
      </c>
      <c r="AI132" t="s">
        <v>222</v>
      </c>
      <c r="AL132" s="2">
        <v>0</v>
      </c>
      <c r="AM132" t="s">
        <v>1751</v>
      </c>
      <c r="AN132" t="s">
        <v>1752</v>
      </c>
      <c r="AQ132" s="2">
        <v>0</v>
      </c>
      <c r="AR132" t="s">
        <v>1751</v>
      </c>
      <c r="AS132" t="s">
        <v>1753</v>
      </c>
      <c r="AV132" s="2">
        <v>0</v>
      </c>
      <c r="AW132" t="s">
        <v>1751</v>
      </c>
      <c r="AX132" t="s">
        <v>1754</v>
      </c>
      <c r="BA132" s="2">
        <v>0</v>
      </c>
      <c r="BB132" t="s">
        <v>1751</v>
      </c>
      <c r="BC132" t="s">
        <v>1755</v>
      </c>
    </row>
    <row r="133" spans="1:55">
      <c r="A133" t="s">
        <v>20</v>
      </c>
      <c r="B133" t="s">
        <v>1756</v>
      </c>
      <c r="H133" t="s">
        <v>70</v>
      </c>
      <c r="I133" t="s">
        <v>71</v>
      </c>
      <c r="J133" t="s">
        <v>72</v>
      </c>
      <c r="M133" t="s">
        <v>70</v>
      </c>
      <c r="R133" t="s">
        <v>50</v>
      </c>
      <c r="W133" t="s">
        <v>114</v>
      </c>
      <c r="X133" t="s">
        <v>115</v>
      </c>
      <c r="AB133" t="s">
        <v>71</v>
      </c>
      <c r="AC133" t="s">
        <v>129</v>
      </c>
      <c r="AD133" t="s">
        <v>130</v>
      </c>
      <c r="AG133" t="s">
        <v>156</v>
      </c>
    </row>
    <row r="134" spans="1:55">
      <c r="A134" t="s">
        <v>20</v>
      </c>
      <c r="B134" t="s">
        <v>1757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20</v>
      </c>
      <c r="B135" t="s">
        <v>1756</v>
      </c>
    </row>
    <row r="136" spans="1:55">
      <c r="A136" t="s">
        <v>20</v>
      </c>
      <c r="B136" t="s">
        <v>1757</v>
      </c>
    </row>
    <row r="137" spans="1:55">
      <c r="A137" t="s">
        <v>20</v>
      </c>
      <c r="B137" t="s">
        <v>1756</v>
      </c>
    </row>
    <row r="138" spans="1:55">
      <c r="A138" t="s">
        <v>20</v>
      </c>
      <c r="B138" t="s">
        <v>1757</v>
      </c>
    </row>
    <row r="139" spans="1:55">
      <c r="A139" t="s">
        <v>20</v>
      </c>
      <c r="B139" t="s">
        <v>1758</v>
      </c>
      <c r="H139" t="s">
        <v>73</v>
      </c>
      <c r="I139" t="s">
        <v>74</v>
      </c>
      <c r="J139" t="s">
        <v>75</v>
      </c>
      <c r="K139" t="s">
        <v>76</v>
      </c>
      <c r="L139" t="s">
        <v>77</v>
      </c>
      <c r="M139" t="s">
        <v>73</v>
      </c>
      <c r="N139" t="s">
        <v>90</v>
      </c>
      <c r="O139" t="s">
        <v>91</v>
      </c>
      <c r="P139" t="s">
        <v>74</v>
      </c>
      <c r="Q139" t="s">
        <v>75</v>
      </c>
      <c r="R139" t="s">
        <v>73</v>
      </c>
      <c r="S139" t="s">
        <v>100</v>
      </c>
      <c r="T139" t="s">
        <v>91</v>
      </c>
      <c r="U139" t="s">
        <v>101</v>
      </c>
      <c r="V139" t="s">
        <v>75</v>
      </c>
      <c r="W139" t="s">
        <v>73</v>
      </c>
      <c r="X139" t="s">
        <v>116</v>
      </c>
      <c r="Y139" t="s">
        <v>117</v>
      </c>
      <c r="Z139" t="s">
        <v>118</v>
      </c>
      <c r="AA139" t="s">
        <v>76</v>
      </c>
      <c r="AB139" t="s">
        <v>131</v>
      </c>
      <c r="AC139" t="s">
        <v>76</v>
      </c>
      <c r="AD139" t="s">
        <v>132</v>
      </c>
      <c r="AE139" t="s">
        <v>102</v>
      </c>
      <c r="AF139" t="s">
        <v>133</v>
      </c>
      <c r="AG139" t="s">
        <v>157</v>
      </c>
    </row>
    <row r="140" spans="1:55">
      <c r="A140" t="s">
        <v>20</v>
      </c>
      <c r="B140" t="s">
        <v>1759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20</v>
      </c>
      <c r="B141" t="s">
        <v>1758</v>
      </c>
      <c r="M141" t="s">
        <v>77</v>
      </c>
      <c r="N141" t="s">
        <v>76</v>
      </c>
      <c r="O141" t="s">
        <v>92</v>
      </c>
      <c r="R141" t="s">
        <v>76</v>
      </c>
      <c r="S141" t="s">
        <v>102</v>
      </c>
      <c r="W141" t="s">
        <v>102</v>
      </c>
      <c r="X141" t="s">
        <v>75</v>
      </c>
      <c r="AB141" t="s">
        <v>134</v>
      </c>
      <c r="AC141" t="s">
        <v>135</v>
      </c>
      <c r="AD141" t="s">
        <v>75</v>
      </c>
      <c r="AE141" t="s">
        <v>91</v>
      </c>
      <c r="AF141" t="s">
        <v>137</v>
      </c>
    </row>
    <row r="142" spans="1:55">
      <c r="A142" t="s">
        <v>20</v>
      </c>
      <c r="B142" t="s">
        <v>1759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20</v>
      </c>
      <c r="B143" t="s">
        <v>1758</v>
      </c>
      <c r="AB143" t="s">
        <v>138</v>
      </c>
      <c r="AC143" t="s">
        <v>73</v>
      </c>
      <c r="AD143" t="s">
        <v>139</v>
      </c>
    </row>
    <row r="144" spans="1:55">
      <c r="A144" t="s">
        <v>20</v>
      </c>
      <c r="B144" t="s">
        <v>1759</v>
      </c>
      <c r="AB144" s="2">
        <v>100000</v>
      </c>
      <c r="AC144" s="2">
        <v>391000</v>
      </c>
      <c r="AD144" s="2">
        <v>11000</v>
      </c>
    </row>
    <row r="145" spans="1:53">
      <c r="A145" t="s">
        <v>20</v>
      </c>
      <c r="B145" t="s">
        <v>1760</v>
      </c>
      <c r="H145" t="s">
        <v>78</v>
      </c>
      <c r="I145" t="s">
        <v>79</v>
      </c>
      <c r="J145" t="s">
        <v>80</v>
      </c>
      <c r="M145" t="s">
        <v>93</v>
      </c>
      <c r="R145" t="s">
        <v>93</v>
      </c>
      <c r="W145" t="s">
        <v>84</v>
      </c>
      <c r="AB145" t="s">
        <v>141</v>
      </c>
      <c r="AC145" t="s">
        <v>142</v>
      </c>
      <c r="AD145" t="s">
        <v>84</v>
      </c>
      <c r="AG145" t="s">
        <v>158</v>
      </c>
    </row>
    <row r="146" spans="1:53">
      <c r="A146" t="s">
        <v>20</v>
      </c>
      <c r="B146" t="s">
        <v>1763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20</v>
      </c>
      <c r="B147" t="s">
        <v>1760</v>
      </c>
    </row>
    <row r="148" spans="1:53">
      <c r="A148" t="s">
        <v>20</v>
      </c>
      <c r="B148" t="s">
        <v>1763</v>
      </c>
    </row>
    <row r="149" spans="1:53">
      <c r="A149" t="s">
        <v>20</v>
      </c>
      <c r="B149" t="s">
        <v>1760</v>
      </c>
    </row>
    <row r="150" spans="1:53">
      <c r="A150" t="s">
        <v>20</v>
      </c>
      <c r="B150" t="s">
        <v>1763</v>
      </c>
    </row>
    <row r="151" spans="1:53">
      <c r="A151" t="s">
        <v>20</v>
      </c>
      <c r="B151" t="s">
        <v>1766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1773</v>
      </c>
    </row>
    <row r="155" spans="1:53">
      <c r="A155" t="s">
        <v>3</v>
      </c>
      <c r="B155" t="s">
        <v>316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12</v>
      </c>
      <c r="B156" t="s">
        <v>1774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12</v>
      </c>
      <c r="B157" t="s">
        <v>1775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12</v>
      </c>
      <c r="B158" t="s">
        <v>1776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12</v>
      </c>
      <c r="B159" t="s">
        <v>1777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12</v>
      </c>
      <c r="B160" t="s">
        <v>1778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12</v>
      </c>
      <c r="B161" t="s">
        <v>1766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1672</v>
      </c>
      <c r="B162" t="s">
        <v>1774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1672</v>
      </c>
      <c r="B163" t="s">
        <v>1775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1672</v>
      </c>
      <c r="B164" t="s">
        <v>1776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1672</v>
      </c>
      <c r="B165" t="s">
        <v>1777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1672</v>
      </c>
      <c r="B166" t="s">
        <v>1778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1672</v>
      </c>
      <c r="B167" t="s">
        <v>1766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14</v>
      </c>
      <c r="B168" t="s">
        <v>1774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14</v>
      </c>
      <c r="B169" t="s">
        <v>1775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14</v>
      </c>
      <c r="B170" t="s">
        <v>1776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14</v>
      </c>
      <c r="B171" t="s">
        <v>1777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14</v>
      </c>
      <c r="B172" t="s">
        <v>1778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14</v>
      </c>
      <c r="B173" t="s">
        <v>1766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15</v>
      </c>
      <c r="B174" t="s">
        <v>1774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15</v>
      </c>
      <c r="B175" t="s">
        <v>1775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15</v>
      </c>
      <c r="B176" t="s">
        <v>1776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15</v>
      </c>
      <c r="B177" t="s">
        <v>1777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15</v>
      </c>
      <c r="B178" t="s">
        <v>1778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15</v>
      </c>
      <c r="B179" t="s">
        <v>1766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16</v>
      </c>
      <c r="B180" t="s">
        <v>1774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16</v>
      </c>
      <c r="B181" t="s">
        <v>1775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16</v>
      </c>
      <c r="B182" t="s">
        <v>1776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16</v>
      </c>
      <c r="B183" t="s">
        <v>1777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16</v>
      </c>
      <c r="B184" t="s">
        <v>1778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16</v>
      </c>
      <c r="B185" t="s">
        <v>1766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1678</v>
      </c>
      <c r="B186" t="s">
        <v>1774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1678</v>
      </c>
      <c r="B187" t="s">
        <v>1775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1678</v>
      </c>
      <c r="B188" t="s">
        <v>1776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1678</v>
      </c>
      <c r="B189" t="s">
        <v>1777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1678</v>
      </c>
      <c r="B190" t="s">
        <v>1778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1678</v>
      </c>
      <c r="B191" t="s">
        <v>1766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19</v>
      </c>
      <c r="B192" t="s">
        <v>1774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19</v>
      </c>
      <c r="B193" t="s">
        <v>1775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19</v>
      </c>
      <c r="B194" t="s">
        <v>1776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19</v>
      </c>
      <c r="B195" t="s">
        <v>1777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19</v>
      </c>
      <c r="B196" t="s">
        <v>1778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19</v>
      </c>
      <c r="B197" t="s">
        <v>1766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20</v>
      </c>
      <c r="B198" t="s">
        <v>1774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20</v>
      </c>
      <c r="B199" t="s">
        <v>1775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20</v>
      </c>
      <c r="B200" t="s">
        <v>1776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20</v>
      </c>
      <c r="B201" t="s">
        <v>1777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20</v>
      </c>
      <c r="B202" t="s">
        <v>1778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20</v>
      </c>
      <c r="B203" t="s">
        <v>1766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46023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E3" s="4" t="s">
        <v>1781</v>
      </c>
      <c r="F3" t="s">
        <v>1782</v>
      </c>
      <c r="G3" s="4" t="s">
        <v>1783</v>
      </c>
      <c r="H3" s="4" t="s">
        <v>1784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328</v>
      </c>
      <c r="L5" s="4" t="s">
        <v>329</v>
      </c>
      <c r="M5" t="s">
        <v>330</v>
      </c>
      <c r="N5" t="s">
        <v>332</v>
      </c>
      <c r="O5" t="s">
        <v>331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329</v>
      </c>
      <c r="M6" t="s">
        <v>330</v>
      </c>
      <c r="N6" t="s">
        <v>332</v>
      </c>
      <c r="O6" t="s">
        <v>334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1792</v>
      </c>
      <c r="C8" s="4" t="s">
        <v>1793</v>
      </c>
      <c r="D8" s="4" t="s">
        <v>1794</v>
      </c>
      <c r="E8" s="4" t="s">
        <v>1795</v>
      </c>
      <c r="F8" s="4" t="s">
        <v>1796</v>
      </c>
      <c r="G8" s="4" t="s">
        <v>1797</v>
      </c>
      <c r="H8" s="4" t="s">
        <v>1798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323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R10" s="5">
        <v>16500</v>
      </c>
      <c r="S10" s="5">
        <v>17000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351</v>
      </c>
      <c r="M11" t="s">
        <v>352</v>
      </c>
      <c r="N11" t="s">
        <v>332</v>
      </c>
      <c r="O11" t="s">
        <v>353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354</v>
      </c>
      <c r="M12" t="s">
        <v>355</v>
      </c>
      <c r="N12" t="s">
        <v>332</v>
      </c>
      <c r="O12" t="s">
        <v>356</v>
      </c>
      <c r="P12" s="5">
        <v>0</v>
      </c>
      <c r="R12" s="5">
        <v>0</v>
      </c>
      <c r="S12" s="5">
        <v>0</v>
      </c>
    </row>
    <row r="13" spans="1:20">
      <c r="B13" s="4" t="s">
        <v>1799</v>
      </c>
      <c r="C13" s="4" t="s">
        <v>1800</v>
      </c>
      <c r="D13" s="4" t="s">
        <v>1801</v>
      </c>
      <c r="E13" s="4" t="s">
        <v>1802</v>
      </c>
      <c r="F13" s="4" t="s">
        <v>1803</v>
      </c>
      <c r="G13" s="4" t="s">
        <v>1804</v>
      </c>
      <c r="H13" s="4" t="s">
        <v>1805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16386</v>
      </c>
      <c r="R13" s="5">
        <v>16386</v>
      </c>
      <c r="S13" s="5">
        <v>17000</v>
      </c>
    </row>
    <row r="14" spans="1:20">
      <c r="A14" t="s">
        <v>323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184</v>
      </c>
      <c r="M14" t="s">
        <v>326</v>
      </c>
      <c r="N14" t="s">
        <v>332</v>
      </c>
      <c r="O14" t="s">
        <v>360</v>
      </c>
      <c r="P14" s="5">
        <v>15375</v>
      </c>
      <c r="R14" s="5">
        <v>15375</v>
      </c>
      <c r="S14" s="5">
        <v>16000</v>
      </c>
    </row>
    <row r="15" spans="1:20">
      <c r="A15" t="s">
        <v>322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169</v>
      </c>
      <c r="M15" t="s">
        <v>326</v>
      </c>
      <c r="N15" t="s">
        <v>332</v>
      </c>
      <c r="O15" t="s">
        <v>361</v>
      </c>
      <c r="P15" s="5">
        <v>16544</v>
      </c>
      <c r="R15" s="5">
        <v>16544</v>
      </c>
      <c r="S15" s="5">
        <v>17000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1806</v>
      </c>
      <c r="C18" s="4" t="s">
        <v>1807</v>
      </c>
      <c r="D18" s="4" t="s">
        <v>1808</v>
      </c>
      <c r="E18" s="4" t="s">
        <v>1809</v>
      </c>
      <c r="F18" s="4" t="s">
        <v>1810</v>
      </c>
      <c r="G18" s="4" t="s">
        <v>1811</v>
      </c>
      <c r="H18" s="4" t="s">
        <v>1812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15130</v>
      </c>
      <c r="R18" s="5">
        <v>15130</v>
      </c>
      <c r="S18" s="5">
        <v>16000</v>
      </c>
    </row>
    <row r="19" spans="1:20">
      <c r="A19" t="s">
        <v>323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372</v>
      </c>
      <c r="M19" t="s">
        <v>344</v>
      </c>
      <c r="N19" t="s">
        <v>374</v>
      </c>
      <c r="O19" t="s">
        <v>373</v>
      </c>
      <c r="P19" s="5">
        <v>7840</v>
      </c>
      <c r="R19" s="5">
        <v>7840</v>
      </c>
      <c r="S19" s="5">
        <v>8000</v>
      </c>
    </row>
    <row r="20" spans="1:20">
      <c r="A20" t="s">
        <v>322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375</v>
      </c>
      <c r="M20" t="s">
        <v>344</v>
      </c>
      <c r="N20" t="s">
        <v>371</v>
      </c>
      <c r="O20" t="s">
        <v>376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382</v>
      </c>
    </row>
    <row r="23" spans="1:20">
      <c r="B23" s="4" t="s">
        <v>1813</v>
      </c>
      <c r="C23" s="4" t="s">
        <v>1814</v>
      </c>
      <c r="D23" s="4" t="s">
        <v>1815</v>
      </c>
      <c r="E23" s="4" t="s">
        <v>1816</v>
      </c>
      <c r="F23" s="4" t="s">
        <v>1817</v>
      </c>
      <c r="G23" s="4" t="s">
        <v>1818</v>
      </c>
      <c r="I23" t="s">
        <v>295</v>
      </c>
      <c r="L23" t="s">
        <v>385</v>
      </c>
      <c r="M23" t="s">
        <v>344</v>
      </c>
      <c r="N23" t="s">
        <v>371</v>
      </c>
      <c r="P23" s="5">
        <v>18200</v>
      </c>
      <c r="R23" s="5">
        <v>18200</v>
      </c>
      <c r="S23" s="5">
        <v>19000</v>
      </c>
      <c r="T23" t="s">
        <v>386</v>
      </c>
    </row>
    <row r="24" spans="1:20">
      <c r="A24" t="s">
        <v>323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295</v>
      </c>
      <c r="P24" s="5">
        <v>1195125</v>
      </c>
      <c r="R24" s="5">
        <v>1168813</v>
      </c>
      <c r="S24" s="5">
        <v>1169000</v>
      </c>
    </row>
    <row r="25" spans="1:20">
      <c r="A25" t="s">
        <v>322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46026</v>
      </c>
      <c r="M26" t="s">
        <v>1820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1821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160000</v>
      </c>
      <c r="C30" t="s">
        <v>399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160000</v>
      </c>
      <c r="C31" t="s">
        <v>322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50000</v>
      </c>
      <c r="S31" t="s">
        <v>1737</v>
      </c>
    </row>
    <row r="32" spans="1:20">
      <c r="A32" s="5">
        <v>160000</v>
      </c>
      <c r="C32" t="s">
        <v>1830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50000</v>
      </c>
      <c r="S32" t="s">
        <v>1737</v>
      </c>
    </row>
    <row r="33" spans="1:20">
      <c r="A33" s="5">
        <v>160000</v>
      </c>
      <c r="C33" t="s">
        <v>1832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1833</v>
      </c>
      <c r="K33" t="s">
        <v>406</v>
      </c>
      <c r="L33" t="s">
        <v>1828</v>
      </c>
      <c r="N33" s="2">
        <v>0</v>
      </c>
      <c r="O33" s="2">
        <v>0</v>
      </c>
      <c r="Q33" t="s">
        <v>1834</v>
      </c>
      <c r="R33" s="2">
        <v>0</v>
      </c>
      <c r="S33" t="s">
        <v>1737</v>
      </c>
    </row>
    <row r="34" spans="1:20">
      <c r="A34" s="5">
        <v>140000</v>
      </c>
      <c r="I34" t="b">
        <v>1</v>
      </c>
      <c r="K34" t="s">
        <v>409</v>
      </c>
      <c r="N34" s="2">
        <v>0</v>
      </c>
      <c r="O34" s="2">
        <v>0</v>
      </c>
      <c r="Q34" t="s">
        <v>1835</v>
      </c>
      <c r="R34" s="2">
        <v>100000</v>
      </c>
      <c r="S34" t="s">
        <v>1737</v>
      </c>
    </row>
    <row r="35" spans="1:20">
      <c r="A35" s="5">
        <v>780000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N35" s="2">
        <v>0</v>
      </c>
      <c r="O35" s="2">
        <v>0</v>
      </c>
      <c r="Q35" t="s">
        <v>1843</v>
      </c>
      <c r="R35" s="2">
        <v>100000</v>
      </c>
      <c r="S35" t="s">
        <v>1737</v>
      </c>
    </row>
    <row r="36" spans="1:20">
      <c r="B36" t="s">
        <v>399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415</v>
      </c>
      <c r="N36" s="2">
        <v>0</v>
      </c>
      <c r="O36" s="2">
        <v>0</v>
      </c>
      <c r="Q36" t="s">
        <v>1844</v>
      </c>
      <c r="S36" s="2">
        <v>0</v>
      </c>
    </row>
    <row r="37" spans="1:20">
      <c r="B37" t="s">
        <v>322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416</v>
      </c>
      <c r="M37" s="2">
        <v>200000</v>
      </c>
      <c r="N37" s="2">
        <v>200000</v>
      </c>
      <c r="O37" s="2">
        <v>200000</v>
      </c>
      <c r="P37" s="2">
        <v>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295</v>
      </c>
      <c r="M38" s="2">
        <v>370000</v>
      </c>
      <c r="N38" s="2">
        <v>370000</v>
      </c>
      <c r="O38" s="2">
        <v>370000</v>
      </c>
      <c r="P38" s="2">
        <v>0</v>
      </c>
      <c r="Q38" t="s">
        <v>1847</v>
      </c>
      <c r="S38" s="2">
        <v>20000</v>
      </c>
    </row>
    <row r="39" spans="1:20">
      <c r="B39" t="s">
        <v>1848</v>
      </c>
      <c r="C39" s="2">
        <v>-337880</v>
      </c>
      <c r="D39" s="2">
        <v>31187</v>
      </c>
      <c r="F39" s="2">
        <v>0</v>
      </c>
      <c r="G39" s="2">
        <v>150000</v>
      </c>
      <c r="K39" t="s">
        <v>1849</v>
      </c>
      <c r="Q39" t="s">
        <v>295</v>
      </c>
      <c r="R39" s="2">
        <v>300000</v>
      </c>
      <c r="S39" s="2">
        <v>170000</v>
      </c>
      <c r="T39" s="2">
        <v>-130000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300000</v>
      </c>
      <c r="S40" s="2">
        <v>150000</v>
      </c>
      <c r="T40" s="2">
        <v>-150000</v>
      </c>
    </row>
    <row r="41" spans="1:20">
      <c r="B41" t="s">
        <v>399</v>
      </c>
      <c r="C41" s="2">
        <v>2785740</v>
      </c>
      <c r="D41" s="2">
        <v>2733000</v>
      </c>
      <c r="E41" s="2">
        <v>52740</v>
      </c>
      <c r="F41" t="s">
        <v>1854</v>
      </c>
      <c r="H41" s="2">
        <v>19120</v>
      </c>
      <c r="I41" s="2">
        <v>19120</v>
      </c>
      <c r="J41" t="b">
        <v>1</v>
      </c>
      <c r="Q41" t="s">
        <v>1855</v>
      </c>
    </row>
    <row r="42" spans="1:20">
      <c r="B42" t="s">
        <v>322</v>
      </c>
      <c r="C42" s="2">
        <v>2785740</v>
      </c>
      <c r="D42" s="2">
        <v>2709605</v>
      </c>
      <c r="E42" s="2">
        <v>76135</v>
      </c>
      <c r="F42" t="s">
        <v>1854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>
        <v>46031</v>
      </c>
      <c r="K44" t="s">
        <v>1799</v>
      </c>
      <c r="L44" t="s">
        <v>1800</v>
      </c>
      <c r="M44" t="s">
        <v>1801</v>
      </c>
      <c r="N44" t="s">
        <v>1802</v>
      </c>
      <c r="O44" t="s">
        <v>1816</v>
      </c>
      <c r="P44" t="s">
        <v>1818</v>
      </c>
      <c r="Q44" t="s">
        <v>1858</v>
      </c>
    </row>
    <row r="45" spans="1:20">
      <c r="B45" t="s">
        <v>397</v>
      </c>
      <c r="I45" t="s">
        <v>316</v>
      </c>
      <c r="J45" t="s">
        <v>683</v>
      </c>
      <c r="K45" t="s">
        <v>1859</v>
      </c>
      <c r="L45" t="s">
        <v>683</v>
      </c>
      <c r="M45" t="s">
        <v>683</v>
      </c>
      <c r="N45" t="s">
        <v>1860</v>
      </c>
      <c r="O45" t="s">
        <v>1861</v>
      </c>
      <c r="P45" t="s">
        <v>1862</v>
      </c>
      <c r="Q45" t="s">
        <v>1859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57</v>
      </c>
      <c r="C47" s="2">
        <v>2785740</v>
      </c>
      <c r="E47" s="5">
        <v>1157000</v>
      </c>
      <c r="F47" s="5">
        <v>1157000</v>
      </c>
      <c r="G47" t="b">
        <v>1</v>
      </c>
      <c r="H47" t="s">
        <v>1866</v>
      </c>
      <c r="I47" t="s">
        <v>322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2785740</v>
      </c>
      <c r="S51" t="s">
        <v>1872</v>
      </c>
    </row>
    <row r="52" spans="2:19">
      <c r="K52" t="s">
        <v>1672</v>
      </c>
      <c r="L52" s="2">
        <v>50000</v>
      </c>
      <c r="M52" s="2">
        <v>50000</v>
      </c>
      <c r="N52" s="2">
        <v>0</v>
      </c>
      <c r="O52" t="s">
        <v>1737</v>
      </c>
      <c r="P52" t="s">
        <v>1873</v>
      </c>
      <c r="Q52" t="s">
        <v>1874</v>
      </c>
      <c r="R52" s="2">
        <v>1168813</v>
      </c>
      <c r="S52" t="s">
        <v>1875</v>
      </c>
    </row>
    <row r="53" spans="2:19">
      <c r="B53" t="s">
        <v>1876</v>
      </c>
      <c r="K53" t="s">
        <v>14</v>
      </c>
      <c r="M53" s="2">
        <v>0</v>
      </c>
      <c r="N53" s="2">
        <v>0</v>
      </c>
      <c r="O53" t="s">
        <v>1737</v>
      </c>
      <c r="Q53" t="s">
        <v>1877</v>
      </c>
      <c r="R53" s="2">
        <v>1137880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M54" s="2">
        <v>0</v>
      </c>
      <c r="N54" s="2">
        <v>0</v>
      </c>
      <c r="O54" t="s">
        <v>1737</v>
      </c>
      <c r="Q54" t="s">
        <v>1883</v>
      </c>
      <c r="R54" s="2">
        <v>44000</v>
      </c>
      <c r="S54" t="s">
        <v>1884</v>
      </c>
    </row>
    <row r="55" spans="2:19">
      <c r="B55" s="11">
        <v>46045</v>
      </c>
      <c r="C55" t="s">
        <v>431</v>
      </c>
      <c r="D55" t="s">
        <v>248</v>
      </c>
      <c r="E55" s="2">
        <v>60000</v>
      </c>
      <c r="G55" s="2">
        <v>50000</v>
      </c>
      <c r="H55" t="s">
        <v>1672</v>
      </c>
      <c r="I55" s="2">
        <v>10000</v>
      </c>
      <c r="J55" s="2">
        <v>10000</v>
      </c>
      <c r="K55" t="s">
        <v>16</v>
      </c>
      <c r="M55" s="2">
        <v>0</v>
      </c>
      <c r="N55" s="2">
        <v>0</v>
      </c>
      <c r="O55" t="s">
        <v>1737</v>
      </c>
      <c r="Q55" t="s">
        <v>1885</v>
      </c>
      <c r="R55" s="2">
        <v>2350693</v>
      </c>
      <c r="S55" t="s">
        <v>1886</v>
      </c>
    </row>
    <row r="56" spans="2:19">
      <c r="B56" s="11">
        <v>46052</v>
      </c>
      <c r="C56" t="s">
        <v>431</v>
      </c>
      <c r="D56" t="s">
        <v>99</v>
      </c>
      <c r="E56" s="2">
        <v>34000</v>
      </c>
      <c r="I56" s="2">
        <v>34000</v>
      </c>
      <c r="J56" s="2">
        <v>34000</v>
      </c>
      <c r="K56" t="s">
        <v>1678</v>
      </c>
      <c r="M56" s="2">
        <v>200000</v>
      </c>
      <c r="N56" s="2">
        <v>-200000</v>
      </c>
      <c r="O56" t="s">
        <v>1737</v>
      </c>
      <c r="Q56" t="s">
        <v>1839</v>
      </c>
      <c r="R56" s="2">
        <v>370000</v>
      </c>
      <c r="S56" t="s">
        <v>1887</v>
      </c>
    </row>
    <row r="57" spans="2:19">
      <c r="K57" t="s">
        <v>295</v>
      </c>
      <c r="L57" s="2">
        <v>50000</v>
      </c>
      <c r="M57" s="2">
        <v>250000</v>
      </c>
      <c r="N57" s="2">
        <v>-200000</v>
      </c>
      <c r="O57" s="2" t="s">
        <v>1737</v>
      </c>
      <c r="Q57" t="s">
        <v>1824</v>
      </c>
      <c r="R57" s="2">
        <v>170000</v>
      </c>
      <c r="S57" t="s">
        <v>1888</v>
      </c>
    </row>
    <row r="58" spans="2:19">
      <c r="K58" t="s">
        <v>1889</v>
      </c>
      <c r="Q58" t="s">
        <v>1890</v>
      </c>
      <c r="R58" s="2">
        <v>181088</v>
      </c>
      <c r="S58" t="s">
        <v>1891</v>
      </c>
    </row>
    <row r="59" spans="2:19">
      <c r="Q59" t="s">
        <v>1892</v>
      </c>
      <c r="R59" s="2">
        <v>2709605</v>
      </c>
      <c r="S59" t="s">
        <v>1893</v>
      </c>
    </row>
    <row r="60" spans="2:19">
      <c r="Q60" t="s">
        <v>1894</v>
      </c>
      <c r="R60" s="2">
        <v>76135</v>
      </c>
      <c r="S60" t="s">
        <v>1854</v>
      </c>
    </row>
    <row r="61" spans="2:19">
      <c r="Q61" t="s">
        <v>1895</v>
      </c>
      <c r="R61" s="2">
        <v>50000</v>
      </c>
      <c r="S61" t="s">
        <v>1896</v>
      </c>
    </row>
    <row r="62" spans="2:19">
      <c r="Q62" t="s">
        <v>1897</v>
      </c>
      <c r="R62" s="2">
        <v>2400693</v>
      </c>
      <c r="S62" t="s">
        <v>1898</v>
      </c>
    </row>
    <row r="63" spans="2:19">
      <c r="Q63" t="s">
        <v>1899</v>
      </c>
      <c r="R63" s="2" t="s">
        <v>1737</v>
      </c>
      <c r="S63" t="s">
        <v>1900</v>
      </c>
    </row>
    <row r="64" spans="2:19">
      <c r="Q64" t="s">
        <v>1901</v>
      </c>
      <c r="R64" s="2" t="s">
        <v>1737</v>
      </c>
      <c r="S64" t="s">
        <v>1902</v>
      </c>
    </row>
    <row r="65" spans="2:16">
      <c r="B65" t="s">
        <v>295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1903</v>
      </c>
    </row>
    <row r="67" spans="2:16">
      <c r="B67" t="s">
        <v>1904</v>
      </c>
    </row>
    <row r="70" spans="2:16">
      <c r="B70" t="s">
        <v>1905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1147269</v>
      </c>
      <c r="F72" t="s">
        <v>1911</v>
      </c>
      <c r="J72" t="s">
        <v>1912</v>
      </c>
      <c r="L72" s="2">
        <v>2785740</v>
      </c>
      <c r="M72" s="2">
        <v>2785740</v>
      </c>
      <c r="N72" s="2">
        <v>0</v>
      </c>
      <c r="O72" t="s">
        <v>1913</v>
      </c>
      <c r="P72" t="s">
        <v>1914</v>
      </c>
    </row>
    <row r="73" spans="2:16">
      <c r="B73" t="s">
        <v>606</v>
      </c>
      <c r="E73" s="2">
        <v>784580</v>
      </c>
      <c r="F73" t="s">
        <v>1915</v>
      </c>
      <c r="J73" t="s">
        <v>306</v>
      </c>
      <c r="L73" s="2">
        <v>1168813</v>
      </c>
      <c r="M73" s="2">
        <v>1147269</v>
      </c>
      <c r="N73" s="2">
        <v>21544</v>
      </c>
      <c r="O73" t="s">
        <v>1916</v>
      </c>
      <c r="P73" t="s">
        <v>1917</v>
      </c>
    </row>
    <row r="74" spans="2:16">
      <c r="B74" t="s">
        <v>609</v>
      </c>
      <c r="E74" s="2">
        <v>128000</v>
      </c>
      <c r="F74" t="s">
        <v>1918</v>
      </c>
      <c r="J74" t="s">
        <v>1919</v>
      </c>
      <c r="L74" s="2">
        <v>1137880</v>
      </c>
      <c r="M74" s="2">
        <v>1135680</v>
      </c>
      <c r="N74" s="2">
        <v>2200</v>
      </c>
      <c r="O74" t="s">
        <v>1916</v>
      </c>
      <c r="P74" t="s">
        <v>1920</v>
      </c>
    </row>
    <row r="75" spans="2:16">
      <c r="B75" t="s">
        <v>1921</v>
      </c>
      <c r="E75" s="2">
        <v>-46588</v>
      </c>
      <c r="F75" t="s">
        <v>1922</v>
      </c>
      <c r="J75" t="s">
        <v>1923</v>
      </c>
      <c r="L75" s="2">
        <v>134500</v>
      </c>
      <c r="M75" s="2">
        <v>129600</v>
      </c>
      <c r="N75" s="2">
        <v>4900</v>
      </c>
      <c r="O75" t="s">
        <v>1916</v>
      </c>
      <c r="P75" t="s">
        <v>1924</v>
      </c>
    </row>
    <row r="76" spans="2:16">
      <c r="B76" t="s">
        <v>614</v>
      </c>
      <c r="E76" s="2">
        <v>93500</v>
      </c>
      <c r="F76" t="s">
        <v>1925</v>
      </c>
      <c r="J76" t="s">
        <v>1926</v>
      </c>
      <c r="L76" s="2">
        <v>46588</v>
      </c>
      <c r="M76" s="2">
        <v>46588</v>
      </c>
      <c r="N76" s="2">
        <v>0</v>
      </c>
      <c r="O76" t="s">
        <v>1913</v>
      </c>
      <c r="P76" t="s">
        <v>1927</v>
      </c>
    </row>
    <row r="77" spans="2:16">
      <c r="B77" t="s">
        <v>1928</v>
      </c>
      <c r="E77" s="2">
        <v>0</v>
      </c>
      <c r="F77" t="s">
        <v>1929</v>
      </c>
      <c r="J77" t="s">
        <v>1930</v>
      </c>
      <c r="L77" s="2">
        <v>370000</v>
      </c>
      <c r="M77" s="2">
        <v>370000</v>
      </c>
      <c r="N77" s="2">
        <v>0</v>
      </c>
      <c r="O77" t="s">
        <v>1913</v>
      </c>
      <c r="P77" t="s">
        <v>1931</v>
      </c>
    </row>
    <row r="78" spans="2:16">
      <c r="B78" t="s">
        <v>617</v>
      </c>
      <c r="E78" s="2">
        <v>104900</v>
      </c>
      <c r="F78" t="s">
        <v>1932</v>
      </c>
      <c r="J78" t="s">
        <v>1933</v>
      </c>
      <c r="L78" s="2">
        <v>20000</v>
      </c>
      <c r="M78" s="2">
        <v>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94000</v>
      </c>
      <c r="M79" s="2">
        <v>104900</v>
      </c>
      <c r="N79" s="2">
        <v>-10900</v>
      </c>
      <c r="O79" t="s">
        <v>1916</v>
      </c>
      <c r="P79" t="s">
        <v>1936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0</v>
      </c>
      <c r="F82" t="s">
        <v>1944</v>
      </c>
      <c r="J82" t="s">
        <v>1945</v>
      </c>
      <c r="N82" s="2">
        <v>50000</v>
      </c>
    </row>
    <row r="83" spans="2:15">
      <c r="B83" t="s">
        <v>1946</v>
      </c>
      <c r="E83" s="2">
        <v>0</v>
      </c>
      <c r="F83" t="s">
        <v>1947</v>
      </c>
      <c r="J83" t="s">
        <v>1948</v>
      </c>
      <c r="N83" s="2">
        <v>0</v>
      </c>
    </row>
    <row r="84" spans="2:15">
      <c r="B84" t="s">
        <v>635</v>
      </c>
      <c r="E84" s="2">
        <v>0</v>
      </c>
      <c r="F84" t="s">
        <v>1949</v>
      </c>
      <c r="J84" t="s">
        <v>1950</v>
      </c>
      <c r="N84" s="2">
        <v>50000</v>
      </c>
      <c r="O84" t="s">
        <v>1951</v>
      </c>
    </row>
    <row r="85" spans="2:15">
      <c r="B85" t="s">
        <v>60</v>
      </c>
      <c r="E85" s="2">
        <v>0</v>
      </c>
      <c r="F85" t="s">
        <v>1952</v>
      </c>
    </row>
    <row r="86" spans="2:15">
      <c r="B86" t="s">
        <v>638</v>
      </c>
      <c r="E86" s="2">
        <v>0</v>
      </c>
      <c r="F86" t="s">
        <v>1953</v>
      </c>
    </row>
    <row r="87" spans="2:15">
      <c r="B87" t="s">
        <v>1954</v>
      </c>
      <c r="E87" s="2">
        <v>2211661</v>
      </c>
      <c r="F87" t="s">
        <v>1955</v>
      </c>
    </row>
    <row r="88" spans="2:15">
      <c r="B88" t="s">
        <v>1956</v>
      </c>
      <c r="E88" s="2">
        <v>2211661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46054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H3" s="4" t="s">
        <v>1958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H4" s="5">
        <v>0</v>
      </c>
      <c r="I4" s="5">
        <v>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H5" s="5">
        <v>0</v>
      </c>
      <c r="I5" s="5">
        <v>0</v>
      </c>
      <c r="K5" t="s">
        <v>328</v>
      </c>
      <c r="L5" s="4" t="s">
        <v>468</v>
      </c>
      <c r="M5" t="s">
        <v>330</v>
      </c>
      <c r="N5" t="s">
        <v>332</v>
      </c>
      <c r="O5" t="s">
        <v>331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468</v>
      </c>
      <c r="M6" t="s">
        <v>330</v>
      </c>
      <c r="N6" t="s">
        <v>332</v>
      </c>
      <c r="O6" t="s">
        <v>334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1858</v>
      </c>
      <c r="C8" s="4" t="s">
        <v>1959</v>
      </c>
      <c r="D8" s="4" t="s">
        <v>1960</v>
      </c>
      <c r="E8" s="4" t="s">
        <v>1961</v>
      </c>
      <c r="F8" s="4" t="s">
        <v>1962</v>
      </c>
      <c r="G8" s="4" t="s">
        <v>1963</v>
      </c>
      <c r="H8" s="4" t="s">
        <v>1964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323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R10" s="5">
        <v>16500</v>
      </c>
      <c r="S10" s="5">
        <v>17000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469</v>
      </c>
      <c r="M11" t="s">
        <v>352</v>
      </c>
      <c r="N11" t="s">
        <v>332</v>
      </c>
      <c r="O11" t="s">
        <v>353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470</v>
      </c>
      <c r="M12" t="s">
        <v>355</v>
      </c>
      <c r="N12" t="s">
        <v>332</v>
      </c>
      <c r="O12" t="s">
        <v>356</v>
      </c>
      <c r="P12" s="5">
        <v>0</v>
      </c>
      <c r="R12" s="5">
        <v>0</v>
      </c>
      <c r="S12" s="5">
        <v>0</v>
      </c>
    </row>
    <row r="13" spans="1:20">
      <c r="B13" s="4" t="s">
        <v>1965</v>
      </c>
      <c r="C13" s="4" t="s">
        <v>1966</v>
      </c>
      <c r="D13" s="4" t="s">
        <v>1967</v>
      </c>
      <c r="E13" s="4" t="s">
        <v>1968</v>
      </c>
      <c r="F13" s="4" t="s">
        <v>1969</v>
      </c>
      <c r="G13" s="4" t="s">
        <v>1970</v>
      </c>
      <c r="H13" s="4" t="s">
        <v>1971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15462</v>
      </c>
      <c r="R13" s="5">
        <v>15462</v>
      </c>
      <c r="S13" s="5">
        <v>16000</v>
      </c>
    </row>
    <row r="14" spans="1:20">
      <c r="A14" t="s">
        <v>323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184</v>
      </c>
      <c r="M14" t="s">
        <v>326</v>
      </c>
      <c r="N14" t="s">
        <v>332</v>
      </c>
      <c r="O14" t="s">
        <v>360</v>
      </c>
      <c r="P14" s="5">
        <v>15374</v>
      </c>
      <c r="R14" s="5">
        <v>15374</v>
      </c>
      <c r="S14" s="5">
        <v>16000</v>
      </c>
    </row>
    <row r="15" spans="1:20">
      <c r="A15" t="s">
        <v>322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169</v>
      </c>
      <c r="M15" t="s">
        <v>326</v>
      </c>
      <c r="N15" t="s">
        <v>332</v>
      </c>
      <c r="O15" t="s">
        <v>361</v>
      </c>
      <c r="P15" s="5">
        <v>12450</v>
      </c>
      <c r="R15" s="5">
        <v>12450</v>
      </c>
      <c r="S15" s="5">
        <v>13000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1972</v>
      </c>
      <c r="C18" s="4" t="s">
        <v>1973</v>
      </c>
      <c r="D18" s="4" t="s">
        <v>1974</v>
      </c>
      <c r="E18" s="4" t="s">
        <v>1975</v>
      </c>
      <c r="F18" s="4" t="s">
        <v>1976</v>
      </c>
      <c r="G18" s="4" t="s">
        <v>1977</v>
      </c>
      <c r="H18" s="4" t="s">
        <v>1978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5030</v>
      </c>
      <c r="R18" s="5">
        <v>5030</v>
      </c>
      <c r="S18" s="5">
        <v>6000</v>
      </c>
    </row>
    <row r="19" spans="1:20">
      <c r="A19" t="s">
        <v>323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372</v>
      </c>
      <c r="M19" t="s">
        <v>344</v>
      </c>
      <c r="N19" t="s">
        <v>374</v>
      </c>
      <c r="O19" t="s">
        <v>373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322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471</v>
      </c>
    </row>
    <row r="23" spans="1:20">
      <c r="B23" s="4" t="s">
        <v>1979</v>
      </c>
      <c r="C23" s="4" t="s">
        <v>1980</v>
      </c>
      <c r="D23" s="4" t="s">
        <v>1981</v>
      </c>
      <c r="E23" s="4" t="s">
        <v>1982</v>
      </c>
      <c r="F23" s="4" t="s">
        <v>1983</v>
      </c>
      <c r="G23" s="4" t="s">
        <v>1984</v>
      </c>
      <c r="I23" t="s">
        <v>295</v>
      </c>
      <c r="L23" t="s">
        <v>385</v>
      </c>
      <c r="M23" t="s">
        <v>344</v>
      </c>
      <c r="N23" t="s">
        <v>371</v>
      </c>
      <c r="P23" s="5">
        <v>18200</v>
      </c>
      <c r="R23" s="5">
        <v>18200</v>
      </c>
      <c r="S23" s="5">
        <v>19000</v>
      </c>
      <c r="T23" t="s">
        <v>472</v>
      </c>
    </row>
    <row r="24" spans="1:20">
      <c r="A24" t="s">
        <v>323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295</v>
      </c>
      <c r="P24" s="5">
        <v>1203782</v>
      </c>
      <c r="R24" s="5">
        <v>1172167</v>
      </c>
      <c r="S24" s="5">
        <v>1173000</v>
      </c>
    </row>
    <row r="25" spans="1:20">
      <c r="A25" t="s">
        <v>322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46079</v>
      </c>
      <c r="M26" t="s">
        <v>1820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0</v>
      </c>
      <c r="C30" t="s">
        <v>399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175000</v>
      </c>
      <c r="B31" t="s">
        <v>1986</v>
      </c>
      <c r="C31" t="s">
        <v>322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50000</v>
      </c>
      <c r="S31" t="s">
        <v>1737</v>
      </c>
    </row>
    <row r="32" spans="1:20">
      <c r="A32" s="5">
        <v>175000</v>
      </c>
      <c r="B32" t="s">
        <v>1987</v>
      </c>
      <c r="C32" t="s">
        <v>1830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150000</v>
      </c>
      <c r="S32" t="s">
        <v>1737</v>
      </c>
    </row>
    <row r="33" spans="1:20">
      <c r="A33" s="5">
        <v>175000</v>
      </c>
      <c r="B33" t="s">
        <v>1988</v>
      </c>
      <c r="C33" t="s">
        <v>1832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1833</v>
      </c>
      <c r="K33" t="s">
        <v>406</v>
      </c>
      <c r="L33" t="s">
        <v>1828</v>
      </c>
      <c r="N33" s="2">
        <v>120000</v>
      </c>
      <c r="O33" s="2">
        <v>120000</v>
      </c>
      <c r="Q33" t="s">
        <v>1834</v>
      </c>
      <c r="R33" s="2">
        <v>0</v>
      </c>
      <c r="S33" t="s">
        <v>1737</v>
      </c>
    </row>
    <row r="34" spans="1:20">
      <c r="A34" s="5">
        <v>175000</v>
      </c>
      <c r="B34" t="s">
        <v>1989</v>
      </c>
      <c r="C34" t="s">
        <v>1990</v>
      </c>
      <c r="I34" t="b">
        <v>1</v>
      </c>
      <c r="K34" t="s">
        <v>409</v>
      </c>
      <c r="N34" s="2">
        <v>0</v>
      </c>
      <c r="O34" s="2">
        <v>0</v>
      </c>
      <c r="Q34" t="s">
        <v>1835</v>
      </c>
      <c r="R34" s="2">
        <v>100000</v>
      </c>
      <c r="S34" t="s">
        <v>1737</v>
      </c>
    </row>
    <row r="35" spans="1:20">
      <c r="A35" s="5">
        <v>700000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N35" s="2">
        <v>0</v>
      </c>
      <c r="O35" s="2">
        <v>0</v>
      </c>
      <c r="Q35" t="s">
        <v>1843</v>
      </c>
      <c r="R35" s="2">
        <v>0</v>
      </c>
      <c r="S35" t="s">
        <v>1737</v>
      </c>
    </row>
    <row r="36" spans="1:20">
      <c r="B36" t="s">
        <v>399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415</v>
      </c>
      <c r="N36" s="2">
        <v>0</v>
      </c>
      <c r="O36" s="2">
        <v>0</v>
      </c>
      <c r="Q36" t="s">
        <v>1844</v>
      </c>
      <c r="S36" s="2">
        <v>0</v>
      </c>
    </row>
    <row r="37" spans="1:20">
      <c r="B37" t="s">
        <v>322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416</v>
      </c>
      <c r="M37" s="2">
        <v>200000</v>
      </c>
      <c r="N37" s="2">
        <v>300000</v>
      </c>
      <c r="O37" s="2">
        <v>300000</v>
      </c>
      <c r="P37" s="2">
        <v>100000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295</v>
      </c>
      <c r="M38" s="2">
        <v>370000</v>
      </c>
      <c r="N38" s="2">
        <v>590000</v>
      </c>
      <c r="O38" s="2">
        <v>590000</v>
      </c>
      <c r="P38" s="2">
        <v>220000</v>
      </c>
      <c r="Q38" t="s">
        <v>1847</v>
      </c>
      <c r="S38" s="2">
        <v>20000</v>
      </c>
    </row>
    <row r="39" spans="1:20">
      <c r="B39" t="s">
        <v>1848</v>
      </c>
      <c r="C39" s="2">
        <v>-150260</v>
      </c>
      <c r="D39" s="2">
        <v>27833</v>
      </c>
      <c r="F39" s="2">
        <v>-220000</v>
      </c>
      <c r="G39" s="2">
        <v>0</v>
      </c>
      <c r="K39" t="s">
        <v>1849</v>
      </c>
      <c r="Q39" t="s">
        <v>295</v>
      </c>
      <c r="R39" s="2">
        <v>300000</v>
      </c>
      <c r="S39" s="2">
        <v>320000</v>
      </c>
      <c r="T39" s="2">
        <v>20000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300000</v>
      </c>
      <c r="S40" s="2">
        <v>300000</v>
      </c>
      <c r="T40" s="2">
        <v>0</v>
      </c>
    </row>
    <row r="41" spans="1:20">
      <c r="B41" t="s">
        <v>399</v>
      </c>
      <c r="C41" s="2">
        <v>3709110</v>
      </c>
      <c r="D41" s="2">
        <v>3034000</v>
      </c>
      <c r="E41" s="2">
        <v>675110</v>
      </c>
      <c r="F41" t="s">
        <v>1854</v>
      </c>
      <c r="H41" s="2">
        <v>24740</v>
      </c>
      <c r="I41" s="2">
        <v>24740</v>
      </c>
      <c r="J41" t="b">
        <v>1</v>
      </c>
      <c r="Q41" t="s">
        <v>1855</v>
      </c>
    </row>
    <row r="42" spans="1:20">
      <c r="B42" t="s">
        <v>322</v>
      </c>
      <c r="C42" s="2">
        <v>3709110</v>
      </c>
      <c r="D42" s="2">
        <v>3007627</v>
      </c>
      <c r="E42" s="2">
        <v>701483</v>
      </c>
      <c r="F42" t="s">
        <v>1854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 t="s">
        <v>1959</v>
      </c>
      <c r="K44" t="s">
        <v>1969</v>
      </c>
      <c r="L44" t="s">
        <v>1991</v>
      </c>
    </row>
    <row r="45" spans="1:20">
      <c r="B45" t="s">
        <v>397</v>
      </c>
      <c r="E45" t="s">
        <v>1992</v>
      </c>
      <c r="I45" t="s">
        <v>316</v>
      </c>
      <c r="J45" t="s">
        <v>683</v>
      </c>
      <c r="K45" t="s">
        <v>1993</v>
      </c>
      <c r="L45" t="s">
        <v>1993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19000</v>
      </c>
      <c r="K46" s="5">
        <v>2000</v>
      </c>
      <c r="L46" s="5">
        <v>3000</v>
      </c>
    </row>
    <row r="47" spans="1:20">
      <c r="B47" t="s">
        <v>57</v>
      </c>
      <c r="C47" s="2">
        <v>3409110</v>
      </c>
      <c r="E47" s="5">
        <v>975000</v>
      </c>
      <c r="F47" s="5">
        <v>975000</v>
      </c>
      <c r="G47" t="b">
        <v>1</v>
      </c>
      <c r="H47" t="s">
        <v>1866</v>
      </c>
      <c r="I47" t="s">
        <v>322</v>
      </c>
      <c r="J47" s="5">
        <v>19000</v>
      </c>
      <c r="K47" s="5">
        <v>2500</v>
      </c>
      <c r="L47" s="5">
        <v>3300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300000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3709110</v>
      </c>
      <c r="S51" t="s">
        <v>1872</v>
      </c>
    </row>
    <row r="52" spans="2:19">
      <c r="K52" t="s">
        <v>1672</v>
      </c>
      <c r="M52" s="2">
        <v>100000</v>
      </c>
      <c r="N52" s="2">
        <v>-100000</v>
      </c>
      <c r="O52" t="s">
        <v>1737</v>
      </c>
      <c r="Q52" t="s">
        <v>1874</v>
      </c>
      <c r="R52" s="2">
        <v>1172167</v>
      </c>
      <c r="S52" t="s">
        <v>1875</v>
      </c>
    </row>
    <row r="53" spans="2:19">
      <c r="B53" t="s">
        <v>1876</v>
      </c>
      <c r="K53" t="s">
        <v>14</v>
      </c>
      <c r="M53" s="2">
        <v>0</v>
      </c>
      <c r="N53" s="2">
        <v>0</v>
      </c>
      <c r="O53" t="s">
        <v>1737</v>
      </c>
      <c r="Q53" t="s">
        <v>1877</v>
      </c>
      <c r="R53" s="2">
        <v>950260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M54" s="2">
        <v>0</v>
      </c>
      <c r="N54" s="2">
        <v>0</v>
      </c>
      <c r="O54" t="s">
        <v>1737</v>
      </c>
      <c r="Q54" t="s">
        <v>1883</v>
      </c>
      <c r="R54" s="2">
        <v>0</v>
      </c>
      <c r="S54" t="s">
        <v>1884</v>
      </c>
    </row>
    <row r="55" spans="2:19">
      <c r="K55" t="s">
        <v>16</v>
      </c>
      <c r="M55" s="2">
        <v>0</v>
      </c>
      <c r="N55" s="2">
        <v>0</v>
      </c>
      <c r="O55" t="s">
        <v>1737</v>
      </c>
      <c r="Q55" t="s">
        <v>1885</v>
      </c>
      <c r="R55" s="2">
        <v>2122427</v>
      </c>
      <c r="S55" t="s">
        <v>1886</v>
      </c>
    </row>
    <row r="56" spans="2:19">
      <c r="K56" t="s">
        <v>1678</v>
      </c>
      <c r="L56" s="2">
        <v>200000</v>
      </c>
      <c r="M56" s="2">
        <v>0</v>
      </c>
      <c r="N56" s="2">
        <v>200000</v>
      </c>
      <c r="O56" t="s">
        <v>1737</v>
      </c>
      <c r="P56" t="s">
        <v>1994</v>
      </c>
      <c r="Q56" t="s">
        <v>1839</v>
      </c>
      <c r="R56" s="2">
        <v>590000</v>
      </c>
      <c r="S56" t="s">
        <v>1887</v>
      </c>
    </row>
    <row r="57" spans="2:19">
      <c r="K57" t="s">
        <v>295</v>
      </c>
      <c r="L57" s="2">
        <v>200000</v>
      </c>
      <c r="M57" s="2">
        <v>100000</v>
      </c>
      <c r="N57" s="2">
        <v>100000</v>
      </c>
      <c r="O57" s="2" t="s">
        <v>1737</v>
      </c>
      <c r="Q57" t="s">
        <v>1824</v>
      </c>
      <c r="R57" s="2">
        <v>320000</v>
      </c>
      <c r="S57" t="s">
        <v>1888</v>
      </c>
    </row>
    <row r="58" spans="2:19">
      <c r="K58" t="s">
        <v>1889</v>
      </c>
      <c r="Q58" t="s">
        <v>1890</v>
      </c>
      <c r="R58" s="2">
        <v>24800</v>
      </c>
      <c r="S58" t="s">
        <v>1891</v>
      </c>
    </row>
    <row r="59" spans="2:19">
      <c r="Q59" t="s">
        <v>1892</v>
      </c>
      <c r="R59" s="2">
        <v>3007627</v>
      </c>
      <c r="S59" t="s">
        <v>1893</v>
      </c>
    </row>
    <row r="60" spans="2:19">
      <c r="Q60" t="s">
        <v>1894</v>
      </c>
      <c r="R60" s="2">
        <v>701483</v>
      </c>
      <c r="S60" t="s">
        <v>1854</v>
      </c>
    </row>
    <row r="61" spans="2:19">
      <c r="Q61" t="s">
        <v>1895</v>
      </c>
      <c r="R61" s="2">
        <v>200000</v>
      </c>
      <c r="S61" t="s">
        <v>1896</v>
      </c>
    </row>
    <row r="62" spans="2:19">
      <c r="Q62" t="s">
        <v>1897</v>
      </c>
      <c r="R62" s="2">
        <v>2322427</v>
      </c>
      <c r="S62" t="s">
        <v>1898</v>
      </c>
    </row>
    <row r="63" spans="2:19">
      <c r="Q63" t="s">
        <v>1899</v>
      </c>
      <c r="R63" s="2" t="s">
        <v>1737</v>
      </c>
      <c r="S63" t="s">
        <v>1900</v>
      </c>
    </row>
    <row r="64" spans="2:19">
      <c r="Q64" t="s">
        <v>1901</v>
      </c>
      <c r="R64" s="2" t="s">
        <v>1737</v>
      </c>
      <c r="S64" t="s">
        <v>1902</v>
      </c>
    </row>
    <row r="65" spans="2:16">
      <c r="B65" t="s">
        <v>295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1903</v>
      </c>
    </row>
    <row r="67" spans="2:16">
      <c r="B67" t="s">
        <v>1904</v>
      </c>
    </row>
    <row r="70" spans="2:16">
      <c r="B70" t="s">
        <v>1995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1155489</v>
      </c>
      <c r="F72" t="s">
        <v>1911</v>
      </c>
      <c r="J72" t="s">
        <v>1912</v>
      </c>
      <c r="L72" s="2">
        <v>3709110</v>
      </c>
      <c r="M72" s="2">
        <v>3709110</v>
      </c>
      <c r="N72" s="2">
        <v>0</v>
      </c>
      <c r="O72" t="s">
        <v>1913</v>
      </c>
      <c r="P72" t="s">
        <v>1914</v>
      </c>
    </row>
    <row r="73" spans="2:16">
      <c r="B73" t="s">
        <v>606</v>
      </c>
      <c r="E73" s="2">
        <v>776140</v>
      </c>
      <c r="F73" t="s">
        <v>1915</v>
      </c>
      <c r="J73" t="s">
        <v>306</v>
      </c>
      <c r="L73" s="2">
        <v>1172167</v>
      </c>
      <c r="M73" s="2">
        <v>1155489</v>
      </c>
      <c r="N73" s="2">
        <v>16678</v>
      </c>
      <c r="O73" t="s">
        <v>1916</v>
      </c>
      <c r="P73" t="s">
        <v>1996</v>
      </c>
    </row>
    <row r="74" spans="2:16">
      <c r="B74" t="s">
        <v>609</v>
      </c>
      <c r="E74" s="2">
        <v>67500</v>
      </c>
      <c r="F74" t="s">
        <v>1918</v>
      </c>
      <c r="J74" t="s">
        <v>1919</v>
      </c>
      <c r="L74" s="2">
        <v>950260</v>
      </c>
      <c r="M74" s="2">
        <v>940560</v>
      </c>
      <c r="N74" s="2">
        <v>9700</v>
      </c>
      <c r="O74" t="s">
        <v>1916</v>
      </c>
      <c r="P74" t="s">
        <v>1997</v>
      </c>
    </row>
    <row r="75" spans="2:16">
      <c r="B75" t="s">
        <v>1921</v>
      </c>
      <c r="E75" s="2">
        <v>-20156</v>
      </c>
      <c r="F75" t="s">
        <v>1922</v>
      </c>
      <c r="J75" t="s">
        <v>1923</v>
      </c>
      <c r="L75" s="2">
        <v>24800</v>
      </c>
      <c r="M75" s="2">
        <v>26400</v>
      </c>
      <c r="N75" s="2">
        <v>-1600</v>
      </c>
      <c r="O75" t="s">
        <v>1916</v>
      </c>
      <c r="P75" t="s">
        <v>1998</v>
      </c>
    </row>
    <row r="76" spans="2:16">
      <c r="B76" t="s">
        <v>614</v>
      </c>
      <c r="E76" s="2">
        <v>70520</v>
      </c>
      <c r="F76" t="s">
        <v>1925</v>
      </c>
      <c r="J76" t="s">
        <v>1926</v>
      </c>
      <c r="L76" s="2">
        <v>0</v>
      </c>
      <c r="M76" s="2">
        <v>20156</v>
      </c>
      <c r="N76" s="2">
        <v>-20156</v>
      </c>
      <c r="O76" t="s">
        <v>1916</v>
      </c>
      <c r="P76" t="s">
        <v>1999</v>
      </c>
    </row>
    <row r="77" spans="2:16">
      <c r="B77" t="s">
        <v>1928</v>
      </c>
      <c r="E77" s="2">
        <v>0</v>
      </c>
      <c r="F77" t="s">
        <v>1929</v>
      </c>
      <c r="J77" t="s">
        <v>1930</v>
      </c>
      <c r="L77" s="2">
        <v>590000</v>
      </c>
      <c r="M77" s="2">
        <v>590000</v>
      </c>
      <c r="N77" s="2">
        <v>0</v>
      </c>
      <c r="O77" t="s">
        <v>1913</v>
      </c>
      <c r="P77" t="s">
        <v>2000</v>
      </c>
    </row>
    <row r="78" spans="2:16">
      <c r="B78" t="s">
        <v>617</v>
      </c>
      <c r="E78" s="2">
        <v>0</v>
      </c>
      <c r="F78" t="s">
        <v>1932</v>
      </c>
      <c r="J78" t="s">
        <v>1933</v>
      </c>
      <c r="L78" s="2">
        <v>20000</v>
      </c>
      <c r="M78" s="2">
        <v>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200000</v>
      </c>
      <c r="F79" t="s">
        <v>1934</v>
      </c>
      <c r="J79" t="s">
        <v>1935</v>
      </c>
      <c r="L79" s="2">
        <v>0</v>
      </c>
      <c r="M79" s="2">
        <v>200000</v>
      </c>
      <c r="N79" s="2">
        <v>-200000</v>
      </c>
      <c r="O79" t="s">
        <v>2001</v>
      </c>
      <c r="P79" t="s">
        <v>2002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0</v>
      </c>
      <c r="F82" t="s">
        <v>1944</v>
      </c>
      <c r="J82" t="s">
        <v>2003</v>
      </c>
      <c r="N82" s="2">
        <v>-120000</v>
      </c>
    </row>
    <row r="83" spans="2:15">
      <c r="B83" t="s">
        <v>1946</v>
      </c>
      <c r="E83" s="2">
        <v>0</v>
      </c>
      <c r="F83" t="s">
        <v>1947</v>
      </c>
      <c r="J83" t="s">
        <v>2004</v>
      </c>
      <c r="N83" s="2">
        <v>0</v>
      </c>
    </row>
    <row r="84" spans="2:15">
      <c r="B84" t="s">
        <v>635</v>
      </c>
      <c r="E84" s="2">
        <v>0</v>
      </c>
      <c r="F84" t="s">
        <v>1949</v>
      </c>
      <c r="J84" t="s">
        <v>1950</v>
      </c>
      <c r="N84" s="2">
        <v>-120000</v>
      </c>
      <c r="O84" t="s">
        <v>2005</v>
      </c>
    </row>
    <row r="85" spans="2:15">
      <c r="B85" t="s">
        <v>60</v>
      </c>
      <c r="E85" s="2">
        <v>0</v>
      </c>
      <c r="F85" t="s">
        <v>1952</v>
      </c>
    </row>
    <row r="86" spans="2:15">
      <c r="B86" t="s">
        <v>638</v>
      </c>
      <c r="E86" s="2">
        <v>0</v>
      </c>
      <c r="F86" t="s">
        <v>1953</v>
      </c>
    </row>
    <row r="87" spans="2:15">
      <c r="B87" t="s">
        <v>1954</v>
      </c>
      <c r="E87" s="2">
        <v>2249493</v>
      </c>
      <c r="F87" t="s">
        <v>1955</v>
      </c>
    </row>
    <row r="88" spans="2:15">
      <c r="B88" t="s">
        <v>1956</v>
      </c>
      <c r="E88" s="2">
        <v>2249493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46082</v>
      </c>
    </row>
    <row r="2" spans="1:20">
      <c r="B2" t="s">
        <v>313</v>
      </c>
      <c r="C2" t="s">
        <v>38</v>
      </c>
      <c r="D2" t="s">
        <v>308</v>
      </c>
      <c r="E2" t="s">
        <v>309</v>
      </c>
      <c r="F2" t="s">
        <v>310</v>
      </c>
      <c r="G2" t="s">
        <v>311</v>
      </c>
      <c r="H2" t="s">
        <v>312</v>
      </c>
      <c r="S2" t="s">
        <v>1780</v>
      </c>
    </row>
    <row r="3" spans="1:20">
      <c r="B3" s="4" t="s">
        <v>2006</v>
      </c>
      <c r="C3" s="4" t="s">
        <v>2007</v>
      </c>
      <c r="D3" s="4" t="s">
        <v>2008</v>
      </c>
      <c r="E3" s="4" t="s">
        <v>1991</v>
      </c>
      <c r="F3" s="4" t="s">
        <v>2009</v>
      </c>
      <c r="G3" s="4" t="s">
        <v>2010</v>
      </c>
      <c r="H3" s="4" t="s">
        <v>2011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328</v>
      </c>
      <c r="L5" s="4" t="s">
        <v>475</v>
      </c>
      <c r="M5" t="s">
        <v>330</v>
      </c>
      <c r="N5" t="s">
        <v>332</v>
      </c>
      <c r="O5" t="s">
        <v>331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475</v>
      </c>
      <c r="M6" t="s">
        <v>330</v>
      </c>
      <c r="N6" t="s">
        <v>332</v>
      </c>
      <c r="O6" t="s">
        <v>334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2012</v>
      </c>
      <c r="C8" s="4" t="s">
        <v>2013</v>
      </c>
      <c r="D8" s="4" t="s">
        <v>2014</v>
      </c>
      <c r="E8" s="4" t="s">
        <v>2015</v>
      </c>
      <c r="F8" s="4" t="s">
        <v>2016</v>
      </c>
      <c r="G8" s="4" t="s">
        <v>2017</v>
      </c>
      <c r="H8" s="4" t="s">
        <v>2018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323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R10" s="5">
        <v>16500</v>
      </c>
      <c r="S10" s="5">
        <v>17000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476</v>
      </c>
      <c r="M11" t="s">
        <v>352</v>
      </c>
      <c r="N11" t="s">
        <v>332</v>
      </c>
      <c r="O11" t="s">
        <v>353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477</v>
      </c>
      <c r="M12" t="s">
        <v>355</v>
      </c>
      <c r="N12" t="s">
        <v>332</v>
      </c>
      <c r="O12" t="s">
        <v>356</v>
      </c>
      <c r="P12" s="5">
        <v>0</v>
      </c>
      <c r="R12" s="5">
        <v>0</v>
      </c>
      <c r="S12" s="5">
        <v>0</v>
      </c>
    </row>
    <row r="13" spans="1:20">
      <c r="B13" s="4" t="s">
        <v>2019</v>
      </c>
      <c r="C13" s="4" t="s">
        <v>2020</v>
      </c>
      <c r="D13" s="4" t="s">
        <v>2021</v>
      </c>
      <c r="E13" s="4" t="s">
        <v>2022</v>
      </c>
      <c r="F13" s="4" t="s">
        <v>2023</v>
      </c>
      <c r="G13" s="4" t="s">
        <v>2024</v>
      </c>
      <c r="H13" s="4" t="s">
        <v>2025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15992</v>
      </c>
      <c r="R13" s="5">
        <v>15992</v>
      </c>
      <c r="S13" s="5">
        <v>16000</v>
      </c>
    </row>
    <row r="14" spans="1:20">
      <c r="A14" t="s">
        <v>323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184</v>
      </c>
      <c r="M14" t="s">
        <v>326</v>
      </c>
      <c r="N14" t="s">
        <v>332</v>
      </c>
      <c r="O14" t="s">
        <v>360</v>
      </c>
      <c r="P14" s="5">
        <v>13918</v>
      </c>
      <c r="R14" s="5">
        <v>13918</v>
      </c>
      <c r="S14" s="5">
        <v>14000</v>
      </c>
    </row>
    <row r="15" spans="1:20">
      <c r="A15" t="s">
        <v>322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169</v>
      </c>
      <c r="M15" t="s">
        <v>326</v>
      </c>
      <c r="N15" t="s">
        <v>332</v>
      </c>
      <c r="O15" t="s">
        <v>361</v>
      </c>
      <c r="P15" s="5">
        <v>11180</v>
      </c>
      <c r="R15" s="5">
        <v>11180</v>
      </c>
      <c r="S15" s="5">
        <v>12000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2026</v>
      </c>
      <c r="C18" s="4" t="s">
        <v>2027</v>
      </c>
      <c r="D18" s="4" t="s">
        <v>2028</v>
      </c>
      <c r="E18" s="4" t="s">
        <v>2029</v>
      </c>
      <c r="F18" s="4" t="s">
        <v>2030</v>
      </c>
      <c r="G18" s="4" t="s">
        <v>2031</v>
      </c>
      <c r="H18" s="4" t="s">
        <v>2032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5365</v>
      </c>
      <c r="R18" s="5">
        <v>5365</v>
      </c>
      <c r="S18" s="5">
        <v>6000</v>
      </c>
    </row>
    <row r="19" spans="1:20">
      <c r="A19" t="s">
        <v>323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372</v>
      </c>
      <c r="M19" t="s">
        <v>344</v>
      </c>
      <c r="N19" t="s">
        <v>374</v>
      </c>
      <c r="O19" t="s">
        <v>373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322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478</v>
      </c>
    </row>
    <row r="23" spans="1:20">
      <c r="B23" s="4" t="s">
        <v>2033</v>
      </c>
      <c r="C23" s="4" t="s">
        <v>2034</v>
      </c>
      <c r="D23" s="4" t="s">
        <v>2035</v>
      </c>
      <c r="I23" t="s">
        <v>295</v>
      </c>
      <c r="L23" t="s">
        <v>385</v>
      </c>
      <c r="M23" t="s">
        <v>344</v>
      </c>
      <c r="N23" t="s">
        <v>371</v>
      </c>
      <c r="P23" s="5">
        <v>18200</v>
      </c>
      <c r="R23" s="5">
        <v>18200</v>
      </c>
      <c r="S23" s="5">
        <v>19000</v>
      </c>
      <c r="T23" t="s">
        <v>382</v>
      </c>
    </row>
    <row r="24" spans="1:20">
      <c r="A24" t="s">
        <v>323</v>
      </c>
      <c r="B24" s="5">
        <v>103000</v>
      </c>
      <c r="C24" s="5">
        <v>24000</v>
      </c>
      <c r="D24" s="5">
        <v>51000</v>
      </c>
      <c r="I24" s="7">
        <v>178000</v>
      </c>
      <c r="K24" t="s">
        <v>295</v>
      </c>
      <c r="P24" s="5">
        <v>1187761</v>
      </c>
      <c r="R24" s="5">
        <v>1158467</v>
      </c>
      <c r="S24" s="5">
        <v>1159000</v>
      </c>
    </row>
    <row r="25" spans="1:20">
      <c r="A25" t="s">
        <v>322</v>
      </c>
      <c r="B25" s="5">
        <v>100600</v>
      </c>
      <c r="C25" s="5">
        <v>23400</v>
      </c>
      <c r="D25" s="5">
        <v>50500</v>
      </c>
      <c r="I25" s="7">
        <v>174500</v>
      </c>
      <c r="P25" t="s">
        <v>2036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M26" t="s">
        <v>2037</v>
      </c>
      <c r="P26" t="s">
        <v>2038</v>
      </c>
    </row>
    <row r="27" spans="1:20">
      <c r="G27" s="5">
        <v>926000</v>
      </c>
      <c r="H27" s="5">
        <v>894480</v>
      </c>
      <c r="I27" s="6">
        <v>3500</v>
      </c>
      <c r="P27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160000</v>
      </c>
      <c r="C30" t="s">
        <v>399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160000</v>
      </c>
      <c r="C31" t="s">
        <v>322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1830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1832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415</v>
      </c>
      <c r="N36" s="2">
        <v>0</v>
      </c>
      <c r="O36" s="2">
        <v>0</v>
      </c>
      <c r="Q36" t="s">
        <v>1844</v>
      </c>
      <c r="S36" s="2">
        <v>0</v>
      </c>
    </row>
    <row r="37" spans="1:20">
      <c r="B37" t="s">
        <v>322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416</v>
      </c>
      <c r="M37" s="2">
        <v>200000</v>
      </c>
      <c r="N37" s="2">
        <v>200000</v>
      </c>
      <c r="O37" s="2">
        <v>200000</v>
      </c>
      <c r="P37" s="2">
        <v>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295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1847</v>
      </c>
      <c r="S38" s="2">
        <v>20000</v>
      </c>
    </row>
    <row r="39" spans="1:20">
      <c r="B39" t="s">
        <v>1848</v>
      </c>
      <c r="C39" s="2">
        <v>-94480</v>
      </c>
      <c r="D39" s="2">
        <v>41533</v>
      </c>
      <c r="F39" s="2">
        <v>150000</v>
      </c>
      <c r="G39" s="2">
        <v>0</v>
      </c>
      <c r="K39" t="s">
        <v>1849</v>
      </c>
      <c r="Q39" t="s">
        <v>295</v>
      </c>
      <c r="R39" s="2">
        <v>200000</v>
      </c>
      <c r="S39" s="2">
        <v>220000</v>
      </c>
      <c r="T39" s="2">
        <v>20000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200000</v>
      </c>
      <c r="S40" s="2">
        <v>200000</v>
      </c>
      <c r="T40" s="2">
        <v>0</v>
      </c>
    </row>
    <row r="41" spans="1:20">
      <c r="B41" t="s">
        <v>399</v>
      </c>
      <c r="C41" s="2">
        <v>2785740</v>
      </c>
      <c r="D41" s="2">
        <v>2784000</v>
      </c>
      <c r="E41" s="2">
        <v>1740</v>
      </c>
      <c r="F41" t="s">
        <v>1854</v>
      </c>
      <c r="H41" s="2">
        <v>31520</v>
      </c>
      <c r="I41" s="2">
        <v>31520</v>
      </c>
      <c r="J41" t="b">
        <v>1</v>
      </c>
      <c r="Q41" t="s">
        <v>2040</v>
      </c>
    </row>
    <row r="42" spans="1:20">
      <c r="B42" t="s">
        <v>322</v>
      </c>
      <c r="C42" s="2">
        <v>2785740</v>
      </c>
      <c r="D42" s="2">
        <v>2751247</v>
      </c>
      <c r="E42" s="2">
        <v>34493</v>
      </c>
      <c r="F42" t="s">
        <v>1854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>
        <v>46101</v>
      </c>
      <c r="K44" t="s">
        <v>2028</v>
      </c>
      <c r="L44" t="s">
        <v>2035</v>
      </c>
    </row>
    <row r="45" spans="1:20">
      <c r="B45" t="s">
        <v>397</v>
      </c>
      <c r="E45" t="s">
        <v>1992</v>
      </c>
      <c r="I45" t="s">
        <v>316</v>
      </c>
      <c r="J45" t="s">
        <v>2041</v>
      </c>
      <c r="K45" t="s">
        <v>1993</v>
      </c>
      <c r="L45" t="s">
        <v>2042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17000</v>
      </c>
      <c r="K46" s="5">
        <v>3000</v>
      </c>
      <c r="L46" s="5">
        <v>21000</v>
      </c>
    </row>
    <row r="47" spans="1:20">
      <c r="B47" t="s">
        <v>57</v>
      </c>
      <c r="C47" s="2">
        <v>2785740</v>
      </c>
      <c r="E47" s="5">
        <v>926000</v>
      </c>
      <c r="F47" s="5">
        <v>926000</v>
      </c>
      <c r="G47" t="b">
        <v>1</v>
      </c>
      <c r="H47" t="s">
        <v>1866</v>
      </c>
      <c r="I47" t="s">
        <v>322</v>
      </c>
      <c r="J47" s="5">
        <v>17000</v>
      </c>
      <c r="K47" s="5">
        <v>3300</v>
      </c>
      <c r="L47" s="5">
        <v>21300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2785740</v>
      </c>
      <c r="S51" t="s">
        <v>1872</v>
      </c>
    </row>
    <row r="52" spans="2:19">
      <c r="K52" t="s">
        <v>1672</v>
      </c>
      <c r="L52" s="2">
        <v>0</v>
      </c>
      <c r="M52" s="2">
        <v>0</v>
      </c>
      <c r="N52" s="2">
        <v>0</v>
      </c>
      <c r="O52" s="2">
        <v>100000</v>
      </c>
      <c r="Q52" t="s">
        <v>1874</v>
      </c>
      <c r="R52" s="2">
        <v>1158467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0</v>
      </c>
      <c r="N53" s="2">
        <v>0</v>
      </c>
      <c r="O53" s="2">
        <v>1300000</v>
      </c>
      <c r="Q53" t="s">
        <v>1877</v>
      </c>
      <c r="R53" s="2">
        <v>894480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0</v>
      </c>
      <c r="Q54" t="s">
        <v>1883</v>
      </c>
      <c r="R54" s="2">
        <v>29900</v>
      </c>
      <c r="S54" t="s">
        <v>1884</v>
      </c>
    </row>
    <row r="55" spans="2:19">
      <c r="B55" s="11">
        <v>46107</v>
      </c>
      <c r="C55" t="s">
        <v>431</v>
      </c>
      <c r="D55" t="s">
        <v>2043</v>
      </c>
      <c r="E55" s="2">
        <v>29900</v>
      </c>
      <c r="I55" s="2">
        <v>29900</v>
      </c>
      <c r="J55" s="2">
        <v>30000</v>
      </c>
      <c r="K55" t="s">
        <v>16</v>
      </c>
      <c r="L55" s="2">
        <v>0</v>
      </c>
      <c r="M55" s="2">
        <v>0</v>
      </c>
      <c r="N55" s="2">
        <v>0</v>
      </c>
      <c r="O55" s="2">
        <v>350000</v>
      </c>
      <c r="Q55" t="s">
        <v>1885</v>
      </c>
      <c r="R55" s="2">
        <v>2082847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490000</v>
      </c>
      <c r="S56" t="s">
        <v>1887</v>
      </c>
    </row>
    <row r="57" spans="2:19">
      <c r="K57" t="s">
        <v>295</v>
      </c>
      <c r="L57" s="2">
        <v>0</v>
      </c>
      <c r="M57" s="2">
        <v>0</v>
      </c>
      <c r="N57" s="2">
        <v>0</v>
      </c>
      <c r="O57" s="2">
        <v>1750000</v>
      </c>
      <c r="Q57" t="s">
        <v>1824</v>
      </c>
      <c r="R57" s="2">
        <v>220000</v>
      </c>
      <c r="S57" t="s">
        <v>1888</v>
      </c>
    </row>
    <row r="58" spans="2:19">
      <c r="Q58" t="s">
        <v>1890</v>
      </c>
      <c r="R58" s="2">
        <v>41600</v>
      </c>
      <c r="S58" t="s">
        <v>1891</v>
      </c>
    </row>
    <row r="59" spans="2:19">
      <c r="Q59" t="s">
        <v>1892</v>
      </c>
      <c r="R59" s="2">
        <v>2751247</v>
      </c>
      <c r="S59" t="s">
        <v>1893</v>
      </c>
    </row>
    <row r="60" spans="2:19">
      <c r="Q60" t="s">
        <v>1894</v>
      </c>
      <c r="R60" s="2">
        <v>34493</v>
      </c>
      <c r="S60" t="s">
        <v>1854</v>
      </c>
    </row>
    <row r="61" spans="2:19">
      <c r="Q61" t="s">
        <v>1895</v>
      </c>
      <c r="R61" s="2">
        <v>0</v>
      </c>
      <c r="S61" t="s">
        <v>1896</v>
      </c>
    </row>
    <row r="62" spans="2:19">
      <c r="Q62" t="s">
        <v>1897</v>
      </c>
      <c r="R62" s="2">
        <v>2082847</v>
      </c>
      <c r="S62" t="s">
        <v>1898</v>
      </c>
    </row>
    <row r="63" spans="2:19">
      <c r="Q63" t="s">
        <v>1899</v>
      </c>
      <c r="R63" s="2">
        <v>993611</v>
      </c>
      <c r="S63" t="s">
        <v>2044</v>
      </c>
    </row>
    <row r="64" spans="2:19">
      <c r="Q64" t="s">
        <v>1901</v>
      </c>
      <c r="R64" s="2">
        <v>1750000</v>
      </c>
      <c r="S64" t="s">
        <v>1902</v>
      </c>
    </row>
    <row r="65" spans="2:16">
      <c r="B65" t="s">
        <v>295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1903</v>
      </c>
    </row>
    <row r="67" spans="2:16">
      <c r="B67" t="s">
        <v>1904</v>
      </c>
    </row>
    <row r="70" spans="2:16">
      <c r="B70" t="s">
        <v>2045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1211309</v>
      </c>
      <c r="F72" t="s">
        <v>1911</v>
      </c>
      <c r="J72" t="s">
        <v>1912</v>
      </c>
      <c r="L72" s="2">
        <v>2785740</v>
      </c>
      <c r="M72" s="2">
        <v>2785740</v>
      </c>
      <c r="N72" s="2">
        <v>0</v>
      </c>
      <c r="O72" t="s">
        <v>1913</v>
      </c>
      <c r="P72" t="s">
        <v>1914</v>
      </c>
    </row>
    <row r="73" spans="2:16">
      <c r="B73" t="s">
        <v>606</v>
      </c>
      <c r="E73" s="2">
        <v>780770</v>
      </c>
      <c r="F73" t="s">
        <v>1915</v>
      </c>
      <c r="J73" t="s">
        <v>306</v>
      </c>
      <c r="L73" s="2">
        <v>1158467</v>
      </c>
      <c r="M73" s="2">
        <v>1211309</v>
      </c>
      <c r="N73" s="2">
        <v>-52842</v>
      </c>
      <c r="O73" t="s">
        <v>2001</v>
      </c>
      <c r="P73" t="s">
        <v>2046</v>
      </c>
    </row>
    <row r="74" spans="2:16">
      <c r="B74" t="s">
        <v>609</v>
      </c>
      <c r="E74" s="2">
        <v>49500</v>
      </c>
      <c r="F74" t="s">
        <v>1918</v>
      </c>
      <c r="J74" t="s">
        <v>1919</v>
      </c>
      <c r="L74" s="2">
        <v>894480</v>
      </c>
      <c r="M74" s="2">
        <v>876170</v>
      </c>
      <c r="N74" s="2">
        <v>18310</v>
      </c>
      <c r="O74" t="s">
        <v>1916</v>
      </c>
      <c r="P74" t="s">
        <v>2047</v>
      </c>
    </row>
    <row r="75" spans="2:16">
      <c r="B75" t="s">
        <v>1921</v>
      </c>
      <c r="E75" s="2">
        <v>-26000</v>
      </c>
      <c r="F75" t="s">
        <v>1922</v>
      </c>
      <c r="J75" t="s">
        <v>1923</v>
      </c>
      <c r="L75" s="2">
        <v>41600</v>
      </c>
      <c r="M75" s="2">
        <v>63900</v>
      </c>
      <c r="N75" s="2">
        <v>-22300</v>
      </c>
      <c r="O75" t="s">
        <v>1916</v>
      </c>
      <c r="P75" t="s">
        <v>2048</v>
      </c>
    </row>
    <row r="76" spans="2:16">
      <c r="B76" t="s">
        <v>614</v>
      </c>
      <c r="E76" s="2">
        <v>0</v>
      </c>
      <c r="F76" t="s">
        <v>1925</v>
      </c>
      <c r="J76" t="s">
        <v>1926</v>
      </c>
      <c r="L76" s="2">
        <v>0</v>
      </c>
      <c r="M76" s="2">
        <v>26000</v>
      </c>
      <c r="N76" s="2">
        <v>-26000</v>
      </c>
      <c r="O76" t="s">
        <v>1916</v>
      </c>
      <c r="P76" t="s">
        <v>2049</v>
      </c>
    </row>
    <row r="77" spans="2:16">
      <c r="B77" t="s">
        <v>1928</v>
      </c>
      <c r="E77" s="2">
        <v>0</v>
      </c>
      <c r="F77" t="s">
        <v>1929</v>
      </c>
      <c r="J77" t="s">
        <v>1930</v>
      </c>
      <c r="L77" s="2">
        <v>490000</v>
      </c>
      <c r="M77" s="2">
        <v>490000</v>
      </c>
      <c r="N77" s="2">
        <v>0</v>
      </c>
      <c r="O77" t="s">
        <v>1913</v>
      </c>
      <c r="P77" t="s">
        <v>2050</v>
      </c>
    </row>
    <row r="78" spans="2:16">
      <c r="B78" t="s">
        <v>617</v>
      </c>
      <c r="E78" s="2">
        <v>49800</v>
      </c>
      <c r="F78" t="s">
        <v>1932</v>
      </c>
      <c r="J78" t="s">
        <v>1933</v>
      </c>
      <c r="L78" s="2">
        <v>20000</v>
      </c>
      <c r="M78" s="2">
        <v>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29900</v>
      </c>
      <c r="M79" s="2">
        <v>49800</v>
      </c>
      <c r="N79" s="2">
        <v>-19900</v>
      </c>
      <c r="O79" t="s">
        <v>1916</v>
      </c>
      <c r="P79" t="s">
        <v>2051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269210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0</v>
      </c>
      <c r="F82" t="s">
        <v>1944</v>
      </c>
      <c r="J82" t="s">
        <v>2052</v>
      </c>
      <c r="N82" s="2">
        <v>0</v>
      </c>
    </row>
    <row r="83" spans="2:15">
      <c r="B83" t="s">
        <v>1946</v>
      </c>
      <c r="E83" s="2">
        <v>0</v>
      </c>
      <c r="F83" t="s">
        <v>1947</v>
      </c>
      <c r="J83" t="s">
        <v>1950</v>
      </c>
      <c r="N83" s="2">
        <v>0</v>
      </c>
      <c r="O83" t="s">
        <v>2053</v>
      </c>
    </row>
    <row r="84" spans="2:15">
      <c r="B84" t="s">
        <v>635</v>
      </c>
      <c r="E84" s="2">
        <v>107316</v>
      </c>
      <c r="F84" t="s">
        <v>1949</v>
      </c>
    </row>
    <row r="85" spans="2:15">
      <c r="B85" t="s">
        <v>60</v>
      </c>
      <c r="E85" s="2">
        <v>0</v>
      </c>
      <c r="F85" t="s">
        <v>1952</v>
      </c>
    </row>
    <row r="86" spans="2:15">
      <c r="B86" t="s">
        <v>638</v>
      </c>
      <c r="E86" s="2">
        <v>0</v>
      </c>
      <c r="F86" t="s">
        <v>1953</v>
      </c>
    </row>
    <row r="87" spans="2:15">
      <c r="B87" t="s">
        <v>1954</v>
      </c>
      <c r="E87" s="2">
        <v>2441905</v>
      </c>
      <c r="F87" t="s">
        <v>1955</v>
      </c>
    </row>
    <row r="88" spans="2:15">
      <c r="B88" t="s">
        <v>1956</v>
      </c>
      <c r="E88" s="2">
        <v>2334589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46113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D3" s="4" t="s">
        <v>2054</v>
      </c>
      <c r="E3" s="4" t="s">
        <v>2055</v>
      </c>
      <c r="F3" s="4" t="s">
        <v>2056</v>
      </c>
      <c r="G3" s="4" t="s">
        <v>2057</v>
      </c>
      <c r="H3" s="4" t="s">
        <v>2058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328</v>
      </c>
      <c r="L5" s="4" t="s">
        <v>484</v>
      </c>
      <c r="M5" t="s">
        <v>330</v>
      </c>
      <c r="N5" t="s">
        <v>332</v>
      </c>
      <c r="O5" t="s">
        <v>331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484</v>
      </c>
      <c r="M6" t="s">
        <v>330</v>
      </c>
      <c r="N6" t="s">
        <v>332</v>
      </c>
      <c r="O6" t="s">
        <v>334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2059</v>
      </c>
      <c r="C8" s="4" t="s">
        <v>2060</v>
      </c>
      <c r="D8" s="4" t="s">
        <v>2061</v>
      </c>
      <c r="E8" s="4" t="s">
        <v>2062</v>
      </c>
      <c r="F8" s="4" t="s">
        <v>2063</v>
      </c>
      <c r="G8" s="4" t="s">
        <v>2064</v>
      </c>
      <c r="H8" s="4" t="s">
        <v>2065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323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485</v>
      </c>
      <c r="M11" t="s">
        <v>352</v>
      </c>
      <c r="N11" t="s">
        <v>332</v>
      </c>
      <c r="O11" t="s">
        <v>353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486</v>
      </c>
      <c r="M12" t="s">
        <v>355</v>
      </c>
      <c r="N12" t="s">
        <v>332</v>
      </c>
      <c r="O12" t="s">
        <v>356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2066</v>
      </c>
      <c r="C13" s="4" t="s">
        <v>2067</v>
      </c>
      <c r="D13" s="4" t="s">
        <v>2068</v>
      </c>
      <c r="E13" s="4" t="s">
        <v>2069</v>
      </c>
      <c r="F13" s="4" t="s">
        <v>2070</v>
      </c>
      <c r="G13" s="4" t="s">
        <v>2071</v>
      </c>
      <c r="H13" s="4" t="s">
        <v>2072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16528</v>
      </c>
      <c r="R13" s="5">
        <v>16528</v>
      </c>
      <c r="S13" s="5">
        <v>17000</v>
      </c>
    </row>
    <row r="14" spans="1:20">
      <c r="A14" t="s">
        <v>323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184</v>
      </c>
      <c r="M14" t="s">
        <v>326</v>
      </c>
      <c r="N14" t="s">
        <v>332</v>
      </c>
      <c r="O14" t="s">
        <v>360</v>
      </c>
      <c r="P14" s="5">
        <v>15407</v>
      </c>
      <c r="R14" s="5">
        <v>15407</v>
      </c>
      <c r="S14" s="5">
        <v>16000</v>
      </c>
    </row>
    <row r="15" spans="1:20">
      <c r="A15" t="s">
        <v>322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169</v>
      </c>
      <c r="M15" t="s">
        <v>326</v>
      </c>
      <c r="N15" t="s">
        <v>332</v>
      </c>
      <c r="O15" t="s">
        <v>361</v>
      </c>
      <c r="P15" s="5">
        <v>10399</v>
      </c>
      <c r="R15" s="5">
        <v>10399</v>
      </c>
      <c r="S15" s="5">
        <v>11000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2073</v>
      </c>
      <c r="C18" s="4" t="s">
        <v>2074</v>
      </c>
      <c r="D18" s="4" t="s">
        <v>2075</v>
      </c>
      <c r="E18" s="4" t="s">
        <v>2076</v>
      </c>
      <c r="F18" s="4" t="s">
        <v>2077</v>
      </c>
      <c r="G18" s="4" t="s">
        <v>2078</v>
      </c>
      <c r="H18" s="4" t="s">
        <v>2079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5365</v>
      </c>
      <c r="R18" s="5">
        <v>5365</v>
      </c>
      <c r="S18" s="5">
        <v>6000</v>
      </c>
    </row>
    <row r="19" spans="1:20">
      <c r="A19" t="s">
        <v>323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372</v>
      </c>
      <c r="M19" t="s">
        <v>344</v>
      </c>
      <c r="N19" t="s">
        <v>374</v>
      </c>
      <c r="O19" t="s">
        <v>373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322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487</v>
      </c>
    </row>
    <row r="23" spans="1:20">
      <c r="B23" s="4" t="s">
        <v>2080</v>
      </c>
      <c r="C23" s="4" t="s">
        <v>2081</v>
      </c>
      <c r="D23" s="4" t="s">
        <v>2082</v>
      </c>
      <c r="E23" s="4" t="s">
        <v>2083</v>
      </c>
      <c r="I23" t="s">
        <v>295</v>
      </c>
      <c r="R23" s="5">
        <v>0</v>
      </c>
      <c r="S23" s="5">
        <v>0</v>
      </c>
    </row>
    <row r="24" spans="1:20">
      <c r="A24" t="s">
        <v>323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295</v>
      </c>
      <c r="P24" s="5">
        <v>1195325</v>
      </c>
      <c r="R24" s="5">
        <v>1154187</v>
      </c>
      <c r="S24" s="5">
        <v>1155000</v>
      </c>
    </row>
    <row r="25" spans="1:20">
      <c r="A25" t="s">
        <v>322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2036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46117</v>
      </c>
      <c r="M26" t="s">
        <v>1820</v>
      </c>
      <c r="P26" t="s">
        <v>2038</v>
      </c>
    </row>
    <row r="27" spans="1:20">
      <c r="G27" s="5">
        <v>1047000</v>
      </c>
      <c r="H27" s="5">
        <v>1016640</v>
      </c>
      <c r="I27" s="6">
        <v>5350</v>
      </c>
      <c r="P27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140000</v>
      </c>
      <c r="C30" t="s">
        <v>399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190000</v>
      </c>
      <c r="C31" t="s">
        <v>322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1830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1832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415</v>
      </c>
      <c r="N36" s="2">
        <v>0</v>
      </c>
      <c r="O36" s="2">
        <v>0</v>
      </c>
      <c r="Q36" t="s">
        <v>1844</v>
      </c>
      <c r="S36" s="2">
        <v>0</v>
      </c>
    </row>
    <row r="37" spans="1:20">
      <c r="B37" t="s">
        <v>322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416</v>
      </c>
      <c r="M37" s="2">
        <v>200000</v>
      </c>
      <c r="N37" s="2">
        <v>200000</v>
      </c>
      <c r="O37" s="2">
        <v>200000</v>
      </c>
      <c r="P37" s="2">
        <v>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295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1847</v>
      </c>
      <c r="S38" s="2">
        <v>20000</v>
      </c>
    </row>
    <row r="39" spans="1:20">
      <c r="B39" t="s">
        <v>1848</v>
      </c>
      <c r="C39" s="2">
        <v>-216640</v>
      </c>
      <c r="D39" s="2">
        <v>45813</v>
      </c>
      <c r="F39" s="2">
        <v>150000</v>
      </c>
      <c r="G39" s="2">
        <v>0</v>
      </c>
      <c r="K39" t="s">
        <v>1849</v>
      </c>
      <c r="Q39" t="s">
        <v>295</v>
      </c>
      <c r="R39" s="2">
        <v>200000</v>
      </c>
      <c r="S39" s="2">
        <v>220000</v>
      </c>
      <c r="T39" s="2">
        <v>20000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200000</v>
      </c>
      <c r="S40" s="2">
        <v>200000</v>
      </c>
      <c r="T40" s="2">
        <v>0</v>
      </c>
    </row>
    <row r="41" spans="1:20">
      <c r="B41" t="s">
        <v>399</v>
      </c>
      <c r="C41" s="2">
        <v>2916370</v>
      </c>
      <c r="D41" s="2">
        <v>2903000</v>
      </c>
      <c r="E41" s="2">
        <v>13370</v>
      </c>
      <c r="F41" t="s">
        <v>1854</v>
      </c>
      <c r="H41" s="2">
        <v>30360</v>
      </c>
      <c r="I41" s="2">
        <v>30360</v>
      </c>
      <c r="J41" t="b">
        <v>1</v>
      </c>
      <c r="Q41" t="s">
        <v>2040</v>
      </c>
    </row>
    <row r="42" spans="1:20">
      <c r="B42" t="s">
        <v>322</v>
      </c>
      <c r="C42" s="2">
        <v>2916370</v>
      </c>
      <c r="D42" s="2">
        <v>2870727</v>
      </c>
      <c r="E42" s="2">
        <v>45643</v>
      </c>
      <c r="F42" t="s">
        <v>1854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>
        <v>46142</v>
      </c>
    </row>
    <row r="45" spans="1:20">
      <c r="B45" t="s">
        <v>397</v>
      </c>
      <c r="E45" t="s">
        <v>1992</v>
      </c>
      <c r="I45" t="s">
        <v>316</v>
      </c>
      <c r="J45" t="s">
        <v>2084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19000</v>
      </c>
    </row>
    <row r="47" spans="1:20">
      <c r="B47" t="s">
        <v>57</v>
      </c>
      <c r="C47" s="2">
        <v>2716370</v>
      </c>
      <c r="E47" s="5">
        <v>1047000</v>
      </c>
      <c r="F47" s="5">
        <v>1047000</v>
      </c>
      <c r="G47" t="b">
        <v>1</v>
      </c>
      <c r="H47" t="s">
        <v>1866</v>
      </c>
      <c r="I47" t="s">
        <v>322</v>
      </c>
      <c r="J47" s="5">
        <v>19350</v>
      </c>
    </row>
    <row r="48" spans="1:20">
      <c r="B48" t="s">
        <v>61</v>
      </c>
      <c r="C48" s="2">
        <v>200000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2916370</v>
      </c>
      <c r="S51" t="s">
        <v>1872</v>
      </c>
    </row>
    <row r="52" spans="2:19">
      <c r="K52" t="s">
        <v>1672</v>
      </c>
      <c r="L52" s="2">
        <v>0</v>
      </c>
      <c r="M52" s="2">
        <v>0</v>
      </c>
      <c r="N52" s="2">
        <v>0</v>
      </c>
      <c r="O52" s="2">
        <v>200000</v>
      </c>
      <c r="Q52" t="s">
        <v>1874</v>
      </c>
      <c r="R52" s="2">
        <v>1154187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1300000</v>
      </c>
      <c r="N53" s="2">
        <v>-1300000</v>
      </c>
      <c r="O53" s="2">
        <v>1400000</v>
      </c>
      <c r="Q53" t="s">
        <v>1877</v>
      </c>
      <c r="R53" s="2">
        <v>1016640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0</v>
      </c>
      <c r="Q54" t="s">
        <v>1883</v>
      </c>
      <c r="R54" s="2">
        <v>9250</v>
      </c>
      <c r="S54" t="s">
        <v>1884</v>
      </c>
    </row>
    <row r="55" spans="2:19">
      <c r="B55" s="11">
        <v>46137</v>
      </c>
      <c r="C55" t="s">
        <v>59</v>
      </c>
      <c r="D55" t="s">
        <v>2085</v>
      </c>
      <c r="E55" s="2">
        <v>232781</v>
      </c>
      <c r="G55" s="2">
        <v>223531</v>
      </c>
      <c r="H55" t="s">
        <v>2086</v>
      </c>
      <c r="I55" s="2">
        <v>9250</v>
      </c>
      <c r="J55" s="2">
        <v>10000</v>
      </c>
      <c r="K55" t="s">
        <v>16</v>
      </c>
      <c r="L55" s="2">
        <v>0</v>
      </c>
      <c r="M55" s="2">
        <v>350000</v>
      </c>
      <c r="N55" s="2">
        <v>-350000</v>
      </c>
      <c r="O55" s="2">
        <v>350000</v>
      </c>
      <c r="Q55" t="s">
        <v>1885</v>
      </c>
      <c r="R55" s="2">
        <v>2180077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490000</v>
      </c>
      <c r="S56" t="s">
        <v>1887</v>
      </c>
    </row>
    <row r="57" spans="2:19">
      <c r="K57" t="s">
        <v>295</v>
      </c>
      <c r="L57" s="2">
        <v>0</v>
      </c>
      <c r="M57" s="2">
        <v>1650000</v>
      </c>
      <c r="N57" s="2">
        <v>-1650000</v>
      </c>
      <c r="O57" s="2">
        <v>1950000</v>
      </c>
      <c r="Q57" t="s">
        <v>1824</v>
      </c>
      <c r="R57" s="2">
        <v>220000</v>
      </c>
      <c r="S57" t="s">
        <v>1888</v>
      </c>
    </row>
    <row r="58" spans="2:19">
      <c r="Q58" t="s">
        <v>1890</v>
      </c>
      <c r="R58" s="2">
        <v>19350</v>
      </c>
      <c r="S58" t="s">
        <v>1891</v>
      </c>
    </row>
    <row r="59" spans="2:19">
      <c r="Q59" t="s">
        <v>1892</v>
      </c>
      <c r="R59" s="2">
        <v>2870727</v>
      </c>
      <c r="S59" t="s">
        <v>1893</v>
      </c>
    </row>
    <row r="60" spans="2:19">
      <c r="Q60" t="s">
        <v>1894</v>
      </c>
      <c r="R60" s="2">
        <v>45643</v>
      </c>
      <c r="S60" t="s">
        <v>1854</v>
      </c>
    </row>
    <row r="61" spans="2:19">
      <c r="Q61" t="s">
        <v>1895</v>
      </c>
      <c r="R61" s="2">
        <v>0</v>
      </c>
      <c r="S61" t="s">
        <v>1896</v>
      </c>
    </row>
    <row r="62" spans="2:19">
      <c r="Q62" t="s">
        <v>1897</v>
      </c>
      <c r="R62" s="2">
        <v>2180077</v>
      </c>
      <c r="S62" t="s">
        <v>1898</v>
      </c>
    </row>
    <row r="63" spans="2:19">
      <c r="Q63" t="s">
        <v>1899</v>
      </c>
      <c r="R63" s="2">
        <v>944667</v>
      </c>
      <c r="S63" t="s">
        <v>2044</v>
      </c>
    </row>
    <row r="64" spans="2:19">
      <c r="Q64" t="s">
        <v>1901</v>
      </c>
      <c r="R64" s="2">
        <v>1950000</v>
      </c>
      <c r="S64" t="s">
        <v>1902</v>
      </c>
    </row>
    <row r="65" spans="2:16">
      <c r="B65" t="s">
        <v>295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1903</v>
      </c>
    </row>
    <row r="67" spans="2:16">
      <c r="B67" t="s">
        <v>1904</v>
      </c>
    </row>
    <row r="68" spans="2:16">
      <c r="B68" t="s">
        <v>2087</v>
      </c>
    </row>
    <row r="70" spans="2:16">
      <c r="B70" t="s">
        <v>2088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1207545</v>
      </c>
      <c r="F72" t="s">
        <v>1911</v>
      </c>
      <c r="J72" t="s">
        <v>1912</v>
      </c>
      <c r="L72" s="2">
        <v>2916370</v>
      </c>
      <c r="M72" s="2">
        <v>2916370</v>
      </c>
      <c r="N72" s="2">
        <v>0</v>
      </c>
      <c r="O72" t="s">
        <v>1913</v>
      </c>
      <c r="P72" t="s">
        <v>2089</v>
      </c>
    </row>
    <row r="73" spans="2:16">
      <c r="B73" t="s">
        <v>606</v>
      </c>
      <c r="E73" s="2">
        <v>932480</v>
      </c>
      <c r="F73" t="s">
        <v>1915</v>
      </c>
      <c r="J73" t="s">
        <v>306</v>
      </c>
      <c r="L73" s="2">
        <v>1154187</v>
      </c>
      <c r="M73" s="2">
        <v>1207545</v>
      </c>
      <c r="N73" s="2">
        <v>-53358</v>
      </c>
      <c r="O73" t="s">
        <v>2001</v>
      </c>
      <c r="P73" t="s">
        <v>2090</v>
      </c>
    </row>
    <row r="74" spans="2:16">
      <c r="B74" t="s">
        <v>609</v>
      </c>
      <c r="E74" s="2">
        <v>125800</v>
      </c>
      <c r="F74" t="s">
        <v>1918</v>
      </c>
      <c r="J74" t="s">
        <v>1919</v>
      </c>
      <c r="L74" s="2">
        <v>1016640</v>
      </c>
      <c r="M74" s="2">
        <v>1078080</v>
      </c>
      <c r="N74" s="2">
        <v>-61440</v>
      </c>
      <c r="O74" t="s">
        <v>2001</v>
      </c>
      <c r="P74" t="s">
        <v>2091</v>
      </c>
    </row>
    <row r="75" spans="2:16">
      <c r="B75" t="s">
        <v>1921</v>
      </c>
      <c r="E75" s="2">
        <v>-21000</v>
      </c>
      <c r="F75" t="s">
        <v>1922</v>
      </c>
      <c r="J75" t="s">
        <v>1923</v>
      </c>
      <c r="L75" s="2">
        <v>0</v>
      </c>
      <c r="M75" s="2">
        <v>0</v>
      </c>
      <c r="N75" s="2">
        <v>0</v>
      </c>
      <c r="O75" t="s">
        <v>1913</v>
      </c>
      <c r="P75" t="s">
        <v>1914</v>
      </c>
    </row>
    <row r="76" spans="2:16">
      <c r="B76" t="s">
        <v>614</v>
      </c>
      <c r="E76" s="2">
        <v>19800</v>
      </c>
      <c r="F76" t="s">
        <v>1925</v>
      </c>
      <c r="J76" t="s">
        <v>1926</v>
      </c>
      <c r="K76" s="2">
        <v>1650</v>
      </c>
      <c r="L76" s="2">
        <v>21000</v>
      </c>
      <c r="M76" s="2">
        <v>21000</v>
      </c>
      <c r="N76" s="2">
        <v>0</v>
      </c>
      <c r="O76" t="s">
        <v>1913</v>
      </c>
      <c r="P76" t="s">
        <v>2092</v>
      </c>
    </row>
    <row r="77" spans="2:16">
      <c r="B77" t="s">
        <v>1928</v>
      </c>
      <c r="E77" s="2">
        <v>0</v>
      </c>
      <c r="F77" t="s">
        <v>1929</v>
      </c>
      <c r="J77" t="s">
        <v>1930</v>
      </c>
      <c r="L77" s="2">
        <v>490000</v>
      </c>
      <c r="M77" s="2">
        <v>490000</v>
      </c>
      <c r="N77" s="2">
        <v>0</v>
      </c>
      <c r="O77" t="s">
        <v>1913</v>
      </c>
      <c r="P77" t="s">
        <v>1914</v>
      </c>
    </row>
    <row r="78" spans="2:16">
      <c r="B78" t="s">
        <v>617</v>
      </c>
      <c r="E78" s="2">
        <v>0</v>
      </c>
      <c r="F78" t="s">
        <v>1932</v>
      </c>
      <c r="J78" t="s">
        <v>1933</v>
      </c>
      <c r="L78" s="2">
        <v>20000</v>
      </c>
      <c r="M78" s="2">
        <v>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9250</v>
      </c>
      <c r="M79" s="2">
        <v>9250</v>
      </c>
      <c r="N79" s="2">
        <v>0</v>
      </c>
      <c r="O79" t="s">
        <v>1913</v>
      </c>
      <c r="P79" t="s">
        <v>2093</v>
      </c>
    </row>
    <row r="80" spans="2:16">
      <c r="B80" t="s">
        <v>1937</v>
      </c>
      <c r="E80" s="2">
        <v>9250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0</v>
      </c>
      <c r="F82" t="s">
        <v>1944</v>
      </c>
      <c r="J82" t="s">
        <v>2094</v>
      </c>
      <c r="N82" s="2">
        <v>43000</v>
      </c>
    </row>
    <row r="83" spans="2:15">
      <c r="B83" t="s">
        <v>1946</v>
      </c>
      <c r="E83" s="2">
        <v>0</v>
      </c>
      <c r="F83" t="s">
        <v>1947</v>
      </c>
      <c r="J83" t="s">
        <v>2095</v>
      </c>
      <c r="N83" s="2">
        <v>0</v>
      </c>
    </row>
    <row r="84" spans="2:15">
      <c r="B84" t="s">
        <v>635</v>
      </c>
      <c r="E84" s="2">
        <v>124691</v>
      </c>
      <c r="F84" t="s">
        <v>1949</v>
      </c>
      <c r="J84" t="s">
        <v>1950</v>
      </c>
      <c r="N84" s="2">
        <v>43000</v>
      </c>
      <c r="O84" t="s">
        <v>2096</v>
      </c>
    </row>
    <row r="85" spans="2:15">
      <c r="B85" t="s">
        <v>60</v>
      </c>
      <c r="E85" s="2">
        <v>0</v>
      </c>
      <c r="F85" t="s">
        <v>1952</v>
      </c>
    </row>
    <row r="86" spans="2:15">
      <c r="B86" t="s">
        <v>638</v>
      </c>
      <c r="E86" s="2">
        <v>0</v>
      </c>
      <c r="F86" t="s">
        <v>1953</v>
      </c>
    </row>
    <row r="87" spans="2:15">
      <c r="B87" t="s">
        <v>1954</v>
      </c>
      <c r="E87" s="2">
        <v>2398566</v>
      </c>
      <c r="F87" t="s">
        <v>1955</v>
      </c>
    </row>
    <row r="88" spans="2:15">
      <c r="B88" t="s">
        <v>1956</v>
      </c>
      <c r="E88" s="2">
        <v>2273875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46143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F3" s="4" t="s">
        <v>2097</v>
      </c>
      <c r="G3" s="4" t="s">
        <v>2098</v>
      </c>
      <c r="H3" s="4" t="s">
        <v>2099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F4" s="5">
        <v>21000</v>
      </c>
      <c r="G4" s="5">
        <v>38000</v>
      </c>
      <c r="H4" s="5">
        <v>22000</v>
      </c>
      <c r="I4" s="5">
        <v>81000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F5" s="5">
        <v>19700</v>
      </c>
      <c r="G5" s="5">
        <v>36120</v>
      </c>
      <c r="H5" s="5">
        <v>21600</v>
      </c>
      <c r="I5" s="5">
        <v>77420</v>
      </c>
      <c r="K5" t="s">
        <v>328</v>
      </c>
      <c r="L5" s="4" t="s">
        <v>492</v>
      </c>
      <c r="M5" t="s">
        <v>330</v>
      </c>
      <c r="N5" t="s">
        <v>332</v>
      </c>
      <c r="O5" t="s">
        <v>331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492</v>
      </c>
      <c r="M6" t="s">
        <v>330</v>
      </c>
      <c r="N6" t="s">
        <v>332</v>
      </c>
      <c r="O6" t="s">
        <v>334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2100</v>
      </c>
      <c r="C8" s="4" t="s">
        <v>2101</v>
      </c>
      <c r="D8" s="4" t="s">
        <v>2102</v>
      </c>
      <c r="E8" s="4" t="s">
        <v>2103</v>
      </c>
      <c r="F8" s="4" t="s">
        <v>2104</v>
      </c>
      <c r="G8" s="4" t="s">
        <v>2105</v>
      </c>
      <c r="H8" s="4" t="s">
        <v>2106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323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493</v>
      </c>
      <c r="M11" t="s">
        <v>352</v>
      </c>
      <c r="N11" t="s">
        <v>332</v>
      </c>
      <c r="O11" t="s">
        <v>353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494</v>
      </c>
      <c r="M12" t="s">
        <v>355</v>
      </c>
      <c r="N12" t="s">
        <v>332</v>
      </c>
      <c r="O12" t="s">
        <v>356</v>
      </c>
      <c r="P12" s="5">
        <v>34170</v>
      </c>
      <c r="R12" s="5">
        <v>34170</v>
      </c>
      <c r="S12" s="5">
        <v>35000</v>
      </c>
    </row>
    <row r="13" spans="1:20">
      <c r="B13" s="4" t="s">
        <v>2107</v>
      </c>
      <c r="C13" s="4" t="s">
        <v>2108</v>
      </c>
      <c r="D13" s="4" t="s">
        <v>2109</v>
      </c>
      <c r="E13" s="4" t="s">
        <v>2110</v>
      </c>
      <c r="F13" s="4" t="s">
        <v>2111</v>
      </c>
      <c r="G13" s="4" t="s">
        <v>2112</v>
      </c>
      <c r="H13" s="4" t="s">
        <v>2113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11795</v>
      </c>
      <c r="R13" s="5">
        <v>11795</v>
      </c>
      <c r="S13" s="5">
        <v>12000</v>
      </c>
    </row>
    <row r="14" spans="1:20">
      <c r="A14" t="s">
        <v>323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184</v>
      </c>
      <c r="M14" t="s">
        <v>326</v>
      </c>
      <c r="N14" t="s">
        <v>332</v>
      </c>
      <c r="O14" t="s">
        <v>360</v>
      </c>
      <c r="P14" s="5">
        <v>15214</v>
      </c>
      <c r="R14" s="5">
        <v>15214</v>
      </c>
      <c r="S14" s="5">
        <v>16000</v>
      </c>
    </row>
    <row r="15" spans="1:20">
      <c r="A15" t="s">
        <v>322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169</v>
      </c>
      <c r="M15" t="s">
        <v>326</v>
      </c>
      <c r="N15" t="s">
        <v>332</v>
      </c>
      <c r="O15" t="s">
        <v>361</v>
      </c>
      <c r="P15" s="5">
        <v>11795</v>
      </c>
      <c r="R15" s="5">
        <v>11795</v>
      </c>
      <c r="S15" s="5">
        <v>12000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2114</v>
      </c>
      <c r="C18" s="4" t="s">
        <v>2115</v>
      </c>
      <c r="D18" s="4" t="s">
        <v>2116</v>
      </c>
      <c r="E18" s="4" t="s">
        <v>2117</v>
      </c>
      <c r="F18" s="4" t="s">
        <v>2118</v>
      </c>
      <c r="G18" s="4" t="s">
        <v>2119</v>
      </c>
      <c r="H18" s="4" t="s">
        <v>2120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10350</v>
      </c>
      <c r="R18" s="5">
        <v>10350</v>
      </c>
      <c r="S18" s="5">
        <v>11000</v>
      </c>
    </row>
    <row r="19" spans="1:20">
      <c r="A19" t="s">
        <v>323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372</v>
      </c>
      <c r="M19" t="s">
        <v>344</v>
      </c>
      <c r="N19" t="s">
        <v>374</v>
      </c>
      <c r="O19" t="s">
        <v>373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322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495</v>
      </c>
    </row>
    <row r="23" spans="1:20">
      <c r="B23" s="4" t="s">
        <v>2121</v>
      </c>
      <c r="C23" s="4" t="s">
        <v>2122</v>
      </c>
      <c r="D23" s="4" t="s">
        <v>2123</v>
      </c>
      <c r="E23" s="4" t="s">
        <v>2124</v>
      </c>
      <c r="F23" s="4" t="s">
        <v>2125</v>
      </c>
      <c r="G23" s="4" t="s">
        <v>2126</v>
      </c>
      <c r="H23" s="4" t="s">
        <v>2127</v>
      </c>
      <c r="I23" t="s">
        <v>295</v>
      </c>
      <c r="L23" t="s">
        <v>496</v>
      </c>
      <c r="M23" t="s">
        <v>330</v>
      </c>
      <c r="N23" t="s">
        <v>76</v>
      </c>
      <c r="O23" t="s">
        <v>497</v>
      </c>
      <c r="P23" s="5">
        <v>12020</v>
      </c>
      <c r="R23" s="5">
        <v>12020</v>
      </c>
      <c r="S23" s="5">
        <v>13000</v>
      </c>
      <c r="T23" t="s">
        <v>498</v>
      </c>
    </row>
    <row r="24" spans="1:20">
      <c r="A24" t="s">
        <v>323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295</v>
      </c>
      <c r="P24" s="5">
        <v>1218310</v>
      </c>
      <c r="R24" s="5">
        <v>1179404</v>
      </c>
      <c r="S24" s="5">
        <v>1180000</v>
      </c>
    </row>
    <row r="25" spans="1:20">
      <c r="A25" t="s">
        <v>322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2036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46172</v>
      </c>
      <c r="M26" t="s">
        <v>1820</v>
      </c>
      <c r="P26" t="s">
        <v>2038</v>
      </c>
    </row>
    <row r="27" spans="1:20">
      <c r="G27" s="5">
        <v>1197000</v>
      </c>
      <c r="H27" s="5">
        <v>1152815</v>
      </c>
      <c r="I27" s="6">
        <v>6970</v>
      </c>
      <c r="P27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80000</v>
      </c>
      <c r="C30" t="s">
        <v>399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180000</v>
      </c>
      <c r="C31" t="s">
        <v>322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1830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1832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415</v>
      </c>
      <c r="N36" s="2">
        <v>0</v>
      </c>
      <c r="O36" s="2">
        <v>0</v>
      </c>
      <c r="Q36" t="s">
        <v>1844</v>
      </c>
      <c r="S36" s="2">
        <v>0</v>
      </c>
    </row>
    <row r="37" spans="1:20">
      <c r="B37" t="s">
        <v>322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416</v>
      </c>
      <c r="M37" s="2">
        <v>200000</v>
      </c>
      <c r="N37" s="2">
        <v>200000</v>
      </c>
      <c r="O37" s="2">
        <v>200000</v>
      </c>
      <c r="P37" s="2">
        <v>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295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1847</v>
      </c>
      <c r="S38" s="2">
        <v>20000</v>
      </c>
    </row>
    <row r="39" spans="1:20">
      <c r="B39" t="s">
        <v>1848</v>
      </c>
      <c r="C39" s="2">
        <v>-352815</v>
      </c>
      <c r="D39" s="2">
        <v>20596</v>
      </c>
      <c r="F39" s="2">
        <v>150000</v>
      </c>
      <c r="G39" s="2">
        <v>50000</v>
      </c>
      <c r="K39" t="s">
        <v>1849</v>
      </c>
      <c r="Q39" t="s">
        <v>295</v>
      </c>
      <c r="R39" s="2">
        <v>250000</v>
      </c>
      <c r="S39" s="2">
        <v>220000</v>
      </c>
      <c r="T39" s="2">
        <v>-30000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250000</v>
      </c>
      <c r="S40" s="2">
        <v>200000</v>
      </c>
      <c r="T40" s="2">
        <v>-50000</v>
      </c>
    </row>
    <row r="41" spans="1:20">
      <c r="B41" t="s">
        <v>399</v>
      </c>
      <c r="C41" s="2">
        <v>2835740</v>
      </c>
      <c r="D41" s="2">
        <v>3040000</v>
      </c>
      <c r="E41" s="2">
        <v>-204260</v>
      </c>
      <c r="F41" t="s">
        <v>2128</v>
      </c>
      <c r="H41" s="2">
        <v>44185</v>
      </c>
      <c r="I41" s="2">
        <v>44185</v>
      </c>
      <c r="J41" t="b">
        <v>1</v>
      </c>
      <c r="Q41" t="s">
        <v>2040</v>
      </c>
    </row>
    <row r="42" spans="1:20">
      <c r="B42" t="s">
        <v>322</v>
      </c>
      <c r="C42" s="2">
        <v>2835740</v>
      </c>
      <c r="D42" s="2">
        <v>2995119</v>
      </c>
      <c r="E42" s="2">
        <v>-159379</v>
      </c>
      <c r="F42" t="s">
        <v>2128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>
        <v>46162</v>
      </c>
      <c r="K44" t="s">
        <v>2123</v>
      </c>
    </row>
    <row r="45" spans="1:20">
      <c r="B45" t="s">
        <v>397</v>
      </c>
      <c r="E45" t="s">
        <v>1992</v>
      </c>
      <c r="I45" t="s">
        <v>316</v>
      </c>
      <c r="J45" t="s">
        <v>1003</v>
      </c>
      <c r="K45" t="s">
        <v>1102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34000</v>
      </c>
      <c r="K46" s="5">
        <v>13000</v>
      </c>
    </row>
    <row r="47" spans="1:20">
      <c r="B47" t="s">
        <v>57</v>
      </c>
      <c r="C47" s="2">
        <v>2785740</v>
      </c>
      <c r="E47" s="5">
        <v>1197000</v>
      </c>
      <c r="F47" s="5">
        <v>1197000</v>
      </c>
      <c r="G47" t="b">
        <v>1</v>
      </c>
      <c r="H47" t="s">
        <v>1866</v>
      </c>
      <c r="I47" t="s">
        <v>322</v>
      </c>
      <c r="J47" s="5">
        <v>34100</v>
      </c>
      <c r="K47" s="5">
        <v>13000</v>
      </c>
    </row>
    <row r="48" spans="1:20">
      <c r="B48" t="s">
        <v>61</v>
      </c>
      <c r="C48" s="2">
        <v>50000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2835740</v>
      </c>
      <c r="S51" t="s">
        <v>1872</v>
      </c>
    </row>
    <row r="52" spans="2:19">
      <c r="K52" t="s">
        <v>1672</v>
      </c>
      <c r="L52" s="2">
        <v>148900</v>
      </c>
      <c r="M52" s="2">
        <v>200000</v>
      </c>
      <c r="N52" s="2">
        <v>-51100</v>
      </c>
      <c r="O52" s="2">
        <v>50000</v>
      </c>
      <c r="P52" t="s">
        <v>87</v>
      </c>
      <c r="Q52" t="s">
        <v>1874</v>
      </c>
      <c r="R52" s="2">
        <v>1179404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0</v>
      </c>
      <c r="N53" s="2">
        <v>0</v>
      </c>
      <c r="O53" s="2">
        <v>1500000</v>
      </c>
      <c r="Q53" t="s">
        <v>1877</v>
      </c>
      <c r="R53" s="2">
        <v>1152815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50000</v>
      </c>
      <c r="Q54" t="s">
        <v>1883</v>
      </c>
      <c r="R54" s="2">
        <v>0</v>
      </c>
      <c r="S54" t="s">
        <v>1884</v>
      </c>
    </row>
    <row r="55" spans="2:19">
      <c r="K55" t="s">
        <v>16</v>
      </c>
      <c r="L55" s="2">
        <v>313980</v>
      </c>
      <c r="M55" s="2">
        <v>0</v>
      </c>
      <c r="N55" s="2">
        <v>313980</v>
      </c>
      <c r="O55" s="2">
        <v>0</v>
      </c>
      <c r="P55" t="s">
        <v>2129</v>
      </c>
      <c r="Q55" t="s">
        <v>1885</v>
      </c>
      <c r="R55" s="2">
        <v>2332219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490000</v>
      </c>
      <c r="S56" t="s">
        <v>1887</v>
      </c>
    </row>
    <row r="57" spans="2:19">
      <c r="K57" t="s">
        <v>295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1824</v>
      </c>
      <c r="R57" s="2">
        <v>220000</v>
      </c>
      <c r="S57" t="s">
        <v>1888</v>
      </c>
    </row>
    <row r="58" spans="2:19">
      <c r="Q58" t="s">
        <v>1890</v>
      </c>
      <c r="R58" s="2">
        <v>47100</v>
      </c>
      <c r="S58" t="s">
        <v>1891</v>
      </c>
    </row>
    <row r="59" spans="2:19">
      <c r="Q59" t="s">
        <v>1892</v>
      </c>
      <c r="R59" s="2">
        <v>2995119</v>
      </c>
      <c r="S59" t="s">
        <v>1893</v>
      </c>
    </row>
    <row r="60" spans="2:19">
      <c r="Q60" t="s">
        <v>1894</v>
      </c>
      <c r="R60" s="2">
        <v>-159379</v>
      </c>
      <c r="S60" t="s">
        <v>2128</v>
      </c>
    </row>
    <row r="61" spans="2:19">
      <c r="Q61" t="s">
        <v>1895</v>
      </c>
      <c r="R61" s="2">
        <v>462880</v>
      </c>
      <c r="S61" t="s">
        <v>1896</v>
      </c>
    </row>
    <row r="62" spans="2:19">
      <c r="Q62" t="s">
        <v>1897</v>
      </c>
      <c r="R62" s="2">
        <v>2795099</v>
      </c>
      <c r="S62" t="s">
        <v>1898</v>
      </c>
    </row>
    <row r="63" spans="2:19">
      <c r="Q63" t="s">
        <v>1899</v>
      </c>
      <c r="R63" s="2">
        <v>1062089</v>
      </c>
      <c r="S63" t="s">
        <v>2044</v>
      </c>
    </row>
    <row r="64" spans="2:19">
      <c r="Q64" t="s">
        <v>1901</v>
      </c>
      <c r="R64" s="2">
        <v>1600000</v>
      </c>
      <c r="S64" t="s">
        <v>1902</v>
      </c>
    </row>
    <row r="65" spans="2:16">
      <c r="B65" t="s">
        <v>295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1903</v>
      </c>
    </row>
    <row r="67" spans="2:16">
      <c r="B67" t="s">
        <v>1904</v>
      </c>
    </row>
    <row r="68" spans="2:16">
      <c r="B68" t="s">
        <v>2130</v>
      </c>
    </row>
    <row r="70" spans="2:16">
      <c r="B70" t="s">
        <v>2131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1182405</v>
      </c>
      <c r="F72" t="s">
        <v>1911</v>
      </c>
      <c r="J72" t="s">
        <v>1912</v>
      </c>
      <c r="L72" s="2">
        <v>2835740</v>
      </c>
      <c r="M72" s="2">
        <v>2835740</v>
      </c>
      <c r="N72" s="2">
        <v>0</v>
      </c>
      <c r="O72" t="s">
        <v>1913</v>
      </c>
      <c r="P72" t="s">
        <v>2132</v>
      </c>
    </row>
    <row r="73" spans="2:16">
      <c r="B73" t="s">
        <v>606</v>
      </c>
      <c r="E73" s="2">
        <v>802005</v>
      </c>
      <c r="F73" t="s">
        <v>1915</v>
      </c>
      <c r="J73" t="s">
        <v>306</v>
      </c>
      <c r="L73" s="2">
        <v>1179404</v>
      </c>
      <c r="M73" s="2">
        <v>1182405</v>
      </c>
      <c r="N73" s="2">
        <v>-3001</v>
      </c>
      <c r="O73" t="s">
        <v>1916</v>
      </c>
      <c r="P73" t="s">
        <v>2133</v>
      </c>
    </row>
    <row r="74" spans="2:16">
      <c r="B74" t="s">
        <v>609</v>
      </c>
      <c r="E74" s="2">
        <v>155000</v>
      </c>
      <c r="F74" t="s">
        <v>1918</v>
      </c>
      <c r="J74" t="s">
        <v>1919</v>
      </c>
      <c r="L74" s="2">
        <v>1152815</v>
      </c>
      <c r="M74" s="2">
        <v>1037205</v>
      </c>
      <c r="N74" s="2">
        <v>115610</v>
      </c>
      <c r="O74" t="s">
        <v>2001</v>
      </c>
      <c r="P74" t="s">
        <v>2134</v>
      </c>
    </row>
    <row r="75" spans="2:16">
      <c r="B75" t="s">
        <v>1921</v>
      </c>
      <c r="E75" s="2">
        <v>-21000</v>
      </c>
      <c r="F75" t="s">
        <v>1922</v>
      </c>
      <c r="J75" t="s">
        <v>1923</v>
      </c>
      <c r="L75" s="2">
        <v>47100</v>
      </c>
      <c r="M75" s="2">
        <v>47300</v>
      </c>
      <c r="N75" s="2">
        <v>-200</v>
      </c>
      <c r="O75" t="s">
        <v>1913</v>
      </c>
      <c r="P75" t="s">
        <v>2135</v>
      </c>
    </row>
    <row r="76" spans="2:16">
      <c r="B76" t="s">
        <v>614</v>
      </c>
      <c r="E76" s="2">
        <v>132900</v>
      </c>
      <c r="F76" t="s">
        <v>1925</v>
      </c>
      <c r="J76" t="s">
        <v>1926</v>
      </c>
      <c r="K76" s="2">
        <v>1650</v>
      </c>
      <c r="L76" s="2">
        <v>1650</v>
      </c>
      <c r="M76" s="2">
        <v>21000</v>
      </c>
      <c r="N76" s="2">
        <v>-19350</v>
      </c>
      <c r="O76" t="s">
        <v>1916</v>
      </c>
      <c r="P76" t="s">
        <v>2136</v>
      </c>
    </row>
    <row r="77" spans="2:16">
      <c r="B77" t="s">
        <v>1928</v>
      </c>
      <c r="E77" s="2">
        <v>0</v>
      </c>
      <c r="F77" t="s">
        <v>1929</v>
      </c>
      <c r="J77" t="s">
        <v>1930</v>
      </c>
      <c r="L77" s="2">
        <v>490000</v>
      </c>
      <c r="M77" s="2">
        <v>490000</v>
      </c>
      <c r="N77" s="2">
        <v>0</v>
      </c>
      <c r="O77" t="s">
        <v>1913</v>
      </c>
      <c r="P77" t="s">
        <v>1914</v>
      </c>
    </row>
    <row r="78" spans="2:16">
      <c r="B78" t="s">
        <v>617</v>
      </c>
      <c r="E78" s="2">
        <v>215860</v>
      </c>
      <c r="F78" t="s">
        <v>1932</v>
      </c>
      <c r="J78" t="s">
        <v>1933</v>
      </c>
      <c r="L78" s="2">
        <v>20000</v>
      </c>
      <c r="M78" s="2">
        <v>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0</v>
      </c>
      <c r="M79" s="2">
        <v>215860</v>
      </c>
      <c r="N79" s="2">
        <v>-215860</v>
      </c>
      <c r="O79" t="s">
        <v>2001</v>
      </c>
      <c r="P79" t="s">
        <v>2137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0</v>
      </c>
      <c r="F82" t="s">
        <v>1944</v>
      </c>
      <c r="J82" t="s">
        <v>2052</v>
      </c>
      <c r="N82" s="2">
        <v>0</v>
      </c>
    </row>
    <row r="83" spans="2:15">
      <c r="B83" t="s">
        <v>1946</v>
      </c>
      <c r="E83" s="2">
        <v>0</v>
      </c>
      <c r="F83" t="s">
        <v>1947</v>
      </c>
      <c r="J83" t="s">
        <v>1950</v>
      </c>
      <c r="N83" s="2">
        <v>0</v>
      </c>
      <c r="O83" t="s">
        <v>2138</v>
      </c>
    </row>
    <row r="84" spans="2:15">
      <c r="B84" t="s">
        <v>635</v>
      </c>
      <c r="E84" s="2">
        <v>112674</v>
      </c>
      <c r="F84" t="s">
        <v>1949</v>
      </c>
    </row>
    <row r="85" spans="2:15">
      <c r="B85" t="s">
        <v>60</v>
      </c>
      <c r="E85" s="2">
        <v>313980</v>
      </c>
      <c r="F85" t="s">
        <v>1952</v>
      </c>
    </row>
    <row r="86" spans="2:15">
      <c r="B86" t="s">
        <v>638</v>
      </c>
      <c r="E86" s="2">
        <v>0</v>
      </c>
      <c r="F86" t="s">
        <v>1953</v>
      </c>
    </row>
    <row r="87" spans="2:15">
      <c r="B87" t="s">
        <v>1954</v>
      </c>
      <c r="E87" s="2">
        <v>2893824</v>
      </c>
      <c r="F87" t="s">
        <v>1955</v>
      </c>
    </row>
    <row r="88" spans="2:15">
      <c r="B88" t="s">
        <v>1956</v>
      </c>
      <c r="E88" s="2">
        <v>2467170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46174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B3" s="4" t="s">
        <v>2139</v>
      </c>
      <c r="C3" s="4" t="s">
        <v>2140</v>
      </c>
      <c r="D3" s="4" t="s">
        <v>2141</v>
      </c>
      <c r="E3" s="4" t="s">
        <v>2142</v>
      </c>
      <c r="F3" s="4" t="s">
        <v>2143</v>
      </c>
      <c r="G3" s="4" t="s">
        <v>2144</v>
      </c>
      <c r="H3" s="4" t="s">
        <v>2145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328</v>
      </c>
      <c r="L5" s="4" t="s">
        <v>503</v>
      </c>
      <c r="M5" t="s">
        <v>330</v>
      </c>
      <c r="N5" t="s">
        <v>332</v>
      </c>
      <c r="O5" t="s">
        <v>331</v>
      </c>
      <c r="P5" s="5">
        <v>148870</v>
      </c>
      <c r="R5" s="5">
        <v>148870</v>
      </c>
      <c r="S5" s="5">
        <v>149000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503</v>
      </c>
      <c r="M6" t="s">
        <v>330</v>
      </c>
      <c r="N6" t="s">
        <v>332</v>
      </c>
      <c r="O6" t="s">
        <v>334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138056</v>
      </c>
      <c r="R7" s="5">
        <v>138056</v>
      </c>
      <c r="S7" s="5">
        <v>139000</v>
      </c>
    </row>
    <row r="8" spans="1:20">
      <c r="B8" s="4" t="s">
        <v>2146</v>
      </c>
      <c r="C8" s="4" t="s">
        <v>2147</v>
      </c>
      <c r="D8" s="4" t="s">
        <v>2148</v>
      </c>
      <c r="E8" s="4" t="s">
        <v>2149</v>
      </c>
      <c r="F8" s="4" t="s">
        <v>2150</v>
      </c>
      <c r="G8" s="4" t="s">
        <v>2151</v>
      </c>
      <c r="H8" s="4" t="s">
        <v>2152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48620</v>
      </c>
      <c r="R8" s="5">
        <v>48620</v>
      </c>
      <c r="S8" s="5">
        <v>49000</v>
      </c>
    </row>
    <row r="9" spans="1:20">
      <c r="A9" t="s">
        <v>323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R10" s="5">
        <v>16500</v>
      </c>
      <c r="S10" s="5">
        <v>17000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504</v>
      </c>
      <c r="M11" t="s">
        <v>352</v>
      </c>
      <c r="N11" t="s">
        <v>332</v>
      </c>
      <c r="O11" t="s">
        <v>353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505</v>
      </c>
      <c r="M12" t="s">
        <v>355</v>
      </c>
      <c r="N12" t="s">
        <v>332</v>
      </c>
      <c r="O12" t="s">
        <v>356</v>
      </c>
      <c r="R12" s="5">
        <v>0</v>
      </c>
      <c r="S12" s="5">
        <v>0</v>
      </c>
    </row>
    <row r="13" spans="1:20">
      <c r="B13" s="4" t="s">
        <v>2153</v>
      </c>
      <c r="C13" s="4" t="s">
        <v>2154</v>
      </c>
      <c r="D13" s="4" t="s">
        <v>2155</v>
      </c>
      <c r="E13" s="4" t="s">
        <v>2156</v>
      </c>
      <c r="F13" s="4" t="s">
        <v>2157</v>
      </c>
      <c r="G13" s="4" t="s">
        <v>2158</v>
      </c>
      <c r="H13" s="4" t="s">
        <v>2159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18295</v>
      </c>
      <c r="R13" s="5">
        <v>18295</v>
      </c>
      <c r="S13" s="5">
        <v>19000</v>
      </c>
    </row>
    <row r="14" spans="1:20">
      <c r="A14" t="s">
        <v>323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184</v>
      </c>
      <c r="M14" t="s">
        <v>326</v>
      </c>
      <c r="N14" t="s">
        <v>332</v>
      </c>
      <c r="O14" t="s">
        <v>360</v>
      </c>
      <c r="P14" s="5">
        <v>18384</v>
      </c>
      <c r="R14" s="5">
        <v>18384</v>
      </c>
      <c r="S14" s="5">
        <v>19000</v>
      </c>
    </row>
    <row r="15" spans="1:20">
      <c r="A15" t="s">
        <v>322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169</v>
      </c>
      <c r="M15" t="s">
        <v>326</v>
      </c>
      <c r="N15" t="s">
        <v>332</v>
      </c>
      <c r="O15" t="s">
        <v>361</v>
      </c>
      <c r="P15" s="5">
        <v>8741</v>
      </c>
      <c r="R15" s="5">
        <v>8741</v>
      </c>
      <c r="S15" s="5">
        <v>9000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2160</v>
      </c>
      <c r="C18" s="4" t="s">
        <v>2161</v>
      </c>
      <c r="D18" s="4" t="s">
        <v>2162</v>
      </c>
      <c r="E18" s="4" t="s">
        <v>2163</v>
      </c>
      <c r="F18" s="4" t="s">
        <v>2164</v>
      </c>
      <c r="G18" s="4" t="s">
        <v>2165</v>
      </c>
      <c r="H18" s="4" t="s">
        <v>2166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10045</v>
      </c>
      <c r="R18" s="5">
        <v>10045</v>
      </c>
      <c r="S18" s="5">
        <v>11000</v>
      </c>
    </row>
    <row r="19" spans="1:20">
      <c r="A19" t="s">
        <v>323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372</v>
      </c>
      <c r="M19" t="s">
        <v>344</v>
      </c>
      <c r="N19" t="s">
        <v>374</v>
      </c>
      <c r="O19" t="s">
        <v>373</v>
      </c>
      <c r="P19" s="5">
        <v>7989</v>
      </c>
      <c r="R19" s="5">
        <v>7989</v>
      </c>
      <c r="S19" s="5">
        <v>8000</v>
      </c>
    </row>
    <row r="20" spans="1:20">
      <c r="A20" t="s">
        <v>322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506</v>
      </c>
    </row>
    <row r="23" spans="1:20">
      <c r="B23" s="4" t="s">
        <v>2167</v>
      </c>
      <c r="C23" s="4" t="s">
        <v>2168</v>
      </c>
      <c r="I23" t="s">
        <v>295</v>
      </c>
      <c r="L23" t="s">
        <v>496</v>
      </c>
      <c r="M23" t="s">
        <v>330</v>
      </c>
      <c r="N23" t="s">
        <v>76</v>
      </c>
      <c r="O23" t="s">
        <v>497</v>
      </c>
      <c r="P23" s="5">
        <v>10200</v>
      </c>
      <c r="R23" s="5">
        <v>10200</v>
      </c>
      <c r="S23" s="5">
        <v>11000</v>
      </c>
      <c r="T23" t="s">
        <v>507</v>
      </c>
    </row>
    <row r="24" spans="1:20">
      <c r="A24" t="s">
        <v>323</v>
      </c>
      <c r="B24" s="5">
        <v>51000</v>
      </c>
      <c r="C24" s="5">
        <v>38000</v>
      </c>
      <c r="I24" s="7">
        <v>89000</v>
      </c>
      <c r="K24" t="s">
        <v>295</v>
      </c>
      <c r="P24" s="5">
        <v>1162900</v>
      </c>
      <c r="R24" s="5">
        <v>1151446</v>
      </c>
      <c r="S24" s="5">
        <v>1152000</v>
      </c>
    </row>
    <row r="25" spans="1:20">
      <c r="A25" t="s">
        <v>322</v>
      </c>
      <c r="B25" s="5">
        <v>47500</v>
      </c>
      <c r="C25" s="5">
        <v>36660</v>
      </c>
      <c r="I25" s="7">
        <v>84160</v>
      </c>
      <c r="P25" t="s">
        <v>2036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46203</v>
      </c>
      <c r="M26" t="s">
        <v>1820</v>
      </c>
      <c r="P26" t="s">
        <v>2038</v>
      </c>
    </row>
    <row r="27" spans="1:20">
      <c r="G27" s="5">
        <v>1481000</v>
      </c>
      <c r="H27" s="5">
        <v>1441255</v>
      </c>
      <c r="I27" s="6">
        <v>4840</v>
      </c>
      <c r="P27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80000</v>
      </c>
      <c r="C30" t="s">
        <v>399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180000</v>
      </c>
      <c r="C31" t="s">
        <v>322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1830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1832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415</v>
      </c>
      <c r="N36" s="2">
        <v>300000</v>
      </c>
      <c r="O36" s="2">
        <v>300000</v>
      </c>
      <c r="Q36" t="s">
        <v>1844</v>
      </c>
      <c r="S36" s="2">
        <v>100000</v>
      </c>
    </row>
    <row r="37" spans="1:20">
      <c r="B37" t="s">
        <v>322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416</v>
      </c>
      <c r="M37" s="2">
        <v>200000</v>
      </c>
      <c r="N37" s="2">
        <v>200000</v>
      </c>
      <c r="O37" s="2">
        <v>200000</v>
      </c>
      <c r="P37" s="2">
        <v>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295</v>
      </c>
      <c r="M38" s="2">
        <v>640000</v>
      </c>
      <c r="N38" s="2">
        <v>790000</v>
      </c>
      <c r="O38" s="2">
        <v>790000</v>
      </c>
      <c r="P38" s="2">
        <v>150000</v>
      </c>
      <c r="Q38" t="s">
        <v>1847</v>
      </c>
      <c r="S38" s="2">
        <v>20000</v>
      </c>
    </row>
    <row r="39" spans="1:20">
      <c r="B39" t="s">
        <v>1848</v>
      </c>
      <c r="C39" s="2">
        <v>-641255</v>
      </c>
      <c r="D39" s="2">
        <v>48554</v>
      </c>
      <c r="F39" s="2">
        <v>-150000</v>
      </c>
      <c r="G39" s="2">
        <v>0</v>
      </c>
      <c r="K39" t="s">
        <v>2169</v>
      </c>
      <c r="Q39" t="s">
        <v>295</v>
      </c>
      <c r="R39" s="2">
        <v>200000</v>
      </c>
      <c r="S39" s="2">
        <v>320000</v>
      </c>
      <c r="T39" s="2">
        <v>120000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200000</v>
      </c>
      <c r="S40" s="2">
        <v>200000</v>
      </c>
      <c r="T40" s="2">
        <v>0</v>
      </c>
    </row>
    <row r="41" spans="1:20">
      <c r="B41" t="s">
        <v>399</v>
      </c>
      <c r="C41" s="2">
        <v>2785740</v>
      </c>
      <c r="D41" s="2">
        <v>3793000</v>
      </c>
      <c r="E41" s="2">
        <v>-1007260</v>
      </c>
      <c r="F41" t="s">
        <v>2128</v>
      </c>
      <c r="H41" s="2">
        <v>39745</v>
      </c>
      <c r="I41" s="2">
        <v>39745</v>
      </c>
      <c r="J41" t="b">
        <v>1</v>
      </c>
      <c r="Q41" t="s">
        <v>2040</v>
      </c>
    </row>
    <row r="42" spans="1:20">
      <c r="B42" t="s">
        <v>322</v>
      </c>
      <c r="C42" s="2">
        <v>2785740</v>
      </c>
      <c r="D42" s="2">
        <v>3752701</v>
      </c>
      <c r="E42" s="2">
        <v>-966961</v>
      </c>
      <c r="F42" t="s">
        <v>2128</v>
      </c>
      <c r="G42" t="s">
        <v>1856</v>
      </c>
    </row>
    <row r="43" spans="1:20">
      <c r="I43" t="s">
        <v>1857</v>
      </c>
    </row>
    <row r="44" spans="1:20">
      <c r="I44" t="s">
        <v>29</v>
      </c>
    </row>
    <row r="45" spans="1:20">
      <c r="B45" t="s">
        <v>397</v>
      </c>
      <c r="E45" t="s">
        <v>1992</v>
      </c>
      <c r="I45" t="s">
        <v>316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</row>
    <row r="47" spans="1:20">
      <c r="B47" t="s">
        <v>57</v>
      </c>
      <c r="C47" s="2">
        <v>2785740</v>
      </c>
      <c r="E47" s="5">
        <v>1481000</v>
      </c>
      <c r="F47" s="5">
        <v>1481000</v>
      </c>
      <c r="G47" t="b">
        <v>1</v>
      </c>
      <c r="H47" t="s">
        <v>1866</v>
      </c>
      <c r="I47" t="s">
        <v>322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2785740</v>
      </c>
      <c r="S51" t="s">
        <v>1872</v>
      </c>
    </row>
    <row r="52" spans="2:19">
      <c r="K52" t="s">
        <v>1672</v>
      </c>
      <c r="L52" s="2">
        <v>0</v>
      </c>
      <c r="M52" s="2">
        <v>0</v>
      </c>
      <c r="N52" s="2">
        <v>0</v>
      </c>
      <c r="O52" s="2">
        <v>150000</v>
      </c>
      <c r="Q52" t="s">
        <v>1874</v>
      </c>
      <c r="R52" s="2">
        <v>1151446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0</v>
      </c>
      <c r="N53" s="2">
        <v>0</v>
      </c>
      <c r="O53" s="2">
        <v>1600000</v>
      </c>
      <c r="Q53" t="s">
        <v>1877</v>
      </c>
      <c r="R53" s="2">
        <v>1441255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50000</v>
      </c>
      <c r="Q54" t="s">
        <v>1883</v>
      </c>
      <c r="R54" s="2">
        <v>50000</v>
      </c>
      <c r="S54" t="s">
        <v>1884</v>
      </c>
    </row>
    <row r="55" spans="2:19">
      <c r="B55" s="11">
        <v>46203</v>
      </c>
      <c r="C55" t="s">
        <v>431</v>
      </c>
      <c r="D55" t="s">
        <v>2170</v>
      </c>
      <c r="E55" s="2">
        <v>50000</v>
      </c>
      <c r="I55" s="2">
        <v>50000</v>
      </c>
      <c r="J55" s="2">
        <v>50000</v>
      </c>
      <c r="K55" t="s">
        <v>16</v>
      </c>
      <c r="L55" s="2">
        <v>0</v>
      </c>
      <c r="M55" s="2">
        <v>0</v>
      </c>
      <c r="N55" s="2">
        <v>0</v>
      </c>
      <c r="O55" s="2">
        <v>0</v>
      </c>
      <c r="Q55" t="s">
        <v>1885</v>
      </c>
      <c r="R55" s="2">
        <v>2642701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790000</v>
      </c>
      <c r="S56" t="s">
        <v>1887</v>
      </c>
    </row>
    <row r="57" spans="2:19">
      <c r="K57" t="s">
        <v>295</v>
      </c>
      <c r="L57" s="2">
        <v>0</v>
      </c>
      <c r="M57" s="2">
        <v>0</v>
      </c>
      <c r="N57" s="2">
        <v>0</v>
      </c>
      <c r="O57" s="2">
        <v>1800000</v>
      </c>
      <c r="Q57" t="s">
        <v>1824</v>
      </c>
      <c r="R57" s="2">
        <v>320000</v>
      </c>
      <c r="S57" t="s">
        <v>1888</v>
      </c>
    </row>
    <row r="58" spans="2:19">
      <c r="Q58" t="s">
        <v>1890</v>
      </c>
      <c r="R58" s="2">
        <v>0</v>
      </c>
      <c r="S58" t="s">
        <v>1891</v>
      </c>
    </row>
    <row r="59" spans="2:19">
      <c r="Q59" t="s">
        <v>1892</v>
      </c>
      <c r="R59" s="2">
        <v>3752701</v>
      </c>
      <c r="S59" t="s">
        <v>1893</v>
      </c>
    </row>
    <row r="60" spans="2:19">
      <c r="Q60" t="s">
        <v>1894</v>
      </c>
      <c r="R60" s="2">
        <v>-966961</v>
      </c>
      <c r="S60" t="s">
        <v>2128</v>
      </c>
    </row>
    <row r="61" spans="2:19">
      <c r="Q61" t="s">
        <v>1895</v>
      </c>
      <c r="R61" s="2">
        <v>0</v>
      </c>
      <c r="S61" t="s">
        <v>1896</v>
      </c>
    </row>
    <row r="62" spans="2:19">
      <c r="Q62" t="s">
        <v>1897</v>
      </c>
      <c r="R62" s="2">
        <v>2642701</v>
      </c>
      <c r="S62" t="s">
        <v>1898</v>
      </c>
    </row>
    <row r="63" spans="2:19">
      <c r="Q63" t="s">
        <v>1899</v>
      </c>
      <c r="R63" s="2">
        <v>626802</v>
      </c>
      <c r="S63" t="s">
        <v>2044</v>
      </c>
    </row>
    <row r="64" spans="2:19">
      <c r="Q64" t="s">
        <v>1901</v>
      </c>
      <c r="R64" s="2">
        <v>1800000</v>
      </c>
      <c r="S64" t="s">
        <v>1902</v>
      </c>
    </row>
    <row r="65" spans="2:16">
      <c r="B65" t="s">
        <v>295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1903</v>
      </c>
    </row>
    <row r="67" spans="2:16">
      <c r="B67" t="s">
        <v>1904</v>
      </c>
    </row>
    <row r="70" spans="2:16">
      <c r="B70" t="s">
        <v>2171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1168152</v>
      </c>
      <c r="F72" t="s">
        <v>1911</v>
      </c>
      <c r="J72" t="s">
        <v>1912</v>
      </c>
      <c r="L72" s="2">
        <v>2785740</v>
      </c>
      <c r="M72" s="2">
        <v>2785740</v>
      </c>
      <c r="N72" s="2">
        <v>0</v>
      </c>
      <c r="O72" t="s">
        <v>1913</v>
      </c>
      <c r="P72" t="s">
        <v>2172</v>
      </c>
    </row>
    <row r="73" spans="2:16">
      <c r="B73" t="s">
        <v>606</v>
      </c>
      <c r="E73" s="2">
        <v>999182</v>
      </c>
      <c r="F73" t="s">
        <v>1915</v>
      </c>
      <c r="J73" t="s">
        <v>306</v>
      </c>
      <c r="L73" s="2">
        <v>1151446</v>
      </c>
      <c r="M73" s="2">
        <v>1168152</v>
      </c>
      <c r="N73" s="2">
        <v>-16706</v>
      </c>
      <c r="O73" t="s">
        <v>1916</v>
      </c>
      <c r="P73" t="s">
        <v>2173</v>
      </c>
    </row>
    <row r="74" spans="2:16">
      <c r="B74" t="s">
        <v>609</v>
      </c>
      <c r="E74" s="2">
        <v>162000</v>
      </c>
      <c r="F74" t="s">
        <v>1918</v>
      </c>
      <c r="J74" t="s">
        <v>1919</v>
      </c>
      <c r="L74" s="2">
        <v>1441255</v>
      </c>
      <c r="M74" s="2">
        <v>1422686</v>
      </c>
      <c r="N74" s="2">
        <v>18569</v>
      </c>
      <c r="O74" t="s">
        <v>1916</v>
      </c>
      <c r="P74" t="s">
        <v>2174</v>
      </c>
    </row>
    <row r="75" spans="2:16">
      <c r="B75" t="s">
        <v>1921</v>
      </c>
      <c r="E75" s="2">
        <v>-21000</v>
      </c>
      <c r="F75" t="s">
        <v>1922</v>
      </c>
      <c r="J75" t="s">
        <v>1923</v>
      </c>
      <c r="L75" s="2">
        <v>0</v>
      </c>
      <c r="M75" s="2">
        <v>754</v>
      </c>
      <c r="N75" s="2">
        <v>-754</v>
      </c>
      <c r="O75" t="s">
        <v>1913</v>
      </c>
      <c r="P75" t="s">
        <v>2175</v>
      </c>
    </row>
    <row r="76" spans="2:16">
      <c r="B76" t="s">
        <v>614</v>
      </c>
      <c r="E76" s="2">
        <v>319820</v>
      </c>
      <c r="F76" t="s">
        <v>1925</v>
      </c>
      <c r="J76" t="s">
        <v>1926</v>
      </c>
      <c r="L76" s="2">
        <v>0</v>
      </c>
      <c r="M76" s="2">
        <v>21000</v>
      </c>
      <c r="N76" s="2">
        <v>-21000</v>
      </c>
      <c r="O76" t="s">
        <v>1916</v>
      </c>
      <c r="P76" t="s">
        <v>2176</v>
      </c>
    </row>
    <row r="77" spans="2:16">
      <c r="B77" t="s">
        <v>1928</v>
      </c>
      <c r="E77" s="2">
        <v>-29535</v>
      </c>
      <c r="F77" t="s">
        <v>1929</v>
      </c>
      <c r="J77" t="s">
        <v>1930</v>
      </c>
      <c r="L77" s="2">
        <v>790000</v>
      </c>
      <c r="M77" s="2">
        <v>790000</v>
      </c>
      <c r="N77" s="2">
        <v>0</v>
      </c>
      <c r="O77" t="s">
        <v>1913</v>
      </c>
      <c r="P77" t="s">
        <v>2177</v>
      </c>
    </row>
    <row r="78" spans="2:16">
      <c r="B78" t="s">
        <v>617</v>
      </c>
      <c r="E78" s="2">
        <v>94919</v>
      </c>
      <c r="F78" t="s">
        <v>1932</v>
      </c>
      <c r="J78" t="s">
        <v>1933</v>
      </c>
      <c r="L78" s="2">
        <v>120000</v>
      </c>
      <c r="M78" s="2">
        <v>120000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50000</v>
      </c>
      <c r="M79" s="2">
        <v>94919</v>
      </c>
      <c r="N79" s="2">
        <v>-44919</v>
      </c>
      <c r="O79" t="s">
        <v>2001</v>
      </c>
      <c r="P79" t="s">
        <v>2178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73601</v>
      </c>
      <c r="F82" t="s">
        <v>1944</v>
      </c>
      <c r="J82" t="s">
        <v>2179</v>
      </c>
      <c r="N82" s="2">
        <v>-100000</v>
      </c>
    </row>
    <row r="83" spans="2:15">
      <c r="B83" t="s">
        <v>1946</v>
      </c>
      <c r="E83" s="2">
        <v>0</v>
      </c>
      <c r="F83" t="s">
        <v>1947</v>
      </c>
      <c r="J83" t="s">
        <v>2180</v>
      </c>
      <c r="N83" s="2">
        <v>-300000</v>
      </c>
    </row>
    <row r="84" spans="2:15">
      <c r="B84" t="s">
        <v>635</v>
      </c>
      <c r="E84" s="2">
        <v>417736</v>
      </c>
      <c r="F84" t="s">
        <v>1949</v>
      </c>
      <c r="J84" t="s">
        <v>1950</v>
      </c>
      <c r="N84" s="2">
        <v>-400000</v>
      </c>
      <c r="O84" t="s">
        <v>2181</v>
      </c>
    </row>
    <row r="85" spans="2:15">
      <c r="B85" t="s">
        <v>60</v>
      </c>
      <c r="E85" s="2">
        <v>0</v>
      </c>
      <c r="F85" t="s">
        <v>1952</v>
      </c>
    </row>
    <row r="86" spans="2:15">
      <c r="B86" t="s">
        <v>638</v>
      </c>
      <c r="E86" s="2">
        <v>25500000</v>
      </c>
      <c r="F86" t="s">
        <v>1953</v>
      </c>
    </row>
    <row r="87" spans="2:15">
      <c r="B87" t="s">
        <v>1954</v>
      </c>
      <c r="E87" s="2">
        <v>28714410</v>
      </c>
      <c r="F87" t="s">
        <v>1955</v>
      </c>
    </row>
    <row r="88" spans="2:15">
      <c r="B88" t="s">
        <v>1956</v>
      </c>
      <c r="E88" s="2">
        <v>2693538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46204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D3" s="4" t="s">
        <v>2182</v>
      </c>
      <c r="E3" s="4" t="s">
        <v>2183</v>
      </c>
      <c r="F3" s="4" t="s">
        <v>2184</v>
      </c>
      <c r="G3" s="4" t="s">
        <v>2185</v>
      </c>
      <c r="H3" s="4" t="s">
        <v>2186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73</v>
      </c>
      <c r="M4" t="s">
        <v>326</v>
      </c>
      <c r="O4" t="s">
        <v>327</v>
      </c>
      <c r="P4" s="5">
        <v>550000</v>
      </c>
      <c r="R4" s="5">
        <v>550000</v>
      </c>
      <c r="S4" s="5">
        <v>550000</v>
      </c>
    </row>
    <row r="5" spans="1:20">
      <c r="A5" t="s">
        <v>322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328</v>
      </c>
      <c r="L5" s="4" t="s">
        <v>512</v>
      </c>
      <c r="M5" t="s">
        <v>330</v>
      </c>
      <c r="N5" t="s">
        <v>332</v>
      </c>
      <c r="O5" t="s">
        <v>331</v>
      </c>
      <c r="R5" s="5">
        <v>0</v>
      </c>
      <c r="S5" s="5">
        <v>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512</v>
      </c>
      <c r="M6" t="s">
        <v>330</v>
      </c>
      <c r="N6" t="s">
        <v>332</v>
      </c>
      <c r="O6" t="s">
        <v>334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R7" s="5">
        <v>143056</v>
      </c>
      <c r="S7" s="5">
        <v>144000</v>
      </c>
    </row>
    <row r="8" spans="1:20">
      <c r="B8" s="4" t="s">
        <v>2187</v>
      </c>
      <c r="C8" s="4" t="s">
        <v>2188</v>
      </c>
      <c r="D8" s="4" t="s">
        <v>2189</v>
      </c>
      <c r="E8" s="4" t="s">
        <v>2190</v>
      </c>
      <c r="F8" s="4" t="s">
        <v>2191</v>
      </c>
      <c r="G8" s="4" t="s">
        <v>2192</v>
      </c>
      <c r="H8" s="4" t="s">
        <v>2193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R8" s="5">
        <v>53620</v>
      </c>
      <c r="S8" s="5">
        <v>54000</v>
      </c>
    </row>
    <row r="9" spans="1:20">
      <c r="A9" t="s">
        <v>323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346</v>
      </c>
      <c r="L10" t="s">
        <v>347</v>
      </c>
      <c r="M10" t="s">
        <v>344</v>
      </c>
      <c r="N10" t="s">
        <v>349</v>
      </c>
      <c r="O10" t="s">
        <v>348</v>
      </c>
      <c r="P10" s="5">
        <v>16500</v>
      </c>
      <c r="R10" s="5">
        <v>16500</v>
      </c>
      <c r="S10" s="5">
        <v>17000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513</v>
      </c>
      <c r="M11" t="s">
        <v>352</v>
      </c>
      <c r="N11" t="s">
        <v>332</v>
      </c>
      <c r="O11" t="s">
        <v>353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514</v>
      </c>
      <c r="M12" t="s">
        <v>162</v>
      </c>
      <c r="N12" t="s">
        <v>332</v>
      </c>
      <c r="O12" t="s">
        <v>515</v>
      </c>
      <c r="P12" s="5">
        <v>30000</v>
      </c>
      <c r="R12" s="5">
        <v>30000</v>
      </c>
      <c r="S12" s="5">
        <v>30000</v>
      </c>
    </row>
    <row r="13" spans="1:20">
      <c r="B13" s="4" t="s">
        <v>2194</v>
      </c>
      <c r="C13" s="4" t="s">
        <v>2195</v>
      </c>
      <c r="D13" s="4" t="s">
        <v>2196</v>
      </c>
      <c r="E13" s="4" t="s">
        <v>2197</v>
      </c>
      <c r="F13" s="4" t="s">
        <v>2198</v>
      </c>
      <c r="G13" s="4" t="s">
        <v>2199</v>
      </c>
      <c r="H13" s="4" t="s">
        <v>2200</v>
      </c>
      <c r="I13" t="s">
        <v>295</v>
      </c>
      <c r="K13" t="s">
        <v>358</v>
      </c>
      <c r="L13" t="s">
        <v>166</v>
      </c>
      <c r="M13" t="s">
        <v>326</v>
      </c>
      <c r="N13" t="s">
        <v>332</v>
      </c>
      <c r="O13" t="s">
        <v>359</v>
      </c>
      <c r="P13" s="5">
        <v>15217</v>
      </c>
      <c r="R13" s="5">
        <v>15217</v>
      </c>
      <c r="S13" s="5">
        <v>16000</v>
      </c>
    </row>
    <row r="14" spans="1:20">
      <c r="A14" t="s">
        <v>323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184</v>
      </c>
      <c r="M14" t="s">
        <v>326</v>
      </c>
      <c r="N14" t="s">
        <v>332</v>
      </c>
      <c r="O14" t="s">
        <v>360</v>
      </c>
      <c r="P14" s="5">
        <v>17952</v>
      </c>
      <c r="R14" s="5">
        <v>17952</v>
      </c>
      <c r="S14" s="5">
        <v>18000</v>
      </c>
    </row>
    <row r="15" spans="1:20">
      <c r="A15" t="s">
        <v>322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169</v>
      </c>
      <c r="M15" t="s">
        <v>326</v>
      </c>
      <c r="N15" t="s">
        <v>332</v>
      </c>
      <c r="O15" t="s">
        <v>361</v>
      </c>
      <c r="P15" s="5">
        <v>7918</v>
      </c>
      <c r="R15" s="5">
        <v>7918</v>
      </c>
      <c r="S15" s="5">
        <v>8000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2201</v>
      </c>
      <c r="C18" s="4" t="s">
        <v>2202</v>
      </c>
      <c r="D18" s="4" t="s">
        <v>2203</v>
      </c>
      <c r="E18" s="4" t="s">
        <v>2204</v>
      </c>
      <c r="F18" s="4" t="s">
        <v>2205</v>
      </c>
      <c r="G18" s="4" t="s">
        <v>2206</v>
      </c>
      <c r="H18" s="4" t="s">
        <v>2207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10770</v>
      </c>
      <c r="R18" s="5">
        <v>10770</v>
      </c>
      <c r="S18" s="5">
        <v>11000</v>
      </c>
    </row>
    <row r="19" spans="1:20">
      <c r="A19" t="s">
        <v>323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372</v>
      </c>
      <c r="M19" t="s">
        <v>344</v>
      </c>
      <c r="N19" t="s">
        <v>374</v>
      </c>
      <c r="O19" t="s">
        <v>373</v>
      </c>
      <c r="P19" s="5">
        <v>7596</v>
      </c>
      <c r="R19" s="5">
        <v>7596</v>
      </c>
      <c r="S19" s="5">
        <v>8000</v>
      </c>
    </row>
    <row r="20" spans="1:20">
      <c r="A20" t="s">
        <v>322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375</v>
      </c>
      <c r="M20" t="s">
        <v>344</v>
      </c>
      <c r="N20" t="s">
        <v>371</v>
      </c>
      <c r="O20" t="s">
        <v>376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516</v>
      </c>
    </row>
    <row r="23" spans="1:20">
      <c r="B23" s="4" t="s">
        <v>2208</v>
      </c>
      <c r="C23" s="4" t="s">
        <v>2209</v>
      </c>
      <c r="D23" s="4" t="s">
        <v>2210</v>
      </c>
      <c r="E23" s="4" t="s">
        <v>2211</v>
      </c>
      <c r="F23" s="4" t="s">
        <v>2212</v>
      </c>
      <c r="I23" t="s">
        <v>295</v>
      </c>
      <c r="L23" t="s">
        <v>496</v>
      </c>
      <c r="M23" t="s">
        <v>330</v>
      </c>
      <c r="N23" t="s">
        <v>76</v>
      </c>
      <c r="O23" t="s">
        <v>497</v>
      </c>
      <c r="P23" s="5">
        <v>10200</v>
      </c>
      <c r="R23" s="5">
        <v>10200</v>
      </c>
      <c r="S23" s="5">
        <v>11000</v>
      </c>
      <c r="T23" t="s">
        <v>386</v>
      </c>
    </row>
    <row r="24" spans="1:20">
      <c r="A24" t="s">
        <v>323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517</v>
      </c>
      <c r="M24" t="s">
        <v>330</v>
      </c>
      <c r="N24" t="s">
        <v>76</v>
      </c>
      <c r="O24" t="s">
        <v>378</v>
      </c>
      <c r="P24" s="5">
        <v>26400</v>
      </c>
      <c r="R24" s="5">
        <v>26400</v>
      </c>
      <c r="S24" s="5">
        <v>27000</v>
      </c>
      <c r="T24" t="s">
        <v>498</v>
      </c>
    </row>
    <row r="25" spans="1:20">
      <c r="A25" t="s">
        <v>322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295</v>
      </c>
      <c r="P25" s="5">
        <v>1093569</v>
      </c>
      <c r="R25" s="5">
        <v>1090778</v>
      </c>
      <c r="S25" s="5">
        <v>1091000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L26" s="8">
        <v>46234</v>
      </c>
      <c r="M26" t="s">
        <v>1820</v>
      </c>
      <c r="P26" t="s">
        <v>2036</v>
      </c>
    </row>
    <row r="27" spans="1:20">
      <c r="G27" s="5">
        <v>1519000</v>
      </c>
      <c r="H27" s="5">
        <v>1477534</v>
      </c>
      <c r="I27" s="6">
        <v>6370</v>
      </c>
      <c r="P27" t="s">
        <v>2038</v>
      </c>
    </row>
    <row r="28" spans="1:20">
      <c r="P28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250000</v>
      </c>
      <c r="C30" t="s">
        <v>399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250000</v>
      </c>
      <c r="C31" t="s">
        <v>322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1830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1832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415</v>
      </c>
      <c r="N36" s="2">
        <v>0</v>
      </c>
      <c r="O36" s="2">
        <v>0</v>
      </c>
      <c r="Q36" t="s">
        <v>1844</v>
      </c>
      <c r="S36" s="2">
        <v>150000</v>
      </c>
    </row>
    <row r="37" spans="1:20">
      <c r="B37" t="s">
        <v>322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416</v>
      </c>
      <c r="M37" s="2">
        <v>200000</v>
      </c>
      <c r="N37" s="2">
        <v>0</v>
      </c>
      <c r="O37" s="2">
        <v>0</v>
      </c>
      <c r="P37" s="2">
        <v>-200000</v>
      </c>
      <c r="Q37" t="s">
        <v>1845</v>
      </c>
      <c r="S37" s="2">
        <v>0</v>
      </c>
    </row>
    <row r="38" spans="1:20">
      <c r="B38" t="s">
        <v>1846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295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1847</v>
      </c>
      <c r="S38" s="2">
        <v>20000</v>
      </c>
    </row>
    <row r="39" spans="1:20">
      <c r="B39" t="s">
        <v>1848</v>
      </c>
      <c r="C39" s="2">
        <v>-677534</v>
      </c>
      <c r="D39" s="2">
        <v>109222</v>
      </c>
      <c r="F39" s="2">
        <v>350000</v>
      </c>
      <c r="G39" s="2">
        <v>0</v>
      </c>
      <c r="K39" t="s">
        <v>1849</v>
      </c>
      <c r="Q39" t="s">
        <v>295</v>
      </c>
      <c r="R39" s="2">
        <v>250000</v>
      </c>
      <c r="S39" s="2">
        <v>420000</v>
      </c>
      <c r="T39" s="2">
        <v>170000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250000</v>
      </c>
      <c r="S40" s="2">
        <v>250000</v>
      </c>
      <c r="T40" s="2">
        <v>0</v>
      </c>
    </row>
    <row r="41" spans="1:20">
      <c r="B41" t="s">
        <v>399</v>
      </c>
      <c r="C41" s="2">
        <v>2776050</v>
      </c>
      <c r="D41" s="2">
        <v>3350000</v>
      </c>
      <c r="E41" s="2">
        <v>-573950</v>
      </c>
      <c r="F41" t="s">
        <v>2128</v>
      </c>
      <c r="H41" s="2">
        <v>41466</v>
      </c>
      <c r="I41" s="2">
        <v>41466</v>
      </c>
      <c r="J41" t="b">
        <v>1</v>
      </c>
      <c r="Q41" t="s">
        <v>2040</v>
      </c>
    </row>
    <row r="42" spans="1:20">
      <c r="B42" t="s">
        <v>322</v>
      </c>
      <c r="C42" s="2">
        <v>2776050</v>
      </c>
      <c r="D42" s="2">
        <v>3307712</v>
      </c>
      <c r="E42" s="2">
        <v>-531662</v>
      </c>
      <c r="F42" t="s">
        <v>2128</v>
      </c>
      <c r="G42" t="s">
        <v>1856</v>
      </c>
    </row>
    <row r="43" spans="1:20">
      <c r="I43" t="s">
        <v>1857</v>
      </c>
    </row>
    <row r="44" spans="1:20">
      <c r="I44" t="s">
        <v>29</v>
      </c>
    </row>
    <row r="45" spans="1:20">
      <c r="B45" t="s">
        <v>397</v>
      </c>
      <c r="E45" t="s">
        <v>1992</v>
      </c>
      <c r="I45" t="s">
        <v>316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</row>
    <row r="47" spans="1:20">
      <c r="B47" t="s">
        <v>57</v>
      </c>
      <c r="C47" s="2">
        <v>2776050</v>
      </c>
      <c r="E47" s="5">
        <v>1519000</v>
      </c>
      <c r="F47" s="5">
        <v>1519000</v>
      </c>
      <c r="G47" t="b">
        <v>1</v>
      </c>
      <c r="H47" t="s">
        <v>1866</v>
      </c>
      <c r="I47" t="s">
        <v>322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2776050</v>
      </c>
      <c r="S51" t="s">
        <v>1872</v>
      </c>
    </row>
    <row r="52" spans="2:19">
      <c r="K52" t="s">
        <v>1672</v>
      </c>
      <c r="L52" s="2">
        <v>0</v>
      </c>
      <c r="M52" s="2">
        <v>0</v>
      </c>
      <c r="N52" s="2">
        <v>0</v>
      </c>
      <c r="O52" s="2">
        <v>300000</v>
      </c>
      <c r="Q52" t="s">
        <v>1874</v>
      </c>
      <c r="R52" s="2">
        <v>1090778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300000</v>
      </c>
      <c r="N53" s="2">
        <v>-300000</v>
      </c>
      <c r="O53" s="2">
        <v>1600000</v>
      </c>
      <c r="Q53" t="s">
        <v>1877</v>
      </c>
      <c r="R53" s="2">
        <v>1477534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50000</v>
      </c>
      <c r="Q54" t="s">
        <v>1883</v>
      </c>
      <c r="R54" s="2">
        <v>29400</v>
      </c>
      <c r="S54" t="s">
        <v>1884</v>
      </c>
    </row>
    <row r="55" spans="2:19">
      <c r="B55" s="11">
        <v>46210</v>
      </c>
      <c r="C55" t="s">
        <v>431</v>
      </c>
      <c r="D55" t="s">
        <v>99</v>
      </c>
      <c r="E55" s="2">
        <v>29400</v>
      </c>
      <c r="I55" s="2">
        <v>29400</v>
      </c>
      <c r="J55" s="2">
        <v>30000</v>
      </c>
      <c r="K55" t="s">
        <v>16</v>
      </c>
      <c r="L55" s="2">
        <v>0</v>
      </c>
      <c r="M55" s="2">
        <v>0</v>
      </c>
      <c r="N55" s="2">
        <v>0</v>
      </c>
      <c r="O55" s="2">
        <v>100000</v>
      </c>
      <c r="Q55" t="s">
        <v>1885</v>
      </c>
      <c r="R55" s="2">
        <v>2597712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290000</v>
      </c>
      <c r="S56" t="s">
        <v>1887</v>
      </c>
    </row>
    <row r="57" spans="2:19">
      <c r="K57" t="s">
        <v>295</v>
      </c>
      <c r="L57" s="2">
        <v>0</v>
      </c>
      <c r="M57" s="2">
        <v>300000</v>
      </c>
      <c r="N57" s="2">
        <v>-300000</v>
      </c>
      <c r="O57" s="2">
        <v>2050000</v>
      </c>
      <c r="Q57" t="s">
        <v>1824</v>
      </c>
      <c r="R57" s="2">
        <v>420000</v>
      </c>
      <c r="S57" t="s">
        <v>1888</v>
      </c>
    </row>
    <row r="58" spans="2:19">
      <c r="Q58" t="s">
        <v>1890</v>
      </c>
      <c r="R58" s="2">
        <v>0</v>
      </c>
      <c r="S58" t="s">
        <v>1891</v>
      </c>
    </row>
    <row r="59" spans="2:19">
      <c r="Q59" t="s">
        <v>1892</v>
      </c>
      <c r="R59" s="2">
        <v>3307712</v>
      </c>
      <c r="S59" t="s">
        <v>1893</v>
      </c>
    </row>
    <row r="60" spans="2:19">
      <c r="Q60" t="s">
        <v>1894</v>
      </c>
      <c r="R60" s="2">
        <v>-531662</v>
      </c>
      <c r="S60" t="s">
        <v>2128</v>
      </c>
    </row>
    <row r="61" spans="2:19">
      <c r="Q61" t="s">
        <v>1895</v>
      </c>
      <c r="R61" s="2">
        <v>0</v>
      </c>
      <c r="S61" t="s">
        <v>1896</v>
      </c>
    </row>
    <row r="62" spans="2:19">
      <c r="Q62" t="s">
        <v>1897</v>
      </c>
      <c r="R62" s="2">
        <v>2597712</v>
      </c>
      <c r="S62" t="s">
        <v>1898</v>
      </c>
    </row>
    <row r="63" spans="2:19">
      <c r="Q63" t="s">
        <v>1899</v>
      </c>
      <c r="R63" s="2">
        <v>-498498</v>
      </c>
      <c r="S63" t="s">
        <v>2044</v>
      </c>
    </row>
    <row r="64" spans="2:19">
      <c r="Q64" t="s">
        <v>1901</v>
      </c>
      <c r="R64" s="2">
        <v>2050000</v>
      </c>
      <c r="S64" t="s">
        <v>1902</v>
      </c>
    </row>
    <row r="65" spans="2:16">
      <c r="B65" t="s">
        <v>295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1903</v>
      </c>
    </row>
    <row r="67" spans="2:16">
      <c r="B67" t="s">
        <v>1904</v>
      </c>
    </row>
    <row r="68" spans="2:16">
      <c r="B68" t="s">
        <v>2213</v>
      </c>
    </row>
    <row r="70" spans="2:16">
      <c r="B70" t="s">
        <v>2214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1137565</v>
      </c>
      <c r="F72" t="s">
        <v>1911</v>
      </c>
      <c r="J72" t="s">
        <v>1912</v>
      </c>
      <c r="L72" s="2">
        <v>2776050</v>
      </c>
      <c r="M72" s="2">
        <v>2776050</v>
      </c>
      <c r="N72" s="2">
        <v>0</v>
      </c>
      <c r="O72" t="s">
        <v>1913</v>
      </c>
      <c r="P72" t="s">
        <v>2215</v>
      </c>
    </row>
    <row r="73" spans="2:16">
      <c r="B73" t="s">
        <v>606</v>
      </c>
      <c r="E73" s="2">
        <v>982590</v>
      </c>
      <c r="F73" t="s">
        <v>1915</v>
      </c>
      <c r="J73" t="s">
        <v>306</v>
      </c>
      <c r="L73" s="2">
        <v>1090778</v>
      </c>
      <c r="M73" s="2">
        <v>1137565</v>
      </c>
      <c r="N73" s="2">
        <v>-46787</v>
      </c>
      <c r="O73" t="s">
        <v>2001</v>
      </c>
      <c r="P73" t="s">
        <v>2216</v>
      </c>
    </row>
    <row r="74" spans="2:16">
      <c r="B74" t="s">
        <v>609</v>
      </c>
      <c r="E74" s="2">
        <v>153500</v>
      </c>
      <c r="F74" t="s">
        <v>1918</v>
      </c>
      <c r="J74" t="s">
        <v>1919</v>
      </c>
      <c r="L74" s="2">
        <v>1477534</v>
      </c>
      <c r="M74" s="2">
        <v>1422524</v>
      </c>
      <c r="N74" s="2">
        <v>55010</v>
      </c>
      <c r="O74" t="s">
        <v>2001</v>
      </c>
      <c r="P74" t="s">
        <v>2217</v>
      </c>
    </row>
    <row r="75" spans="2:16">
      <c r="B75" t="s">
        <v>1921</v>
      </c>
      <c r="E75" s="2">
        <v>-40619</v>
      </c>
      <c r="F75" t="s">
        <v>1922</v>
      </c>
      <c r="J75" t="s">
        <v>1923</v>
      </c>
      <c r="L75" s="2">
        <v>0</v>
      </c>
      <c r="M75" s="2">
        <v>36160</v>
      </c>
      <c r="N75" s="2">
        <v>-36160</v>
      </c>
      <c r="O75" t="s">
        <v>2001</v>
      </c>
      <c r="P75" t="s">
        <v>2218</v>
      </c>
    </row>
    <row r="76" spans="2:16">
      <c r="B76" t="s">
        <v>614</v>
      </c>
      <c r="E76" s="2">
        <v>562184</v>
      </c>
      <c r="F76" t="s">
        <v>1925</v>
      </c>
      <c r="J76" t="s">
        <v>1926</v>
      </c>
      <c r="L76" s="2">
        <v>0</v>
      </c>
      <c r="M76" s="2">
        <v>40619</v>
      </c>
      <c r="N76" s="2">
        <v>-40619</v>
      </c>
      <c r="O76" t="s">
        <v>2001</v>
      </c>
      <c r="P76" t="s">
        <v>2219</v>
      </c>
    </row>
    <row r="77" spans="2:16">
      <c r="B77" t="s">
        <v>1928</v>
      </c>
      <c r="E77" s="2">
        <v>-155955</v>
      </c>
      <c r="F77" t="s">
        <v>1929</v>
      </c>
      <c r="J77" t="s">
        <v>1930</v>
      </c>
      <c r="L77" s="2">
        <v>290000</v>
      </c>
      <c r="M77" s="2">
        <v>290000</v>
      </c>
      <c r="N77" s="2">
        <v>0</v>
      </c>
      <c r="O77" t="s">
        <v>1913</v>
      </c>
      <c r="P77" t="s">
        <v>2220</v>
      </c>
    </row>
    <row r="78" spans="2:16">
      <c r="B78" t="s">
        <v>617</v>
      </c>
      <c r="E78" s="2">
        <v>49200</v>
      </c>
      <c r="F78" t="s">
        <v>1932</v>
      </c>
      <c r="J78" t="s">
        <v>1933</v>
      </c>
      <c r="L78" s="2">
        <v>170000</v>
      </c>
      <c r="M78" s="2">
        <v>195000</v>
      </c>
      <c r="N78" s="2">
        <v>-25000</v>
      </c>
      <c r="O78" t="s">
        <v>1916</v>
      </c>
      <c r="P78" t="s">
        <v>2221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29400</v>
      </c>
      <c r="M79" s="2">
        <v>368700</v>
      </c>
      <c r="N79" s="2">
        <v>-339300</v>
      </c>
      <c r="O79" t="s">
        <v>2001</v>
      </c>
      <c r="P79" t="s">
        <v>2222</v>
      </c>
    </row>
    <row r="80" spans="2:16">
      <c r="B80" t="s">
        <v>1937</v>
      </c>
      <c r="E80" s="2">
        <v>319500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1058230</v>
      </c>
      <c r="F82" t="s">
        <v>1944</v>
      </c>
      <c r="J82" t="s">
        <v>2223</v>
      </c>
      <c r="N82" s="2">
        <v>-9690</v>
      </c>
    </row>
    <row r="83" spans="2:15">
      <c r="B83" t="s">
        <v>1946</v>
      </c>
      <c r="E83" s="2">
        <v>1439570</v>
      </c>
      <c r="F83" t="s">
        <v>1947</v>
      </c>
      <c r="J83" t="s">
        <v>2224</v>
      </c>
      <c r="N83" s="2">
        <v>-150000</v>
      </c>
    </row>
    <row r="84" spans="2:15">
      <c r="B84" t="s">
        <v>635</v>
      </c>
      <c r="E84" s="2">
        <v>103713</v>
      </c>
      <c r="F84" t="s">
        <v>1949</v>
      </c>
      <c r="J84" t="s">
        <v>2225</v>
      </c>
      <c r="N84" s="2">
        <v>-50000</v>
      </c>
    </row>
    <row r="85" spans="2:15">
      <c r="B85" t="s">
        <v>60</v>
      </c>
      <c r="E85" s="2">
        <v>0</v>
      </c>
      <c r="F85" t="s">
        <v>1952</v>
      </c>
      <c r="J85" t="s">
        <v>2226</v>
      </c>
      <c r="N85" s="2">
        <v>200000</v>
      </c>
    </row>
    <row r="86" spans="2:15">
      <c r="B86" t="s">
        <v>638</v>
      </c>
      <c r="E86" s="2">
        <v>9500000</v>
      </c>
      <c r="F86" t="s">
        <v>1953</v>
      </c>
      <c r="J86" t="s">
        <v>2227</v>
      </c>
      <c r="N86" s="2">
        <v>319500</v>
      </c>
    </row>
    <row r="87" spans="2:15">
      <c r="B87" t="s">
        <v>1954</v>
      </c>
      <c r="E87" s="2">
        <v>15265433</v>
      </c>
      <c r="F87" t="s">
        <v>1955</v>
      </c>
      <c r="J87" t="s">
        <v>1950</v>
      </c>
      <c r="N87" s="2">
        <v>309810</v>
      </c>
      <c r="O87" t="s">
        <v>2228</v>
      </c>
    </row>
    <row r="88" spans="2:15">
      <c r="B88" t="s">
        <v>1956</v>
      </c>
      <c r="E88" s="2">
        <v>3007965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46235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B3" s="4" t="s">
        <v>2229</v>
      </c>
      <c r="G3" s="4" t="s">
        <v>2230</v>
      </c>
      <c r="H3" s="4" t="s">
        <v>2231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B4" s="5">
        <v>302000</v>
      </c>
      <c r="G4" s="5">
        <v>124000</v>
      </c>
      <c r="H4" s="5">
        <v>132000</v>
      </c>
      <c r="I4" s="5">
        <v>558000</v>
      </c>
      <c r="K4" t="s">
        <v>73</v>
      </c>
      <c r="M4" t="s">
        <v>326</v>
      </c>
      <c r="O4" t="s">
        <v>524</v>
      </c>
      <c r="P4" s="5">
        <v>391000</v>
      </c>
      <c r="R4" s="5">
        <v>391000</v>
      </c>
      <c r="S4" s="5">
        <v>391000</v>
      </c>
    </row>
    <row r="5" spans="1:20">
      <c r="A5" t="s">
        <v>322</v>
      </c>
      <c r="B5" s="5">
        <v>296590</v>
      </c>
      <c r="G5" s="5">
        <v>120400</v>
      </c>
      <c r="H5" s="5">
        <v>130690</v>
      </c>
      <c r="I5" s="5">
        <v>547680</v>
      </c>
      <c r="K5" t="s">
        <v>328</v>
      </c>
      <c r="L5" s="4" t="s">
        <v>525</v>
      </c>
      <c r="M5" t="s">
        <v>330</v>
      </c>
      <c r="N5" t="s">
        <v>332</v>
      </c>
      <c r="O5" t="s">
        <v>331</v>
      </c>
      <c r="P5" s="5">
        <v>59600</v>
      </c>
      <c r="R5" s="5">
        <v>59600</v>
      </c>
      <c r="S5" s="5">
        <v>60000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525</v>
      </c>
      <c r="M6" t="s">
        <v>330</v>
      </c>
      <c r="N6" t="s">
        <v>332</v>
      </c>
      <c r="O6" t="s">
        <v>334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143056</v>
      </c>
      <c r="R7" s="5">
        <v>143056</v>
      </c>
      <c r="S7" s="5">
        <v>144000</v>
      </c>
    </row>
    <row r="8" spans="1:20">
      <c r="B8" s="4" t="s">
        <v>2232</v>
      </c>
      <c r="C8" s="4" t="s">
        <v>2233</v>
      </c>
      <c r="D8" s="4" t="s">
        <v>2234</v>
      </c>
      <c r="E8" s="4" t="s">
        <v>2235</v>
      </c>
      <c r="F8" s="4" t="s">
        <v>2236</v>
      </c>
      <c r="G8" s="4" t="s">
        <v>2237</v>
      </c>
      <c r="H8" s="4" t="s">
        <v>2238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R8" s="5">
        <v>53620</v>
      </c>
      <c r="S8" s="5">
        <v>54000</v>
      </c>
    </row>
    <row r="9" spans="1:20">
      <c r="A9" t="s">
        <v>323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346</v>
      </c>
      <c r="L10" t="s">
        <v>526</v>
      </c>
      <c r="M10" t="s">
        <v>330</v>
      </c>
      <c r="N10" t="s">
        <v>332</v>
      </c>
      <c r="O10" t="s">
        <v>527</v>
      </c>
      <c r="P10" s="5">
        <v>43420</v>
      </c>
      <c r="R10" s="5">
        <v>43420</v>
      </c>
      <c r="S10" s="5">
        <v>44000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514</v>
      </c>
      <c r="M11" t="s">
        <v>162</v>
      </c>
      <c r="N11" t="s">
        <v>332</v>
      </c>
      <c r="O11" t="s">
        <v>515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528</v>
      </c>
      <c r="N12" t="s">
        <v>530</v>
      </c>
      <c r="O12" t="s">
        <v>529</v>
      </c>
      <c r="P12" s="5">
        <v>7448</v>
      </c>
      <c r="R12" s="5">
        <v>7448</v>
      </c>
      <c r="S12" s="5">
        <v>8000</v>
      </c>
    </row>
    <row r="13" spans="1:20">
      <c r="B13" s="4" t="s">
        <v>2239</v>
      </c>
      <c r="C13" s="4" t="s">
        <v>2240</v>
      </c>
      <c r="D13" s="4" t="s">
        <v>2241</v>
      </c>
      <c r="E13" s="4" t="s">
        <v>2242</v>
      </c>
      <c r="F13" s="4" t="s">
        <v>2243</v>
      </c>
      <c r="G13" s="4" t="s">
        <v>2244</v>
      </c>
      <c r="H13" s="4" t="s">
        <v>2245</v>
      </c>
      <c r="I13" t="s">
        <v>295</v>
      </c>
      <c r="K13" t="s">
        <v>531</v>
      </c>
      <c r="L13" t="s">
        <v>187</v>
      </c>
      <c r="M13" t="s">
        <v>326</v>
      </c>
      <c r="N13" t="s">
        <v>332</v>
      </c>
      <c r="O13" t="s">
        <v>532</v>
      </c>
      <c r="P13" s="5">
        <v>93420</v>
      </c>
      <c r="R13" s="5">
        <v>93420</v>
      </c>
      <c r="S13" s="5">
        <v>94000</v>
      </c>
    </row>
    <row r="14" spans="1:20">
      <c r="A14" t="s">
        <v>323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322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1789</v>
      </c>
      <c r="H16" t="s">
        <v>1790</v>
      </c>
      <c r="I16" t="s">
        <v>1791</v>
      </c>
      <c r="K16" t="s">
        <v>362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2246</v>
      </c>
      <c r="C18" s="4" t="s">
        <v>2247</v>
      </c>
      <c r="D18" s="4" t="s">
        <v>2248</v>
      </c>
      <c r="E18" s="4" t="s">
        <v>2249</v>
      </c>
      <c r="F18" s="4" t="s">
        <v>2250</v>
      </c>
      <c r="G18" s="4" t="s">
        <v>2251</v>
      </c>
      <c r="H18" s="4" t="s">
        <v>2252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10355</v>
      </c>
      <c r="R18" s="5">
        <v>10355</v>
      </c>
      <c r="S18" s="5">
        <v>11000</v>
      </c>
    </row>
    <row r="19" spans="1:20">
      <c r="A19" t="s">
        <v>323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372</v>
      </c>
      <c r="M19" t="s">
        <v>344</v>
      </c>
      <c r="N19" t="s">
        <v>374</v>
      </c>
      <c r="O19" t="s">
        <v>373</v>
      </c>
      <c r="P19" s="5">
        <v>8701</v>
      </c>
      <c r="R19" s="5">
        <v>8701</v>
      </c>
      <c r="S19" s="5">
        <v>9000</v>
      </c>
    </row>
    <row r="20" spans="1:20">
      <c r="A20" t="s">
        <v>322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375</v>
      </c>
      <c r="M20" t="s">
        <v>344</v>
      </c>
      <c r="N20" t="s">
        <v>371</v>
      </c>
      <c r="O20" t="s">
        <v>376</v>
      </c>
      <c r="P20" s="5">
        <v>0</v>
      </c>
      <c r="R20" s="5">
        <v>0</v>
      </c>
      <c r="S20" s="5">
        <v>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533</v>
      </c>
    </row>
    <row r="23" spans="1:20">
      <c r="B23" s="4" t="s">
        <v>2253</v>
      </c>
      <c r="C23" s="4" t="s">
        <v>2254</v>
      </c>
      <c r="D23" s="4" t="s">
        <v>2255</v>
      </c>
      <c r="E23" s="4" t="s">
        <v>2256</v>
      </c>
      <c r="F23" s="4" t="s">
        <v>2257</v>
      </c>
      <c r="G23" s="4" t="s">
        <v>2258</v>
      </c>
      <c r="H23" s="4" t="s">
        <v>2259</v>
      </c>
      <c r="I23" t="s">
        <v>295</v>
      </c>
      <c r="L23" t="s">
        <v>496</v>
      </c>
      <c r="M23" t="s">
        <v>330</v>
      </c>
      <c r="N23" t="s">
        <v>76</v>
      </c>
      <c r="O23" t="s">
        <v>497</v>
      </c>
      <c r="P23" s="5">
        <v>10200</v>
      </c>
      <c r="R23" s="5">
        <v>10200</v>
      </c>
      <c r="S23" s="5">
        <v>11000</v>
      </c>
      <c r="T23" t="s">
        <v>472</v>
      </c>
    </row>
    <row r="24" spans="1:20">
      <c r="A24" t="s">
        <v>323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517</v>
      </c>
      <c r="M24" t="s">
        <v>330</v>
      </c>
      <c r="N24" t="s">
        <v>76</v>
      </c>
      <c r="O24" t="s">
        <v>378</v>
      </c>
      <c r="P24" s="5">
        <v>26400</v>
      </c>
      <c r="R24" s="5">
        <v>26400</v>
      </c>
      <c r="S24" s="5">
        <v>27000</v>
      </c>
      <c r="T24" t="s">
        <v>507</v>
      </c>
    </row>
    <row r="25" spans="1:20">
      <c r="A25" t="s">
        <v>322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295</v>
      </c>
      <c r="P25" s="5">
        <v>1052310</v>
      </c>
      <c r="R25" s="5">
        <v>1052310</v>
      </c>
      <c r="S25" s="5">
        <v>1053000</v>
      </c>
    </row>
    <row r="26" spans="1:20">
      <c r="G26" t="s">
        <v>1789</v>
      </c>
      <c r="H26" t="s">
        <v>1790</v>
      </c>
      <c r="I26" t="s">
        <v>1791</v>
      </c>
      <c r="K26" t="s">
        <v>1819</v>
      </c>
      <c r="M26" t="s">
        <v>2037</v>
      </c>
      <c r="P26" t="s">
        <v>2036</v>
      </c>
    </row>
    <row r="27" spans="1:20">
      <c r="G27" s="5">
        <v>2354000</v>
      </c>
      <c r="H27" s="5">
        <v>2299443</v>
      </c>
      <c r="I27" s="6">
        <v>8470</v>
      </c>
      <c r="P27" t="s">
        <v>2038</v>
      </c>
    </row>
    <row r="28" spans="1:20">
      <c r="P28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100000</v>
      </c>
      <c r="C30" t="s">
        <v>399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220000</v>
      </c>
      <c r="C31" t="s">
        <v>322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1830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1832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415</v>
      </c>
      <c r="N36" s="2">
        <v>0</v>
      </c>
      <c r="O36" s="2">
        <v>0</v>
      </c>
      <c r="Q36" t="s">
        <v>1844</v>
      </c>
      <c r="S36" s="2">
        <v>200000</v>
      </c>
    </row>
    <row r="37" spans="1:20">
      <c r="B37" t="s">
        <v>322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416</v>
      </c>
      <c r="M37" s="2">
        <v>0</v>
      </c>
      <c r="N37" s="2">
        <v>0</v>
      </c>
      <c r="O37" s="2">
        <v>0</v>
      </c>
      <c r="P37" s="2">
        <v>0</v>
      </c>
      <c r="Q37" t="s">
        <v>1845</v>
      </c>
      <c r="S37" s="2">
        <v>100000</v>
      </c>
    </row>
    <row r="38" spans="1:20">
      <c r="B38" t="s">
        <v>1846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295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1847</v>
      </c>
      <c r="S38" s="2">
        <v>20000</v>
      </c>
    </row>
    <row r="39" spans="1:20">
      <c r="B39" t="s">
        <v>1848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1849</v>
      </c>
      <c r="Q39" t="s">
        <v>295</v>
      </c>
      <c r="R39" s="2">
        <v>300000</v>
      </c>
      <c r="S39" s="2">
        <v>570000</v>
      </c>
      <c r="T39" s="2">
        <v>270000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300000</v>
      </c>
      <c r="S40" s="2">
        <v>250000</v>
      </c>
      <c r="T40" s="2">
        <v>-50000</v>
      </c>
    </row>
    <row r="41" spans="1:20">
      <c r="B41" t="s">
        <v>399</v>
      </c>
      <c r="C41" s="2">
        <v>2776050</v>
      </c>
      <c r="D41" s="2">
        <v>4494000</v>
      </c>
      <c r="E41" s="2">
        <v>-1717950</v>
      </c>
      <c r="F41" t="s">
        <v>2128</v>
      </c>
      <c r="H41" s="2">
        <v>54557</v>
      </c>
      <c r="I41" s="2">
        <v>54557</v>
      </c>
      <c r="J41" t="b">
        <v>1</v>
      </c>
      <c r="Q41" t="s">
        <v>2040</v>
      </c>
    </row>
    <row r="42" spans="1:20">
      <c r="B42" t="s">
        <v>322</v>
      </c>
      <c r="C42" s="2">
        <v>2776050</v>
      </c>
      <c r="D42" s="2">
        <v>4437864</v>
      </c>
      <c r="E42" s="2">
        <v>-1661814</v>
      </c>
      <c r="F42" t="s">
        <v>2128</v>
      </c>
      <c r="G42" t="s">
        <v>1856</v>
      </c>
    </row>
    <row r="43" spans="1:20">
      <c r="I43" t="s">
        <v>1857</v>
      </c>
    </row>
    <row r="44" spans="1:20">
      <c r="I44" t="s">
        <v>29</v>
      </c>
      <c r="J44" s="4">
        <v>46265</v>
      </c>
    </row>
    <row r="45" spans="1:20">
      <c r="B45" t="s">
        <v>397</v>
      </c>
      <c r="E45" t="s">
        <v>1992</v>
      </c>
      <c r="I45" t="s">
        <v>316</v>
      </c>
      <c r="J45" t="s">
        <v>2260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  <c r="J46" s="5">
        <v>30000</v>
      </c>
    </row>
    <row r="47" spans="1:20">
      <c r="B47" t="s">
        <v>57</v>
      </c>
      <c r="C47" s="2">
        <v>2776050</v>
      </c>
      <c r="E47" s="5">
        <v>2354000</v>
      </c>
      <c r="F47" s="5">
        <v>2354000</v>
      </c>
      <c r="G47" t="b">
        <v>1</v>
      </c>
      <c r="H47" t="s">
        <v>1866</v>
      </c>
      <c r="I47" t="s">
        <v>322</v>
      </c>
      <c r="J47" s="5">
        <v>30000</v>
      </c>
    </row>
    <row r="48" spans="1:20">
      <c r="B48" t="s">
        <v>61</v>
      </c>
      <c r="C48" s="2">
        <v>0</v>
      </c>
    </row>
    <row r="49" spans="2:19">
      <c r="B49" t="s">
        <v>267</v>
      </c>
      <c r="C49" s="2">
        <v>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2776050</v>
      </c>
      <c r="S51" t="s">
        <v>1872</v>
      </c>
    </row>
    <row r="52" spans="2:19">
      <c r="K52" t="s">
        <v>1672</v>
      </c>
      <c r="L52" s="2">
        <v>0</v>
      </c>
      <c r="M52" s="2">
        <v>0</v>
      </c>
      <c r="N52" s="2">
        <v>0</v>
      </c>
      <c r="O52" s="2">
        <v>450000</v>
      </c>
      <c r="Q52" t="s">
        <v>1874</v>
      </c>
      <c r="R52" s="2">
        <v>1052310</v>
      </c>
      <c r="S52" t="s">
        <v>1875</v>
      </c>
    </row>
    <row r="53" spans="2:19">
      <c r="B53" t="s">
        <v>1876</v>
      </c>
      <c r="K53" t="s">
        <v>14</v>
      </c>
      <c r="L53" s="2">
        <v>300000</v>
      </c>
      <c r="M53" s="2">
        <v>0</v>
      </c>
      <c r="N53" s="2">
        <v>300000</v>
      </c>
      <c r="O53" s="2">
        <v>1300000</v>
      </c>
      <c r="P53" t="s">
        <v>2261</v>
      </c>
      <c r="Q53" t="s">
        <v>1877</v>
      </c>
      <c r="R53" s="2">
        <v>2299443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50000</v>
      </c>
      <c r="Q54" t="s">
        <v>1883</v>
      </c>
      <c r="R54" s="2">
        <v>256111</v>
      </c>
      <c r="S54" t="s">
        <v>1884</v>
      </c>
    </row>
    <row r="55" spans="2:19">
      <c r="B55" s="11">
        <v>46243</v>
      </c>
      <c r="C55" t="s">
        <v>59</v>
      </c>
      <c r="D55" t="s">
        <v>534</v>
      </c>
      <c r="E55" s="2">
        <v>192311</v>
      </c>
      <c r="F55" s="2">
        <v>96000</v>
      </c>
      <c r="I55" s="2">
        <v>96311</v>
      </c>
      <c r="J55" s="2">
        <v>97000</v>
      </c>
      <c r="K55" t="s">
        <v>16</v>
      </c>
      <c r="L55" s="2">
        <v>0</v>
      </c>
      <c r="M55" s="2">
        <v>0</v>
      </c>
      <c r="N55" s="2">
        <v>0</v>
      </c>
      <c r="O55" s="2">
        <v>200000</v>
      </c>
      <c r="Q55" t="s">
        <v>1885</v>
      </c>
      <c r="R55" s="2">
        <v>3607864</v>
      </c>
      <c r="S55" t="s">
        <v>1886</v>
      </c>
    </row>
    <row r="56" spans="2:19">
      <c r="B56" s="11">
        <v>46244</v>
      </c>
      <c r="C56" t="s">
        <v>431</v>
      </c>
      <c r="D56" t="s">
        <v>2262</v>
      </c>
      <c r="E56" s="2">
        <v>30800</v>
      </c>
      <c r="I56" s="2">
        <v>30800</v>
      </c>
      <c r="J56" s="2">
        <v>31000</v>
      </c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290000</v>
      </c>
      <c r="S56" t="s">
        <v>1887</v>
      </c>
    </row>
    <row r="57" spans="2:19">
      <c r="B57" s="11">
        <v>46250</v>
      </c>
      <c r="C57" t="s">
        <v>431</v>
      </c>
      <c r="D57" t="s">
        <v>508</v>
      </c>
      <c r="E57" s="2">
        <v>129000</v>
      </c>
      <c r="I57" s="2">
        <v>129000</v>
      </c>
      <c r="J57" s="2">
        <v>129000</v>
      </c>
      <c r="K57" t="s">
        <v>295</v>
      </c>
      <c r="L57" s="2">
        <v>300000</v>
      </c>
      <c r="M57" s="2">
        <v>0</v>
      </c>
      <c r="N57" s="2">
        <v>300000</v>
      </c>
      <c r="O57" s="2">
        <v>2000000</v>
      </c>
      <c r="Q57" t="s">
        <v>1824</v>
      </c>
      <c r="R57" s="2">
        <v>570000</v>
      </c>
      <c r="S57" t="s">
        <v>1888</v>
      </c>
    </row>
    <row r="58" spans="2:19">
      <c r="B58" s="11">
        <v>46264</v>
      </c>
      <c r="C58" t="s">
        <v>59</v>
      </c>
      <c r="D58" t="s">
        <v>2263</v>
      </c>
      <c r="E58" s="2">
        <v>255880</v>
      </c>
      <c r="G58" s="2">
        <v>255880</v>
      </c>
      <c r="H58" t="s">
        <v>14</v>
      </c>
      <c r="I58" s="2">
        <v>0</v>
      </c>
      <c r="J58" s="2">
        <v>0</v>
      </c>
      <c r="Q58" t="s">
        <v>1890</v>
      </c>
      <c r="R58" s="2">
        <v>30000</v>
      </c>
      <c r="S58" t="s">
        <v>1891</v>
      </c>
    </row>
    <row r="59" spans="2:19">
      <c r="Q59" t="s">
        <v>1892</v>
      </c>
      <c r="R59" s="2">
        <v>4437864</v>
      </c>
      <c r="S59" t="s">
        <v>1893</v>
      </c>
    </row>
    <row r="60" spans="2:19">
      <c r="Q60" t="s">
        <v>1894</v>
      </c>
      <c r="R60" s="2">
        <v>-1661814</v>
      </c>
      <c r="S60" t="s">
        <v>2128</v>
      </c>
    </row>
    <row r="61" spans="2:19">
      <c r="Q61" t="s">
        <v>1895</v>
      </c>
      <c r="R61" s="2">
        <v>300000</v>
      </c>
      <c r="S61" t="s">
        <v>1896</v>
      </c>
    </row>
    <row r="62" spans="2:19">
      <c r="Q62" t="s">
        <v>1897</v>
      </c>
      <c r="R62" s="2">
        <v>3907864</v>
      </c>
      <c r="S62" t="s">
        <v>1898</v>
      </c>
    </row>
    <row r="63" spans="2:19">
      <c r="Q63" t="s">
        <v>1899</v>
      </c>
      <c r="R63" s="2">
        <v>0</v>
      </c>
      <c r="S63" t="s">
        <v>2044</v>
      </c>
    </row>
    <row r="64" spans="2:19">
      <c r="Q64" t="s">
        <v>1901</v>
      </c>
      <c r="R64" s="2">
        <v>2000000</v>
      </c>
      <c r="S64" t="s">
        <v>1902</v>
      </c>
    </row>
    <row r="65" spans="2:16">
      <c r="B65" t="s">
        <v>295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1903</v>
      </c>
    </row>
    <row r="67" spans="2:16">
      <c r="B67" t="s">
        <v>1904</v>
      </c>
    </row>
    <row r="68" spans="2:16">
      <c r="B68" t="s">
        <v>2264</v>
      </c>
    </row>
    <row r="70" spans="2:16">
      <c r="B70" t="s">
        <v>2265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1139643</v>
      </c>
      <c r="F72" t="s">
        <v>1911</v>
      </c>
      <c r="J72" t="s">
        <v>1912</v>
      </c>
      <c r="L72" s="2">
        <v>2776050</v>
      </c>
      <c r="M72" s="2">
        <v>2776050</v>
      </c>
      <c r="N72" s="2">
        <v>0</v>
      </c>
      <c r="O72" t="s">
        <v>1913</v>
      </c>
      <c r="P72" t="s">
        <v>2266</v>
      </c>
    </row>
    <row r="73" spans="2:16">
      <c r="B73" t="s">
        <v>606</v>
      </c>
      <c r="E73" s="2">
        <v>1125550</v>
      </c>
      <c r="F73" t="s">
        <v>1915</v>
      </c>
      <c r="J73" t="s">
        <v>306</v>
      </c>
      <c r="L73" s="2">
        <v>1052310</v>
      </c>
      <c r="M73" s="2">
        <v>1139643</v>
      </c>
      <c r="N73" s="2">
        <v>-87333</v>
      </c>
      <c r="O73" t="s">
        <v>2001</v>
      </c>
      <c r="P73" t="s">
        <v>2267</v>
      </c>
    </row>
    <row r="74" spans="2:16">
      <c r="B74" t="s">
        <v>609</v>
      </c>
      <c r="E74" s="2">
        <v>154500</v>
      </c>
      <c r="F74" t="s">
        <v>1918</v>
      </c>
      <c r="J74" t="s">
        <v>1919</v>
      </c>
      <c r="L74" s="2">
        <v>2299443</v>
      </c>
      <c r="M74" s="2">
        <v>1490300</v>
      </c>
      <c r="N74" s="2">
        <v>809143</v>
      </c>
      <c r="O74" t="s">
        <v>2001</v>
      </c>
      <c r="P74" t="s">
        <v>2268</v>
      </c>
    </row>
    <row r="75" spans="2:16">
      <c r="B75" t="s">
        <v>1921</v>
      </c>
      <c r="E75" s="2">
        <v>-92163</v>
      </c>
      <c r="F75" t="s">
        <v>1922</v>
      </c>
      <c r="J75" t="s">
        <v>1923</v>
      </c>
      <c r="L75" s="2">
        <v>30000</v>
      </c>
      <c r="M75" s="2">
        <v>35100</v>
      </c>
      <c r="N75" s="2">
        <v>-5100</v>
      </c>
      <c r="O75" t="s">
        <v>1916</v>
      </c>
      <c r="P75" t="s">
        <v>2269</v>
      </c>
    </row>
    <row r="76" spans="2:16">
      <c r="B76" t="s">
        <v>614</v>
      </c>
      <c r="E76" s="2">
        <v>520510</v>
      </c>
      <c r="F76" t="s">
        <v>1925</v>
      </c>
      <c r="J76" t="s">
        <v>1926</v>
      </c>
      <c r="K76" s="2">
        <v>9000</v>
      </c>
      <c r="L76" s="2">
        <v>9000</v>
      </c>
      <c r="M76" s="2">
        <v>92163</v>
      </c>
      <c r="N76" s="2">
        <v>-83163</v>
      </c>
      <c r="O76" t="s">
        <v>2001</v>
      </c>
      <c r="P76" t="s">
        <v>2270</v>
      </c>
    </row>
    <row r="77" spans="2:16">
      <c r="B77" t="s">
        <v>1928</v>
      </c>
      <c r="E77" s="2">
        <v>-172680</v>
      </c>
      <c r="F77" t="s">
        <v>1929</v>
      </c>
      <c r="J77" t="s">
        <v>1930</v>
      </c>
      <c r="L77" s="2">
        <v>290000</v>
      </c>
      <c r="M77" s="2">
        <v>360000</v>
      </c>
      <c r="N77" s="2">
        <v>-70000</v>
      </c>
      <c r="O77" t="s">
        <v>2001</v>
      </c>
      <c r="P77" t="s">
        <v>2271</v>
      </c>
    </row>
    <row r="78" spans="2:16">
      <c r="B78" t="s">
        <v>617</v>
      </c>
      <c r="E78" s="2">
        <v>212200</v>
      </c>
      <c r="F78" t="s">
        <v>1932</v>
      </c>
      <c r="J78" t="s">
        <v>1933</v>
      </c>
      <c r="L78" s="2">
        <v>320000</v>
      </c>
      <c r="M78" s="2">
        <v>370000</v>
      </c>
      <c r="N78" s="2">
        <v>-50000</v>
      </c>
      <c r="O78" t="s">
        <v>2001</v>
      </c>
      <c r="P78" t="s">
        <v>2272</v>
      </c>
    </row>
    <row r="79" spans="2:16">
      <c r="B79" t="s">
        <v>618</v>
      </c>
      <c r="E79" s="2">
        <v>279600</v>
      </c>
      <c r="F79" t="s">
        <v>1934</v>
      </c>
      <c r="J79" t="s">
        <v>1935</v>
      </c>
      <c r="L79" s="2">
        <v>511991</v>
      </c>
      <c r="M79" s="2">
        <v>550491</v>
      </c>
      <c r="N79" s="2">
        <v>-38500</v>
      </c>
      <c r="O79" t="s">
        <v>2001</v>
      </c>
      <c r="P79" t="s">
        <v>2273</v>
      </c>
    </row>
    <row r="80" spans="2:16">
      <c r="B80" t="s">
        <v>1937</v>
      </c>
      <c r="E80" s="2">
        <v>58691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80220</v>
      </c>
      <c r="F82" t="s">
        <v>1944</v>
      </c>
      <c r="J82" t="s">
        <v>2223</v>
      </c>
      <c r="N82" s="2">
        <v>-9690</v>
      </c>
    </row>
    <row r="83" spans="2:15">
      <c r="B83" t="s">
        <v>1946</v>
      </c>
      <c r="E83" s="2">
        <v>1461230</v>
      </c>
      <c r="F83" t="s">
        <v>1947</v>
      </c>
      <c r="J83" t="s">
        <v>2274</v>
      </c>
      <c r="N83" s="2">
        <v>50000</v>
      </c>
    </row>
    <row r="84" spans="2:15">
      <c r="B84" t="s">
        <v>635</v>
      </c>
      <c r="E84" s="2">
        <v>127488</v>
      </c>
      <c r="F84" t="s">
        <v>1949</v>
      </c>
      <c r="J84" t="s">
        <v>2275</v>
      </c>
      <c r="N84" s="2">
        <v>20000</v>
      </c>
    </row>
    <row r="85" spans="2:15">
      <c r="B85" t="s">
        <v>60</v>
      </c>
      <c r="E85" s="2">
        <v>0</v>
      </c>
      <c r="F85" t="s">
        <v>1952</v>
      </c>
      <c r="J85" t="s">
        <v>2276</v>
      </c>
      <c r="N85" s="2">
        <v>255880</v>
      </c>
    </row>
    <row r="86" spans="2:15">
      <c r="B86" t="s">
        <v>638</v>
      </c>
      <c r="E86" s="2">
        <v>0</v>
      </c>
      <c r="F86" t="s">
        <v>1953</v>
      </c>
      <c r="J86" t="s">
        <v>1950</v>
      </c>
      <c r="N86" s="2">
        <v>316190</v>
      </c>
      <c r="O86" t="s">
        <v>2277</v>
      </c>
    </row>
    <row r="87" spans="2:15">
      <c r="B87" t="s">
        <v>1954</v>
      </c>
      <c r="E87" s="2">
        <v>5067469</v>
      </c>
      <c r="F87" t="s">
        <v>1955</v>
      </c>
    </row>
    <row r="88" spans="2:15">
      <c r="B88" t="s">
        <v>1956</v>
      </c>
      <c r="E88" s="2">
        <v>3225851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305</v>
      </c>
      <c r="K1" t="s">
        <v>306</v>
      </c>
      <c r="L1" t="s">
        <v>1779</v>
      </c>
      <c r="S1" t="s">
        <v>307</v>
      </c>
      <c r="T1" s="3">
        <v>46266</v>
      </c>
    </row>
    <row r="2" spans="1:20">
      <c r="B2" t="s">
        <v>38</v>
      </c>
      <c r="C2" t="s">
        <v>308</v>
      </c>
      <c r="D2" t="s">
        <v>309</v>
      </c>
      <c r="E2" t="s">
        <v>310</v>
      </c>
      <c r="F2" t="s">
        <v>311</v>
      </c>
      <c r="G2" t="s">
        <v>312</v>
      </c>
      <c r="H2" t="s">
        <v>313</v>
      </c>
      <c r="S2" t="s">
        <v>1780</v>
      </c>
    </row>
    <row r="3" spans="1:20">
      <c r="C3" s="4" t="s">
        <v>2278</v>
      </c>
      <c r="D3" s="4" t="s">
        <v>2279</v>
      </c>
      <c r="E3" s="4" t="s">
        <v>2280</v>
      </c>
      <c r="F3" s="4" t="s">
        <v>2281</v>
      </c>
      <c r="G3" s="4" t="s">
        <v>2282</v>
      </c>
      <c r="H3" s="4" t="s">
        <v>2283</v>
      </c>
      <c r="I3" t="s">
        <v>295</v>
      </c>
      <c r="K3" t="s">
        <v>316</v>
      </c>
      <c r="L3" t="s">
        <v>231</v>
      </c>
      <c r="M3" t="s">
        <v>318</v>
      </c>
      <c r="N3" t="s">
        <v>1785</v>
      </c>
      <c r="O3" t="s">
        <v>319</v>
      </c>
      <c r="P3" t="s">
        <v>31</v>
      </c>
      <c r="Q3" s="5" t="s">
        <v>1786</v>
      </c>
      <c r="R3" t="s">
        <v>1787</v>
      </c>
      <c r="S3" t="s">
        <v>1788</v>
      </c>
      <c r="T3" t="s">
        <v>324</v>
      </c>
    </row>
    <row r="4" spans="1:20">
      <c r="A4" t="s">
        <v>323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73</v>
      </c>
      <c r="M4" t="s">
        <v>326</v>
      </c>
      <c r="O4" t="s">
        <v>524</v>
      </c>
      <c r="P4" s="5">
        <v>391000</v>
      </c>
      <c r="R4" s="5">
        <v>391000</v>
      </c>
      <c r="S4" s="5">
        <v>391000</v>
      </c>
    </row>
    <row r="5" spans="1:20">
      <c r="A5" t="s">
        <v>322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328</v>
      </c>
      <c r="L5" s="4" t="s">
        <v>543</v>
      </c>
      <c r="M5" t="s">
        <v>330</v>
      </c>
      <c r="N5" t="s">
        <v>332</v>
      </c>
      <c r="O5" t="s">
        <v>331</v>
      </c>
      <c r="P5" s="5">
        <v>170350</v>
      </c>
      <c r="R5" s="5">
        <v>170350</v>
      </c>
      <c r="S5" s="5">
        <v>171000</v>
      </c>
    </row>
    <row r="6" spans="1:20">
      <c r="G6" t="s">
        <v>1789</v>
      </c>
      <c r="H6" t="s">
        <v>1790</v>
      </c>
      <c r="I6" t="s">
        <v>1791</v>
      </c>
      <c r="K6" t="s">
        <v>333</v>
      </c>
      <c r="L6" s="4" t="s">
        <v>543</v>
      </c>
      <c r="M6" t="s">
        <v>330</v>
      </c>
      <c r="N6" t="s">
        <v>332</v>
      </c>
      <c r="O6" t="s">
        <v>334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335</v>
      </c>
      <c r="L7" t="s">
        <v>336</v>
      </c>
      <c r="M7" t="s">
        <v>330</v>
      </c>
      <c r="N7" t="s">
        <v>338</v>
      </c>
      <c r="O7" t="s">
        <v>337</v>
      </c>
      <c r="P7" s="5">
        <v>143506</v>
      </c>
      <c r="R7" s="5">
        <v>143506</v>
      </c>
      <c r="S7" s="5">
        <v>144000</v>
      </c>
    </row>
    <row r="8" spans="1:20">
      <c r="B8" s="4" t="s">
        <v>2284</v>
      </c>
      <c r="C8" s="4" t="s">
        <v>2285</v>
      </c>
      <c r="D8" s="4" t="s">
        <v>2286</v>
      </c>
      <c r="E8" s="4" t="s">
        <v>2287</v>
      </c>
      <c r="F8" s="4" t="s">
        <v>2288</v>
      </c>
      <c r="G8" s="4" t="s">
        <v>2289</v>
      </c>
      <c r="H8" s="4" t="s">
        <v>2290</v>
      </c>
      <c r="I8" t="s">
        <v>295</v>
      </c>
      <c r="K8" t="s">
        <v>340</v>
      </c>
      <c r="L8" t="s">
        <v>341</v>
      </c>
      <c r="M8" t="s">
        <v>330</v>
      </c>
      <c r="N8" t="s">
        <v>332</v>
      </c>
      <c r="O8" t="s">
        <v>342</v>
      </c>
      <c r="P8" s="5">
        <v>53620</v>
      </c>
      <c r="R8" s="5">
        <v>53620</v>
      </c>
      <c r="S8" s="5">
        <v>54000</v>
      </c>
    </row>
    <row r="9" spans="1:20">
      <c r="A9" t="s">
        <v>323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343</v>
      </c>
      <c r="M9" t="s">
        <v>344</v>
      </c>
      <c r="N9" t="s">
        <v>332</v>
      </c>
      <c r="O9" t="s">
        <v>345</v>
      </c>
      <c r="P9" s="5">
        <v>12400</v>
      </c>
      <c r="R9" s="5">
        <v>12400</v>
      </c>
      <c r="S9" s="5">
        <v>13000</v>
      </c>
    </row>
    <row r="10" spans="1:20">
      <c r="A10" t="s">
        <v>322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346</v>
      </c>
      <c r="L10" t="s">
        <v>526</v>
      </c>
      <c r="M10" t="s">
        <v>330</v>
      </c>
      <c r="N10" t="s">
        <v>332</v>
      </c>
      <c r="O10" t="s">
        <v>527</v>
      </c>
      <c r="P10" s="5">
        <v>27610</v>
      </c>
      <c r="R10" s="5">
        <v>27610</v>
      </c>
      <c r="S10" s="5">
        <v>28000</v>
      </c>
    </row>
    <row r="11" spans="1:20">
      <c r="G11" t="s">
        <v>1789</v>
      </c>
      <c r="H11" t="s">
        <v>1790</v>
      </c>
      <c r="I11" t="s">
        <v>1791</v>
      </c>
      <c r="K11" t="s">
        <v>350</v>
      </c>
      <c r="L11" t="s">
        <v>514</v>
      </c>
      <c r="M11" t="s">
        <v>162</v>
      </c>
      <c r="N11" t="s">
        <v>332</v>
      </c>
      <c r="O11" t="s">
        <v>515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2291</v>
      </c>
      <c r="C13" s="4" t="s">
        <v>2292</v>
      </c>
      <c r="D13" s="4" t="s">
        <v>2293</v>
      </c>
      <c r="E13" s="4" t="s">
        <v>2294</v>
      </c>
      <c r="F13" s="4" t="s">
        <v>2295</v>
      </c>
      <c r="G13" s="4" t="s">
        <v>2296</v>
      </c>
      <c r="H13" s="4" t="s">
        <v>2297</v>
      </c>
      <c r="I13" t="s">
        <v>295</v>
      </c>
      <c r="K13" t="s">
        <v>531</v>
      </c>
      <c r="L13" t="s">
        <v>187</v>
      </c>
      <c r="M13" t="s">
        <v>326</v>
      </c>
      <c r="N13" t="s">
        <v>332</v>
      </c>
      <c r="O13" t="s">
        <v>532</v>
      </c>
      <c r="P13" s="5">
        <v>93420</v>
      </c>
      <c r="R13" s="5">
        <v>93420</v>
      </c>
      <c r="S13" s="5">
        <v>94000</v>
      </c>
    </row>
    <row r="14" spans="1:20">
      <c r="A14" t="s">
        <v>323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322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362</v>
      </c>
      <c r="L15" t="s">
        <v>547</v>
      </c>
      <c r="M15" t="s">
        <v>344</v>
      </c>
      <c r="O15" t="s">
        <v>360</v>
      </c>
      <c r="P15" s="5">
        <v>29000</v>
      </c>
      <c r="R15" s="5">
        <v>29000</v>
      </c>
      <c r="S15" s="5">
        <v>29000</v>
      </c>
    </row>
    <row r="16" spans="1:20">
      <c r="G16" t="s">
        <v>1789</v>
      </c>
      <c r="H16" t="s">
        <v>1790</v>
      </c>
      <c r="I16" t="s">
        <v>1791</v>
      </c>
      <c r="L16" t="s">
        <v>363</v>
      </c>
      <c r="M16" t="s">
        <v>344</v>
      </c>
      <c r="N16" t="s">
        <v>365</v>
      </c>
      <c r="O16" t="s">
        <v>364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366</v>
      </c>
      <c r="M17" t="s">
        <v>344</v>
      </c>
      <c r="N17" t="s">
        <v>367</v>
      </c>
      <c r="O17" t="s">
        <v>360</v>
      </c>
      <c r="P17" s="5">
        <v>4890</v>
      </c>
      <c r="R17" s="5">
        <v>4890</v>
      </c>
      <c r="S17" s="5">
        <v>5000</v>
      </c>
    </row>
    <row r="18" spans="1:20">
      <c r="B18" s="4" t="s">
        <v>2298</v>
      </c>
      <c r="C18" s="4" t="s">
        <v>2299</v>
      </c>
      <c r="D18" s="4" t="s">
        <v>2300</v>
      </c>
      <c r="E18" s="4" t="s">
        <v>2301</v>
      </c>
      <c r="F18" s="4" t="s">
        <v>2302</v>
      </c>
      <c r="G18" s="4" t="s">
        <v>2303</v>
      </c>
      <c r="H18" s="4" t="s">
        <v>2304</v>
      </c>
      <c r="I18" t="s">
        <v>295</v>
      </c>
      <c r="L18" t="s">
        <v>369</v>
      </c>
      <c r="M18" t="s">
        <v>344</v>
      </c>
      <c r="N18" t="s">
        <v>371</v>
      </c>
      <c r="O18" t="s">
        <v>370</v>
      </c>
      <c r="P18" s="5">
        <v>10795</v>
      </c>
      <c r="R18" s="5">
        <v>10795</v>
      </c>
      <c r="S18" s="5">
        <v>11000</v>
      </c>
    </row>
    <row r="19" spans="1:20">
      <c r="A19" t="s">
        <v>323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372</v>
      </c>
      <c r="M19" t="s">
        <v>344</v>
      </c>
      <c r="N19" t="s">
        <v>374</v>
      </c>
      <c r="O19" t="s">
        <v>373</v>
      </c>
      <c r="P19" s="5">
        <v>7737</v>
      </c>
      <c r="R19" s="5">
        <v>7737</v>
      </c>
      <c r="S19" s="5">
        <v>8000</v>
      </c>
    </row>
    <row r="20" spans="1:20">
      <c r="A20" t="s">
        <v>322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375</v>
      </c>
      <c r="M20" t="s">
        <v>344</v>
      </c>
      <c r="N20" t="s">
        <v>371</v>
      </c>
      <c r="O20" t="s">
        <v>376</v>
      </c>
      <c r="P20" s="5">
        <v>4898</v>
      </c>
      <c r="R20" s="5">
        <v>4898</v>
      </c>
      <c r="S20" s="5">
        <v>5000</v>
      </c>
    </row>
    <row r="21" spans="1:20">
      <c r="G21" t="s">
        <v>1789</v>
      </c>
      <c r="H21" t="s">
        <v>1790</v>
      </c>
      <c r="I21" t="s">
        <v>1791</v>
      </c>
      <c r="L21" t="s">
        <v>377</v>
      </c>
      <c r="M21" t="s">
        <v>344</v>
      </c>
      <c r="N21" t="s">
        <v>379</v>
      </c>
      <c r="O21" t="s">
        <v>378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380</v>
      </c>
      <c r="L22" t="s">
        <v>381</v>
      </c>
      <c r="M22" t="s">
        <v>330</v>
      </c>
      <c r="N22" t="s">
        <v>383</v>
      </c>
      <c r="P22" s="5">
        <v>74700</v>
      </c>
      <c r="R22" s="5">
        <v>74700</v>
      </c>
      <c r="S22" s="5">
        <v>75000</v>
      </c>
      <c r="T22" t="s">
        <v>548</v>
      </c>
    </row>
    <row r="23" spans="1:20">
      <c r="B23" s="4" t="s">
        <v>2305</v>
      </c>
      <c r="C23" s="4" t="s">
        <v>2306</v>
      </c>
      <c r="D23" s="4" t="s">
        <v>2307</v>
      </c>
      <c r="I23" t="s">
        <v>295</v>
      </c>
      <c r="L23" t="s">
        <v>496</v>
      </c>
      <c r="M23" t="s">
        <v>330</v>
      </c>
      <c r="N23" t="s">
        <v>76</v>
      </c>
      <c r="O23" t="s">
        <v>497</v>
      </c>
      <c r="P23" s="5">
        <v>10200</v>
      </c>
      <c r="R23" s="5">
        <v>10200</v>
      </c>
      <c r="S23" s="5">
        <v>11000</v>
      </c>
      <c r="T23" t="s">
        <v>382</v>
      </c>
    </row>
    <row r="24" spans="1:20">
      <c r="A24" t="s">
        <v>323</v>
      </c>
      <c r="B24" s="5">
        <v>15000</v>
      </c>
      <c r="I24" s="7">
        <v>15000</v>
      </c>
      <c r="L24" t="s">
        <v>517</v>
      </c>
      <c r="M24" t="s">
        <v>330</v>
      </c>
      <c r="N24" t="s">
        <v>76</v>
      </c>
      <c r="O24" t="s">
        <v>378</v>
      </c>
      <c r="P24" s="5">
        <v>26400</v>
      </c>
      <c r="R24" s="5">
        <v>26400</v>
      </c>
      <c r="S24" s="5">
        <v>27000</v>
      </c>
      <c r="T24" t="s">
        <v>386</v>
      </c>
    </row>
    <row r="25" spans="1:20">
      <c r="A25" t="s">
        <v>322</v>
      </c>
      <c r="B25" s="5">
        <v>14900</v>
      </c>
      <c r="I25" s="7">
        <v>14900</v>
      </c>
      <c r="K25" t="s">
        <v>295</v>
      </c>
      <c r="P25" s="5">
        <v>1234406</v>
      </c>
      <c r="R25" s="5">
        <v>1234406</v>
      </c>
      <c r="S25" s="5">
        <v>1235000</v>
      </c>
    </row>
    <row r="26" spans="1:20">
      <c r="G26" t="s">
        <v>1789</v>
      </c>
      <c r="H26" t="s">
        <v>1790</v>
      </c>
      <c r="I26" t="s">
        <v>1791</v>
      </c>
      <c r="P26" t="s">
        <v>2036</v>
      </c>
    </row>
    <row r="27" spans="1:20">
      <c r="G27" s="5">
        <v>1706000</v>
      </c>
      <c r="H27" s="5">
        <v>1666691</v>
      </c>
      <c r="I27" s="6">
        <v>100</v>
      </c>
      <c r="P27" t="s">
        <v>2038</v>
      </c>
    </row>
    <row r="28" spans="1:20">
      <c r="P28" t="s">
        <v>2039</v>
      </c>
    </row>
    <row r="29" spans="1:20">
      <c r="A29" t="s">
        <v>1985</v>
      </c>
      <c r="C29" s="7">
        <v>25000</v>
      </c>
      <c r="D29" t="s">
        <v>315</v>
      </c>
      <c r="E29" t="s">
        <v>339</v>
      </c>
      <c r="F29" t="s">
        <v>357</v>
      </c>
      <c r="G29" t="s">
        <v>368</v>
      </c>
      <c r="H29" t="s">
        <v>384</v>
      </c>
      <c r="I29" t="s">
        <v>1822</v>
      </c>
      <c r="K29" t="s">
        <v>1823</v>
      </c>
      <c r="Q29" t="s">
        <v>1824</v>
      </c>
    </row>
    <row r="30" spans="1:20">
      <c r="A30" s="5">
        <v>200000</v>
      </c>
      <c r="C30" t="s">
        <v>399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316</v>
      </c>
      <c r="L30" t="s">
        <v>1825</v>
      </c>
      <c r="M30" t="s">
        <v>1826</v>
      </c>
      <c r="N30" t="s">
        <v>401</v>
      </c>
      <c r="O30" t="s">
        <v>1788</v>
      </c>
      <c r="P30" t="s">
        <v>223</v>
      </c>
      <c r="Q30" t="s">
        <v>35</v>
      </c>
      <c r="R30" t="s">
        <v>400</v>
      </c>
      <c r="S30" t="s">
        <v>401</v>
      </c>
      <c r="T30" t="s">
        <v>223</v>
      </c>
    </row>
    <row r="31" spans="1:20">
      <c r="A31" s="5">
        <v>230000</v>
      </c>
      <c r="C31" t="s">
        <v>322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1827</v>
      </c>
      <c r="K31" t="s">
        <v>403</v>
      </c>
      <c r="L31" t="s">
        <v>1828</v>
      </c>
      <c r="M31" s="2">
        <v>150000</v>
      </c>
      <c r="N31" s="2">
        <v>150000</v>
      </c>
      <c r="O31" s="2">
        <v>150000</v>
      </c>
      <c r="P31" s="2">
        <v>0</v>
      </c>
      <c r="Q31" t="s">
        <v>1829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1830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404</v>
      </c>
      <c r="L32" t="s">
        <v>1828</v>
      </c>
      <c r="M32" s="2">
        <v>20000</v>
      </c>
      <c r="N32" s="2">
        <v>20000</v>
      </c>
      <c r="O32" s="2">
        <v>20000</v>
      </c>
      <c r="P32" s="2">
        <v>0</v>
      </c>
      <c r="Q32" t="s">
        <v>1831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1832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1833</v>
      </c>
      <c r="K33" t="s">
        <v>406</v>
      </c>
      <c r="L33" t="s">
        <v>1828</v>
      </c>
      <c r="M33" s="2">
        <v>120000</v>
      </c>
      <c r="N33" s="2">
        <v>120000</v>
      </c>
      <c r="O33" s="2">
        <v>120000</v>
      </c>
      <c r="P33" s="2">
        <v>0</v>
      </c>
      <c r="Q33" t="s">
        <v>1834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1990</v>
      </c>
      <c r="I34" t="b">
        <v>1</v>
      </c>
      <c r="K34" t="s">
        <v>409</v>
      </c>
      <c r="M34" s="2">
        <v>50000</v>
      </c>
      <c r="N34" s="2">
        <v>0</v>
      </c>
      <c r="O34" s="2">
        <v>0</v>
      </c>
      <c r="P34" s="2">
        <v>-50000</v>
      </c>
      <c r="Q34" t="s">
        <v>1835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232</v>
      </c>
      <c r="C35" t="s">
        <v>1836</v>
      </c>
      <c r="D35" t="s">
        <v>1837</v>
      </c>
      <c r="E35" t="s">
        <v>1838</v>
      </c>
      <c r="F35" t="s">
        <v>1839</v>
      </c>
      <c r="G35" t="s">
        <v>1840</v>
      </c>
      <c r="H35" t="s">
        <v>1841</v>
      </c>
      <c r="I35" t="s">
        <v>1842</v>
      </c>
      <c r="K35" t="s">
        <v>412</v>
      </c>
      <c r="M35" s="2">
        <v>100000</v>
      </c>
      <c r="N35" s="2">
        <v>0</v>
      </c>
      <c r="O35" s="2">
        <v>0</v>
      </c>
      <c r="P35" s="2">
        <v>-100000</v>
      </c>
      <c r="Q35" t="s">
        <v>1843</v>
      </c>
      <c r="R35" s="2">
        <v>0</v>
      </c>
      <c r="S35" s="2">
        <v>0</v>
      </c>
      <c r="T35" s="2">
        <v>0</v>
      </c>
    </row>
    <row r="36" spans="1:20">
      <c r="B36" t="s">
        <v>399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415</v>
      </c>
      <c r="N36" s="2">
        <v>0</v>
      </c>
      <c r="O36" s="2">
        <v>0</v>
      </c>
      <c r="Q36" t="s">
        <v>1844</v>
      </c>
      <c r="S36" s="2">
        <v>200000</v>
      </c>
    </row>
    <row r="37" spans="1:20">
      <c r="B37" t="s">
        <v>322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416</v>
      </c>
      <c r="M37" s="2">
        <v>0</v>
      </c>
      <c r="N37" s="2">
        <v>0</v>
      </c>
      <c r="O37" s="2">
        <v>0</v>
      </c>
      <c r="P37" s="2">
        <v>0</v>
      </c>
      <c r="Q37" t="s">
        <v>1845</v>
      </c>
      <c r="S37" s="2">
        <v>200000</v>
      </c>
    </row>
    <row r="38" spans="1:20">
      <c r="B38" t="s">
        <v>1846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295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1847</v>
      </c>
      <c r="S38" s="2">
        <v>20000</v>
      </c>
    </row>
    <row r="39" spans="1:20">
      <c r="B39" t="s">
        <v>1848</v>
      </c>
      <c r="C39" s="2">
        <v>-866691</v>
      </c>
      <c r="D39" s="2">
        <v>-34406</v>
      </c>
      <c r="F39" s="2">
        <v>150000</v>
      </c>
      <c r="G39" s="2">
        <v>0</v>
      </c>
      <c r="K39" t="s">
        <v>1849</v>
      </c>
      <c r="Q39" t="s">
        <v>295</v>
      </c>
      <c r="R39" s="2">
        <v>300000</v>
      </c>
      <c r="S39" s="2">
        <v>720000</v>
      </c>
      <c r="T39" s="2">
        <v>420000</v>
      </c>
    </row>
    <row r="40" spans="1:20">
      <c r="C40" t="s">
        <v>397</v>
      </c>
      <c r="D40" t="s">
        <v>54</v>
      </c>
      <c r="E40" t="s">
        <v>1850</v>
      </c>
      <c r="F40" t="s">
        <v>1833</v>
      </c>
      <c r="H40" t="s">
        <v>1851</v>
      </c>
      <c r="I40" t="s">
        <v>1852</v>
      </c>
      <c r="J40" t="s">
        <v>1833</v>
      </c>
      <c r="Q40" t="s">
        <v>1853</v>
      </c>
      <c r="R40" s="2">
        <v>300000</v>
      </c>
      <c r="S40" s="2">
        <v>300000</v>
      </c>
      <c r="T40" s="2">
        <v>0</v>
      </c>
    </row>
    <row r="41" spans="1:20">
      <c r="B41" t="s">
        <v>399</v>
      </c>
      <c r="C41" s="2">
        <v>3126050</v>
      </c>
      <c r="D41" s="2">
        <v>3951000</v>
      </c>
      <c r="E41" s="2">
        <v>-824950</v>
      </c>
      <c r="F41" t="s">
        <v>2128</v>
      </c>
      <c r="H41" s="2">
        <v>39309</v>
      </c>
      <c r="I41" s="2">
        <v>39309</v>
      </c>
      <c r="J41" t="b">
        <v>1</v>
      </c>
      <c r="Q41" t="s">
        <v>2040</v>
      </c>
    </row>
    <row r="42" spans="1:20">
      <c r="B42" t="s">
        <v>322</v>
      </c>
      <c r="C42" s="2">
        <v>3126050</v>
      </c>
      <c r="D42" s="2">
        <v>3911097</v>
      </c>
      <c r="E42" s="2">
        <v>-785047</v>
      </c>
      <c r="F42" t="s">
        <v>2128</v>
      </c>
      <c r="G42" t="s">
        <v>1856</v>
      </c>
    </row>
    <row r="43" spans="1:20">
      <c r="I43" t="s">
        <v>1857</v>
      </c>
    </row>
    <row r="44" spans="1:20">
      <c r="I44" t="s">
        <v>29</v>
      </c>
    </row>
    <row r="45" spans="1:20">
      <c r="B45" t="s">
        <v>397</v>
      </c>
      <c r="E45" t="s">
        <v>1992</v>
      </c>
      <c r="I45" t="s">
        <v>316</v>
      </c>
    </row>
    <row r="46" spans="1:20">
      <c r="B46" t="s">
        <v>316</v>
      </c>
      <c r="C46" t="s">
        <v>31</v>
      </c>
      <c r="E46" t="s">
        <v>1863</v>
      </c>
      <c r="F46" t="s">
        <v>1864</v>
      </c>
      <c r="G46" t="s">
        <v>1865</v>
      </c>
      <c r="I46" t="s">
        <v>399</v>
      </c>
    </row>
    <row r="47" spans="1:20">
      <c r="B47" t="s">
        <v>57</v>
      </c>
      <c r="C47" s="2">
        <v>2776050</v>
      </c>
      <c r="E47" s="5">
        <v>1706000</v>
      </c>
      <c r="F47" s="5">
        <v>1691000</v>
      </c>
      <c r="G47" t="b">
        <v>0</v>
      </c>
      <c r="H47" t="s">
        <v>2308</v>
      </c>
      <c r="I47" t="s">
        <v>322</v>
      </c>
    </row>
    <row r="48" spans="1:20">
      <c r="B48" t="s">
        <v>61</v>
      </c>
      <c r="C48" s="2">
        <v>50000</v>
      </c>
    </row>
    <row r="49" spans="2:19">
      <c r="B49" t="s">
        <v>267</v>
      </c>
      <c r="C49" s="2">
        <v>300000</v>
      </c>
      <c r="Q49" t="s">
        <v>1867</v>
      </c>
    </row>
    <row r="50" spans="2:19">
      <c r="B50" t="s">
        <v>453</v>
      </c>
      <c r="K50" t="s">
        <v>1868</v>
      </c>
      <c r="Q50" t="s">
        <v>316</v>
      </c>
      <c r="R50" t="s">
        <v>31</v>
      </c>
      <c r="S50" t="s">
        <v>1691</v>
      </c>
    </row>
    <row r="51" spans="2:19">
      <c r="K51" t="s">
        <v>586</v>
      </c>
      <c r="L51" t="s">
        <v>1869</v>
      </c>
      <c r="M51" t="s">
        <v>1870</v>
      </c>
      <c r="N51" t="s">
        <v>223</v>
      </c>
      <c r="O51" t="s">
        <v>1871</v>
      </c>
      <c r="P51" t="s">
        <v>430</v>
      </c>
      <c r="Q51" t="s">
        <v>397</v>
      </c>
      <c r="R51" s="2">
        <v>3126050</v>
      </c>
      <c r="S51" t="s">
        <v>1872</v>
      </c>
    </row>
    <row r="52" spans="2:19">
      <c r="K52" t="s">
        <v>1672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2309</v>
      </c>
      <c r="Q52" t="s">
        <v>1874</v>
      </c>
      <c r="R52" s="2">
        <v>1234406</v>
      </c>
      <c r="S52" t="s">
        <v>1875</v>
      </c>
    </row>
    <row r="53" spans="2:19">
      <c r="B53" t="s">
        <v>1876</v>
      </c>
      <c r="K53" t="s">
        <v>14</v>
      </c>
      <c r="L53" s="2">
        <v>0</v>
      </c>
      <c r="M53" s="2">
        <v>0</v>
      </c>
      <c r="N53" s="2">
        <v>0</v>
      </c>
      <c r="O53" s="2">
        <v>1400000</v>
      </c>
      <c r="Q53" t="s">
        <v>1877</v>
      </c>
      <c r="R53" s="2">
        <v>1666691</v>
      </c>
      <c r="S53" t="s">
        <v>1878</v>
      </c>
    </row>
    <row r="54" spans="2:19">
      <c r="B54" t="s">
        <v>29</v>
      </c>
      <c r="C54" t="s">
        <v>232</v>
      </c>
      <c r="D54" t="s">
        <v>316</v>
      </c>
      <c r="E54" t="s">
        <v>427</v>
      </c>
      <c r="F54" t="s">
        <v>1879</v>
      </c>
      <c r="G54" t="s">
        <v>1880</v>
      </c>
      <c r="H54" t="s">
        <v>1881</v>
      </c>
      <c r="I54" t="s">
        <v>1882</v>
      </c>
      <c r="J54" t="s">
        <v>1788</v>
      </c>
      <c r="K54" t="s">
        <v>15</v>
      </c>
      <c r="L54" s="2">
        <v>0</v>
      </c>
      <c r="M54" s="2">
        <v>0</v>
      </c>
      <c r="N54" s="2">
        <v>0</v>
      </c>
      <c r="O54" s="2">
        <v>100000</v>
      </c>
      <c r="Q54" t="s">
        <v>1883</v>
      </c>
      <c r="R54" s="2">
        <v>0</v>
      </c>
      <c r="S54" t="s">
        <v>1884</v>
      </c>
    </row>
    <row r="55" spans="2:19">
      <c r="K55" t="s">
        <v>16</v>
      </c>
      <c r="L55" s="2">
        <v>0</v>
      </c>
      <c r="M55" s="2">
        <v>0</v>
      </c>
      <c r="N55" s="2">
        <v>0</v>
      </c>
      <c r="O55" s="2">
        <v>300000</v>
      </c>
      <c r="Q55" t="s">
        <v>1885</v>
      </c>
      <c r="R55" s="2">
        <v>2901097</v>
      </c>
      <c r="S55" t="s">
        <v>1886</v>
      </c>
    </row>
    <row r="56" spans="2:19">
      <c r="K56" t="s">
        <v>1678</v>
      </c>
      <c r="L56" s="2">
        <v>0</v>
      </c>
      <c r="M56" s="2">
        <v>0</v>
      </c>
      <c r="N56" s="2">
        <v>0</v>
      </c>
      <c r="O56" s="2">
        <v>0</v>
      </c>
      <c r="Q56" t="s">
        <v>1839</v>
      </c>
      <c r="R56" s="2">
        <v>290000</v>
      </c>
      <c r="S56" t="s">
        <v>1887</v>
      </c>
    </row>
    <row r="57" spans="2:19">
      <c r="K57" t="s">
        <v>295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1824</v>
      </c>
      <c r="R57" s="2">
        <v>720000</v>
      </c>
      <c r="S57" t="s">
        <v>1888</v>
      </c>
    </row>
    <row r="58" spans="2:19">
      <c r="Q58" t="s">
        <v>1890</v>
      </c>
      <c r="R58" s="2">
        <v>0</v>
      </c>
      <c r="S58" t="s">
        <v>1891</v>
      </c>
    </row>
    <row r="59" spans="2:19">
      <c r="Q59" t="s">
        <v>1892</v>
      </c>
      <c r="R59" s="2">
        <v>3911097</v>
      </c>
      <c r="S59" t="s">
        <v>1893</v>
      </c>
    </row>
    <row r="60" spans="2:19">
      <c r="Q60" t="s">
        <v>1894</v>
      </c>
      <c r="R60" s="2">
        <v>-785047</v>
      </c>
      <c r="S60" t="s">
        <v>2128</v>
      </c>
    </row>
    <row r="61" spans="2:19">
      <c r="Q61" t="s">
        <v>1895</v>
      </c>
      <c r="R61" s="2">
        <v>250000</v>
      </c>
      <c r="S61" t="s">
        <v>1896</v>
      </c>
    </row>
    <row r="62" spans="2:19">
      <c r="Q62" t="s">
        <v>1897</v>
      </c>
      <c r="R62" s="2">
        <v>3151097</v>
      </c>
      <c r="S62" t="s">
        <v>1898</v>
      </c>
    </row>
    <row r="63" spans="2:19">
      <c r="Q63" t="s">
        <v>1899</v>
      </c>
      <c r="R63" s="2">
        <v>6388603</v>
      </c>
      <c r="S63" t="s">
        <v>2044</v>
      </c>
    </row>
    <row r="64" spans="2:19">
      <c r="Q64" t="s">
        <v>1901</v>
      </c>
      <c r="R64" s="2">
        <v>2150000</v>
      </c>
      <c r="S64" t="s">
        <v>1902</v>
      </c>
    </row>
    <row r="65" spans="2:16">
      <c r="B65" t="s">
        <v>295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1903</v>
      </c>
    </row>
    <row r="67" spans="2:16">
      <c r="B67" t="s">
        <v>1904</v>
      </c>
    </row>
    <row r="70" spans="2:16">
      <c r="B70" t="s">
        <v>2310</v>
      </c>
    </row>
    <row r="71" spans="2:16">
      <c r="B71" t="s">
        <v>1906</v>
      </c>
      <c r="E71" t="s">
        <v>1907</v>
      </c>
      <c r="F71" t="s">
        <v>1691</v>
      </c>
      <c r="J71" t="s">
        <v>1908</v>
      </c>
      <c r="L71" t="s">
        <v>1909</v>
      </c>
      <c r="M71" t="s">
        <v>1910</v>
      </c>
      <c r="N71" t="s">
        <v>223</v>
      </c>
      <c r="O71" t="s">
        <v>1735</v>
      </c>
      <c r="P71" t="s">
        <v>215</v>
      </c>
    </row>
    <row r="72" spans="2:16">
      <c r="B72" t="s">
        <v>600</v>
      </c>
      <c r="E72" s="2">
        <v>917156</v>
      </c>
      <c r="F72" t="s">
        <v>1911</v>
      </c>
      <c r="J72" t="s">
        <v>1912</v>
      </c>
      <c r="L72" s="2">
        <v>3126050</v>
      </c>
      <c r="M72" s="2">
        <v>3126050</v>
      </c>
      <c r="N72" s="2">
        <v>0</v>
      </c>
      <c r="O72" t="s">
        <v>1913</v>
      </c>
      <c r="P72" t="s">
        <v>2311</v>
      </c>
    </row>
    <row r="73" spans="2:16">
      <c r="B73" t="s">
        <v>606</v>
      </c>
      <c r="E73" s="2">
        <v>1095630</v>
      </c>
      <c r="F73" t="s">
        <v>1915</v>
      </c>
      <c r="J73" t="s">
        <v>306</v>
      </c>
      <c r="L73" s="2">
        <v>1234406</v>
      </c>
      <c r="M73" s="2">
        <v>917156</v>
      </c>
      <c r="N73" s="2">
        <v>317250</v>
      </c>
      <c r="O73" t="s">
        <v>2001</v>
      </c>
      <c r="P73" t="s">
        <v>2312</v>
      </c>
    </row>
    <row r="74" spans="2:16">
      <c r="B74" t="s">
        <v>609</v>
      </c>
      <c r="E74" s="2">
        <v>150500</v>
      </c>
      <c r="F74" t="s">
        <v>1918</v>
      </c>
      <c r="J74" t="s">
        <v>1919</v>
      </c>
      <c r="L74" s="2">
        <v>1666691</v>
      </c>
      <c r="M74" s="2">
        <v>1682930</v>
      </c>
      <c r="N74" s="2">
        <v>-16239</v>
      </c>
      <c r="O74" t="s">
        <v>1916</v>
      </c>
      <c r="P74" t="s">
        <v>1997</v>
      </c>
    </row>
    <row r="75" spans="2:16">
      <c r="B75" t="s">
        <v>1921</v>
      </c>
      <c r="E75" s="2">
        <v>0</v>
      </c>
      <c r="F75" t="s">
        <v>1922</v>
      </c>
      <c r="J75" t="s">
        <v>1923</v>
      </c>
      <c r="L75" s="2">
        <v>0</v>
      </c>
      <c r="M75" s="2">
        <v>0</v>
      </c>
      <c r="N75" s="2">
        <v>0</v>
      </c>
      <c r="O75" t="s">
        <v>1913</v>
      </c>
      <c r="P75" t="s">
        <v>1914</v>
      </c>
    </row>
    <row r="76" spans="2:16">
      <c r="B76" t="s">
        <v>614</v>
      </c>
      <c r="E76" s="2">
        <v>913520</v>
      </c>
      <c r="F76" t="s">
        <v>1925</v>
      </c>
      <c r="J76" t="s">
        <v>1926</v>
      </c>
      <c r="K76" s="2">
        <v>9000</v>
      </c>
      <c r="L76" s="2">
        <v>9000</v>
      </c>
      <c r="M76" s="2">
        <v>0</v>
      </c>
      <c r="N76" s="2">
        <v>9000</v>
      </c>
      <c r="O76" t="s">
        <v>1916</v>
      </c>
      <c r="P76" t="s">
        <v>2313</v>
      </c>
    </row>
    <row r="77" spans="2:16">
      <c r="B77" t="s">
        <v>1928</v>
      </c>
      <c r="E77" s="2">
        <v>-238360</v>
      </c>
      <c r="F77" t="s">
        <v>1929</v>
      </c>
      <c r="J77" t="s">
        <v>1930</v>
      </c>
      <c r="L77" s="2">
        <v>290000</v>
      </c>
      <c r="M77" s="2">
        <v>290000</v>
      </c>
      <c r="N77" s="2">
        <v>0</v>
      </c>
      <c r="O77" t="s">
        <v>1913</v>
      </c>
      <c r="P77" t="s">
        <v>1914</v>
      </c>
    </row>
    <row r="78" spans="2:16">
      <c r="B78" t="s">
        <v>617</v>
      </c>
      <c r="E78" s="2">
        <v>178670</v>
      </c>
      <c r="F78" t="s">
        <v>1932</v>
      </c>
      <c r="J78" t="s">
        <v>1933</v>
      </c>
      <c r="L78" s="2">
        <v>420000</v>
      </c>
      <c r="M78" s="2">
        <v>420000</v>
      </c>
      <c r="N78" s="2">
        <v>0</v>
      </c>
      <c r="O78" t="s">
        <v>1913</v>
      </c>
      <c r="P78" t="s">
        <v>1914</v>
      </c>
    </row>
    <row r="79" spans="2:16">
      <c r="B79" t="s">
        <v>618</v>
      </c>
      <c r="E79" s="2">
        <v>0</v>
      </c>
      <c r="F79" t="s">
        <v>1934</v>
      </c>
      <c r="J79" t="s">
        <v>1935</v>
      </c>
      <c r="L79" s="2">
        <v>0</v>
      </c>
      <c r="M79" s="2">
        <v>178670</v>
      </c>
      <c r="N79" s="2">
        <v>-178670</v>
      </c>
      <c r="O79" t="s">
        <v>2001</v>
      </c>
      <c r="P79" t="s">
        <v>2314</v>
      </c>
    </row>
    <row r="80" spans="2:16">
      <c r="B80" t="s">
        <v>1937</v>
      </c>
      <c r="E80" s="2">
        <v>0</v>
      </c>
      <c r="F80" t="s">
        <v>1938</v>
      </c>
    </row>
    <row r="81" spans="2:15">
      <c r="B81" t="s">
        <v>1939</v>
      </c>
      <c r="E81" s="2">
        <v>0</v>
      </c>
      <c r="F81" t="s">
        <v>1940</v>
      </c>
      <c r="J81" t="s">
        <v>1941</v>
      </c>
      <c r="N81" t="s">
        <v>1942</v>
      </c>
    </row>
    <row r="82" spans="2:15">
      <c r="B82" t="s">
        <v>1943</v>
      </c>
      <c r="E82" s="2">
        <v>14701</v>
      </c>
      <c r="F82" t="s">
        <v>1944</v>
      </c>
      <c r="J82" t="s">
        <v>2315</v>
      </c>
      <c r="N82" s="2">
        <v>-15350</v>
      </c>
    </row>
    <row r="83" spans="2:15">
      <c r="B83" t="s">
        <v>1946</v>
      </c>
      <c r="E83" s="2">
        <v>0</v>
      </c>
      <c r="F83" t="s">
        <v>1947</v>
      </c>
      <c r="J83" t="s">
        <v>2223</v>
      </c>
      <c r="N83" s="2">
        <v>-9690</v>
      </c>
    </row>
    <row r="84" spans="2:15">
      <c r="B84" t="s">
        <v>635</v>
      </c>
      <c r="E84" s="2">
        <v>66191</v>
      </c>
      <c r="F84" t="s">
        <v>1949</v>
      </c>
      <c r="J84" t="s">
        <v>2316</v>
      </c>
      <c r="N84" s="2">
        <v>50000</v>
      </c>
    </row>
    <row r="85" spans="2:15">
      <c r="B85" t="s">
        <v>60</v>
      </c>
      <c r="E85" s="2">
        <v>0</v>
      </c>
      <c r="F85" t="s">
        <v>1952</v>
      </c>
      <c r="J85" t="s">
        <v>2275</v>
      </c>
      <c r="N85" s="2">
        <v>20000</v>
      </c>
    </row>
    <row r="86" spans="2:15">
      <c r="B86" t="s">
        <v>638</v>
      </c>
      <c r="E86" s="2">
        <v>0</v>
      </c>
      <c r="F86" t="s">
        <v>1953</v>
      </c>
      <c r="J86" t="s">
        <v>1950</v>
      </c>
      <c r="N86" s="2">
        <v>44960</v>
      </c>
      <c r="O86" t="s">
        <v>2317</v>
      </c>
    </row>
    <row r="87" spans="2:15">
      <c r="B87" t="s">
        <v>1954</v>
      </c>
      <c r="E87" s="2">
        <v>3336368</v>
      </c>
      <c r="F87" t="s">
        <v>1955</v>
      </c>
    </row>
    <row r="88" spans="2:15">
      <c r="B88" t="s">
        <v>1956</v>
      </c>
      <c r="E88" s="2">
        <v>3017116</v>
      </c>
      <c r="F88" t="s">
        <v>1957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2318</v>
      </c>
    </row>
    <row r="5" spans="2:7">
      <c r="B5" t="s">
        <v>2319</v>
      </c>
      <c r="C5" s="6">
        <v>30000000</v>
      </c>
      <c r="D5" t="s">
        <v>2320</v>
      </c>
      <c r="E5" s="6">
        <v>180000</v>
      </c>
    </row>
    <row r="6" spans="2:7">
      <c r="B6" t="s">
        <v>2321</v>
      </c>
      <c r="C6" s="6">
        <v>-25500000</v>
      </c>
      <c r="D6" t="s">
        <v>2322</v>
      </c>
      <c r="E6" s="6">
        <v>540000</v>
      </c>
    </row>
    <row r="7" spans="2:7">
      <c r="B7" t="s">
        <v>2323</v>
      </c>
      <c r="C7" s="6">
        <v>20000000</v>
      </c>
      <c r="D7" t="s">
        <v>923</v>
      </c>
      <c r="E7" s="6">
        <v>60000</v>
      </c>
    </row>
    <row r="8" spans="2:7">
      <c r="B8" t="s">
        <v>2324</v>
      </c>
      <c r="C8" s="6">
        <v>50000000</v>
      </c>
      <c r="D8" t="s">
        <v>365</v>
      </c>
      <c r="E8" s="6">
        <v>163910</v>
      </c>
    </row>
    <row r="9" spans="2:7">
      <c r="B9" t="s">
        <v>2325</v>
      </c>
      <c r="C9" s="6">
        <v>-59500000</v>
      </c>
      <c r="D9" t="s">
        <v>1414</v>
      </c>
      <c r="E9" s="6">
        <v>44900</v>
      </c>
    </row>
    <row r="10" spans="2:7">
      <c r="B10" t="s">
        <v>638</v>
      </c>
      <c r="C10" s="6">
        <v>2000000</v>
      </c>
      <c r="D10" t="s">
        <v>2326</v>
      </c>
      <c r="E10" s="6">
        <v>12000</v>
      </c>
    </row>
    <row r="11" spans="2:7">
      <c r="B11" t="s">
        <v>2327</v>
      </c>
      <c r="C11" s="6">
        <v>201666</v>
      </c>
      <c r="D11" t="s">
        <v>2328</v>
      </c>
      <c r="E11" s="6">
        <v>387960</v>
      </c>
    </row>
    <row r="12" spans="2:7">
      <c r="B12" t="s">
        <v>2329</v>
      </c>
      <c r="C12" s="6">
        <v>396620</v>
      </c>
      <c r="D12" t="s">
        <v>934</v>
      </c>
      <c r="E12" s="6">
        <v>130850</v>
      </c>
    </row>
    <row r="13" spans="2:7">
      <c r="B13" t="s">
        <v>328</v>
      </c>
      <c r="C13" s="6">
        <v>-278000</v>
      </c>
      <c r="D13" t="s">
        <v>1233</v>
      </c>
      <c r="E13" s="6">
        <v>22400</v>
      </c>
    </row>
    <row r="14" spans="2:7">
      <c r="B14" t="s">
        <v>2330</v>
      </c>
      <c r="C14" s="6">
        <v>-200000</v>
      </c>
      <c r="D14" t="s">
        <v>2331</v>
      </c>
      <c r="E14" s="6">
        <v>244020</v>
      </c>
      <c r="F14" t="s">
        <v>2332</v>
      </c>
    </row>
    <row r="15" spans="2:7">
      <c r="B15" t="s">
        <v>2333</v>
      </c>
      <c r="C15" s="6">
        <v>-34100</v>
      </c>
      <c r="D15" t="s">
        <v>2334</v>
      </c>
      <c r="E15" s="6">
        <v>170100</v>
      </c>
      <c r="F15" s="5">
        <v>35000</v>
      </c>
      <c r="G15" s="6" t="s">
        <v>560</v>
      </c>
    </row>
    <row r="16" spans="2:7">
      <c r="B16" t="s">
        <v>115</v>
      </c>
      <c r="C16" s="6">
        <v>250000</v>
      </c>
      <c r="D16" t="s">
        <v>2335</v>
      </c>
      <c r="E16" s="6">
        <v>208000</v>
      </c>
      <c r="F16" s="5">
        <v>25000</v>
      </c>
      <c r="G16" s="6" t="s">
        <v>560</v>
      </c>
    </row>
    <row r="17" spans="2:5">
      <c r="B17" t="s">
        <v>913</v>
      </c>
      <c r="C17" s="6">
        <v>500000</v>
      </c>
      <c r="D17" t="s">
        <v>2336</v>
      </c>
      <c r="E17" s="6">
        <v>57700</v>
      </c>
    </row>
    <row r="18" spans="2:5">
      <c r="B18" t="s">
        <v>295</v>
      </c>
      <c r="C18" s="6">
        <v>17836186</v>
      </c>
      <c r="D18" t="s">
        <v>103</v>
      </c>
      <c r="E18" s="6">
        <v>280000</v>
      </c>
    </row>
    <row r="19" spans="2:5">
      <c r="D19" t="s">
        <v>2337</v>
      </c>
      <c r="E19" s="6">
        <v>279000</v>
      </c>
    </row>
    <row r="20" spans="2:5">
      <c r="D20" t="s">
        <v>2338</v>
      </c>
      <c r="E20" s="6">
        <v>85500</v>
      </c>
    </row>
    <row r="21" spans="2:5">
      <c r="D21" t="s">
        <v>2339</v>
      </c>
      <c r="E21" s="6">
        <v>360050</v>
      </c>
    </row>
    <row r="22" spans="2:5">
      <c r="D22" t="s">
        <v>1280</v>
      </c>
      <c r="E22" s="6">
        <v>27220</v>
      </c>
    </row>
    <row r="23" spans="2:5">
      <c r="D23" t="s">
        <v>2340</v>
      </c>
      <c r="E23" s="6">
        <v>54800</v>
      </c>
    </row>
    <row r="24" spans="2:5">
      <c r="D24" t="s">
        <v>1269</v>
      </c>
      <c r="E24" s="6">
        <v>24700</v>
      </c>
    </row>
    <row r="25" spans="2:5">
      <c r="D25" t="s">
        <v>2341</v>
      </c>
      <c r="E25" s="6">
        <v>67000</v>
      </c>
    </row>
    <row r="26" spans="2:5">
      <c r="D26" t="s">
        <v>2342</v>
      </c>
      <c r="E26" s="6">
        <v>91410</v>
      </c>
    </row>
    <row r="27" spans="2:5">
      <c r="D27" t="s">
        <v>1766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2343</v>
      </c>
      <c r="M1" t="s">
        <v>2344</v>
      </c>
      <c r="N1" t="s">
        <v>2345</v>
      </c>
      <c r="O1" t="s">
        <v>295</v>
      </c>
    </row>
    <row r="2" spans="1:17">
      <c r="A2" t="s">
        <v>166</v>
      </c>
      <c r="O2" s="5">
        <v>0</v>
      </c>
    </row>
    <row r="3" spans="1:17">
      <c r="A3" t="s">
        <v>184</v>
      </c>
      <c r="O3" s="5">
        <v>0</v>
      </c>
    </row>
    <row r="4" spans="1:17">
      <c r="A4" t="s">
        <v>169</v>
      </c>
      <c r="O4" s="5">
        <v>0</v>
      </c>
    </row>
    <row r="5" spans="1:17">
      <c r="B5" t="s">
        <v>2346</v>
      </c>
      <c r="C5" t="s">
        <v>2347</v>
      </c>
      <c r="D5" t="s">
        <v>2348</v>
      </c>
      <c r="E5" t="s">
        <v>2349</v>
      </c>
      <c r="F5" t="s">
        <v>2350</v>
      </c>
      <c r="G5" t="s">
        <v>2351</v>
      </c>
      <c r="H5" t="s">
        <v>2352</v>
      </c>
      <c r="I5" t="s">
        <v>2353</v>
      </c>
      <c r="J5" t="s">
        <v>2354</v>
      </c>
      <c r="K5" t="s">
        <v>2355</v>
      </c>
      <c r="L5" t="s">
        <v>2356</v>
      </c>
      <c r="M5" t="s">
        <v>2357</v>
      </c>
    </row>
    <row r="6" spans="1:17">
      <c r="A6" t="s">
        <v>166</v>
      </c>
      <c r="O6" s="5">
        <v>0</v>
      </c>
    </row>
    <row r="7" spans="1:17">
      <c r="A7" t="s">
        <v>184</v>
      </c>
      <c r="N7" s="5">
        <v>600000</v>
      </c>
      <c r="O7" s="5">
        <v>600000</v>
      </c>
    </row>
    <row r="8" spans="1:17">
      <c r="A8" t="s">
        <v>169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2358</v>
      </c>
      <c r="C9" t="s">
        <v>2359</v>
      </c>
      <c r="D9" t="s">
        <v>2360</v>
      </c>
      <c r="E9" t="s">
        <v>2361</v>
      </c>
      <c r="F9" t="s">
        <v>2362</v>
      </c>
      <c r="G9" t="s">
        <v>2363</v>
      </c>
      <c r="H9" t="s">
        <v>2364</v>
      </c>
      <c r="I9" t="s">
        <v>2365</v>
      </c>
      <c r="J9" t="s">
        <v>2366</v>
      </c>
      <c r="K9" t="s">
        <v>2367</v>
      </c>
      <c r="L9" t="s">
        <v>2368</v>
      </c>
      <c r="M9" t="s">
        <v>2369</v>
      </c>
      <c r="P9" t="s">
        <v>403</v>
      </c>
    </row>
    <row r="10" spans="1:17">
      <c r="A10" t="s">
        <v>166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184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169</v>
      </c>
      <c r="O12" s="5">
        <v>3000000</v>
      </c>
    </row>
    <row r="13" spans="1:17">
      <c r="B13" t="s">
        <v>2370</v>
      </c>
      <c r="C13" t="s">
        <v>2371</v>
      </c>
      <c r="D13" t="s">
        <v>2372</v>
      </c>
      <c r="E13" t="s">
        <v>2373</v>
      </c>
      <c r="F13" t="s">
        <v>2374</v>
      </c>
      <c r="G13" t="s">
        <v>2375</v>
      </c>
      <c r="H13" t="s">
        <v>2376</v>
      </c>
      <c r="I13" t="s">
        <v>2377</v>
      </c>
      <c r="J13" t="s">
        <v>2378</v>
      </c>
      <c r="K13" t="s">
        <v>2379</v>
      </c>
      <c r="L13" t="s">
        <v>2380</v>
      </c>
      <c r="M13" t="s">
        <v>2381</v>
      </c>
    </row>
    <row r="14" spans="1:17">
      <c r="A14" t="s">
        <v>166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184</v>
      </c>
      <c r="O15" s="5">
        <v>3000000</v>
      </c>
      <c r="P15" s="5" t="s">
        <v>12</v>
      </c>
      <c r="Q15" s="5" t="s">
        <v>2382</v>
      </c>
    </row>
    <row r="16" spans="1:17">
      <c r="A16" t="s">
        <v>169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5" bestFit="1" customWidth="1"/>
    <col min="2" max="22" width="5.6640625" style="105" customWidth="1"/>
  </cols>
  <sheetData>
    <row r="1" spans="1:23" ht="16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</row>
    <row r="2" spans="1:23" ht="18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</row>
    <row r="3" spans="1:23" ht="18" customHeight="1">
      <c r="A3" s="126" t="s">
        <v>452</v>
      </c>
      <c r="B3" s="190"/>
      <c r="C3" s="126">
        <v>399</v>
      </c>
      <c r="D3" s="121">
        <v>1000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254">
        <v>399000</v>
      </c>
    </row>
    <row r="4" spans="1:23" ht="18" customHeight="1">
      <c r="A4" s="126" t="s">
        <v>453</v>
      </c>
      <c r="B4" s="189"/>
      <c r="C4" s="126">
        <v>145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254">
        <v>145000</v>
      </c>
    </row>
    <row r="5" spans="1:23" ht="18" customHeight="1">
      <c r="A5" s="126" t="s">
        <v>454</v>
      </c>
      <c r="B5" s="196"/>
      <c r="C5" s="126">
        <v>441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254">
        <v>441000</v>
      </c>
    </row>
    <row r="6" spans="1:23" ht="18" customHeight="1">
      <c r="A6" s="126" t="s">
        <v>455</v>
      </c>
      <c r="B6" s="193"/>
      <c r="C6" s="126">
        <v>318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254">
        <v>318000</v>
      </c>
    </row>
    <row r="7" spans="1:23" ht="18" customHeight="1">
      <c r="A7" s="126" t="s">
        <v>456</v>
      </c>
      <c r="B7" s="200"/>
      <c r="C7" s="126">
        <v>124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254">
        <v>124000</v>
      </c>
    </row>
    <row r="8" spans="1:23" ht="18" customHeight="1">
      <c r="A8" s="126" t="s">
        <v>457</v>
      </c>
      <c r="B8" s="255"/>
      <c r="C8" s="126">
        <v>0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254">
        <v>0</v>
      </c>
    </row>
    <row r="9" spans="1:23" ht="18" customHeight="1">
      <c r="A9" s="126" t="s">
        <v>458</v>
      </c>
      <c r="B9" s="197"/>
      <c r="C9" s="126">
        <v>192</v>
      </c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254">
        <v>192000</v>
      </c>
    </row>
    <row r="10" spans="1:23" ht="18" customHeight="1">
      <c r="A10" s="126" t="s">
        <v>459</v>
      </c>
      <c r="B10" s="256"/>
      <c r="C10" s="126">
        <v>72</v>
      </c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254">
        <v>72000</v>
      </c>
    </row>
    <row r="11" spans="1:23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254"/>
    </row>
    <row r="12" spans="1:23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6" t="s">
        <v>295</v>
      </c>
      <c r="W12" s="254">
        <v>1691000</v>
      </c>
    </row>
    <row r="13" spans="1:23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</row>
    <row r="14" spans="1:23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122"/>
      <c r="W14" s="122"/>
    </row>
    <row r="15" spans="1:23" ht="10" customHeight="1">
      <c r="A15" s="122"/>
      <c r="B15" s="133"/>
      <c r="C15" s="134"/>
      <c r="D15" s="133"/>
      <c r="E15" s="147"/>
      <c r="F15" s="135"/>
      <c r="G15" s="147"/>
      <c r="H15" s="146"/>
      <c r="I15" s="147"/>
      <c r="J15" s="146"/>
      <c r="K15" s="136"/>
      <c r="L15" s="133"/>
      <c r="M15" s="134"/>
      <c r="N15" s="135"/>
      <c r="O15" s="173"/>
      <c r="P15" s="181"/>
      <c r="Q15" s="147"/>
      <c r="R15" s="146"/>
      <c r="S15" s="147"/>
      <c r="T15" s="146"/>
      <c r="U15" s="134"/>
      <c r="V15" s="122"/>
      <c r="W15" s="122"/>
    </row>
    <row r="16" spans="1:23" ht="10" customHeight="1">
      <c r="A16" s="122"/>
      <c r="B16" s="137"/>
      <c r="C16" s="138"/>
      <c r="D16" s="152"/>
      <c r="E16" s="153"/>
      <c r="F16" s="139"/>
      <c r="G16" s="153"/>
      <c r="H16" s="152"/>
      <c r="I16" s="153"/>
      <c r="J16" s="152"/>
      <c r="K16" s="140"/>
      <c r="L16" s="137"/>
      <c r="M16" s="138"/>
      <c r="N16" s="139"/>
      <c r="O16" s="182"/>
      <c r="P16" s="164"/>
      <c r="Q16" s="153"/>
      <c r="R16" s="152"/>
      <c r="S16" s="153"/>
      <c r="T16" s="137"/>
      <c r="U16" s="138"/>
      <c r="V16" s="122"/>
      <c r="W16" s="122"/>
    </row>
    <row r="17" spans="1:23" ht="10" customHeight="1">
      <c r="A17" s="122"/>
      <c r="B17" s="137"/>
      <c r="C17" s="138"/>
      <c r="D17" s="152"/>
      <c r="E17" s="153"/>
      <c r="F17" s="139"/>
      <c r="G17" s="153"/>
      <c r="H17" s="152"/>
      <c r="I17" s="153"/>
      <c r="J17" s="152"/>
      <c r="K17" s="140"/>
      <c r="L17" s="137"/>
      <c r="M17" s="138"/>
      <c r="N17" s="139"/>
      <c r="O17" s="182"/>
      <c r="P17" s="164"/>
      <c r="Q17" s="153"/>
      <c r="R17" s="152"/>
      <c r="S17" s="153"/>
      <c r="T17" s="137"/>
      <c r="U17" s="138"/>
      <c r="V17" s="122"/>
      <c r="W17" s="122"/>
    </row>
    <row r="18" spans="1:23" ht="10" customHeight="1">
      <c r="A18" s="122"/>
      <c r="B18" s="137"/>
      <c r="C18" s="138"/>
      <c r="D18" s="152"/>
      <c r="E18" s="140"/>
      <c r="F18" s="164"/>
      <c r="G18" s="153"/>
      <c r="H18" s="152"/>
      <c r="I18" s="153"/>
      <c r="J18" s="152"/>
      <c r="K18" s="140"/>
      <c r="L18" s="137"/>
      <c r="M18" s="140"/>
      <c r="N18" s="164"/>
      <c r="O18" s="182"/>
      <c r="P18" s="164"/>
      <c r="Q18" s="153"/>
      <c r="R18" s="152"/>
      <c r="S18" s="153"/>
      <c r="T18" s="137"/>
      <c r="U18" s="138"/>
      <c r="V18" s="122"/>
      <c r="W18" s="122"/>
    </row>
    <row r="19" spans="1:23" ht="10" customHeight="1" thickBot="1">
      <c r="A19" s="126">
        <v>1</v>
      </c>
      <c r="B19" s="142"/>
      <c r="C19" s="143"/>
      <c r="D19" s="158"/>
      <c r="E19" s="145"/>
      <c r="F19" s="165"/>
      <c r="G19" s="159"/>
      <c r="H19" s="158"/>
      <c r="I19" s="159"/>
      <c r="J19" s="144"/>
      <c r="K19" s="143"/>
      <c r="L19" s="142"/>
      <c r="M19" s="145"/>
      <c r="N19" s="165"/>
      <c r="O19" s="172"/>
      <c r="P19" s="158"/>
      <c r="Q19" s="159"/>
      <c r="R19" s="158"/>
      <c r="S19" s="159"/>
      <c r="T19" s="142"/>
      <c r="U19" s="143"/>
      <c r="V19" s="122"/>
      <c r="W19" s="122"/>
    </row>
    <row r="20" spans="1:23" ht="10" customHeight="1">
      <c r="A20" s="122"/>
      <c r="B20" s="133"/>
      <c r="C20" s="136"/>
      <c r="D20" s="133"/>
      <c r="E20" s="150"/>
      <c r="F20" s="151"/>
      <c r="G20" s="150"/>
      <c r="H20" s="151"/>
      <c r="I20" s="150"/>
      <c r="J20" s="151"/>
      <c r="K20" s="150"/>
      <c r="L20" s="151"/>
      <c r="M20" s="150"/>
      <c r="N20" s="151"/>
      <c r="O20" s="150"/>
      <c r="P20" s="133"/>
      <c r="Q20" s="136"/>
      <c r="R20" s="133"/>
      <c r="S20" s="134"/>
      <c r="T20" s="133"/>
      <c r="U20" s="134"/>
      <c r="V20" s="122"/>
      <c r="W20" s="122"/>
    </row>
    <row r="21" spans="1:23" ht="10" customHeight="1">
      <c r="A21" s="122"/>
      <c r="B21" s="139"/>
      <c r="C21" s="138"/>
      <c r="D21" s="137"/>
      <c r="E21" s="156"/>
      <c r="F21" s="157"/>
      <c r="G21" s="156"/>
      <c r="H21" s="157"/>
      <c r="I21" s="156"/>
      <c r="J21" s="157"/>
      <c r="K21" s="156"/>
      <c r="L21" s="157"/>
      <c r="M21" s="156"/>
      <c r="N21" s="157"/>
      <c r="O21" s="138"/>
      <c r="P21" s="137"/>
      <c r="Q21" s="140"/>
      <c r="R21" s="137"/>
      <c r="S21" s="138"/>
      <c r="T21" s="137"/>
      <c r="U21" s="138"/>
      <c r="V21" s="122"/>
      <c r="W21" s="122"/>
    </row>
    <row r="22" spans="1:23" ht="10" customHeight="1">
      <c r="A22" s="122"/>
      <c r="B22" s="139"/>
      <c r="C22" s="138"/>
      <c r="D22" s="157"/>
      <c r="E22" s="156"/>
      <c r="F22" s="157"/>
      <c r="G22" s="156"/>
      <c r="H22" s="157"/>
      <c r="I22" s="156"/>
      <c r="J22" s="157"/>
      <c r="K22" s="156"/>
      <c r="L22" s="157"/>
      <c r="M22" s="156"/>
      <c r="N22" s="157"/>
      <c r="O22" s="138"/>
      <c r="P22" s="137"/>
      <c r="Q22" s="140"/>
      <c r="R22" s="137"/>
      <c r="S22" s="138"/>
      <c r="T22" s="137"/>
      <c r="U22" s="138"/>
      <c r="V22" s="122"/>
      <c r="W22" s="122"/>
    </row>
    <row r="23" spans="1:23" ht="10" customHeight="1">
      <c r="A23" s="122"/>
      <c r="B23" s="139"/>
      <c r="C23" s="138"/>
      <c r="D23" s="157"/>
      <c r="E23" s="156"/>
      <c r="F23" s="157"/>
      <c r="G23" s="156"/>
      <c r="H23" s="157"/>
      <c r="I23" s="156"/>
      <c r="J23" s="157"/>
      <c r="K23" s="156"/>
      <c r="L23" s="157"/>
      <c r="M23" s="156"/>
      <c r="N23" s="157"/>
      <c r="O23" s="138"/>
      <c r="P23" s="137"/>
      <c r="Q23" s="140"/>
      <c r="R23" s="137"/>
      <c r="S23" s="138"/>
      <c r="T23" s="137"/>
      <c r="U23" s="138"/>
      <c r="V23" s="122"/>
      <c r="W23" s="122"/>
    </row>
    <row r="24" spans="1:23" ht="10" customHeight="1" thickBot="1">
      <c r="A24" s="126">
        <v>2</v>
      </c>
      <c r="B24" s="144"/>
      <c r="C24" s="143"/>
      <c r="D24" s="163"/>
      <c r="E24" s="162"/>
      <c r="F24" s="163"/>
      <c r="G24" s="162"/>
      <c r="H24" s="163"/>
      <c r="I24" s="162"/>
      <c r="J24" s="163"/>
      <c r="K24" s="162"/>
      <c r="L24" s="163"/>
      <c r="M24" s="162"/>
      <c r="N24" s="163"/>
      <c r="O24" s="143"/>
      <c r="P24" s="142"/>
      <c r="Q24" s="145"/>
      <c r="R24" s="142"/>
      <c r="S24" s="143"/>
      <c r="T24" s="142"/>
      <c r="U24" s="143"/>
      <c r="V24" s="122"/>
      <c r="W24" s="122"/>
    </row>
    <row r="25" spans="1:23" ht="10" customHeight="1">
      <c r="A25" s="122"/>
      <c r="B25" s="133"/>
      <c r="C25" s="134"/>
      <c r="D25" s="133"/>
      <c r="E25" s="134"/>
      <c r="F25" s="133"/>
      <c r="G25" s="134"/>
      <c r="H25" s="133"/>
      <c r="I25" s="134"/>
      <c r="J25" s="133"/>
      <c r="K25" s="134"/>
      <c r="L25" s="146"/>
      <c r="M25" s="147"/>
      <c r="N25" s="146"/>
      <c r="O25" s="147"/>
      <c r="P25" s="135"/>
      <c r="Q25" s="173"/>
      <c r="R25" s="181"/>
      <c r="S25" s="173"/>
      <c r="T25" s="181"/>
      <c r="U25" s="147"/>
      <c r="V25" s="122"/>
      <c r="W25" s="122"/>
    </row>
    <row r="26" spans="1:23" ht="10" customHeight="1">
      <c r="A26" s="122"/>
      <c r="B26" s="137"/>
      <c r="C26" s="138"/>
      <c r="D26" s="137"/>
      <c r="E26" s="138"/>
      <c r="F26" s="137"/>
      <c r="G26" s="138"/>
      <c r="H26" s="137"/>
      <c r="I26" s="138"/>
      <c r="J26" s="137"/>
      <c r="K26" s="138"/>
      <c r="L26" s="152"/>
      <c r="M26" s="153"/>
      <c r="N26" s="152"/>
      <c r="O26" s="153"/>
      <c r="P26" s="139"/>
      <c r="Q26" s="182"/>
      <c r="R26" s="164"/>
      <c r="S26" s="182"/>
      <c r="T26" s="164"/>
      <c r="U26" s="153"/>
      <c r="V26" s="122"/>
      <c r="W26" s="122"/>
    </row>
    <row r="27" spans="1:23" ht="10" customHeight="1">
      <c r="A27" s="122"/>
      <c r="B27" s="137"/>
      <c r="C27" s="138"/>
      <c r="D27" s="137"/>
      <c r="E27" s="138"/>
      <c r="F27" s="137"/>
      <c r="G27" s="138"/>
      <c r="H27" s="137"/>
      <c r="I27" s="138"/>
      <c r="J27" s="137"/>
      <c r="K27" s="138"/>
      <c r="L27" s="152"/>
      <c r="M27" s="153"/>
      <c r="N27" s="152"/>
      <c r="O27" s="138"/>
      <c r="P27" s="139"/>
      <c r="Q27" s="182"/>
      <c r="R27" s="164"/>
      <c r="S27" s="182"/>
      <c r="T27" s="164"/>
      <c r="U27" s="153"/>
      <c r="V27" s="122"/>
      <c r="W27" s="122"/>
    </row>
    <row r="28" spans="1:23" ht="10" customHeight="1">
      <c r="A28" s="122"/>
      <c r="B28" s="137"/>
      <c r="C28" s="138"/>
      <c r="D28" s="137"/>
      <c r="E28" s="138"/>
      <c r="F28" s="137"/>
      <c r="G28" s="138"/>
      <c r="H28" s="137"/>
      <c r="I28" s="138"/>
      <c r="J28" s="137"/>
      <c r="K28" s="138"/>
      <c r="L28" s="152"/>
      <c r="M28" s="153"/>
      <c r="N28" s="152"/>
      <c r="O28" s="138"/>
      <c r="P28" s="139"/>
      <c r="Q28" s="182"/>
      <c r="R28" s="164"/>
      <c r="S28" s="182"/>
      <c r="T28" s="164"/>
      <c r="U28" s="153"/>
      <c r="V28" s="122"/>
      <c r="W28" s="122"/>
    </row>
    <row r="29" spans="1:23" ht="10" customHeight="1" thickBot="1">
      <c r="A29" s="126">
        <v>3</v>
      </c>
      <c r="B29" s="142"/>
      <c r="C29" s="143"/>
      <c r="D29" s="142"/>
      <c r="E29" s="143"/>
      <c r="F29" s="142"/>
      <c r="G29" s="143"/>
      <c r="H29" s="142"/>
      <c r="I29" s="143"/>
      <c r="J29" s="142"/>
      <c r="K29" s="143"/>
      <c r="L29" s="158"/>
      <c r="M29" s="159"/>
      <c r="N29" s="158"/>
      <c r="O29" s="143"/>
      <c r="P29" s="144"/>
      <c r="Q29" s="172"/>
      <c r="R29" s="165"/>
      <c r="S29" s="172"/>
      <c r="T29" s="165"/>
      <c r="U29" s="159"/>
      <c r="V29" s="122"/>
      <c r="W29" s="122"/>
    </row>
    <row r="30" spans="1:23" ht="10" customHeight="1">
      <c r="A30" s="122"/>
      <c r="B30" s="146"/>
      <c r="C30" s="147"/>
      <c r="D30" s="146"/>
      <c r="E30" s="147"/>
      <c r="F30" s="146"/>
      <c r="G30" s="134"/>
      <c r="H30" s="133"/>
      <c r="I30" s="134"/>
      <c r="J30" s="133"/>
      <c r="K30" s="134"/>
      <c r="L30" s="133"/>
      <c r="M30" s="173"/>
      <c r="N30" s="181"/>
      <c r="O30" s="173"/>
      <c r="P30" s="181"/>
      <c r="Q30" s="134"/>
      <c r="R30" s="133"/>
      <c r="S30" s="136"/>
      <c r="T30" s="149"/>
      <c r="U30" s="148"/>
      <c r="V30" s="122"/>
      <c r="W30" s="122"/>
    </row>
    <row r="31" spans="1:23" ht="10" customHeight="1">
      <c r="A31" s="122"/>
      <c r="B31" s="152"/>
      <c r="C31" s="153"/>
      <c r="D31" s="152"/>
      <c r="E31" s="153"/>
      <c r="F31" s="152"/>
      <c r="G31" s="138"/>
      <c r="H31" s="137"/>
      <c r="I31" s="138"/>
      <c r="J31" s="137"/>
      <c r="K31" s="138"/>
      <c r="L31" s="137"/>
      <c r="M31" s="182"/>
      <c r="N31" s="164"/>
      <c r="O31" s="182"/>
      <c r="P31" s="164"/>
      <c r="Q31" s="138"/>
      <c r="R31" s="137"/>
      <c r="S31" s="140"/>
      <c r="T31" s="155"/>
      <c r="U31" s="154"/>
      <c r="V31" s="122"/>
      <c r="W31" s="122"/>
    </row>
    <row r="32" spans="1:23" ht="10" customHeight="1">
      <c r="A32" s="122"/>
      <c r="B32" s="152"/>
      <c r="C32" s="153"/>
      <c r="D32" s="152"/>
      <c r="E32" s="153"/>
      <c r="F32" s="152"/>
      <c r="G32" s="138"/>
      <c r="H32" s="137"/>
      <c r="I32" s="138"/>
      <c r="J32" s="137"/>
      <c r="K32" s="138"/>
      <c r="L32" s="137"/>
      <c r="M32" s="182"/>
      <c r="N32" s="164"/>
      <c r="O32" s="182"/>
      <c r="P32" s="164"/>
      <c r="Q32" s="138"/>
      <c r="R32" s="137"/>
      <c r="S32" s="140"/>
      <c r="T32" s="155"/>
      <c r="U32" s="154"/>
      <c r="V32" s="122"/>
      <c r="W32" s="122"/>
    </row>
    <row r="33" spans="1:23" ht="10" customHeight="1">
      <c r="A33" s="122"/>
      <c r="B33" s="152"/>
      <c r="C33" s="153"/>
      <c r="D33" s="152"/>
      <c r="E33" s="153"/>
      <c r="F33" s="152"/>
      <c r="G33" s="138"/>
      <c r="H33" s="137"/>
      <c r="I33" s="138"/>
      <c r="J33" s="137"/>
      <c r="K33" s="138"/>
      <c r="L33" s="164"/>
      <c r="M33" s="182"/>
      <c r="N33" s="164"/>
      <c r="O33" s="182"/>
      <c r="P33" s="164"/>
      <c r="Q33" s="138"/>
      <c r="R33" s="137"/>
      <c r="S33" s="140"/>
      <c r="T33" s="155"/>
      <c r="U33" s="140"/>
      <c r="V33" s="122"/>
      <c r="W33" s="122"/>
    </row>
    <row r="34" spans="1:23" ht="10" customHeight="1" thickBot="1">
      <c r="A34" s="126">
        <v>4</v>
      </c>
      <c r="B34" s="158"/>
      <c r="C34" s="159"/>
      <c r="D34" s="158"/>
      <c r="E34" s="159"/>
      <c r="F34" s="158"/>
      <c r="G34" s="143"/>
      <c r="H34" s="142"/>
      <c r="I34" s="143"/>
      <c r="J34" s="142"/>
      <c r="K34" s="143"/>
      <c r="L34" s="165"/>
      <c r="M34" s="172"/>
      <c r="N34" s="165"/>
      <c r="O34" s="172"/>
      <c r="P34" s="142"/>
      <c r="Q34" s="143"/>
      <c r="R34" s="144"/>
      <c r="S34" s="160"/>
      <c r="T34" s="161"/>
      <c r="U34" s="145"/>
      <c r="V34" s="122"/>
      <c r="W34" s="122"/>
    </row>
    <row r="35" spans="1:23" ht="10" customHeight="1">
      <c r="A35" s="122"/>
      <c r="B35" s="135"/>
      <c r="C35" s="134"/>
      <c r="D35" s="133"/>
      <c r="E35" s="134"/>
      <c r="F35" s="135"/>
      <c r="G35" s="134"/>
      <c r="H35" s="146"/>
      <c r="I35" s="147"/>
      <c r="J35" s="146"/>
      <c r="K35" s="136"/>
      <c r="L35" s="133"/>
      <c r="M35" s="134"/>
      <c r="N35" s="135"/>
      <c r="O35" s="134"/>
      <c r="P35" s="181"/>
      <c r="Q35" s="173"/>
      <c r="R35" s="181"/>
      <c r="S35" s="183"/>
      <c r="T35" s="184"/>
      <c r="U35" s="183"/>
      <c r="V35" s="122"/>
      <c r="W35" s="122"/>
    </row>
    <row r="36" spans="1:23" ht="10" customHeight="1">
      <c r="A36" s="122"/>
      <c r="B36" s="139"/>
      <c r="C36" s="138"/>
      <c r="D36" s="137"/>
      <c r="E36" s="138"/>
      <c r="F36" s="139"/>
      <c r="G36" s="138"/>
      <c r="H36" s="152"/>
      <c r="I36" s="153"/>
      <c r="J36" s="137"/>
      <c r="K36" s="140"/>
      <c r="L36" s="137"/>
      <c r="M36" s="138"/>
      <c r="N36" s="139"/>
      <c r="O36" s="138"/>
      <c r="P36" s="164"/>
      <c r="Q36" s="182"/>
      <c r="R36" s="164"/>
      <c r="S36" s="186"/>
      <c r="T36" s="185"/>
      <c r="U36" s="186"/>
      <c r="V36" s="122"/>
      <c r="W36" s="122"/>
    </row>
    <row r="37" spans="1:23" ht="10" customHeight="1">
      <c r="A37" s="122"/>
      <c r="B37" s="139"/>
      <c r="C37" s="138"/>
      <c r="D37" s="137"/>
      <c r="E37" s="138"/>
      <c r="F37" s="139"/>
      <c r="G37" s="138"/>
      <c r="H37" s="152"/>
      <c r="I37" s="153"/>
      <c r="J37" s="137"/>
      <c r="K37" s="140"/>
      <c r="L37" s="137"/>
      <c r="M37" s="138"/>
      <c r="N37" s="139"/>
      <c r="O37" s="138"/>
      <c r="P37" s="164"/>
      <c r="Q37" s="182"/>
      <c r="R37" s="164"/>
      <c r="S37" s="186"/>
      <c r="T37" s="185"/>
      <c r="U37" s="186"/>
      <c r="V37" s="122"/>
      <c r="W37" s="122"/>
    </row>
    <row r="38" spans="1:23" ht="10" customHeight="1">
      <c r="A38" s="122"/>
      <c r="B38" s="137"/>
      <c r="C38" s="138"/>
      <c r="D38" s="137"/>
      <c r="E38" s="140"/>
      <c r="F38" s="137"/>
      <c r="G38" s="138"/>
      <c r="H38" s="152"/>
      <c r="I38" s="153"/>
      <c r="J38" s="139"/>
      <c r="K38" s="138"/>
      <c r="L38" s="137"/>
      <c r="M38" s="138"/>
      <c r="N38" s="139"/>
      <c r="O38" s="138"/>
      <c r="P38" s="164"/>
      <c r="Q38" s="182"/>
      <c r="R38" s="164"/>
      <c r="S38" s="186"/>
      <c r="T38" s="185"/>
      <c r="U38" s="186"/>
      <c r="V38" s="122"/>
      <c r="W38" s="122"/>
    </row>
    <row r="39" spans="1:23" ht="10" customHeight="1" thickBot="1">
      <c r="A39" s="126">
        <v>5</v>
      </c>
      <c r="B39" s="142"/>
      <c r="C39" s="143"/>
      <c r="D39" s="142"/>
      <c r="E39" s="145"/>
      <c r="F39" s="142"/>
      <c r="G39" s="159"/>
      <c r="H39" s="158"/>
      <c r="I39" s="159"/>
      <c r="J39" s="144"/>
      <c r="K39" s="143"/>
      <c r="L39" s="142"/>
      <c r="M39" s="145"/>
      <c r="N39" s="142"/>
      <c r="O39" s="172"/>
      <c r="P39" s="165"/>
      <c r="Q39" s="172"/>
      <c r="R39" s="187"/>
      <c r="S39" s="188"/>
      <c r="T39" s="187"/>
      <c r="U39" s="188"/>
      <c r="V39" s="122"/>
      <c r="W39" s="122"/>
    </row>
    <row r="40" spans="1:23" ht="10" customHeight="1">
      <c r="A40" s="122"/>
      <c r="B40" s="184"/>
      <c r="C40" s="183"/>
      <c r="D40" s="185"/>
      <c r="E40" s="183"/>
      <c r="F40" s="184"/>
      <c r="G40" s="183"/>
      <c r="H40" s="184"/>
      <c r="I40" s="183"/>
      <c r="J40" s="184"/>
      <c r="K40" s="183"/>
      <c r="L40" s="184"/>
      <c r="M40" s="183"/>
      <c r="N40" s="184"/>
      <c r="O40" s="183"/>
      <c r="P40" s="184"/>
      <c r="Q40" s="183"/>
      <c r="R40" s="184"/>
      <c r="S40" s="183"/>
      <c r="T40" s="133"/>
      <c r="U40" s="134"/>
      <c r="V40" s="122"/>
      <c r="W40" s="122"/>
    </row>
    <row r="41" spans="1:23" ht="10" customHeight="1">
      <c r="A41" s="122"/>
      <c r="B41" s="185"/>
      <c r="C41" s="186"/>
      <c r="D41" s="196"/>
      <c r="E41" s="186"/>
      <c r="F41" s="185"/>
      <c r="G41" s="186"/>
      <c r="H41" s="185"/>
      <c r="I41" s="186"/>
      <c r="J41" s="185"/>
      <c r="K41" s="186"/>
      <c r="L41" s="185"/>
      <c r="M41" s="186"/>
      <c r="N41" s="185"/>
      <c r="O41" s="186"/>
      <c r="P41" s="185"/>
      <c r="Q41" s="186"/>
      <c r="R41" s="185"/>
      <c r="S41" s="186"/>
      <c r="T41" s="137"/>
      <c r="U41" s="138"/>
      <c r="V41" s="122"/>
      <c r="W41" s="122"/>
    </row>
    <row r="42" spans="1:23" ht="10" customHeight="1">
      <c r="A42" s="122"/>
      <c r="B42" s="185"/>
      <c r="C42" s="186"/>
      <c r="D42" s="185"/>
      <c r="E42" s="186"/>
      <c r="F42" s="185"/>
      <c r="G42" s="186"/>
      <c r="H42" s="185"/>
      <c r="I42" s="186"/>
      <c r="J42" s="185"/>
      <c r="K42" s="186"/>
      <c r="L42" s="185"/>
      <c r="M42" s="186"/>
      <c r="N42" s="185"/>
      <c r="O42" s="186"/>
      <c r="P42" s="185"/>
      <c r="Q42" s="186"/>
      <c r="R42" s="185"/>
      <c r="S42" s="138"/>
      <c r="T42" s="137"/>
      <c r="U42" s="138"/>
      <c r="V42" s="122"/>
      <c r="W42" s="122"/>
    </row>
    <row r="43" spans="1:23" ht="10" customHeight="1">
      <c r="A43" s="122"/>
      <c r="B43" s="185"/>
      <c r="C43" s="186"/>
      <c r="D43" s="185"/>
      <c r="E43" s="186"/>
      <c r="F43" s="185"/>
      <c r="G43" s="186"/>
      <c r="H43" s="185"/>
      <c r="I43" s="186"/>
      <c r="J43" s="185"/>
      <c r="K43" s="186"/>
      <c r="L43" s="185"/>
      <c r="M43" s="186"/>
      <c r="N43" s="185"/>
      <c r="O43" s="186"/>
      <c r="P43" s="185"/>
      <c r="Q43" s="186"/>
      <c r="R43" s="185"/>
      <c r="S43" s="138"/>
      <c r="T43" s="137"/>
      <c r="U43" s="138"/>
      <c r="V43" s="122"/>
      <c r="W43" s="122"/>
    </row>
    <row r="44" spans="1:23" ht="10" customHeight="1" thickBot="1">
      <c r="A44" s="126">
        <v>6</v>
      </c>
      <c r="B44" s="187"/>
      <c r="C44" s="188"/>
      <c r="D44" s="187"/>
      <c r="E44" s="188"/>
      <c r="F44" s="187"/>
      <c r="G44" s="188"/>
      <c r="H44" s="187"/>
      <c r="I44" s="188"/>
      <c r="J44" s="187"/>
      <c r="K44" s="188"/>
      <c r="L44" s="187"/>
      <c r="M44" s="188"/>
      <c r="N44" s="187"/>
      <c r="O44" s="188"/>
      <c r="P44" s="187"/>
      <c r="Q44" s="188"/>
      <c r="R44" s="187"/>
      <c r="S44" s="143"/>
      <c r="T44" s="142"/>
      <c r="U44" s="143"/>
      <c r="V44" s="122"/>
      <c r="W44" s="122"/>
    </row>
    <row r="45" spans="1:23" ht="10" customHeight="1">
      <c r="A45" s="122"/>
      <c r="B45" s="133"/>
      <c r="C45" s="150"/>
      <c r="D45" s="151"/>
      <c r="E45" s="136"/>
      <c r="F45" s="133"/>
      <c r="G45" s="136"/>
      <c r="H45" s="133"/>
      <c r="I45" s="147"/>
      <c r="J45" s="133"/>
      <c r="K45" s="134"/>
      <c r="L45" s="133"/>
      <c r="M45" s="134"/>
      <c r="N45" s="151"/>
      <c r="O45" s="150"/>
      <c r="P45" s="181"/>
      <c r="Q45" s="173"/>
      <c r="R45" s="181"/>
      <c r="S45" s="173"/>
      <c r="T45" s="181"/>
      <c r="U45" s="173"/>
      <c r="V45" s="122"/>
      <c r="W45" s="122"/>
    </row>
    <row r="46" spans="1:23" ht="10" customHeight="1">
      <c r="A46" s="122"/>
      <c r="B46" s="157"/>
      <c r="C46" s="156"/>
      <c r="D46" s="157"/>
      <c r="E46" s="140"/>
      <c r="F46" s="137"/>
      <c r="G46" s="140"/>
      <c r="H46" s="152"/>
      <c r="I46" s="153"/>
      <c r="J46" s="137"/>
      <c r="K46" s="138"/>
      <c r="L46" s="157"/>
      <c r="M46" s="156"/>
      <c r="N46" s="157"/>
      <c r="O46" s="156"/>
      <c r="P46" s="164"/>
      <c r="Q46" s="182"/>
      <c r="R46" s="164"/>
      <c r="S46" s="182"/>
      <c r="T46" s="164"/>
      <c r="U46" s="182"/>
      <c r="V46" s="122"/>
      <c r="W46" s="122"/>
    </row>
    <row r="47" spans="1:23" ht="10" customHeight="1">
      <c r="A47" s="122"/>
      <c r="B47" s="157"/>
      <c r="C47" s="156"/>
      <c r="D47" s="157"/>
      <c r="E47" s="140"/>
      <c r="F47" s="137"/>
      <c r="G47" s="140"/>
      <c r="H47" s="152"/>
      <c r="I47" s="153"/>
      <c r="J47" s="137"/>
      <c r="K47" s="138"/>
      <c r="L47" s="157"/>
      <c r="M47" s="156"/>
      <c r="N47" s="157"/>
      <c r="O47" s="156"/>
      <c r="P47" s="164"/>
      <c r="Q47" s="182"/>
      <c r="R47" s="164"/>
      <c r="S47" s="182"/>
      <c r="T47" s="164"/>
      <c r="U47" s="138"/>
      <c r="V47" s="122"/>
      <c r="W47" s="122"/>
    </row>
    <row r="48" spans="1:23" ht="10" customHeight="1">
      <c r="A48" s="122"/>
      <c r="B48" s="157"/>
      <c r="C48" s="156"/>
      <c r="D48" s="139"/>
      <c r="E48" s="138"/>
      <c r="F48" s="139"/>
      <c r="G48" s="138"/>
      <c r="H48" s="152"/>
      <c r="I48" s="153"/>
      <c r="J48" s="137"/>
      <c r="K48" s="138"/>
      <c r="L48" s="157"/>
      <c r="M48" s="156"/>
      <c r="N48" s="157"/>
      <c r="O48" s="156"/>
      <c r="P48" s="164"/>
      <c r="Q48" s="182"/>
      <c r="R48" s="164"/>
      <c r="S48" s="182"/>
      <c r="T48" s="164"/>
      <c r="U48" s="138"/>
      <c r="V48" s="122"/>
      <c r="W48" s="122"/>
    </row>
    <row r="49" spans="1:23" ht="10" customHeight="1" thickBot="1">
      <c r="A49" s="126">
        <v>7</v>
      </c>
      <c r="B49" s="163"/>
      <c r="C49" s="162"/>
      <c r="D49" s="144"/>
      <c r="E49" s="143"/>
      <c r="F49" s="144"/>
      <c r="G49" s="143"/>
      <c r="H49" s="158"/>
      <c r="I49" s="159"/>
      <c r="J49" s="142"/>
      <c r="K49" s="143"/>
      <c r="L49" s="163"/>
      <c r="M49" s="162"/>
      <c r="N49" s="163"/>
      <c r="O49" s="172"/>
      <c r="P49" s="165"/>
      <c r="Q49" s="172"/>
      <c r="R49" s="165"/>
      <c r="S49" s="172"/>
      <c r="T49" s="165"/>
      <c r="U49" s="143"/>
      <c r="V49" s="122"/>
      <c r="W49" s="122"/>
    </row>
    <row r="50" spans="1:23" ht="10" customHeight="1">
      <c r="A50" s="122"/>
      <c r="B50" s="133"/>
      <c r="C50" s="136"/>
      <c r="D50" s="181"/>
      <c r="E50" s="136"/>
      <c r="F50" s="133"/>
      <c r="G50" s="150"/>
      <c r="H50" s="135"/>
      <c r="I50" s="136"/>
      <c r="J50" s="133"/>
      <c r="K50" s="147"/>
      <c r="L50" s="133"/>
      <c r="M50" s="134"/>
      <c r="N50" s="133"/>
      <c r="O50" s="183"/>
      <c r="P50" s="184"/>
      <c r="Q50" s="183"/>
      <c r="R50" s="184"/>
      <c r="S50" s="183"/>
      <c r="T50" s="185"/>
      <c r="U50" s="183"/>
      <c r="V50" s="122"/>
      <c r="W50" s="122"/>
    </row>
    <row r="51" spans="1:23" ht="10" customHeight="1">
      <c r="A51" s="122"/>
      <c r="B51" s="137"/>
      <c r="C51" s="140"/>
      <c r="D51" s="164"/>
      <c r="E51" s="140"/>
      <c r="F51" s="137"/>
      <c r="G51" s="156"/>
      <c r="H51" s="139"/>
      <c r="I51" s="140"/>
      <c r="J51" s="137"/>
      <c r="K51" s="153"/>
      <c r="L51" s="137"/>
      <c r="M51" s="138"/>
      <c r="N51" s="137"/>
      <c r="O51" s="186"/>
      <c r="P51" s="185"/>
      <c r="Q51" s="186"/>
      <c r="R51" s="185"/>
      <c r="S51" s="186"/>
      <c r="T51" s="185"/>
      <c r="U51" s="186"/>
      <c r="V51" s="122"/>
      <c r="W51" s="122"/>
    </row>
    <row r="52" spans="1:23" ht="10" customHeight="1">
      <c r="A52" s="122"/>
      <c r="B52" s="137"/>
      <c r="C52" s="140"/>
      <c r="D52" s="164"/>
      <c r="E52" s="140"/>
      <c r="F52" s="137"/>
      <c r="G52" s="140"/>
      <c r="H52" s="139"/>
      <c r="I52" s="138"/>
      <c r="J52" s="137"/>
      <c r="K52" s="153"/>
      <c r="L52" s="137"/>
      <c r="M52" s="138"/>
      <c r="N52" s="185"/>
      <c r="O52" s="186"/>
      <c r="P52" s="185"/>
      <c r="Q52" s="186"/>
      <c r="R52" s="185"/>
      <c r="S52" s="186"/>
      <c r="T52" s="185"/>
      <c r="U52" s="186"/>
      <c r="V52" s="122"/>
      <c r="W52" s="122"/>
    </row>
    <row r="53" spans="1:23" ht="10" customHeight="1">
      <c r="A53" s="122"/>
      <c r="B53" s="137"/>
      <c r="C53" s="140"/>
      <c r="D53" s="139"/>
      <c r="E53" s="138"/>
      <c r="F53" s="157"/>
      <c r="G53" s="140"/>
      <c r="H53" s="139"/>
      <c r="I53" s="138"/>
      <c r="J53" s="152"/>
      <c r="K53" s="153"/>
      <c r="L53" s="137"/>
      <c r="M53" s="138"/>
      <c r="N53" s="185"/>
      <c r="O53" s="186"/>
      <c r="P53" s="185"/>
      <c r="Q53" s="186"/>
      <c r="R53" s="185"/>
      <c r="S53" s="186"/>
      <c r="T53" s="185"/>
      <c r="U53" s="186"/>
      <c r="V53" s="122"/>
      <c r="W53" s="122"/>
    </row>
    <row r="54" spans="1:23" ht="10" customHeight="1" thickBot="1">
      <c r="A54" s="126">
        <v>8</v>
      </c>
      <c r="B54" s="144"/>
      <c r="C54" s="172"/>
      <c r="D54" s="144"/>
      <c r="E54" s="143"/>
      <c r="F54" s="163"/>
      <c r="G54" s="145"/>
      <c r="H54" s="144"/>
      <c r="I54" s="143"/>
      <c r="J54" s="158"/>
      <c r="K54" s="159"/>
      <c r="L54" s="142"/>
      <c r="M54" s="143"/>
      <c r="N54" s="187"/>
      <c r="O54" s="188"/>
      <c r="P54" s="187"/>
      <c r="Q54" s="188"/>
      <c r="R54" s="187"/>
      <c r="S54" s="188"/>
      <c r="T54" s="187"/>
      <c r="U54" s="188"/>
      <c r="V54" s="122"/>
      <c r="W54" s="122"/>
    </row>
    <row r="55" spans="1:23" ht="10" customHeight="1">
      <c r="A55" s="122"/>
      <c r="B55" s="184"/>
      <c r="C55" s="183"/>
      <c r="D55" s="184"/>
      <c r="E55" s="136"/>
      <c r="F55" s="184"/>
      <c r="G55" s="183"/>
      <c r="H55" s="184"/>
      <c r="I55" s="183"/>
      <c r="J55" s="184"/>
      <c r="K55" s="183"/>
      <c r="L55" s="184"/>
      <c r="M55" s="183"/>
      <c r="N55" s="184"/>
      <c r="O55" s="183"/>
      <c r="P55" s="146"/>
      <c r="Q55" s="136"/>
      <c r="R55" s="133"/>
      <c r="S55" s="134"/>
      <c r="T55" s="133"/>
      <c r="U55" s="136"/>
      <c r="V55" s="122"/>
      <c r="W55" s="122"/>
    </row>
    <row r="56" spans="1:23" ht="10" customHeight="1">
      <c r="A56" s="122"/>
      <c r="B56" s="191"/>
      <c r="C56" s="186"/>
      <c r="D56" s="185"/>
      <c r="E56" s="140"/>
      <c r="F56" s="185"/>
      <c r="G56" s="186"/>
      <c r="H56" s="185"/>
      <c r="I56" s="186"/>
      <c r="J56" s="185"/>
      <c r="K56" s="186"/>
      <c r="L56" s="185"/>
      <c r="M56" s="186"/>
      <c r="N56" s="185"/>
      <c r="O56" s="186"/>
      <c r="P56" s="152"/>
      <c r="Q56" s="140"/>
      <c r="R56" s="137"/>
      <c r="S56" s="138"/>
      <c r="T56" s="137"/>
      <c r="U56" s="140"/>
      <c r="V56" s="122"/>
      <c r="W56" s="122"/>
    </row>
    <row r="57" spans="1:23" ht="10" customHeight="1">
      <c r="A57" s="122"/>
      <c r="B57" s="191"/>
      <c r="C57" s="186"/>
      <c r="D57" s="139"/>
      <c r="E57" s="186"/>
      <c r="F57" s="185"/>
      <c r="G57" s="186"/>
      <c r="H57" s="185"/>
      <c r="I57" s="186"/>
      <c r="J57" s="185"/>
      <c r="K57" s="186"/>
      <c r="L57" s="185"/>
      <c r="M57" s="186"/>
      <c r="N57" s="185"/>
      <c r="O57" s="153"/>
      <c r="P57" s="139"/>
      <c r="Q57" s="138"/>
      <c r="R57" s="137"/>
      <c r="S57" s="138"/>
      <c r="T57" s="137"/>
      <c r="U57" s="140"/>
      <c r="V57" s="122"/>
      <c r="W57" s="122"/>
    </row>
    <row r="58" spans="1:23" ht="10" customHeight="1">
      <c r="A58" s="122"/>
      <c r="B58" s="191"/>
      <c r="C58" s="186"/>
      <c r="D58" s="139"/>
      <c r="E58" s="186"/>
      <c r="F58" s="185"/>
      <c r="G58" s="186"/>
      <c r="H58" s="185"/>
      <c r="I58" s="186"/>
      <c r="J58" s="185"/>
      <c r="K58" s="186"/>
      <c r="L58" s="185"/>
      <c r="M58" s="186"/>
      <c r="N58" s="185"/>
      <c r="O58" s="153"/>
      <c r="P58" s="139"/>
      <c r="Q58" s="138"/>
      <c r="R58" s="137"/>
      <c r="S58" s="138"/>
      <c r="T58" s="139"/>
      <c r="U58" s="138"/>
      <c r="V58" s="122"/>
      <c r="W58" s="122"/>
    </row>
    <row r="59" spans="1:23" ht="10" customHeight="1" thickBot="1">
      <c r="A59" s="126">
        <v>9</v>
      </c>
      <c r="B59" s="192"/>
      <c r="C59" s="188"/>
      <c r="D59" s="144"/>
      <c r="E59" s="188"/>
      <c r="F59" s="187"/>
      <c r="G59" s="188"/>
      <c r="H59" s="187"/>
      <c r="I59" s="188"/>
      <c r="J59" s="187"/>
      <c r="K59" s="188"/>
      <c r="L59" s="187"/>
      <c r="M59" s="188"/>
      <c r="N59" s="187"/>
      <c r="O59" s="159"/>
      <c r="P59" s="144"/>
      <c r="Q59" s="143"/>
      <c r="R59" s="142"/>
      <c r="S59" s="143"/>
      <c r="T59" s="144"/>
      <c r="U59" s="143"/>
      <c r="V59" s="122"/>
      <c r="W59" s="122"/>
    </row>
    <row r="60" spans="1:23" ht="10" customHeight="1">
      <c r="A60" s="122"/>
      <c r="B60" s="133"/>
      <c r="C60" s="134"/>
      <c r="D60" s="184"/>
      <c r="E60" s="183"/>
      <c r="F60" s="184"/>
      <c r="G60" s="183"/>
      <c r="H60" s="184"/>
      <c r="I60" s="183"/>
      <c r="J60" s="184"/>
      <c r="K60" s="183"/>
      <c r="L60" s="184"/>
      <c r="M60" s="183"/>
      <c r="N60" s="184"/>
      <c r="O60" s="183"/>
      <c r="P60" s="184"/>
      <c r="Q60" s="183"/>
      <c r="R60" s="184"/>
      <c r="S60" s="183"/>
      <c r="T60" s="149"/>
      <c r="U60" s="148"/>
      <c r="V60" s="122"/>
      <c r="W60" s="122"/>
    </row>
    <row r="61" spans="1:23" ht="10" customHeight="1">
      <c r="A61" s="122"/>
      <c r="B61" s="137"/>
      <c r="C61" s="186"/>
      <c r="D61" s="185"/>
      <c r="E61" s="186"/>
      <c r="F61" s="185"/>
      <c r="G61" s="186"/>
      <c r="H61" s="185"/>
      <c r="I61" s="186"/>
      <c r="J61" s="185"/>
      <c r="K61" s="186"/>
      <c r="L61" s="185"/>
      <c r="M61" s="186"/>
      <c r="N61" s="185"/>
      <c r="O61" s="186"/>
      <c r="P61" s="185"/>
      <c r="Q61" s="186"/>
      <c r="R61" s="185"/>
      <c r="S61" s="186"/>
      <c r="T61" s="155"/>
      <c r="U61" s="154"/>
      <c r="V61" s="122"/>
      <c r="W61" s="122"/>
    </row>
    <row r="62" spans="1:23" ht="10" customHeight="1">
      <c r="A62" s="122"/>
      <c r="B62" s="137"/>
      <c r="C62" s="186"/>
      <c r="D62" s="185"/>
      <c r="E62" s="186"/>
      <c r="F62" s="185"/>
      <c r="G62" s="186"/>
      <c r="H62" s="185"/>
      <c r="I62" s="186"/>
      <c r="J62" s="185"/>
      <c r="K62" s="186"/>
      <c r="L62" s="185"/>
      <c r="M62" s="186"/>
      <c r="N62" s="185"/>
      <c r="O62" s="186"/>
      <c r="P62" s="185"/>
      <c r="Q62" s="186"/>
      <c r="R62" s="185"/>
      <c r="S62" s="186"/>
      <c r="T62" s="155"/>
      <c r="U62" s="154"/>
      <c r="V62" s="122"/>
      <c r="W62" s="122"/>
    </row>
    <row r="63" spans="1:23" ht="10" customHeight="1">
      <c r="A63" s="122"/>
      <c r="B63" s="137"/>
      <c r="C63" s="186"/>
      <c r="D63" s="185"/>
      <c r="E63" s="186"/>
      <c r="F63" s="185"/>
      <c r="G63" s="186"/>
      <c r="H63" s="185"/>
      <c r="I63" s="186"/>
      <c r="J63" s="185"/>
      <c r="K63" s="186"/>
      <c r="L63" s="185"/>
      <c r="M63" s="186"/>
      <c r="N63" s="185"/>
      <c r="O63" s="186"/>
      <c r="P63" s="185"/>
      <c r="Q63" s="186"/>
      <c r="R63" s="185"/>
      <c r="S63" s="186"/>
      <c r="T63" s="155"/>
      <c r="U63" s="154"/>
      <c r="V63" s="122"/>
      <c r="W63" s="122"/>
    </row>
    <row r="64" spans="1:23" ht="10" customHeight="1" thickBot="1">
      <c r="A64" s="126">
        <v>10</v>
      </c>
      <c r="B64" s="142"/>
      <c r="C64" s="188"/>
      <c r="D64" s="187"/>
      <c r="E64" s="188"/>
      <c r="F64" s="187"/>
      <c r="G64" s="188"/>
      <c r="H64" s="187"/>
      <c r="I64" s="188"/>
      <c r="J64" s="187"/>
      <c r="K64" s="188"/>
      <c r="L64" s="187"/>
      <c r="M64" s="188"/>
      <c r="N64" s="187"/>
      <c r="O64" s="188"/>
      <c r="P64" s="187"/>
      <c r="Q64" s="188"/>
      <c r="R64" s="187"/>
      <c r="S64" s="160"/>
      <c r="T64" s="161"/>
      <c r="U64" s="160"/>
      <c r="V64" s="122"/>
      <c r="W64" s="122"/>
    </row>
    <row r="65" spans="1:23" ht="10" customHeight="1">
      <c r="A65" s="122"/>
      <c r="B65" s="149"/>
      <c r="C65" s="148"/>
      <c r="D65" s="149"/>
      <c r="E65" s="148"/>
      <c r="F65" s="149"/>
      <c r="G65" s="148"/>
      <c r="H65" s="149"/>
      <c r="I65" s="150"/>
      <c r="J65" s="151"/>
      <c r="K65" s="150"/>
      <c r="L65" s="151"/>
      <c r="M65" s="134"/>
      <c r="N65" s="133"/>
      <c r="O65" s="134"/>
      <c r="P65" s="146"/>
      <c r="Q65" s="147"/>
      <c r="R65" s="146"/>
      <c r="S65" s="147"/>
      <c r="T65" s="146"/>
      <c r="U65" s="134"/>
      <c r="V65" s="122"/>
      <c r="W65" s="122"/>
    </row>
    <row r="66" spans="1:23" ht="10" customHeight="1">
      <c r="A66" s="122"/>
      <c r="B66" s="155"/>
      <c r="C66" s="154"/>
      <c r="D66" s="155"/>
      <c r="E66" s="154"/>
      <c r="F66" s="155"/>
      <c r="G66" s="154"/>
      <c r="H66" s="155"/>
      <c r="I66" s="156"/>
      <c r="J66" s="157"/>
      <c r="K66" s="156"/>
      <c r="L66" s="157"/>
      <c r="M66" s="138"/>
      <c r="N66" s="137"/>
      <c r="O66" s="153"/>
      <c r="P66" s="152"/>
      <c r="Q66" s="153"/>
      <c r="R66" s="152"/>
      <c r="S66" s="153"/>
      <c r="T66" s="152"/>
      <c r="U66" s="138"/>
      <c r="V66" s="122"/>
      <c r="W66" s="122"/>
    </row>
    <row r="67" spans="1:23" ht="10" customHeight="1">
      <c r="A67" s="122"/>
      <c r="B67" s="155"/>
      <c r="C67" s="154"/>
      <c r="D67" s="155"/>
      <c r="E67" s="154"/>
      <c r="F67" s="155"/>
      <c r="G67" s="154"/>
      <c r="H67" s="155"/>
      <c r="I67" s="156"/>
      <c r="J67" s="200"/>
      <c r="K67" s="156"/>
      <c r="L67" s="200"/>
      <c r="M67" s="138"/>
      <c r="N67" s="137"/>
      <c r="O67" s="153"/>
      <c r="P67" s="152"/>
      <c r="Q67" s="153"/>
      <c r="R67" s="152"/>
      <c r="S67" s="153"/>
      <c r="T67" s="152"/>
      <c r="U67" s="138"/>
      <c r="V67" s="122"/>
      <c r="W67" s="122"/>
    </row>
    <row r="68" spans="1:23" ht="10" customHeight="1">
      <c r="A68" s="122"/>
      <c r="B68" s="155"/>
      <c r="C68" s="154"/>
      <c r="D68" s="155"/>
      <c r="E68" s="154"/>
      <c r="F68" s="155"/>
      <c r="G68" s="154"/>
      <c r="H68" s="155"/>
      <c r="I68" s="156"/>
      <c r="J68" s="157"/>
      <c r="K68" s="156"/>
      <c r="L68" s="157"/>
      <c r="M68" s="138"/>
      <c r="N68" s="137"/>
      <c r="O68" s="153"/>
      <c r="P68" s="152"/>
      <c r="Q68" s="153"/>
      <c r="R68" s="152"/>
      <c r="S68" s="153"/>
      <c r="T68" s="137"/>
      <c r="U68" s="138"/>
      <c r="V68" s="122"/>
      <c r="W68" s="122"/>
    </row>
    <row r="69" spans="1:23" ht="10" customHeight="1" thickBot="1">
      <c r="A69" s="126">
        <v>11</v>
      </c>
      <c r="B69" s="161"/>
      <c r="C69" s="160"/>
      <c r="D69" s="161"/>
      <c r="E69" s="160"/>
      <c r="F69" s="161"/>
      <c r="G69" s="160"/>
      <c r="H69" s="161"/>
      <c r="I69" s="162"/>
      <c r="J69" s="157"/>
      <c r="K69" s="162"/>
      <c r="L69" s="157"/>
      <c r="M69" s="143"/>
      <c r="N69" s="142"/>
      <c r="O69" s="159"/>
      <c r="P69" s="158"/>
      <c r="Q69" s="159"/>
      <c r="R69" s="158"/>
      <c r="S69" s="159"/>
      <c r="T69" s="142"/>
      <c r="U69" s="143"/>
      <c r="V69" s="122"/>
      <c r="W69" s="122"/>
    </row>
    <row r="70" spans="1:23" ht="10" customHeight="1">
      <c r="A70" s="122"/>
      <c r="B70" s="133"/>
      <c r="C70" s="134"/>
      <c r="D70" s="133"/>
      <c r="E70" s="147"/>
      <c r="F70" s="146"/>
      <c r="G70" s="183"/>
      <c r="H70" s="184"/>
      <c r="I70" s="183"/>
      <c r="J70" s="184"/>
      <c r="K70" s="183"/>
      <c r="L70" s="135"/>
      <c r="M70" s="134"/>
      <c r="N70" s="133"/>
      <c r="O70" s="134"/>
      <c r="P70" s="133"/>
      <c r="Q70" s="136"/>
      <c r="R70" s="133"/>
      <c r="S70" s="134"/>
      <c r="T70" s="181"/>
      <c r="U70" s="173"/>
      <c r="V70" s="122"/>
      <c r="W70" s="122"/>
    </row>
    <row r="71" spans="1:23" ht="10" customHeight="1">
      <c r="A71" s="122"/>
      <c r="B71" s="137"/>
      <c r="C71" s="138"/>
      <c r="D71" s="137"/>
      <c r="E71" s="153"/>
      <c r="F71" s="152"/>
      <c r="G71" s="186"/>
      <c r="H71" s="185"/>
      <c r="I71" s="186"/>
      <c r="J71" s="185"/>
      <c r="K71" s="186"/>
      <c r="L71" s="139"/>
      <c r="M71" s="138"/>
      <c r="N71" s="137"/>
      <c r="O71" s="138"/>
      <c r="P71" s="137"/>
      <c r="Q71" s="140"/>
      <c r="R71" s="137"/>
      <c r="S71" s="138"/>
      <c r="T71" s="164"/>
      <c r="U71" s="182"/>
      <c r="V71" s="122"/>
      <c r="W71" s="122"/>
    </row>
    <row r="72" spans="1:23" ht="10" customHeight="1">
      <c r="A72" s="122"/>
      <c r="B72" s="137"/>
      <c r="C72" s="138"/>
      <c r="D72" s="137"/>
      <c r="E72" s="153"/>
      <c r="F72" s="152"/>
      <c r="G72" s="186"/>
      <c r="H72" s="185"/>
      <c r="I72" s="186"/>
      <c r="J72" s="185"/>
      <c r="K72" s="140"/>
      <c r="L72" s="137"/>
      <c r="M72" s="138"/>
      <c r="N72" s="137"/>
      <c r="O72" s="138"/>
      <c r="P72" s="137"/>
      <c r="Q72" s="140"/>
      <c r="R72" s="137"/>
      <c r="S72" s="138"/>
      <c r="T72" s="164"/>
      <c r="U72" s="182"/>
      <c r="V72" s="122"/>
      <c r="W72" s="122"/>
    </row>
    <row r="73" spans="1:23" ht="10" customHeight="1">
      <c r="A73" s="122"/>
      <c r="B73" s="137"/>
      <c r="C73" s="138"/>
      <c r="D73" s="137"/>
      <c r="E73" s="153"/>
      <c r="F73" s="152"/>
      <c r="G73" s="186"/>
      <c r="H73" s="185"/>
      <c r="I73" s="186"/>
      <c r="J73" s="185"/>
      <c r="K73" s="140"/>
      <c r="L73" s="137"/>
      <c r="M73" s="138"/>
      <c r="N73" s="137"/>
      <c r="O73" s="138"/>
      <c r="P73" s="137"/>
      <c r="Q73" s="140"/>
      <c r="R73" s="137"/>
      <c r="S73" s="138"/>
      <c r="T73" s="164"/>
      <c r="U73" s="182"/>
      <c r="V73" s="122"/>
      <c r="W73" s="122"/>
    </row>
    <row r="74" spans="1:23" ht="10" customHeight="1" thickBot="1">
      <c r="A74" s="126">
        <v>12</v>
      </c>
      <c r="B74" s="142"/>
      <c r="C74" s="143"/>
      <c r="D74" s="142"/>
      <c r="E74" s="159"/>
      <c r="F74" s="187"/>
      <c r="G74" s="188"/>
      <c r="H74" s="187"/>
      <c r="I74" s="188"/>
      <c r="J74" s="187"/>
      <c r="K74" s="145"/>
      <c r="L74" s="142"/>
      <c r="M74" s="143"/>
      <c r="N74" s="142"/>
      <c r="O74" s="143"/>
      <c r="P74" s="142"/>
      <c r="Q74" s="145"/>
      <c r="R74" s="142"/>
      <c r="S74" s="143"/>
      <c r="T74" s="165"/>
      <c r="U74" s="172"/>
      <c r="V74" s="122"/>
      <c r="W74" s="122"/>
    </row>
    <row r="75" spans="1:23" ht="10" customHeight="1">
      <c r="A75" s="122"/>
      <c r="B75" s="181"/>
      <c r="C75" s="136"/>
      <c r="D75" s="133"/>
      <c r="E75" s="136"/>
      <c r="F75" s="133"/>
      <c r="G75" s="134"/>
      <c r="H75" s="135"/>
      <c r="I75" s="134"/>
      <c r="J75" s="146"/>
      <c r="K75" s="147"/>
      <c r="L75" s="133"/>
      <c r="M75" s="134"/>
      <c r="N75" s="133"/>
      <c r="O75" s="148"/>
      <c r="P75" s="149"/>
      <c r="Q75" s="148"/>
      <c r="R75" s="184"/>
      <c r="S75" s="183"/>
      <c r="T75" s="184"/>
      <c r="U75" s="183"/>
      <c r="V75" s="122"/>
      <c r="W75" s="122"/>
    </row>
    <row r="76" spans="1:23" ht="10" customHeight="1">
      <c r="A76" s="122"/>
      <c r="B76" s="164"/>
      <c r="C76" s="140"/>
      <c r="D76" s="137"/>
      <c r="E76" s="140"/>
      <c r="F76" s="137"/>
      <c r="G76" s="138"/>
      <c r="H76" s="139"/>
      <c r="I76" s="153"/>
      <c r="J76" s="152"/>
      <c r="K76" s="153"/>
      <c r="L76" s="137"/>
      <c r="M76" s="138"/>
      <c r="N76" s="137"/>
      <c r="O76" s="154"/>
      <c r="P76" s="155"/>
      <c r="Q76" s="154"/>
      <c r="R76" s="185"/>
      <c r="S76" s="186"/>
      <c r="T76" s="185"/>
      <c r="U76" s="186"/>
      <c r="V76" s="122"/>
      <c r="W76" s="122"/>
    </row>
    <row r="77" spans="1:23" ht="10" customHeight="1">
      <c r="A77" s="122"/>
      <c r="B77" s="139"/>
      <c r="C77" s="138"/>
      <c r="D77" s="139"/>
      <c r="E77" s="138"/>
      <c r="F77" s="137"/>
      <c r="G77" s="138"/>
      <c r="H77" s="139"/>
      <c r="I77" s="153"/>
      <c r="J77" s="152"/>
      <c r="K77" s="153"/>
      <c r="L77" s="137"/>
      <c r="M77" s="138"/>
      <c r="N77" s="155"/>
      <c r="O77" s="154"/>
      <c r="P77" s="155"/>
      <c r="Q77" s="154"/>
      <c r="R77" s="185"/>
      <c r="S77" s="186"/>
      <c r="T77" s="185"/>
      <c r="U77" s="186"/>
      <c r="V77" s="122"/>
      <c r="W77" s="122"/>
    </row>
    <row r="78" spans="1:23" ht="10" customHeight="1">
      <c r="A78" s="122"/>
      <c r="B78" s="139"/>
      <c r="C78" s="138"/>
      <c r="D78" s="139"/>
      <c r="E78" s="138"/>
      <c r="F78" s="137"/>
      <c r="G78" s="138"/>
      <c r="H78" s="139"/>
      <c r="I78" s="153"/>
      <c r="J78" s="152"/>
      <c r="K78" s="153"/>
      <c r="L78" s="137"/>
      <c r="M78" s="138"/>
      <c r="N78" s="155"/>
      <c r="O78" s="154"/>
      <c r="P78" s="155"/>
      <c r="Q78" s="154"/>
      <c r="R78" s="185"/>
      <c r="S78" s="186"/>
      <c r="T78" s="185"/>
      <c r="U78" s="186"/>
      <c r="V78" s="122"/>
      <c r="W78" s="122"/>
    </row>
    <row r="79" spans="1:23" ht="10" customHeight="1" thickBot="1">
      <c r="A79" s="126">
        <v>13</v>
      </c>
      <c r="B79" s="144"/>
      <c r="C79" s="143"/>
      <c r="D79" s="144"/>
      <c r="E79" s="143"/>
      <c r="F79" s="142"/>
      <c r="G79" s="143"/>
      <c r="H79" s="144"/>
      <c r="I79" s="159"/>
      <c r="J79" s="158"/>
      <c r="K79" s="159"/>
      <c r="L79" s="142"/>
      <c r="M79" s="143"/>
      <c r="N79" s="161"/>
      <c r="O79" s="160"/>
      <c r="P79" s="161"/>
      <c r="Q79" s="188"/>
      <c r="R79" s="187"/>
      <c r="S79" s="188"/>
      <c r="T79" s="187"/>
      <c r="U79" s="188"/>
      <c r="V79" s="122"/>
      <c r="W79" s="122"/>
    </row>
    <row r="80" spans="1:23" ht="10" customHeight="1">
      <c r="A80" s="122"/>
      <c r="B80" s="184"/>
      <c r="C80" s="183"/>
      <c r="D80" s="184"/>
      <c r="E80" s="183"/>
      <c r="F80" s="184"/>
      <c r="G80" s="173"/>
      <c r="H80" s="181"/>
      <c r="I80" s="173"/>
      <c r="J80" s="181"/>
      <c r="K80" s="173"/>
      <c r="L80" s="181"/>
      <c r="M80" s="173"/>
      <c r="N80" s="181"/>
      <c r="O80" s="173"/>
      <c r="P80" s="181"/>
      <c r="Q80" s="173"/>
      <c r="R80" s="181"/>
      <c r="S80" s="173"/>
      <c r="T80" s="181"/>
      <c r="U80" s="173"/>
      <c r="V80" s="122"/>
      <c r="W80" s="122"/>
    </row>
    <row r="81" spans="1:23" ht="10" customHeight="1">
      <c r="A81" s="122"/>
      <c r="B81" s="185"/>
      <c r="C81" s="186"/>
      <c r="D81" s="185"/>
      <c r="E81" s="186"/>
      <c r="F81" s="137"/>
      <c r="G81" s="182"/>
      <c r="H81" s="164"/>
      <c r="I81" s="182"/>
      <c r="J81" s="164"/>
      <c r="K81" s="182"/>
      <c r="L81" s="164"/>
      <c r="M81" s="182"/>
      <c r="N81" s="164"/>
      <c r="O81" s="182"/>
      <c r="P81" s="164"/>
      <c r="Q81" s="182"/>
      <c r="R81" s="164"/>
      <c r="S81" s="182"/>
      <c r="T81" s="164"/>
      <c r="U81" s="182"/>
      <c r="V81" s="122"/>
      <c r="W81" s="122"/>
    </row>
    <row r="82" spans="1:23" ht="10" customHeight="1">
      <c r="A82" s="122"/>
      <c r="B82" s="185"/>
      <c r="C82" s="186"/>
      <c r="D82" s="185"/>
      <c r="E82" s="186"/>
      <c r="F82" s="137"/>
      <c r="G82" s="182"/>
      <c r="H82" s="164"/>
      <c r="I82" s="182"/>
      <c r="J82" s="164"/>
      <c r="K82" s="182"/>
      <c r="L82" s="164"/>
      <c r="M82" s="182"/>
      <c r="N82" s="164"/>
      <c r="O82" s="182"/>
      <c r="P82" s="164"/>
      <c r="Q82" s="182"/>
      <c r="R82" s="164"/>
      <c r="S82" s="182"/>
      <c r="T82" s="164"/>
      <c r="U82" s="182"/>
      <c r="V82" s="122"/>
      <c r="W82" s="122"/>
    </row>
    <row r="83" spans="1:23" ht="10" customHeight="1">
      <c r="A83" s="122"/>
      <c r="B83" s="185"/>
      <c r="C83" s="186"/>
      <c r="D83" s="185"/>
      <c r="E83" s="186"/>
      <c r="F83" s="137"/>
      <c r="G83" s="182"/>
      <c r="H83" s="164"/>
      <c r="I83" s="182"/>
      <c r="J83" s="164"/>
      <c r="K83" s="182"/>
      <c r="L83" s="164"/>
      <c r="M83" s="182"/>
      <c r="N83" s="164"/>
      <c r="O83" s="182"/>
      <c r="P83" s="164"/>
      <c r="Q83" s="182"/>
      <c r="R83" s="164"/>
      <c r="S83" s="182"/>
      <c r="T83" s="164"/>
      <c r="U83" s="182"/>
      <c r="V83" s="122"/>
      <c r="W83" s="122"/>
    </row>
    <row r="84" spans="1:23" ht="10" customHeight="1" thickBot="1">
      <c r="A84" s="126">
        <v>14</v>
      </c>
      <c r="B84" s="187"/>
      <c r="C84" s="188"/>
      <c r="D84" s="187"/>
      <c r="E84" s="188"/>
      <c r="F84" s="142"/>
      <c r="G84" s="172"/>
      <c r="H84" s="165"/>
      <c r="I84" s="172"/>
      <c r="J84" s="165"/>
      <c r="K84" s="172"/>
      <c r="L84" s="165"/>
      <c r="M84" s="172"/>
      <c r="N84" s="165"/>
      <c r="O84" s="172"/>
      <c r="P84" s="165"/>
      <c r="Q84" s="172"/>
      <c r="R84" s="164"/>
      <c r="S84" s="172"/>
      <c r="T84" s="165"/>
      <c r="U84" s="172"/>
      <c r="V84" s="122"/>
      <c r="W84" s="122"/>
    </row>
    <row r="85" spans="1:23" ht="10" customHeight="1">
      <c r="A85" s="122"/>
      <c r="B85" s="181"/>
      <c r="C85" s="173"/>
      <c r="D85" s="181"/>
      <c r="E85" s="173"/>
      <c r="F85" s="181"/>
      <c r="G85" s="173"/>
      <c r="H85" s="181"/>
      <c r="I85" s="173"/>
      <c r="J85" s="181"/>
      <c r="K85" s="173"/>
      <c r="L85" s="181"/>
      <c r="M85" s="173"/>
      <c r="N85" s="181"/>
      <c r="O85" s="173"/>
      <c r="P85" s="135"/>
      <c r="Q85" s="136"/>
      <c r="R85" s="133"/>
      <c r="S85" s="134"/>
      <c r="T85" s="181"/>
      <c r="U85" s="173"/>
      <c r="V85" s="122"/>
      <c r="W85" s="122"/>
    </row>
    <row r="86" spans="1:23" ht="10" customHeight="1">
      <c r="A86" s="122"/>
      <c r="B86" s="164"/>
      <c r="C86" s="182"/>
      <c r="D86" s="164"/>
      <c r="E86" s="182"/>
      <c r="F86" s="164"/>
      <c r="G86" s="182"/>
      <c r="H86" s="164"/>
      <c r="I86" s="182"/>
      <c r="J86" s="164"/>
      <c r="K86" s="182"/>
      <c r="L86" s="164"/>
      <c r="M86" s="182"/>
      <c r="N86" s="164"/>
      <c r="O86" s="140"/>
      <c r="P86" s="139"/>
      <c r="Q86" s="138"/>
      <c r="R86" s="137"/>
      <c r="S86" s="138"/>
      <c r="T86" s="164"/>
      <c r="U86" s="182"/>
      <c r="V86" s="122"/>
      <c r="W86" s="122"/>
    </row>
    <row r="87" spans="1:23" ht="10" customHeight="1">
      <c r="A87" s="122"/>
      <c r="B87" s="164"/>
      <c r="C87" s="182"/>
      <c r="D87" s="164"/>
      <c r="E87" s="182"/>
      <c r="F87" s="164"/>
      <c r="G87" s="182"/>
      <c r="H87" s="164"/>
      <c r="I87" s="182"/>
      <c r="J87" s="164"/>
      <c r="K87" s="182"/>
      <c r="L87" s="164"/>
      <c r="M87" s="182"/>
      <c r="N87" s="164"/>
      <c r="O87" s="140"/>
      <c r="P87" s="139"/>
      <c r="Q87" s="138"/>
      <c r="R87" s="137"/>
      <c r="S87" s="182"/>
      <c r="T87" s="164"/>
      <c r="U87" s="182"/>
      <c r="V87" s="122"/>
      <c r="W87" s="122"/>
    </row>
    <row r="88" spans="1:23" ht="10" customHeight="1">
      <c r="A88" s="122"/>
      <c r="B88" s="164"/>
      <c r="C88" s="182"/>
      <c r="D88" s="164"/>
      <c r="E88" s="182"/>
      <c r="F88" s="164"/>
      <c r="G88" s="182"/>
      <c r="H88" s="164"/>
      <c r="I88" s="182"/>
      <c r="J88" s="164"/>
      <c r="K88" s="182"/>
      <c r="L88" s="164"/>
      <c r="M88" s="182"/>
      <c r="N88" s="164"/>
      <c r="O88" s="140"/>
      <c r="P88" s="139"/>
      <c r="Q88" s="138"/>
      <c r="R88" s="137"/>
      <c r="S88" s="182"/>
      <c r="T88" s="164"/>
      <c r="U88" s="182"/>
      <c r="V88" s="122"/>
      <c r="W88" s="122"/>
    </row>
    <row r="89" spans="1:23" ht="10" customHeight="1" thickBot="1">
      <c r="A89" s="126">
        <v>15</v>
      </c>
      <c r="B89" s="165"/>
      <c r="C89" s="172"/>
      <c r="D89" s="165"/>
      <c r="E89" s="172"/>
      <c r="F89" s="165"/>
      <c r="G89" s="172"/>
      <c r="H89" s="165"/>
      <c r="I89" s="172"/>
      <c r="J89" s="165"/>
      <c r="K89" s="172"/>
      <c r="L89" s="165"/>
      <c r="M89" s="172"/>
      <c r="N89" s="165"/>
      <c r="O89" s="145"/>
      <c r="P89" s="144"/>
      <c r="Q89" s="143"/>
      <c r="R89" s="142"/>
      <c r="S89" s="172"/>
      <c r="T89" s="165"/>
      <c r="U89" s="172"/>
      <c r="V89" s="122"/>
      <c r="W89" s="122"/>
    </row>
    <row r="90" spans="1:23" ht="10" customHeight="1">
      <c r="A90" s="122"/>
      <c r="B90" s="181"/>
      <c r="C90" s="173"/>
      <c r="D90" s="181"/>
      <c r="E90" s="173"/>
      <c r="F90" s="181"/>
      <c r="G90" s="147"/>
      <c r="H90" s="135"/>
      <c r="I90" s="134"/>
      <c r="J90" s="184"/>
      <c r="K90" s="183"/>
      <c r="L90" s="184"/>
      <c r="M90" s="183"/>
      <c r="N90" s="184"/>
      <c r="O90" s="183"/>
      <c r="P90" s="184"/>
      <c r="Q90" s="183"/>
      <c r="R90" s="184"/>
      <c r="S90" s="147"/>
      <c r="T90" s="146"/>
      <c r="U90" s="150"/>
      <c r="V90" s="122"/>
      <c r="W90" s="122"/>
    </row>
    <row r="91" spans="1:23" ht="10" customHeight="1">
      <c r="A91" s="122"/>
      <c r="B91" s="164"/>
      <c r="C91" s="182"/>
      <c r="D91" s="164"/>
      <c r="E91" s="182"/>
      <c r="F91" s="152"/>
      <c r="G91" s="153"/>
      <c r="H91" s="139"/>
      <c r="I91" s="138"/>
      <c r="J91" s="185"/>
      <c r="K91" s="186"/>
      <c r="L91" s="185"/>
      <c r="M91" s="186"/>
      <c r="N91" s="185"/>
      <c r="O91" s="186"/>
      <c r="P91" s="185"/>
      <c r="Q91" s="186"/>
      <c r="R91" s="185"/>
      <c r="S91" s="153"/>
      <c r="T91" s="157"/>
      <c r="U91" s="156"/>
      <c r="V91" s="122"/>
      <c r="W91" s="122"/>
    </row>
    <row r="92" spans="1:23" ht="10" customHeight="1">
      <c r="A92" s="122"/>
      <c r="B92" s="164"/>
      <c r="C92" s="182"/>
      <c r="D92" s="164"/>
      <c r="E92" s="182"/>
      <c r="F92" s="152"/>
      <c r="G92" s="153"/>
      <c r="H92" s="139"/>
      <c r="I92" s="138"/>
      <c r="J92" s="196"/>
      <c r="K92" s="186"/>
      <c r="L92" s="196"/>
      <c r="M92" s="186"/>
      <c r="N92" s="185"/>
      <c r="O92" s="186"/>
      <c r="P92" s="185"/>
      <c r="Q92" s="186"/>
      <c r="R92" s="185"/>
      <c r="S92" s="153"/>
      <c r="T92" s="157"/>
      <c r="U92" s="156"/>
      <c r="V92" s="122"/>
      <c r="W92" s="122"/>
    </row>
    <row r="93" spans="1:23" ht="10" customHeight="1">
      <c r="A93" s="122"/>
      <c r="B93" s="164"/>
      <c r="C93" s="182"/>
      <c r="D93" s="164"/>
      <c r="E93" s="182"/>
      <c r="F93" s="152"/>
      <c r="G93" s="153"/>
      <c r="H93" s="139"/>
      <c r="I93" s="186"/>
      <c r="J93" s="185"/>
      <c r="K93" s="186"/>
      <c r="L93" s="185"/>
      <c r="M93" s="186"/>
      <c r="N93" s="185"/>
      <c r="O93" s="186"/>
      <c r="P93" s="185"/>
      <c r="Q93" s="186"/>
      <c r="R93" s="185"/>
      <c r="S93" s="153"/>
      <c r="T93" s="157"/>
      <c r="U93" s="156"/>
      <c r="V93" s="122"/>
      <c r="W93" s="122"/>
    </row>
    <row r="94" spans="1:23" ht="10" customHeight="1" thickBot="1">
      <c r="A94" s="126">
        <v>16</v>
      </c>
      <c r="B94" s="165"/>
      <c r="C94" s="172"/>
      <c r="D94" s="165"/>
      <c r="E94" s="172"/>
      <c r="F94" s="158"/>
      <c r="G94" s="145"/>
      <c r="H94" s="142"/>
      <c r="I94" s="188"/>
      <c r="J94" s="185"/>
      <c r="K94" s="188"/>
      <c r="L94" s="185"/>
      <c r="M94" s="188"/>
      <c r="N94" s="187"/>
      <c r="O94" s="188"/>
      <c r="P94" s="187"/>
      <c r="Q94" s="188"/>
      <c r="R94" s="187"/>
      <c r="S94" s="159"/>
      <c r="T94" s="163"/>
      <c r="U94" s="162"/>
      <c r="V94" s="122"/>
      <c r="W94" s="122"/>
    </row>
    <row r="95" spans="1:23" ht="10" customHeight="1">
      <c r="A95" s="122"/>
      <c r="B95" s="151"/>
      <c r="C95" s="150"/>
      <c r="D95" s="146"/>
      <c r="E95" s="173"/>
      <c r="F95" s="181"/>
      <c r="G95" s="173"/>
      <c r="H95" s="181"/>
      <c r="I95" s="173"/>
      <c r="J95" s="181"/>
      <c r="K95" s="136"/>
      <c r="L95" s="184"/>
      <c r="M95" s="183"/>
      <c r="N95" s="184"/>
      <c r="O95" s="183"/>
      <c r="P95" s="184"/>
      <c r="Q95" s="183"/>
      <c r="R95" s="184"/>
      <c r="S95" s="183"/>
      <c r="T95" s="184"/>
      <c r="U95" s="175"/>
      <c r="V95" s="122"/>
      <c r="W95" s="122"/>
    </row>
    <row r="96" spans="1:23" ht="10" customHeight="1">
      <c r="A96" s="122"/>
      <c r="B96" s="157"/>
      <c r="C96" s="156"/>
      <c r="D96" s="152"/>
      <c r="E96" s="182"/>
      <c r="F96" s="164"/>
      <c r="G96" s="182"/>
      <c r="H96" s="164"/>
      <c r="I96" s="182"/>
      <c r="J96" s="164"/>
      <c r="K96" s="140"/>
      <c r="L96" s="185"/>
      <c r="M96" s="186"/>
      <c r="N96" s="185"/>
      <c r="O96" s="186"/>
      <c r="P96" s="185"/>
      <c r="Q96" s="186"/>
      <c r="R96" s="185"/>
      <c r="S96" s="186"/>
      <c r="T96" s="176"/>
      <c r="U96" s="177"/>
      <c r="V96" s="122"/>
      <c r="W96" s="122"/>
    </row>
    <row r="97" spans="1:23" ht="10" customHeight="1">
      <c r="A97" s="122"/>
      <c r="B97" s="157"/>
      <c r="C97" s="156"/>
      <c r="D97" s="152"/>
      <c r="E97" s="182"/>
      <c r="F97" s="164"/>
      <c r="G97" s="182"/>
      <c r="H97" s="164"/>
      <c r="I97" s="182"/>
      <c r="J97" s="164"/>
      <c r="K97" s="140"/>
      <c r="L97" s="185"/>
      <c r="M97" s="186"/>
      <c r="N97" s="185"/>
      <c r="O97" s="186"/>
      <c r="P97" s="185"/>
      <c r="Q97" s="186"/>
      <c r="R97" s="185"/>
      <c r="S97" s="186"/>
      <c r="T97" s="176"/>
      <c r="U97" s="177"/>
      <c r="V97" s="122"/>
      <c r="W97" s="122"/>
    </row>
    <row r="98" spans="1:23" ht="10" customHeight="1">
      <c r="A98" s="122"/>
      <c r="B98" s="157"/>
      <c r="C98" s="153"/>
      <c r="D98" s="164"/>
      <c r="E98" s="182"/>
      <c r="F98" s="164"/>
      <c r="G98" s="182"/>
      <c r="H98" s="164"/>
      <c r="I98" s="182"/>
      <c r="J98" s="139"/>
      <c r="K98" s="186"/>
      <c r="L98" s="185"/>
      <c r="M98" s="186"/>
      <c r="N98" s="185"/>
      <c r="O98" s="186"/>
      <c r="P98" s="185"/>
      <c r="Q98" s="186"/>
      <c r="R98" s="185"/>
      <c r="S98" s="186"/>
      <c r="T98" s="176"/>
      <c r="U98" s="177"/>
      <c r="V98" s="122"/>
      <c r="W98" s="122"/>
    </row>
    <row r="99" spans="1:23" ht="10" customHeight="1" thickBot="1">
      <c r="A99" s="126">
        <v>17</v>
      </c>
      <c r="B99" s="163"/>
      <c r="C99" s="159"/>
      <c r="D99" s="165"/>
      <c r="E99" s="172"/>
      <c r="F99" s="165"/>
      <c r="G99" s="172"/>
      <c r="H99" s="165"/>
      <c r="I99" s="172"/>
      <c r="J99" s="144"/>
      <c r="K99" s="188"/>
      <c r="L99" s="187"/>
      <c r="M99" s="188"/>
      <c r="N99" s="187"/>
      <c r="O99" s="188"/>
      <c r="P99" s="187"/>
      <c r="Q99" s="188"/>
      <c r="R99" s="187"/>
      <c r="S99" s="188"/>
      <c r="T99" s="179"/>
      <c r="U99" s="178"/>
      <c r="V99" s="122"/>
      <c r="W99" s="122"/>
    </row>
    <row r="100" spans="1:23" ht="10" customHeight="1">
      <c r="A100" s="122"/>
      <c r="B100" s="174"/>
      <c r="C100" s="175"/>
      <c r="D100" s="174"/>
      <c r="E100" s="175"/>
      <c r="F100" s="174"/>
      <c r="G100" s="175"/>
      <c r="H100" s="174"/>
      <c r="I100" s="175"/>
      <c r="J100" s="174"/>
      <c r="K100" s="175"/>
      <c r="L100" s="174"/>
      <c r="M100" s="175"/>
      <c r="N100" s="174"/>
      <c r="O100" s="175"/>
      <c r="P100" s="174"/>
      <c r="Q100" s="175"/>
      <c r="R100" s="174"/>
      <c r="S100" s="175"/>
      <c r="T100" s="174"/>
      <c r="U100" s="175"/>
      <c r="V100" s="122"/>
      <c r="W100" s="122"/>
    </row>
    <row r="101" spans="1:23" ht="10" customHeight="1">
      <c r="A101" s="122"/>
      <c r="B101" s="176"/>
      <c r="C101" s="177"/>
      <c r="D101" s="176"/>
      <c r="E101" s="177"/>
      <c r="F101" s="176"/>
      <c r="G101" s="177"/>
      <c r="H101" s="176"/>
      <c r="I101" s="177"/>
      <c r="J101" s="176"/>
      <c r="K101" s="177"/>
      <c r="L101" s="176"/>
      <c r="M101" s="177"/>
      <c r="N101" s="176"/>
      <c r="O101" s="177"/>
      <c r="P101" s="176"/>
      <c r="Q101" s="177"/>
      <c r="R101" s="176"/>
      <c r="S101" s="177"/>
      <c r="T101" s="176"/>
      <c r="U101" s="177"/>
      <c r="V101" s="122"/>
      <c r="W101" s="122"/>
    </row>
    <row r="102" spans="1:23" ht="10" customHeight="1">
      <c r="A102" s="122"/>
      <c r="B102" s="176"/>
      <c r="C102" s="177"/>
      <c r="D102" s="176"/>
      <c r="E102" s="177"/>
      <c r="F102" s="176"/>
      <c r="G102" s="177"/>
      <c r="H102" s="176"/>
      <c r="I102" s="177"/>
      <c r="J102" s="176"/>
      <c r="K102" s="177"/>
      <c r="L102" s="176"/>
      <c r="M102" s="177"/>
      <c r="N102" s="176"/>
      <c r="O102" s="177"/>
      <c r="P102" s="176"/>
      <c r="Q102" s="177"/>
      <c r="R102" s="176"/>
      <c r="S102" s="177"/>
      <c r="T102" s="176"/>
      <c r="U102" s="177"/>
      <c r="V102" s="122"/>
      <c r="W102" s="122"/>
    </row>
    <row r="103" spans="1:23" ht="10" customHeight="1">
      <c r="A103" s="122"/>
      <c r="B103" s="176"/>
      <c r="C103" s="177"/>
      <c r="D103" s="176"/>
      <c r="E103" s="177"/>
      <c r="F103" s="176"/>
      <c r="G103" s="177"/>
      <c r="H103" s="176"/>
      <c r="I103" s="177"/>
      <c r="J103" s="176"/>
      <c r="K103" s="177"/>
      <c r="L103" s="176"/>
      <c r="M103" s="177"/>
      <c r="N103" s="176"/>
      <c r="O103" s="177"/>
      <c r="P103" s="176"/>
      <c r="Q103" s="177"/>
      <c r="R103" s="176"/>
      <c r="S103" s="177"/>
      <c r="T103" s="176"/>
      <c r="U103" s="177"/>
      <c r="V103" s="122"/>
      <c r="W103" s="122"/>
    </row>
    <row r="104" spans="1:23" ht="10" customHeight="1" thickBot="1">
      <c r="A104" s="126">
        <v>18</v>
      </c>
      <c r="B104" s="179"/>
      <c r="C104" s="178"/>
      <c r="D104" s="179"/>
      <c r="E104" s="178"/>
      <c r="F104" s="179"/>
      <c r="G104" s="178"/>
      <c r="H104" s="179"/>
      <c r="I104" s="178"/>
      <c r="J104" s="179"/>
      <c r="K104" s="178"/>
      <c r="L104" s="179"/>
      <c r="M104" s="178"/>
      <c r="N104" s="179"/>
      <c r="O104" s="178"/>
      <c r="P104" s="179"/>
      <c r="Q104" s="178"/>
      <c r="R104" s="179"/>
      <c r="S104" s="178"/>
      <c r="T104" s="179"/>
      <c r="U104" s="178"/>
      <c r="V104" s="122"/>
      <c r="W104" s="122"/>
    </row>
    <row r="105" spans="1:23" ht="10" customHeight="1">
      <c r="A105" s="122"/>
      <c r="B105" s="174"/>
      <c r="C105" s="175"/>
      <c r="D105" s="174"/>
      <c r="E105" s="175"/>
      <c r="F105" s="174"/>
      <c r="G105" s="175"/>
      <c r="H105" s="174"/>
      <c r="I105" s="175"/>
      <c r="J105" s="174"/>
      <c r="K105" s="175"/>
      <c r="L105" s="174"/>
      <c r="M105" s="175"/>
      <c r="N105" s="174"/>
      <c r="O105" s="175"/>
      <c r="P105" s="174"/>
      <c r="Q105" s="175"/>
      <c r="R105" s="174"/>
      <c r="S105" s="175"/>
      <c r="T105" s="174"/>
      <c r="U105" s="175"/>
      <c r="V105" s="122"/>
      <c r="W105" s="122"/>
    </row>
    <row r="106" spans="1:23" ht="10" customHeight="1">
      <c r="A106" s="122"/>
      <c r="B106" s="176"/>
      <c r="C106" s="177"/>
      <c r="D106" s="176"/>
      <c r="E106" s="177"/>
      <c r="F106" s="176"/>
      <c r="G106" s="177"/>
      <c r="H106" s="176"/>
      <c r="I106" s="177"/>
      <c r="J106" s="176"/>
      <c r="K106" s="177"/>
      <c r="L106" s="176"/>
      <c r="M106" s="177"/>
      <c r="N106" s="176"/>
      <c r="O106" s="177"/>
      <c r="P106" s="176"/>
      <c r="Q106" s="177"/>
      <c r="R106" s="176"/>
      <c r="S106" s="177"/>
      <c r="T106" s="176"/>
      <c r="U106" s="177"/>
      <c r="V106" s="122"/>
      <c r="W106" s="122"/>
    </row>
    <row r="107" spans="1:23" ht="10" customHeight="1">
      <c r="A107" s="122"/>
      <c r="B107" s="176"/>
      <c r="C107" s="177"/>
      <c r="D107" s="176"/>
      <c r="E107" s="177"/>
      <c r="F107" s="176"/>
      <c r="G107" s="177"/>
      <c r="H107" s="176"/>
      <c r="I107" s="177"/>
      <c r="J107" s="176"/>
      <c r="K107" s="177"/>
      <c r="L107" s="176"/>
      <c r="M107" s="177"/>
      <c r="N107" s="176"/>
      <c r="O107" s="177"/>
      <c r="P107" s="176"/>
      <c r="Q107" s="177"/>
      <c r="R107" s="176"/>
      <c r="S107" s="177"/>
      <c r="T107" s="176"/>
      <c r="U107" s="177"/>
      <c r="V107" s="122"/>
      <c r="W107" s="122"/>
    </row>
    <row r="108" spans="1:23" ht="10" customHeight="1">
      <c r="A108" s="122"/>
      <c r="B108" s="176"/>
      <c r="C108" s="177"/>
      <c r="D108" s="176"/>
      <c r="E108" s="177"/>
      <c r="F108" s="176"/>
      <c r="G108" s="177"/>
      <c r="H108" s="176"/>
      <c r="I108" s="177"/>
      <c r="J108" s="176"/>
      <c r="K108" s="177"/>
      <c r="L108" s="176"/>
      <c r="M108" s="177"/>
      <c r="N108" s="176"/>
      <c r="O108" s="177"/>
      <c r="P108" s="176"/>
      <c r="Q108" s="177"/>
      <c r="R108" s="176"/>
      <c r="S108" s="177"/>
      <c r="T108" s="176"/>
      <c r="U108" s="177"/>
      <c r="V108" s="122"/>
      <c r="W108" s="122"/>
    </row>
    <row r="109" spans="1:23" ht="10" customHeight="1" thickBot="1">
      <c r="A109" s="126">
        <v>19</v>
      </c>
      <c r="B109" s="179"/>
      <c r="C109" s="178"/>
      <c r="D109" s="179"/>
      <c r="E109" s="178"/>
      <c r="F109" s="179"/>
      <c r="G109" s="178"/>
      <c r="H109" s="179"/>
      <c r="I109" s="178"/>
      <c r="J109" s="179"/>
      <c r="K109" s="178"/>
      <c r="L109" s="179"/>
      <c r="M109" s="178"/>
      <c r="N109" s="179"/>
      <c r="O109" s="178"/>
      <c r="P109" s="179"/>
      <c r="Q109" s="178"/>
      <c r="R109" s="176"/>
      <c r="S109" s="178"/>
      <c r="T109" s="179"/>
      <c r="U109" s="178"/>
      <c r="V109" s="122"/>
      <c r="W109" s="122"/>
    </row>
    <row r="110" spans="1:23" ht="10" customHeight="1">
      <c r="A110" s="122"/>
      <c r="B110" s="174"/>
      <c r="C110" s="175"/>
      <c r="D110" s="174"/>
      <c r="E110" s="175"/>
      <c r="F110" s="174"/>
      <c r="G110" s="175"/>
      <c r="H110" s="174"/>
      <c r="I110" s="175"/>
      <c r="J110" s="174"/>
      <c r="K110" s="175"/>
      <c r="L110" s="174"/>
      <c r="M110" s="175"/>
      <c r="N110" s="174"/>
      <c r="O110" s="175"/>
      <c r="P110" s="174"/>
      <c r="Q110" s="175"/>
      <c r="R110" s="174"/>
      <c r="S110" s="175"/>
      <c r="T110" s="174"/>
      <c r="U110" s="175"/>
      <c r="V110" s="122"/>
      <c r="W110" s="122"/>
    </row>
    <row r="111" spans="1:23" ht="10" customHeight="1">
      <c r="A111" s="122"/>
      <c r="B111" s="176"/>
      <c r="C111" s="177"/>
      <c r="D111" s="176"/>
      <c r="E111" s="177"/>
      <c r="F111" s="176"/>
      <c r="G111" s="177"/>
      <c r="H111" s="176"/>
      <c r="I111" s="177"/>
      <c r="J111" s="176"/>
      <c r="K111" s="177"/>
      <c r="L111" s="176"/>
      <c r="M111" s="177"/>
      <c r="N111" s="176"/>
      <c r="O111" s="177"/>
      <c r="P111" s="176"/>
      <c r="Q111" s="177"/>
      <c r="R111" s="176"/>
      <c r="S111" s="177"/>
      <c r="T111" s="176"/>
      <c r="U111" s="177"/>
      <c r="V111" s="122"/>
      <c r="W111" s="122"/>
    </row>
    <row r="112" spans="1:23" ht="10" customHeight="1">
      <c r="A112" s="122"/>
      <c r="B112" s="176"/>
      <c r="C112" s="177"/>
      <c r="D112" s="176"/>
      <c r="E112" s="177"/>
      <c r="F112" s="176"/>
      <c r="G112" s="177"/>
      <c r="H112" s="176"/>
      <c r="I112" s="177"/>
      <c r="J112" s="176"/>
      <c r="K112" s="177"/>
      <c r="L112" s="176"/>
      <c r="M112" s="177"/>
      <c r="N112" s="176"/>
      <c r="O112" s="177"/>
      <c r="P112" s="176"/>
      <c r="Q112" s="177"/>
      <c r="R112" s="176"/>
      <c r="S112" s="177"/>
      <c r="T112" s="176"/>
      <c r="U112" s="177"/>
      <c r="V112" s="122"/>
      <c r="W112" s="122"/>
    </row>
    <row r="113" spans="1:23" ht="10" customHeight="1">
      <c r="A113" s="122"/>
      <c r="B113" s="176"/>
      <c r="C113" s="177"/>
      <c r="D113" s="176"/>
      <c r="E113" s="177"/>
      <c r="F113" s="176"/>
      <c r="G113" s="177"/>
      <c r="H113" s="176"/>
      <c r="I113" s="177"/>
      <c r="J113" s="176"/>
      <c r="K113" s="177"/>
      <c r="L113" s="176"/>
      <c r="M113" s="177"/>
      <c r="N113" s="176"/>
      <c r="O113" s="177"/>
      <c r="P113" s="176"/>
      <c r="Q113" s="177"/>
      <c r="R113" s="176"/>
      <c r="S113" s="177"/>
      <c r="T113" s="176"/>
      <c r="U113" s="177"/>
      <c r="V113" s="122"/>
      <c r="W113" s="122"/>
    </row>
    <row r="114" spans="1:23" ht="10" customHeight="1" thickBot="1">
      <c r="A114" s="126">
        <v>20</v>
      </c>
      <c r="B114" s="179"/>
      <c r="C114" s="178"/>
      <c r="D114" s="179"/>
      <c r="E114" s="178"/>
      <c r="F114" s="179"/>
      <c r="G114" s="178"/>
      <c r="H114" s="179"/>
      <c r="I114" s="178"/>
      <c r="J114" s="179"/>
      <c r="K114" s="178"/>
      <c r="L114" s="179"/>
      <c r="M114" s="178"/>
      <c r="N114" s="179"/>
      <c r="O114" s="178"/>
      <c r="P114" s="179"/>
      <c r="Q114" s="178"/>
      <c r="R114" s="179"/>
      <c r="S114" s="178"/>
      <c r="T114" s="179"/>
      <c r="U114" s="178"/>
      <c r="V114" s="122"/>
      <c r="W114" s="122"/>
    </row>
    <row r="115" spans="1:23" ht="10" customHeight="1">
      <c r="A115" s="122"/>
      <c r="B115" s="174"/>
      <c r="C115" s="175"/>
      <c r="D115" s="174"/>
      <c r="E115" s="175"/>
      <c r="F115" s="174"/>
      <c r="G115" s="175"/>
      <c r="H115" s="174"/>
      <c r="I115" s="175"/>
      <c r="J115" s="174"/>
      <c r="K115" s="175"/>
      <c r="L115" s="174"/>
      <c r="M115" s="175"/>
      <c r="N115" s="174"/>
      <c r="O115" s="175"/>
      <c r="P115" s="174"/>
      <c r="Q115" s="175"/>
      <c r="R115" s="174"/>
      <c r="S115" s="175"/>
      <c r="T115" s="174"/>
      <c r="U115" s="175"/>
      <c r="V115" s="122"/>
      <c r="W115" s="122"/>
    </row>
    <row r="116" spans="1:23" ht="10" customHeight="1">
      <c r="A116" s="122"/>
      <c r="B116" s="176"/>
      <c r="C116" s="177"/>
      <c r="D116" s="176"/>
      <c r="E116" s="177"/>
      <c r="F116" s="176"/>
      <c r="G116" s="177"/>
      <c r="H116" s="176"/>
      <c r="I116" s="177"/>
      <c r="J116" s="176"/>
      <c r="K116" s="177"/>
      <c r="L116" s="176"/>
      <c r="M116" s="177"/>
      <c r="N116" s="176"/>
      <c r="O116" s="177"/>
      <c r="P116" s="176"/>
      <c r="Q116" s="177"/>
      <c r="R116" s="176"/>
      <c r="S116" s="177"/>
      <c r="T116" s="176"/>
      <c r="U116" s="177"/>
      <c r="V116" s="122"/>
      <c r="W116" s="122"/>
    </row>
    <row r="117" spans="1:23" ht="10" customHeight="1">
      <c r="A117" s="122"/>
      <c r="B117" s="176"/>
      <c r="C117" s="177"/>
      <c r="D117" s="176"/>
      <c r="E117" s="177"/>
      <c r="F117" s="176"/>
      <c r="G117" s="177"/>
      <c r="H117" s="176"/>
      <c r="I117" s="177"/>
      <c r="J117" s="176"/>
      <c r="K117" s="177"/>
      <c r="L117" s="176"/>
      <c r="M117" s="177"/>
      <c r="N117" s="176"/>
      <c r="O117" s="177"/>
      <c r="P117" s="176"/>
      <c r="Q117" s="177"/>
      <c r="R117" s="176"/>
      <c r="S117" s="177"/>
      <c r="T117" s="176"/>
      <c r="U117" s="177"/>
      <c r="V117" s="122"/>
      <c r="W117" s="122"/>
    </row>
    <row r="118" spans="1:23" ht="10" customHeight="1">
      <c r="A118" s="122"/>
      <c r="B118" s="176"/>
      <c r="C118" s="177"/>
      <c r="D118" s="176"/>
      <c r="E118" s="177"/>
      <c r="F118" s="176"/>
      <c r="G118" s="177"/>
      <c r="H118" s="176"/>
      <c r="I118" s="177"/>
      <c r="J118" s="176"/>
      <c r="K118" s="177"/>
      <c r="L118" s="176"/>
      <c r="M118" s="177"/>
      <c r="N118" s="176"/>
      <c r="O118" s="177"/>
      <c r="P118" s="176"/>
      <c r="Q118" s="177"/>
      <c r="R118" s="176"/>
      <c r="S118" s="177"/>
      <c r="T118" s="176"/>
      <c r="U118" s="177"/>
      <c r="V118" s="122"/>
      <c r="W118" s="122"/>
    </row>
    <row r="119" spans="1:23" ht="10" customHeight="1" thickBot="1">
      <c r="A119" s="126">
        <v>21</v>
      </c>
      <c r="B119" s="179"/>
      <c r="C119" s="178"/>
      <c r="D119" s="179"/>
      <c r="E119" s="178"/>
      <c r="F119" s="179"/>
      <c r="G119" s="178"/>
      <c r="H119" s="179"/>
      <c r="I119" s="178"/>
      <c r="J119" s="179"/>
      <c r="K119" s="178"/>
      <c r="L119" s="179"/>
      <c r="M119" s="178"/>
      <c r="N119" s="179"/>
      <c r="O119" s="178"/>
      <c r="P119" s="179"/>
      <c r="Q119" s="178"/>
      <c r="R119" s="179"/>
      <c r="S119" s="178"/>
      <c r="T119" s="179"/>
      <c r="U119" s="178"/>
      <c r="V119" s="122"/>
      <c r="W119" s="122"/>
    </row>
    <row r="120" spans="1:23" ht="10" customHeight="1">
      <c r="A120" s="122"/>
      <c r="B120" s="174"/>
      <c r="C120" s="175"/>
      <c r="D120" s="174"/>
      <c r="E120" s="175"/>
      <c r="F120" s="174"/>
      <c r="G120" s="175"/>
      <c r="H120" s="174"/>
      <c r="I120" s="175"/>
      <c r="J120" s="174"/>
      <c r="K120" s="175"/>
      <c r="L120" s="174"/>
      <c r="M120" s="175"/>
      <c r="N120" s="174"/>
      <c r="O120" s="175"/>
      <c r="P120" s="174"/>
      <c r="Q120" s="175"/>
      <c r="R120" s="174"/>
      <c r="S120" s="175"/>
      <c r="T120" s="174"/>
      <c r="U120" s="175"/>
      <c r="V120" s="122"/>
      <c r="W120" s="122"/>
    </row>
    <row r="121" spans="1:23" ht="10" customHeight="1">
      <c r="A121" s="122"/>
      <c r="B121" s="176"/>
      <c r="C121" s="177"/>
      <c r="D121" s="176"/>
      <c r="E121" s="177"/>
      <c r="F121" s="176"/>
      <c r="G121" s="177"/>
      <c r="H121" s="176"/>
      <c r="I121" s="177"/>
      <c r="J121" s="176"/>
      <c r="K121" s="177"/>
      <c r="L121" s="176"/>
      <c r="M121" s="177"/>
      <c r="N121" s="176"/>
      <c r="O121" s="177"/>
      <c r="P121" s="176"/>
      <c r="Q121" s="177"/>
      <c r="R121" s="176"/>
      <c r="S121" s="177"/>
      <c r="T121" s="176"/>
      <c r="U121" s="177"/>
      <c r="V121" s="122"/>
      <c r="W121" s="122"/>
    </row>
    <row r="122" spans="1:23" ht="10" customHeight="1">
      <c r="A122" s="122"/>
      <c r="B122" s="176"/>
      <c r="C122" s="177"/>
      <c r="D122" s="176"/>
      <c r="E122" s="177"/>
      <c r="F122" s="176"/>
      <c r="G122" s="177"/>
      <c r="H122" s="176"/>
      <c r="I122" s="177"/>
      <c r="J122" s="122"/>
      <c r="K122" s="177"/>
      <c r="L122" s="122"/>
      <c r="M122" s="177"/>
      <c r="N122" s="176"/>
      <c r="O122" s="177"/>
      <c r="P122" s="176"/>
      <c r="Q122" s="177"/>
      <c r="R122" s="176"/>
      <c r="S122" s="177"/>
      <c r="T122" s="176"/>
      <c r="U122" s="177"/>
      <c r="V122" s="122"/>
      <c r="W122" s="122"/>
    </row>
    <row r="123" spans="1:23" ht="10" customHeight="1">
      <c r="A123" s="122"/>
      <c r="B123" s="176"/>
      <c r="C123" s="177"/>
      <c r="D123" s="176"/>
      <c r="E123" s="177"/>
      <c r="F123" s="176"/>
      <c r="G123" s="177"/>
      <c r="H123" s="176"/>
      <c r="I123" s="177"/>
      <c r="J123" s="176"/>
      <c r="K123" s="177"/>
      <c r="L123" s="176"/>
      <c r="M123" s="177"/>
      <c r="N123" s="176"/>
      <c r="O123" s="177"/>
      <c r="P123" s="176"/>
      <c r="Q123" s="177"/>
      <c r="R123" s="176"/>
      <c r="S123" s="177"/>
      <c r="T123" s="176"/>
      <c r="U123" s="177"/>
      <c r="V123" s="122"/>
      <c r="W123" s="122"/>
    </row>
    <row r="124" spans="1:23" ht="10" customHeight="1" thickBot="1">
      <c r="A124" s="126">
        <v>22</v>
      </c>
      <c r="B124" s="179"/>
      <c r="C124" s="178"/>
      <c r="D124" s="179"/>
      <c r="E124" s="178"/>
      <c r="F124" s="179"/>
      <c r="G124" s="178"/>
      <c r="H124" s="179"/>
      <c r="I124" s="178"/>
      <c r="J124" s="176"/>
      <c r="K124" s="178"/>
      <c r="L124" s="176"/>
      <c r="M124" s="178"/>
      <c r="N124" s="179"/>
      <c r="O124" s="178"/>
      <c r="P124" s="179"/>
      <c r="Q124" s="178"/>
      <c r="R124" s="179"/>
      <c r="S124" s="178"/>
      <c r="T124" s="179"/>
      <c r="U124" s="178"/>
      <c r="V124" s="122"/>
      <c r="W124" s="122"/>
    </row>
    <row r="125" spans="1:23" ht="10" customHeight="1">
      <c r="A125" s="122"/>
      <c r="B125" s="174"/>
      <c r="C125" s="175"/>
      <c r="D125" s="174"/>
      <c r="E125" s="175"/>
      <c r="F125" s="174"/>
      <c r="G125" s="175"/>
      <c r="H125" s="174"/>
      <c r="I125" s="175"/>
      <c r="J125" s="174"/>
      <c r="K125" s="175"/>
      <c r="L125" s="174"/>
      <c r="M125" s="175"/>
      <c r="N125" s="174"/>
      <c r="O125" s="175"/>
      <c r="P125" s="174"/>
      <c r="Q125" s="175"/>
      <c r="R125" s="174"/>
      <c r="S125" s="175"/>
      <c r="T125" s="174"/>
      <c r="U125" s="175"/>
      <c r="V125" s="122"/>
      <c r="W125" s="122"/>
    </row>
    <row r="126" spans="1:23" ht="10" customHeight="1">
      <c r="A126" s="122"/>
      <c r="B126" s="176"/>
      <c r="C126" s="177"/>
      <c r="D126" s="176"/>
      <c r="E126" s="177"/>
      <c r="F126" s="176"/>
      <c r="G126" s="177"/>
      <c r="H126" s="176"/>
      <c r="I126" s="177"/>
      <c r="J126" s="176"/>
      <c r="K126" s="177"/>
      <c r="L126" s="176"/>
      <c r="M126" s="177"/>
      <c r="N126" s="176"/>
      <c r="O126" s="177"/>
      <c r="P126" s="176"/>
      <c r="Q126" s="177"/>
      <c r="R126" s="176"/>
      <c r="S126" s="177"/>
      <c r="T126" s="176"/>
      <c r="U126" s="177"/>
      <c r="V126" s="122"/>
      <c r="W126" s="122"/>
    </row>
    <row r="127" spans="1:23" ht="10" customHeight="1">
      <c r="A127" s="122"/>
      <c r="B127" s="176"/>
      <c r="C127" s="177"/>
      <c r="D127" s="176"/>
      <c r="E127" s="177"/>
      <c r="F127" s="176"/>
      <c r="G127" s="177"/>
      <c r="H127" s="176"/>
      <c r="I127" s="177"/>
      <c r="J127" s="176"/>
      <c r="K127" s="177"/>
      <c r="L127" s="176"/>
      <c r="M127" s="177"/>
      <c r="N127" s="176"/>
      <c r="O127" s="177"/>
      <c r="P127" s="176"/>
      <c r="Q127" s="177"/>
      <c r="R127" s="176"/>
      <c r="S127" s="177"/>
      <c r="T127" s="176"/>
      <c r="U127" s="177"/>
      <c r="V127" s="122"/>
      <c r="W127" s="122"/>
    </row>
    <row r="128" spans="1:23" ht="10" customHeight="1">
      <c r="A128" s="122"/>
      <c r="B128" s="176"/>
      <c r="C128" s="177"/>
      <c r="D128" s="176"/>
      <c r="E128" s="177"/>
      <c r="F128" s="176"/>
      <c r="G128" s="177"/>
      <c r="H128" s="176"/>
      <c r="I128" s="177"/>
      <c r="J128" s="176"/>
      <c r="K128" s="177"/>
      <c r="L128" s="176"/>
      <c r="M128" s="177"/>
      <c r="N128" s="176"/>
      <c r="O128" s="177"/>
      <c r="P128" s="176"/>
      <c r="Q128" s="177"/>
      <c r="R128" s="176"/>
      <c r="S128" s="177"/>
      <c r="T128" s="176"/>
      <c r="U128" s="177"/>
      <c r="V128" s="122"/>
      <c r="W128" s="122"/>
    </row>
    <row r="129" spans="1:23" ht="10" customHeight="1" thickBot="1">
      <c r="A129" s="126">
        <v>23</v>
      </c>
      <c r="B129" s="179"/>
      <c r="C129" s="178"/>
      <c r="D129" s="179"/>
      <c r="E129" s="178"/>
      <c r="F129" s="179"/>
      <c r="G129" s="178"/>
      <c r="H129" s="179"/>
      <c r="I129" s="178"/>
      <c r="J129" s="179"/>
      <c r="K129" s="178"/>
      <c r="L129" s="179"/>
      <c r="M129" s="178"/>
      <c r="N129" s="179"/>
      <c r="O129" s="178"/>
      <c r="P129" s="179"/>
      <c r="Q129" s="178"/>
      <c r="R129" s="179"/>
      <c r="S129" s="178"/>
      <c r="T129" s="179"/>
      <c r="U129" s="178"/>
      <c r="V129" s="122"/>
      <c r="W129" s="122"/>
    </row>
    <row r="130" spans="1:23" ht="10" customHeight="1">
      <c r="A130" s="122"/>
      <c r="B130" s="174"/>
      <c r="C130" s="175"/>
      <c r="D130" s="174"/>
      <c r="E130" s="175"/>
      <c r="F130" s="174"/>
      <c r="G130" s="175"/>
      <c r="H130" s="174"/>
      <c r="I130" s="175"/>
      <c r="J130" s="174"/>
      <c r="K130" s="175"/>
      <c r="L130" s="174"/>
      <c r="M130" s="175"/>
      <c r="N130" s="174"/>
      <c r="O130" s="175"/>
      <c r="P130" s="174"/>
      <c r="Q130" s="175"/>
      <c r="R130" s="174"/>
      <c r="S130" s="175"/>
      <c r="T130" s="174"/>
      <c r="U130" s="175"/>
      <c r="V130" s="122"/>
      <c r="W130" s="122"/>
    </row>
    <row r="131" spans="1:23" ht="10" customHeight="1">
      <c r="A131" s="122"/>
      <c r="B131" s="176"/>
      <c r="C131" s="177"/>
      <c r="D131" s="176"/>
      <c r="E131" s="177"/>
      <c r="F131" s="176"/>
      <c r="G131" s="177"/>
      <c r="H131" s="176"/>
      <c r="I131" s="177"/>
      <c r="J131" s="176"/>
      <c r="K131" s="177"/>
      <c r="L131" s="176"/>
      <c r="M131" s="177"/>
      <c r="N131" s="176"/>
      <c r="O131" s="177"/>
      <c r="P131" s="176"/>
      <c r="Q131" s="177"/>
      <c r="R131" s="176"/>
      <c r="S131" s="177"/>
      <c r="T131" s="176"/>
      <c r="U131" s="177"/>
      <c r="V131" s="122"/>
      <c r="W131" s="122"/>
    </row>
    <row r="132" spans="1:23" ht="10" customHeight="1">
      <c r="A132" s="122"/>
      <c r="B132" s="176"/>
      <c r="C132" s="177"/>
      <c r="D132" s="176"/>
      <c r="E132" s="177"/>
      <c r="F132" s="176"/>
      <c r="G132" s="177"/>
      <c r="H132" s="176"/>
      <c r="I132" s="177"/>
      <c r="J132" s="176"/>
      <c r="K132" s="177"/>
      <c r="L132" s="176"/>
      <c r="M132" s="177"/>
      <c r="N132" s="176"/>
      <c r="O132" s="177"/>
      <c r="P132" s="176"/>
      <c r="Q132" s="177"/>
      <c r="R132" s="176"/>
      <c r="S132" s="177"/>
      <c r="T132" s="176"/>
      <c r="U132" s="177"/>
      <c r="V132" s="122"/>
      <c r="W132" s="122"/>
    </row>
    <row r="133" spans="1:23" ht="10" customHeight="1">
      <c r="A133" s="122"/>
      <c r="B133" s="176"/>
      <c r="C133" s="177"/>
      <c r="D133" s="176"/>
      <c r="E133" s="177"/>
      <c r="F133" s="176"/>
      <c r="G133" s="177"/>
      <c r="H133" s="176"/>
      <c r="I133" s="177"/>
      <c r="J133" s="176"/>
      <c r="K133" s="177"/>
      <c r="L133" s="176"/>
      <c r="M133" s="177"/>
      <c r="N133" s="176"/>
      <c r="O133" s="177"/>
      <c r="P133" s="176"/>
      <c r="Q133" s="177"/>
      <c r="R133" s="176"/>
      <c r="S133" s="177"/>
      <c r="T133" s="176"/>
      <c r="U133" s="177"/>
      <c r="V133" s="122"/>
      <c r="W133" s="122"/>
    </row>
    <row r="134" spans="1:23" ht="10" customHeight="1" thickBot="1">
      <c r="A134" s="126">
        <v>24</v>
      </c>
      <c r="B134" s="179"/>
      <c r="C134" s="178"/>
      <c r="D134" s="179"/>
      <c r="E134" s="178"/>
      <c r="F134" s="179"/>
      <c r="G134" s="178"/>
      <c r="H134" s="179"/>
      <c r="I134" s="178"/>
      <c r="J134" s="179"/>
      <c r="K134" s="178"/>
      <c r="L134" s="179"/>
      <c r="M134" s="178"/>
      <c r="N134" s="179"/>
      <c r="O134" s="178"/>
      <c r="P134" s="179"/>
      <c r="Q134" s="178"/>
      <c r="R134" s="179"/>
      <c r="S134" s="178"/>
      <c r="T134" s="179"/>
      <c r="U134" s="178"/>
      <c r="V134" s="122"/>
      <c r="W134" s="122"/>
    </row>
    <row r="135" spans="1:23" ht="10" customHeight="1">
      <c r="A135" s="122"/>
      <c r="B135" s="174"/>
      <c r="C135" s="175"/>
      <c r="D135" s="174"/>
      <c r="E135" s="175"/>
      <c r="F135" s="174"/>
      <c r="G135" s="175"/>
      <c r="H135" s="174"/>
      <c r="I135" s="175"/>
      <c r="J135" s="174"/>
      <c r="K135" s="175"/>
      <c r="L135" s="174"/>
      <c r="M135" s="175"/>
      <c r="N135" s="174"/>
      <c r="O135" s="175"/>
      <c r="P135" s="174"/>
      <c r="Q135" s="175"/>
      <c r="R135" s="174"/>
      <c r="S135" s="175"/>
      <c r="T135" s="174"/>
      <c r="U135" s="175"/>
      <c r="V135" s="122"/>
      <c r="W135" s="122"/>
    </row>
    <row r="136" spans="1:23" ht="10" customHeight="1">
      <c r="A136" s="122"/>
      <c r="B136" s="176"/>
      <c r="C136" s="177"/>
      <c r="D136" s="176"/>
      <c r="E136" s="177"/>
      <c r="F136" s="176"/>
      <c r="G136" s="177"/>
      <c r="H136" s="176"/>
      <c r="I136" s="177"/>
      <c r="J136" s="176"/>
      <c r="K136" s="177"/>
      <c r="L136" s="176"/>
      <c r="M136" s="177"/>
      <c r="N136" s="176"/>
      <c r="O136" s="177"/>
      <c r="P136" s="176"/>
      <c r="Q136" s="177"/>
      <c r="R136" s="176"/>
      <c r="S136" s="177"/>
      <c r="T136" s="176"/>
      <c r="U136" s="177"/>
      <c r="V136" s="122"/>
      <c r="W136" s="122"/>
    </row>
    <row r="137" spans="1:23" ht="10" customHeight="1">
      <c r="A137" s="122"/>
      <c r="B137" s="176"/>
      <c r="C137" s="177"/>
      <c r="D137" s="176"/>
      <c r="E137" s="177"/>
      <c r="F137" s="176"/>
      <c r="G137" s="177"/>
      <c r="H137" s="176"/>
      <c r="I137" s="177"/>
      <c r="J137" s="176"/>
      <c r="K137" s="177"/>
      <c r="L137" s="176"/>
      <c r="M137" s="177"/>
      <c r="N137" s="176"/>
      <c r="O137" s="177"/>
      <c r="P137" s="176"/>
      <c r="Q137" s="177"/>
      <c r="R137" s="176"/>
      <c r="S137" s="177"/>
      <c r="T137" s="176"/>
      <c r="U137" s="177"/>
      <c r="V137" s="122"/>
      <c r="W137" s="122"/>
    </row>
    <row r="138" spans="1:23" ht="10" customHeight="1">
      <c r="A138" s="122"/>
      <c r="B138" s="176"/>
      <c r="C138" s="177"/>
      <c r="D138" s="176"/>
      <c r="E138" s="177"/>
      <c r="F138" s="176"/>
      <c r="G138" s="177"/>
      <c r="H138" s="176"/>
      <c r="I138" s="177"/>
      <c r="J138" s="176"/>
      <c r="K138" s="177"/>
      <c r="L138" s="176"/>
      <c r="M138" s="177"/>
      <c r="N138" s="176"/>
      <c r="O138" s="177"/>
      <c r="P138" s="176"/>
      <c r="Q138" s="177"/>
      <c r="R138" s="176"/>
      <c r="S138" s="177"/>
      <c r="T138" s="176"/>
      <c r="U138" s="177"/>
      <c r="V138" s="122"/>
      <c r="W138" s="122"/>
    </row>
    <row r="139" spans="1:23" ht="10" customHeight="1" thickBot="1">
      <c r="A139" s="126">
        <v>25</v>
      </c>
      <c r="B139" s="179"/>
      <c r="C139" s="178"/>
      <c r="D139" s="179"/>
      <c r="E139" s="178"/>
      <c r="F139" s="179"/>
      <c r="G139" s="178"/>
      <c r="H139" s="179"/>
      <c r="I139" s="178"/>
      <c r="J139" s="179"/>
      <c r="K139" s="178"/>
      <c r="L139" s="179"/>
      <c r="M139" s="178"/>
      <c r="N139" s="179"/>
      <c r="O139" s="178"/>
      <c r="P139" s="179"/>
      <c r="Q139" s="178"/>
      <c r="R139" s="176"/>
      <c r="S139" s="178"/>
      <c r="T139" s="179"/>
      <c r="U139" s="178"/>
      <c r="V139" s="122"/>
      <c r="W139" s="122"/>
    </row>
    <row r="140" spans="1:23" ht="10" customHeight="1">
      <c r="A140" s="122"/>
      <c r="B140" s="174"/>
      <c r="C140" s="175"/>
      <c r="D140" s="174"/>
      <c r="E140" s="175"/>
      <c r="F140" s="174"/>
      <c r="G140" s="175"/>
      <c r="H140" s="174"/>
      <c r="I140" s="175"/>
      <c r="J140" s="174"/>
      <c r="K140" s="175"/>
      <c r="L140" s="174"/>
      <c r="M140" s="175"/>
      <c r="N140" s="174"/>
      <c r="O140" s="175"/>
      <c r="P140" s="174"/>
      <c r="Q140" s="175"/>
      <c r="R140" s="174"/>
      <c r="S140" s="175"/>
      <c r="T140" s="174"/>
      <c r="U140" s="175"/>
      <c r="V140" s="122"/>
      <c r="W140" s="122"/>
    </row>
    <row r="141" spans="1:23" ht="10" customHeight="1">
      <c r="A141" s="122"/>
      <c r="B141" s="176"/>
      <c r="C141" s="177"/>
      <c r="D141" s="176"/>
      <c r="E141" s="177"/>
      <c r="F141" s="176"/>
      <c r="G141" s="177"/>
      <c r="H141" s="176"/>
      <c r="I141" s="177"/>
      <c r="J141" s="176"/>
      <c r="K141" s="177"/>
      <c r="L141" s="176"/>
      <c r="M141" s="177"/>
      <c r="N141" s="176"/>
      <c r="O141" s="177"/>
      <c r="P141" s="176"/>
      <c r="Q141" s="177"/>
      <c r="R141" s="176"/>
      <c r="S141" s="177"/>
      <c r="T141" s="176"/>
      <c r="U141" s="177"/>
      <c r="V141" s="122"/>
      <c r="W141" s="122"/>
    </row>
    <row r="142" spans="1:23" ht="10" customHeight="1">
      <c r="A142" s="122"/>
      <c r="B142" s="176"/>
      <c r="C142" s="177"/>
      <c r="D142" s="176"/>
      <c r="E142" s="177"/>
      <c r="F142" s="176"/>
      <c r="G142" s="177"/>
      <c r="H142" s="176"/>
      <c r="I142" s="177"/>
      <c r="J142" s="176"/>
      <c r="K142" s="177"/>
      <c r="L142" s="176"/>
      <c r="M142" s="177"/>
      <c r="N142" s="176"/>
      <c r="O142" s="177"/>
      <c r="P142" s="176"/>
      <c r="Q142" s="177"/>
      <c r="R142" s="176"/>
      <c r="S142" s="177"/>
      <c r="T142" s="176"/>
      <c r="U142" s="177"/>
      <c r="V142" s="122"/>
      <c r="W142" s="122"/>
    </row>
    <row r="143" spans="1:23" ht="10" customHeight="1">
      <c r="A143" s="122"/>
      <c r="B143" s="176"/>
      <c r="C143" s="177"/>
      <c r="D143" s="176"/>
      <c r="E143" s="177"/>
      <c r="F143" s="176"/>
      <c r="G143" s="177"/>
      <c r="H143" s="176"/>
      <c r="I143" s="177"/>
      <c r="J143" s="176"/>
      <c r="K143" s="177"/>
      <c r="L143" s="176"/>
      <c r="M143" s="177"/>
      <c r="N143" s="176"/>
      <c r="O143" s="177"/>
      <c r="P143" s="176"/>
      <c r="Q143" s="177"/>
      <c r="R143" s="176"/>
      <c r="S143" s="177"/>
      <c r="T143" s="176"/>
      <c r="U143" s="177"/>
      <c r="V143" s="122"/>
      <c r="W143" s="122"/>
    </row>
    <row r="144" spans="1:23" ht="10" customHeight="1" thickBot="1">
      <c r="A144" s="126">
        <v>26</v>
      </c>
      <c r="B144" s="179"/>
      <c r="C144" s="178"/>
      <c r="D144" s="179"/>
      <c r="E144" s="178"/>
      <c r="F144" s="179"/>
      <c r="G144" s="178"/>
      <c r="H144" s="179"/>
      <c r="I144" s="178"/>
      <c r="J144" s="179"/>
      <c r="K144" s="178"/>
      <c r="L144" s="179"/>
      <c r="M144" s="178"/>
      <c r="N144" s="179"/>
      <c r="O144" s="178"/>
      <c r="P144" s="179"/>
      <c r="Q144" s="178"/>
      <c r="R144" s="179"/>
      <c r="S144" s="178"/>
      <c r="T144" s="179"/>
      <c r="U144" s="178"/>
      <c r="V144" s="122"/>
      <c r="W144" s="122"/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5" customWidth="1"/>
  </cols>
  <sheetData>
    <row r="1" spans="1:23" ht="16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</row>
    <row r="2" spans="1:23" ht="18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</row>
    <row r="3" spans="1:23" ht="18" customHeight="1">
      <c r="A3" s="122"/>
      <c r="B3" s="190"/>
      <c r="C3" s="126" t="s">
        <v>452</v>
      </c>
      <c r="D3" s="126">
        <v>401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254">
        <v>401000</v>
      </c>
    </row>
    <row r="4" spans="1:23" ht="18" customHeight="1">
      <c r="A4" s="122"/>
      <c r="B4" s="189"/>
      <c r="C4" s="126" t="s">
        <v>453</v>
      </c>
      <c r="D4" s="126">
        <v>151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254">
        <v>151000</v>
      </c>
    </row>
    <row r="5" spans="1:23" ht="18" customHeight="1">
      <c r="A5" s="122"/>
      <c r="B5" s="196"/>
      <c r="C5" s="126" t="s">
        <v>59</v>
      </c>
      <c r="D5" s="126">
        <v>0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254">
        <v>0</v>
      </c>
    </row>
    <row r="6" spans="1:23" ht="18" customHeight="1">
      <c r="A6" s="122"/>
      <c r="B6" s="193"/>
      <c r="C6" s="126" t="s">
        <v>2383</v>
      </c>
      <c r="D6" s="126">
        <v>9</v>
      </c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254">
        <v>9000</v>
      </c>
    </row>
    <row r="7" spans="1:23" ht="18" customHeight="1">
      <c r="A7" s="122"/>
      <c r="B7" s="200"/>
      <c r="C7" s="126" t="s">
        <v>456</v>
      </c>
      <c r="D7" s="126">
        <v>101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254">
        <v>101000</v>
      </c>
    </row>
    <row r="8" spans="1:23" ht="18" customHeight="1">
      <c r="A8" s="122"/>
      <c r="B8" s="255"/>
      <c r="C8" s="126" t="s">
        <v>457</v>
      </c>
      <c r="D8" s="126">
        <v>15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254">
        <v>15000</v>
      </c>
    </row>
    <row r="9" spans="1:23" ht="18" customHeight="1">
      <c r="A9" s="122"/>
      <c r="B9" s="197"/>
      <c r="C9" s="126" t="s">
        <v>458</v>
      </c>
      <c r="D9" s="126">
        <v>96</v>
      </c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254">
        <v>96000</v>
      </c>
    </row>
    <row r="10" spans="1:23" ht="18" customHeight="1">
      <c r="A10" s="122"/>
      <c r="B10" s="256"/>
      <c r="C10" s="126" t="s">
        <v>459</v>
      </c>
      <c r="D10" s="126">
        <v>80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254">
        <v>80000</v>
      </c>
    </row>
    <row r="11" spans="1:23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254"/>
    </row>
    <row r="12" spans="1:23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254">
        <v>853000</v>
      </c>
    </row>
    <row r="13" spans="1:23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</row>
    <row r="14" spans="1:23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122"/>
      <c r="W14" s="122"/>
    </row>
    <row r="15" spans="1:23" ht="10" customHeight="1">
      <c r="A15" s="122"/>
      <c r="B15" s="257"/>
      <c r="C15" s="258"/>
      <c r="D15" s="257"/>
      <c r="E15" s="258"/>
      <c r="F15" s="257"/>
      <c r="G15" s="258"/>
      <c r="H15" s="257"/>
      <c r="I15" s="258"/>
      <c r="J15" s="259"/>
      <c r="K15" s="260"/>
      <c r="L15" s="261"/>
      <c r="M15" s="262"/>
      <c r="N15" s="261"/>
      <c r="O15" s="262"/>
      <c r="P15" s="263"/>
      <c r="Q15" s="262"/>
      <c r="R15" s="261"/>
      <c r="S15" s="258"/>
      <c r="T15" s="257"/>
      <c r="U15" s="258"/>
      <c r="V15" s="122"/>
      <c r="W15" s="122"/>
    </row>
    <row r="16" spans="1:23" ht="10" customHeight="1">
      <c r="A16" s="122"/>
      <c r="B16" s="264"/>
      <c r="C16" s="265"/>
      <c r="D16" s="264"/>
      <c r="E16" s="265"/>
      <c r="F16" s="264"/>
      <c r="G16" s="265"/>
      <c r="H16" s="264"/>
      <c r="I16" s="265"/>
      <c r="J16" s="266"/>
      <c r="K16" s="267"/>
      <c r="L16" s="268"/>
      <c r="M16" s="269"/>
      <c r="N16" s="268"/>
      <c r="O16" s="269"/>
      <c r="P16" s="270"/>
      <c r="Q16" s="269"/>
      <c r="R16" s="268"/>
      <c r="S16" s="265"/>
      <c r="T16" s="264"/>
      <c r="U16" s="265"/>
      <c r="V16" s="122"/>
      <c r="W16" s="122"/>
    </row>
    <row r="17" spans="1:23" ht="10" customHeight="1">
      <c r="A17" s="122"/>
      <c r="B17" s="264"/>
      <c r="C17" s="265"/>
      <c r="D17" s="264"/>
      <c r="E17" s="265"/>
      <c r="F17" s="264"/>
      <c r="G17" s="265"/>
      <c r="H17" s="264"/>
      <c r="I17" s="265"/>
      <c r="J17" s="266"/>
      <c r="K17" s="267"/>
      <c r="L17" s="268"/>
      <c r="M17" s="269"/>
      <c r="N17" s="268"/>
      <c r="O17" s="269"/>
      <c r="P17" s="270"/>
      <c r="Q17" s="269"/>
      <c r="R17" s="268"/>
      <c r="S17" s="265"/>
      <c r="T17" s="264"/>
      <c r="U17" s="265"/>
      <c r="V17" s="122"/>
      <c r="W17" s="122"/>
    </row>
    <row r="18" spans="1:23" ht="10" customHeight="1">
      <c r="A18" s="122"/>
      <c r="B18" s="264"/>
      <c r="C18" s="265"/>
      <c r="D18" s="264"/>
      <c r="E18" s="265"/>
      <c r="F18" s="264"/>
      <c r="G18" s="265"/>
      <c r="H18" s="264"/>
      <c r="I18" s="265"/>
      <c r="J18" s="266"/>
      <c r="K18" s="267"/>
      <c r="L18" s="268"/>
      <c r="M18" s="269"/>
      <c r="N18" s="268"/>
      <c r="O18" s="269"/>
      <c r="P18" s="270"/>
      <c r="Q18" s="269"/>
      <c r="R18" s="268"/>
      <c r="S18" s="265"/>
      <c r="T18" s="264"/>
      <c r="U18" s="265"/>
      <c r="V18" s="122"/>
      <c r="W18" s="122"/>
    </row>
    <row r="19" spans="1:23" ht="10" customHeight="1" thickBot="1">
      <c r="A19" s="126">
        <v>1</v>
      </c>
      <c r="B19" s="271"/>
      <c r="C19" s="272"/>
      <c r="D19" s="271"/>
      <c r="E19" s="272"/>
      <c r="F19" s="271"/>
      <c r="G19" s="272"/>
      <c r="H19" s="271"/>
      <c r="I19" s="272"/>
      <c r="J19" s="273"/>
      <c r="K19" s="274"/>
      <c r="L19" s="275"/>
      <c r="M19" s="276"/>
      <c r="N19" s="275"/>
      <c r="O19" s="276"/>
      <c r="P19" s="271"/>
      <c r="Q19" s="272"/>
      <c r="R19" s="271"/>
      <c r="S19" s="272"/>
      <c r="T19" s="271"/>
      <c r="U19" s="272"/>
      <c r="V19" s="122"/>
      <c r="W19" s="122"/>
    </row>
    <row r="20" spans="1:23" ht="10" customHeight="1">
      <c r="A20" s="122"/>
      <c r="B20" s="259"/>
      <c r="C20" s="258"/>
      <c r="D20" s="257"/>
      <c r="E20" s="258"/>
      <c r="F20" s="257"/>
      <c r="G20" s="258"/>
      <c r="H20" s="259"/>
      <c r="I20" s="258"/>
      <c r="J20" s="257"/>
      <c r="K20" s="260"/>
      <c r="L20" s="257"/>
      <c r="M20" s="258"/>
      <c r="N20" s="259"/>
      <c r="O20" s="258"/>
      <c r="P20" s="257"/>
      <c r="Q20" s="258"/>
      <c r="R20" s="257"/>
      <c r="S20" s="258"/>
      <c r="T20" s="257"/>
      <c r="U20" s="258"/>
      <c r="V20" s="122"/>
      <c r="W20" s="122"/>
    </row>
    <row r="21" spans="1:23" ht="10" customHeight="1">
      <c r="A21" s="122"/>
      <c r="B21" s="266"/>
      <c r="C21" s="265"/>
      <c r="D21" s="264"/>
      <c r="E21" s="265"/>
      <c r="F21" s="264"/>
      <c r="G21" s="265"/>
      <c r="H21" s="266"/>
      <c r="I21" s="265"/>
      <c r="J21" s="264"/>
      <c r="K21" s="267"/>
      <c r="L21" s="264"/>
      <c r="M21" s="265"/>
      <c r="N21" s="266"/>
      <c r="O21" s="265"/>
      <c r="P21" s="264"/>
      <c r="Q21" s="265"/>
      <c r="R21" s="264"/>
      <c r="S21" s="265"/>
      <c r="T21" s="264"/>
      <c r="U21" s="265"/>
      <c r="V21" s="122"/>
      <c r="W21" s="122"/>
    </row>
    <row r="22" spans="1:23" ht="10" customHeight="1">
      <c r="A22" s="122"/>
      <c r="B22" s="266"/>
      <c r="C22" s="265"/>
      <c r="D22" s="264"/>
      <c r="E22" s="265"/>
      <c r="F22" s="264"/>
      <c r="G22" s="265"/>
      <c r="H22" s="266"/>
      <c r="I22" s="265"/>
      <c r="J22" s="264"/>
      <c r="K22" s="267"/>
      <c r="L22" s="264"/>
      <c r="M22" s="265"/>
      <c r="N22" s="266"/>
      <c r="O22" s="265"/>
      <c r="P22" s="264"/>
      <c r="Q22" s="265"/>
      <c r="R22" s="264"/>
      <c r="S22" s="265"/>
      <c r="T22" s="264"/>
      <c r="U22" s="265"/>
      <c r="V22" s="122"/>
      <c r="W22" s="122"/>
    </row>
    <row r="23" spans="1:23" ht="10" customHeight="1">
      <c r="A23" s="122"/>
      <c r="B23" s="266"/>
      <c r="C23" s="265"/>
      <c r="D23" s="264"/>
      <c r="E23" s="265"/>
      <c r="F23" s="264"/>
      <c r="G23" s="265"/>
      <c r="H23" s="266"/>
      <c r="I23" s="265"/>
      <c r="J23" s="264"/>
      <c r="K23" s="267"/>
      <c r="L23" s="264"/>
      <c r="M23" s="265"/>
      <c r="N23" s="266"/>
      <c r="O23" s="265"/>
      <c r="P23" s="264"/>
      <c r="Q23" s="265"/>
      <c r="R23" s="264"/>
      <c r="S23" s="265"/>
      <c r="T23" s="264"/>
      <c r="U23" s="265"/>
      <c r="V23" s="122"/>
      <c r="W23" s="122"/>
    </row>
    <row r="24" spans="1:23" ht="10" customHeight="1" thickBot="1">
      <c r="A24" s="126">
        <v>2</v>
      </c>
      <c r="B24" s="273"/>
      <c r="C24" s="272"/>
      <c r="D24" s="271"/>
      <c r="E24" s="272"/>
      <c r="F24" s="271"/>
      <c r="G24" s="272"/>
      <c r="H24" s="273"/>
      <c r="I24" s="272"/>
      <c r="J24" s="271"/>
      <c r="K24" s="274"/>
      <c r="L24" s="271"/>
      <c r="M24" s="272"/>
      <c r="N24" s="273"/>
      <c r="O24" s="272"/>
      <c r="P24" s="271"/>
      <c r="Q24" s="277"/>
      <c r="R24" s="271"/>
      <c r="S24" s="272"/>
      <c r="T24" s="271"/>
      <c r="U24" s="272"/>
      <c r="V24" s="122"/>
      <c r="W24" s="122"/>
    </row>
    <row r="25" spans="1:23" ht="10" customHeight="1">
      <c r="A25" s="122"/>
      <c r="B25" s="259"/>
      <c r="C25" s="278"/>
      <c r="D25" s="263"/>
      <c r="E25" s="258"/>
      <c r="F25" s="257"/>
      <c r="G25" s="260"/>
      <c r="H25" s="257"/>
      <c r="I25" s="258"/>
      <c r="J25" s="257"/>
      <c r="K25" s="260"/>
      <c r="L25" s="279"/>
      <c r="M25" s="280"/>
      <c r="N25" s="279"/>
      <c r="O25" s="280"/>
      <c r="P25" s="279"/>
      <c r="Q25" s="280"/>
      <c r="R25" s="279"/>
      <c r="S25" s="258"/>
      <c r="T25" s="257"/>
      <c r="U25" s="278"/>
      <c r="V25" s="122"/>
      <c r="W25" s="122"/>
    </row>
    <row r="26" spans="1:23" ht="10" customHeight="1">
      <c r="A26" s="122"/>
      <c r="B26" s="266"/>
      <c r="C26" s="281"/>
      <c r="D26" s="270"/>
      <c r="E26" s="265"/>
      <c r="F26" s="264"/>
      <c r="G26" s="267"/>
      <c r="H26" s="264"/>
      <c r="I26" s="265"/>
      <c r="J26" s="264"/>
      <c r="K26" s="267"/>
      <c r="L26" s="282"/>
      <c r="M26" s="283"/>
      <c r="N26" s="282"/>
      <c r="O26" s="283"/>
      <c r="P26" s="282"/>
      <c r="Q26" s="283"/>
      <c r="R26" s="282"/>
      <c r="S26" s="265"/>
      <c r="T26" s="264"/>
      <c r="U26" s="281"/>
      <c r="V26" s="122"/>
      <c r="W26" s="122"/>
    </row>
    <row r="27" spans="1:23" ht="10" customHeight="1">
      <c r="A27" s="122"/>
      <c r="B27" s="266"/>
      <c r="C27" s="281"/>
      <c r="D27" s="270"/>
      <c r="E27" s="265"/>
      <c r="F27" s="264"/>
      <c r="G27" s="267"/>
      <c r="H27" s="264"/>
      <c r="I27" s="265"/>
      <c r="J27" s="264"/>
      <c r="K27" s="267"/>
      <c r="L27" s="282"/>
      <c r="M27" s="283"/>
      <c r="N27" s="282"/>
      <c r="O27" s="283"/>
      <c r="P27" s="282"/>
      <c r="Q27" s="283"/>
      <c r="R27" s="264"/>
      <c r="S27" s="265"/>
      <c r="T27" s="264"/>
      <c r="U27" s="281"/>
      <c r="V27" s="122"/>
      <c r="W27" s="122"/>
    </row>
    <row r="28" spans="1:23" ht="10" customHeight="1">
      <c r="A28" s="122"/>
      <c r="B28" s="266"/>
      <c r="C28" s="281"/>
      <c r="D28" s="270"/>
      <c r="E28" s="265"/>
      <c r="F28" s="264"/>
      <c r="G28" s="267"/>
      <c r="H28" s="264"/>
      <c r="I28" s="265"/>
      <c r="J28" s="264"/>
      <c r="K28" s="267"/>
      <c r="L28" s="282"/>
      <c r="M28" s="283"/>
      <c r="N28" s="282"/>
      <c r="O28" s="283"/>
      <c r="P28" s="282"/>
      <c r="Q28" s="283"/>
      <c r="R28" s="264"/>
      <c r="S28" s="265"/>
      <c r="T28" s="264"/>
      <c r="U28" s="265"/>
      <c r="V28" s="122"/>
      <c r="W28" s="122"/>
    </row>
    <row r="29" spans="1:23" ht="10" customHeight="1" thickBot="1">
      <c r="A29" s="126">
        <v>3</v>
      </c>
      <c r="B29" s="273"/>
      <c r="C29" s="284"/>
      <c r="D29" s="285"/>
      <c r="E29" s="272"/>
      <c r="F29" s="271"/>
      <c r="G29" s="274"/>
      <c r="H29" s="271"/>
      <c r="I29" s="272"/>
      <c r="J29" s="271"/>
      <c r="K29" s="274"/>
      <c r="L29" s="286"/>
      <c r="M29" s="277"/>
      <c r="N29" s="286"/>
      <c r="O29" s="277"/>
      <c r="P29" s="286"/>
      <c r="Q29" s="277"/>
      <c r="R29" s="271"/>
      <c r="S29" s="272"/>
      <c r="T29" s="271"/>
      <c r="U29" s="272"/>
      <c r="V29" s="122"/>
      <c r="W29" s="122"/>
    </row>
    <row r="30" spans="1:23" ht="10" customHeight="1">
      <c r="A30" s="122"/>
      <c r="B30" s="279"/>
      <c r="C30" s="280"/>
      <c r="D30" s="279"/>
      <c r="E30" s="280"/>
      <c r="F30" s="279"/>
      <c r="G30" s="280"/>
      <c r="H30" s="279"/>
      <c r="I30" s="280"/>
      <c r="J30" s="259"/>
      <c r="K30" s="258"/>
      <c r="L30" s="257"/>
      <c r="M30" s="260"/>
      <c r="N30" s="259"/>
      <c r="O30" s="262"/>
      <c r="P30" s="261"/>
      <c r="Q30" s="258"/>
      <c r="R30" s="257"/>
      <c r="S30" s="258"/>
      <c r="T30" s="257"/>
      <c r="U30" s="280"/>
      <c r="V30" s="122"/>
      <c r="W30" s="122"/>
    </row>
    <row r="31" spans="1:23" ht="10" customHeight="1">
      <c r="A31" s="122"/>
      <c r="B31" s="282"/>
      <c r="C31" s="283"/>
      <c r="D31" s="282"/>
      <c r="E31" s="283"/>
      <c r="F31" s="282"/>
      <c r="G31" s="283"/>
      <c r="H31" s="282"/>
      <c r="I31" s="283"/>
      <c r="J31" s="266"/>
      <c r="K31" s="265"/>
      <c r="L31" s="264"/>
      <c r="M31" s="267"/>
      <c r="N31" s="266"/>
      <c r="O31" s="269"/>
      <c r="P31" s="268"/>
      <c r="Q31" s="265"/>
      <c r="R31" s="264"/>
      <c r="S31" s="265"/>
      <c r="T31" s="264"/>
      <c r="U31" s="283"/>
      <c r="V31" s="122"/>
      <c r="W31" s="122"/>
    </row>
    <row r="32" spans="1:23" ht="10" customHeight="1">
      <c r="A32" s="122"/>
      <c r="B32" s="282"/>
      <c r="C32" s="283"/>
      <c r="D32" s="282"/>
      <c r="E32" s="283"/>
      <c r="F32" s="282"/>
      <c r="G32" s="283"/>
      <c r="H32" s="282"/>
      <c r="I32" s="283"/>
      <c r="J32" s="266"/>
      <c r="K32" s="265"/>
      <c r="L32" s="264"/>
      <c r="M32" s="267"/>
      <c r="N32" s="266"/>
      <c r="O32" s="269"/>
      <c r="P32" s="268"/>
      <c r="Q32" s="265"/>
      <c r="R32" s="264"/>
      <c r="S32" s="265"/>
      <c r="T32" s="264"/>
      <c r="U32" s="283"/>
      <c r="V32" s="122"/>
      <c r="W32" s="122"/>
    </row>
    <row r="33" spans="1:23" ht="10" customHeight="1">
      <c r="A33" s="122"/>
      <c r="B33" s="282"/>
      <c r="C33" s="283"/>
      <c r="D33" s="282"/>
      <c r="E33" s="283"/>
      <c r="F33" s="282"/>
      <c r="G33" s="283"/>
      <c r="H33" s="282"/>
      <c r="I33" s="283"/>
      <c r="J33" s="266"/>
      <c r="K33" s="265"/>
      <c r="L33" s="264"/>
      <c r="M33" s="267"/>
      <c r="N33" s="266"/>
      <c r="O33" s="265"/>
      <c r="P33" s="264"/>
      <c r="Q33" s="265"/>
      <c r="R33" s="264"/>
      <c r="S33" s="265"/>
      <c r="T33" s="282"/>
      <c r="U33" s="283"/>
      <c r="V33" s="122"/>
      <c r="W33" s="122"/>
    </row>
    <row r="34" spans="1:23" ht="10" customHeight="1" thickBot="1">
      <c r="A34" s="126">
        <v>4</v>
      </c>
      <c r="B34" s="286"/>
      <c r="C34" s="277"/>
      <c r="D34" s="286"/>
      <c r="E34" s="277"/>
      <c r="F34" s="286"/>
      <c r="G34" s="277"/>
      <c r="H34" s="286"/>
      <c r="I34" s="277"/>
      <c r="J34" s="273"/>
      <c r="K34" s="272"/>
      <c r="L34" s="271"/>
      <c r="M34" s="274"/>
      <c r="N34" s="273"/>
      <c r="O34" s="272"/>
      <c r="P34" s="271"/>
      <c r="Q34" s="272"/>
      <c r="R34" s="271"/>
      <c r="S34" s="272"/>
      <c r="T34" s="286"/>
      <c r="U34" s="277"/>
      <c r="V34" s="122"/>
      <c r="W34" s="122"/>
    </row>
    <row r="35" spans="1:23" ht="10" customHeight="1">
      <c r="A35" s="122"/>
      <c r="B35" s="259"/>
      <c r="C35" s="260"/>
      <c r="D35" s="259"/>
      <c r="E35" s="260"/>
      <c r="F35" s="259"/>
      <c r="G35" s="260"/>
      <c r="H35" s="257"/>
      <c r="I35" s="258"/>
      <c r="J35" s="261"/>
      <c r="K35" s="262"/>
      <c r="L35" s="261"/>
      <c r="M35" s="262"/>
      <c r="N35" s="261"/>
      <c r="O35" s="262"/>
      <c r="P35" s="261"/>
      <c r="Q35" s="258"/>
      <c r="R35" s="257"/>
      <c r="S35" s="258"/>
      <c r="T35" s="257"/>
      <c r="U35" s="258"/>
      <c r="V35" s="122"/>
      <c r="W35" s="122"/>
    </row>
    <row r="36" spans="1:23" ht="10" customHeight="1">
      <c r="A36" s="122"/>
      <c r="B36" s="266"/>
      <c r="C36" s="267"/>
      <c r="D36" s="266"/>
      <c r="E36" s="267"/>
      <c r="F36" s="266"/>
      <c r="G36" s="267"/>
      <c r="H36" s="264"/>
      <c r="I36" s="265"/>
      <c r="J36" s="268"/>
      <c r="K36" s="269"/>
      <c r="L36" s="268"/>
      <c r="M36" s="269"/>
      <c r="N36" s="268"/>
      <c r="O36" s="269"/>
      <c r="P36" s="268"/>
      <c r="Q36" s="265"/>
      <c r="R36" s="264"/>
      <c r="S36" s="265"/>
      <c r="T36" s="264"/>
      <c r="U36" s="265"/>
      <c r="V36" s="122"/>
      <c r="W36" s="122"/>
    </row>
    <row r="37" spans="1:23" ht="10" customHeight="1">
      <c r="A37" s="122"/>
      <c r="B37" s="266"/>
      <c r="C37" s="267"/>
      <c r="D37" s="266"/>
      <c r="E37" s="267"/>
      <c r="F37" s="266"/>
      <c r="G37" s="267"/>
      <c r="H37" s="264"/>
      <c r="I37" s="265"/>
      <c r="J37" s="268"/>
      <c r="K37" s="269"/>
      <c r="L37" s="268"/>
      <c r="M37" s="269"/>
      <c r="N37" s="268"/>
      <c r="O37" s="269"/>
      <c r="P37" s="268"/>
      <c r="Q37" s="265"/>
      <c r="R37" s="264"/>
      <c r="S37" s="265"/>
      <c r="T37" s="264"/>
      <c r="U37" s="265"/>
      <c r="V37" s="122"/>
      <c r="W37" s="122"/>
    </row>
    <row r="38" spans="1:23" ht="10" customHeight="1">
      <c r="A38" s="122"/>
      <c r="B38" s="266"/>
      <c r="C38" s="267"/>
      <c r="D38" s="266"/>
      <c r="E38" s="267"/>
      <c r="F38" s="266"/>
      <c r="G38" s="267"/>
      <c r="H38" s="264"/>
      <c r="I38" s="265"/>
      <c r="J38" s="268"/>
      <c r="K38" s="269"/>
      <c r="L38" s="268"/>
      <c r="M38" s="269"/>
      <c r="N38" s="268"/>
      <c r="O38" s="269"/>
      <c r="P38" s="268"/>
      <c r="Q38" s="269"/>
      <c r="R38" s="264"/>
      <c r="S38" s="265"/>
      <c r="T38" s="264"/>
      <c r="U38" s="265"/>
      <c r="V38" s="122"/>
      <c r="W38" s="122"/>
    </row>
    <row r="39" spans="1:23" ht="10" customHeight="1" thickBot="1">
      <c r="A39" s="126">
        <v>5</v>
      </c>
      <c r="B39" s="273"/>
      <c r="C39" s="274"/>
      <c r="D39" s="273"/>
      <c r="E39" s="274"/>
      <c r="F39" s="273"/>
      <c r="G39" s="274"/>
      <c r="H39" s="271"/>
      <c r="I39" s="272"/>
      <c r="J39" s="275"/>
      <c r="K39" s="276"/>
      <c r="L39" s="275"/>
      <c r="M39" s="276"/>
      <c r="N39" s="275"/>
      <c r="O39" s="276"/>
      <c r="P39" s="275"/>
      <c r="Q39" s="276"/>
      <c r="R39" s="271"/>
      <c r="S39" s="272"/>
      <c r="T39" s="271"/>
      <c r="U39" s="272"/>
      <c r="V39" s="122"/>
      <c r="W39" s="122"/>
    </row>
    <row r="40" spans="1:23" ht="10" customHeight="1">
      <c r="A40" s="122"/>
      <c r="B40" s="257"/>
      <c r="C40" s="258"/>
      <c r="D40" s="259"/>
      <c r="E40" s="260"/>
      <c r="F40" s="287"/>
      <c r="G40" s="288"/>
      <c r="H40" s="287"/>
      <c r="I40" s="288"/>
      <c r="J40" s="287"/>
      <c r="K40" s="288"/>
      <c r="L40" s="259"/>
      <c r="M40" s="260"/>
      <c r="N40" s="257"/>
      <c r="O40" s="258"/>
      <c r="P40" s="257"/>
      <c r="Q40" s="258"/>
      <c r="R40" s="257"/>
      <c r="S40" s="260"/>
      <c r="T40" s="257"/>
      <c r="U40" s="262"/>
      <c r="V40" s="122"/>
      <c r="W40" s="122"/>
    </row>
    <row r="41" spans="1:23" ht="10" customHeight="1">
      <c r="A41" s="122"/>
      <c r="B41" s="264"/>
      <c r="C41" s="265"/>
      <c r="D41" s="266"/>
      <c r="E41" s="267"/>
      <c r="F41" s="289"/>
      <c r="G41" s="290"/>
      <c r="H41" s="289"/>
      <c r="I41" s="290"/>
      <c r="J41" s="289"/>
      <c r="K41" s="290"/>
      <c r="L41" s="266"/>
      <c r="M41" s="267"/>
      <c r="N41" s="264"/>
      <c r="O41" s="265"/>
      <c r="P41" s="264"/>
      <c r="Q41" s="265"/>
      <c r="R41" s="264"/>
      <c r="S41" s="265"/>
      <c r="T41" s="264"/>
      <c r="U41" s="265"/>
      <c r="V41" s="122"/>
      <c r="W41" s="122"/>
    </row>
    <row r="42" spans="1:23" ht="10" customHeight="1">
      <c r="A42" s="122"/>
      <c r="B42" s="264"/>
      <c r="C42" s="265"/>
      <c r="D42" s="266"/>
      <c r="E42" s="267"/>
      <c r="F42" s="289"/>
      <c r="G42" s="290"/>
      <c r="H42" s="289"/>
      <c r="I42" s="290"/>
      <c r="J42" s="289"/>
      <c r="K42" s="290"/>
      <c r="L42" s="266"/>
      <c r="M42" s="267"/>
      <c r="N42" s="264"/>
      <c r="O42" s="265"/>
      <c r="P42" s="264"/>
      <c r="Q42" s="265"/>
      <c r="R42" s="264"/>
      <c r="S42" s="265"/>
      <c r="T42" s="264"/>
      <c r="U42" s="265"/>
      <c r="V42" s="122"/>
      <c r="W42" s="122"/>
    </row>
    <row r="43" spans="1:23" ht="10" customHeight="1">
      <c r="A43" s="122"/>
      <c r="B43" s="264"/>
      <c r="C43" s="265"/>
      <c r="D43" s="266"/>
      <c r="E43" s="267"/>
      <c r="F43" s="289"/>
      <c r="G43" s="290"/>
      <c r="H43" s="289"/>
      <c r="I43" s="290"/>
      <c r="J43" s="289"/>
      <c r="K43" s="290"/>
      <c r="L43" s="266"/>
      <c r="M43" s="267"/>
      <c r="N43" s="264"/>
      <c r="O43" s="265"/>
      <c r="P43" s="264"/>
      <c r="Q43" s="265"/>
      <c r="R43" s="264"/>
      <c r="S43" s="265"/>
      <c r="T43" s="264"/>
      <c r="U43" s="265"/>
      <c r="V43" s="122"/>
      <c r="W43" s="122"/>
    </row>
    <row r="44" spans="1:23" ht="10" customHeight="1" thickBot="1">
      <c r="A44" s="126">
        <v>6</v>
      </c>
      <c r="B44" s="271"/>
      <c r="C44" s="272"/>
      <c r="D44" s="273"/>
      <c r="E44" s="274"/>
      <c r="F44" s="291"/>
      <c r="G44" s="292"/>
      <c r="H44" s="291"/>
      <c r="I44" s="292"/>
      <c r="J44" s="291"/>
      <c r="K44" s="292"/>
      <c r="L44" s="273"/>
      <c r="M44" s="274"/>
      <c r="N44" s="271"/>
      <c r="O44" s="272"/>
      <c r="P44" s="271"/>
      <c r="Q44" s="272"/>
      <c r="R44" s="271"/>
      <c r="S44" s="272"/>
      <c r="T44" s="271"/>
      <c r="U44" s="272"/>
      <c r="V44" s="122"/>
      <c r="W44" s="122"/>
    </row>
    <row r="45" spans="1:23" ht="10" customHeight="1">
      <c r="A45" s="122"/>
      <c r="B45" s="257"/>
      <c r="C45" s="258"/>
      <c r="D45" s="261"/>
      <c r="E45" s="278"/>
      <c r="F45" s="287"/>
      <c r="G45" s="288"/>
      <c r="H45" s="287"/>
      <c r="I45" s="288"/>
      <c r="J45" s="287"/>
      <c r="K45" s="288"/>
      <c r="L45" s="287"/>
      <c r="M45" s="288"/>
      <c r="N45" s="287"/>
      <c r="O45" s="288"/>
      <c r="P45" s="287"/>
      <c r="Q45" s="288"/>
      <c r="R45" s="287"/>
      <c r="S45" s="288"/>
      <c r="T45" s="261"/>
      <c r="U45" s="258"/>
      <c r="V45" s="122"/>
      <c r="W45" s="122"/>
    </row>
    <row r="46" spans="1:23" ht="10" customHeight="1">
      <c r="A46" s="122"/>
      <c r="B46" s="264"/>
      <c r="C46" s="265"/>
      <c r="D46" s="268"/>
      <c r="E46" s="281"/>
      <c r="F46" s="289"/>
      <c r="G46" s="290"/>
      <c r="H46" s="289"/>
      <c r="I46" s="290"/>
      <c r="J46" s="289"/>
      <c r="K46" s="290"/>
      <c r="L46" s="289"/>
      <c r="M46" s="290"/>
      <c r="N46" s="289"/>
      <c r="O46" s="290"/>
      <c r="P46" s="289"/>
      <c r="Q46" s="290"/>
      <c r="R46" s="289"/>
      <c r="S46" s="290"/>
      <c r="T46" s="268"/>
      <c r="U46" s="265"/>
      <c r="V46" s="122"/>
      <c r="W46" s="122"/>
    </row>
    <row r="47" spans="1:23" ht="10" customHeight="1">
      <c r="A47" s="122"/>
      <c r="B47" s="264"/>
      <c r="C47" s="265"/>
      <c r="D47" s="268"/>
      <c r="E47" s="281"/>
      <c r="F47" s="289"/>
      <c r="G47" s="290"/>
      <c r="H47" s="289"/>
      <c r="I47" s="290"/>
      <c r="J47" s="289"/>
      <c r="K47" s="290"/>
      <c r="L47" s="289"/>
      <c r="M47" s="290"/>
      <c r="N47" s="289"/>
      <c r="O47" s="290"/>
      <c r="P47" s="289"/>
      <c r="Q47" s="290"/>
      <c r="R47" s="289"/>
      <c r="S47" s="290"/>
      <c r="T47" s="268"/>
      <c r="U47" s="265"/>
      <c r="V47" s="122"/>
      <c r="W47" s="122"/>
    </row>
    <row r="48" spans="1:23" ht="10" customHeight="1">
      <c r="A48" s="122"/>
      <c r="B48" s="264"/>
      <c r="C48" s="265"/>
      <c r="D48" s="268"/>
      <c r="E48" s="281"/>
      <c r="F48" s="289"/>
      <c r="G48" s="290"/>
      <c r="H48" s="289"/>
      <c r="I48" s="290"/>
      <c r="J48" s="289"/>
      <c r="K48" s="290"/>
      <c r="L48" s="289"/>
      <c r="M48" s="290"/>
      <c r="N48" s="289"/>
      <c r="O48" s="290"/>
      <c r="P48" s="289"/>
      <c r="Q48" s="290"/>
      <c r="R48" s="289"/>
      <c r="S48" s="290"/>
      <c r="T48" s="289"/>
      <c r="U48" s="281"/>
      <c r="V48" s="122"/>
      <c r="W48" s="122"/>
    </row>
    <row r="49" spans="1:23" ht="10" customHeight="1" thickBot="1">
      <c r="A49" s="126">
        <v>7</v>
      </c>
      <c r="B49" s="271"/>
      <c r="C49" s="272"/>
      <c r="D49" s="275"/>
      <c r="E49" s="284"/>
      <c r="F49" s="291"/>
      <c r="G49" s="292"/>
      <c r="H49" s="291"/>
      <c r="I49" s="292"/>
      <c r="J49" s="291"/>
      <c r="K49" s="292"/>
      <c r="L49" s="291"/>
      <c r="M49" s="292"/>
      <c r="N49" s="291"/>
      <c r="O49" s="292"/>
      <c r="P49" s="291"/>
      <c r="Q49" s="292"/>
      <c r="R49" s="291"/>
      <c r="S49" s="292"/>
      <c r="T49" s="275"/>
      <c r="U49" s="284"/>
      <c r="V49" s="122"/>
      <c r="W49" s="122"/>
    </row>
    <row r="50" spans="1:23" ht="10" customHeight="1">
      <c r="A50" s="122"/>
      <c r="B50" s="257"/>
      <c r="C50" s="258"/>
      <c r="D50" s="259"/>
      <c r="E50" s="260"/>
      <c r="F50" s="261"/>
      <c r="G50" s="262"/>
      <c r="H50" s="259"/>
      <c r="I50" s="260"/>
      <c r="J50" s="257"/>
      <c r="K50" s="258"/>
      <c r="L50" s="257"/>
      <c r="M50" s="258"/>
      <c r="N50" s="257"/>
      <c r="O50" s="258"/>
      <c r="P50" s="257"/>
      <c r="Q50" s="258"/>
      <c r="R50" s="257"/>
      <c r="S50" s="262"/>
      <c r="T50" s="257"/>
      <c r="U50" s="260"/>
      <c r="V50" s="122"/>
      <c r="W50" s="122"/>
    </row>
    <row r="51" spans="1:23" ht="10" customHeight="1">
      <c r="A51" s="122"/>
      <c r="B51" s="264"/>
      <c r="C51" s="265"/>
      <c r="D51" s="266"/>
      <c r="E51" s="267"/>
      <c r="F51" s="268"/>
      <c r="G51" s="269"/>
      <c r="H51" s="266"/>
      <c r="I51" s="267"/>
      <c r="J51" s="264"/>
      <c r="K51" s="265"/>
      <c r="L51" s="264"/>
      <c r="M51" s="265"/>
      <c r="N51" s="264"/>
      <c r="O51" s="265"/>
      <c r="P51" s="264"/>
      <c r="Q51" s="265"/>
      <c r="R51" s="264"/>
      <c r="S51" s="269"/>
      <c r="T51" s="264"/>
      <c r="U51" s="267"/>
      <c r="V51" s="122"/>
      <c r="W51" s="122"/>
    </row>
    <row r="52" spans="1:23" ht="10" customHeight="1">
      <c r="A52" s="122"/>
      <c r="B52" s="264"/>
      <c r="C52" s="265"/>
      <c r="D52" s="266"/>
      <c r="E52" s="267"/>
      <c r="F52" s="268"/>
      <c r="G52" s="269"/>
      <c r="H52" s="266"/>
      <c r="I52" s="267"/>
      <c r="J52" s="264"/>
      <c r="K52" s="265"/>
      <c r="L52" s="264"/>
      <c r="M52" s="265"/>
      <c r="N52" s="264"/>
      <c r="O52" s="265"/>
      <c r="P52" s="264"/>
      <c r="Q52" s="265"/>
      <c r="R52" s="264"/>
      <c r="S52" s="269"/>
      <c r="T52" s="264"/>
      <c r="U52" s="267"/>
      <c r="V52" s="122"/>
      <c r="W52" s="122"/>
    </row>
    <row r="53" spans="1:23" ht="10" customHeight="1">
      <c r="A53" s="122"/>
      <c r="B53" s="264"/>
      <c r="C53" s="265"/>
      <c r="D53" s="266"/>
      <c r="E53" s="267"/>
      <c r="F53" s="268"/>
      <c r="G53" s="269"/>
      <c r="H53" s="266"/>
      <c r="I53" s="267"/>
      <c r="J53" s="264"/>
      <c r="K53" s="265"/>
      <c r="L53" s="264"/>
      <c r="M53" s="265"/>
      <c r="N53" s="264"/>
      <c r="O53" s="265"/>
      <c r="P53" s="264"/>
      <c r="Q53" s="265"/>
      <c r="R53" s="264"/>
      <c r="S53" s="269"/>
      <c r="T53" s="264"/>
      <c r="U53" s="267"/>
      <c r="V53" s="122"/>
      <c r="W53" s="122"/>
    </row>
    <row r="54" spans="1:23" ht="10" customHeight="1" thickBot="1">
      <c r="A54" s="126">
        <v>8</v>
      </c>
      <c r="B54" s="271"/>
      <c r="C54" s="272"/>
      <c r="D54" s="273"/>
      <c r="E54" s="274"/>
      <c r="F54" s="275"/>
      <c r="G54" s="276"/>
      <c r="H54" s="273"/>
      <c r="I54" s="274"/>
      <c r="J54" s="271"/>
      <c r="K54" s="272"/>
      <c r="L54" s="271"/>
      <c r="M54" s="272"/>
      <c r="N54" s="271"/>
      <c r="O54" s="272"/>
      <c r="P54" s="271"/>
      <c r="Q54" s="272"/>
      <c r="R54" s="271"/>
      <c r="S54" s="276"/>
      <c r="T54" s="271"/>
      <c r="U54" s="274"/>
      <c r="V54" s="122"/>
      <c r="W54" s="122"/>
    </row>
    <row r="55" spans="1:23" ht="10" customHeight="1">
      <c r="A55" s="122"/>
      <c r="B55" s="259"/>
      <c r="C55" s="260"/>
      <c r="D55" s="257"/>
      <c r="E55" s="258"/>
      <c r="F55" s="257"/>
      <c r="G55" s="258"/>
      <c r="H55" s="259"/>
      <c r="I55" s="258"/>
      <c r="J55" s="247"/>
      <c r="K55" s="248"/>
      <c r="L55" s="247"/>
      <c r="M55" s="248"/>
      <c r="N55" s="247"/>
      <c r="O55" s="248"/>
      <c r="P55" s="247"/>
      <c r="Q55" s="248"/>
      <c r="R55" s="247"/>
      <c r="S55" s="248"/>
      <c r="T55" s="257"/>
      <c r="U55" s="258"/>
      <c r="V55" s="122"/>
      <c r="W55" s="122"/>
    </row>
    <row r="56" spans="1:23" ht="10" customHeight="1">
      <c r="A56" s="122"/>
      <c r="B56" s="266"/>
      <c r="C56" s="267"/>
      <c r="D56" s="264"/>
      <c r="E56" s="265"/>
      <c r="F56" s="264"/>
      <c r="G56" s="265"/>
      <c r="H56" s="266"/>
      <c r="I56" s="265"/>
      <c r="J56" s="249"/>
      <c r="K56" s="250"/>
      <c r="L56" s="249"/>
      <c r="M56" s="250"/>
      <c r="N56" s="249"/>
      <c r="O56" s="250"/>
      <c r="P56" s="249"/>
      <c r="Q56" s="250"/>
      <c r="R56" s="249"/>
      <c r="S56" s="250"/>
      <c r="T56" s="264"/>
      <c r="U56" s="265"/>
      <c r="V56" s="122"/>
      <c r="W56" s="122"/>
    </row>
    <row r="57" spans="1:23" ht="10" customHeight="1">
      <c r="A57" s="122"/>
      <c r="B57" s="266"/>
      <c r="C57" s="267"/>
      <c r="D57" s="264"/>
      <c r="E57" s="265"/>
      <c r="F57" s="264"/>
      <c r="G57" s="265"/>
      <c r="H57" s="266"/>
      <c r="I57" s="265"/>
      <c r="J57" s="249"/>
      <c r="K57" s="250"/>
      <c r="L57" s="249"/>
      <c r="M57" s="250"/>
      <c r="N57" s="249"/>
      <c r="O57" s="250"/>
      <c r="P57" s="249"/>
      <c r="Q57" s="250"/>
      <c r="R57" s="249"/>
      <c r="S57" s="265"/>
      <c r="T57" s="264"/>
      <c r="U57" s="265"/>
      <c r="V57" s="122"/>
      <c r="W57" s="122"/>
    </row>
    <row r="58" spans="1:23" ht="10" customHeight="1">
      <c r="A58" s="122"/>
      <c r="B58" s="266"/>
      <c r="C58" s="267"/>
      <c r="D58" s="264"/>
      <c r="E58" s="265"/>
      <c r="F58" s="264"/>
      <c r="G58" s="265"/>
      <c r="H58" s="266"/>
      <c r="I58" s="265"/>
      <c r="J58" s="249"/>
      <c r="K58" s="250"/>
      <c r="L58" s="249"/>
      <c r="M58" s="250"/>
      <c r="N58" s="249"/>
      <c r="O58" s="250"/>
      <c r="P58" s="249"/>
      <c r="Q58" s="250"/>
      <c r="R58" s="249"/>
      <c r="S58" s="265"/>
      <c r="T58" s="264"/>
      <c r="U58" s="265"/>
      <c r="V58" s="122"/>
      <c r="W58" s="122"/>
    </row>
    <row r="59" spans="1:23" ht="10" customHeight="1" thickBot="1">
      <c r="A59" s="126">
        <v>9</v>
      </c>
      <c r="B59" s="273"/>
      <c r="C59" s="274"/>
      <c r="D59" s="271"/>
      <c r="E59" s="272"/>
      <c r="F59" s="271"/>
      <c r="G59" s="272"/>
      <c r="H59" s="273"/>
      <c r="I59" s="272"/>
      <c r="J59" s="251"/>
      <c r="K59" s="252"/>
      <c r="L59" s="251"/>
      <c r="M59" s="252"/>
      <c r="N59" s="251"/>
      <c r="O59" s="252"/>
      <c r="P59" s="251"/>
      <c r="Q59" s="252"/>
      <c r="R59" s="251"/>
      <c r="S59" s="272"/>
      <c r="T59" s="271"/>
      <c r="U59" s="272"/>
      <c r="V59" s="122"/>
      <c r="W59" s="122"/>
    </row>
    <row r="60" spans="1:23" ht="10" customHeight="1">
      <c r="A60" s="122"/>
      <c r="B60" s="247"/>
      <c r="C60" s="248"/>
      <c r="D60" s="247"/>
      <c r="E60" s="248"/>
      <c r="F60" s="247"/>
      <c r="G60" s="248"/>
      <c r="H60" s="247"/>
      <c r="I60" s="248"/>
      <c r="J60" s="247"/>
      <c r="K60" s="248"/>
      <c r="L60" s="247"/>
      <c r="M60" s="248"/>
      <c r="N60" s="247"/>
      <c r="O60" s="248"/>
      <c r="P60" s="247"/>
      <c r="Q60" s="248"/>
      <c r="R60" s="247"/>
      <c r="S60" s="248"/>
      <c r="T60" s="247"/>
      <c r="U60" s="248"/>
      <c r="V60" s="122"/>
      <c r="W60" s="122"/>
    </row>
    <row r="61" spans="1:23" ht="10" customHeight="1">
      <c r="A61" s="122"/>
      <c r="B61" s="249"/>
      <c r="C61" s="250"/>
      <c r="D61" s="249"/>
      <c r="E61" s="250"/>
      <c r="F61" s="249"/>
      <c r="G61" s="250"/>
      <c r="H61" s="249"/>
      <c r="I61" s="250"/>
      <c r="J61" s="249"/>
      <c r="K61" s="250"/>
      <c r="L61" s="249"/>
      <c r="M61" s="250"/>
      <c r="N61" s="249"/>
      <c r="O61" s="250"/>
      <c r="P61" s="249"/>
      <c r="Q61" s="250"/>
      <c r="R61" s="249"/>
      <c r="S61" s="250"/>
      <c r="T61" s="249"/>
      <c r="U61" s="250"/>
      <c r="V61" s="122"/>
      <c r="W61" s="122"/>
    </row>
    <row r="62" spans="1:23" ht="10" customHeight="1">
      <c r="A62" s="122"/>
      <c r="B62" s="249"/>
      <c r="C62" s="250"/>
      <c r="D62" s="249"/>
      <c r="E62" s="250"/>
      <c r="F62" s="249"/>
      <c r="G62" s="250"/>
      <c r="H62" s="249"/>
      <c r="I62" s="250"/>
      <c r="J62" s="249"/>
      <c r="K62" s="250"/>
      <c r="L62" s="249"/>
      <c r="M62" s="250"/>
      <c r="N62" s="249"/>
      <c r="O62" s="250"/>
      <c r="P62" s="249"/>
      <c r="Q62" s="250"/>
      <c r="R62" s="249"/>
      <c r="S62" s="250"/>
      <c r="T62" s="249"/>
      <c r="U62" s="250"/>
      <c r="V62" s="122"/>
      <c r="W62" s="122"/>
    </row>
    <row r="63" spans="1:23" ht="10" customHeight="1">
      <c r="A63" s="122"/>
      <c r="B63" s="249"/>
      <c r="C63" s="250"/>
      <c r="D63" s="249"/>
      <c r="E63" s="250"/>
      <c r="F63" s="249"/>
      <c r="G63" s="250"/>
      <c r="H63" s="249"/>
      <c r="I63" s="250"/>
      <c r="J63" s="249"/>
      <c r="K63" s="250"/>
      <c r="L63" s="249"/>
      <c r="M63" s="250"/>
      <c r="N63" s="249"/>
      <c r="O63" s="250"/>
      <c r="P63" s="249"/>
      <c r="Q63" s="250"/>
      <c r="R63" s="249"/>
      <c r="S63" s="250"/>
      <c r="T63" s="249"/>
      <c r="U63" s="250"/>
      <c r="V63" s="122"/>
      <c r="W63" s="122"/>
    </row>
    <row r="64" spans="1:23" ht="10" customHeight="1" thickBot="1">
      <c r="A64" s="126">
        <v>10</v>
      </c>
      <c r="B64" s="251"/>
      <c r="C64" s="252"/>
      <c r="D64" s="251"/>
      <c r="E64" s="252"/>
      <c r="F64" s="251"/>
      <c r="G64" s="252"/>
      <c r="H64" s="251"/>
      <c r="I64" s="252"/>
      <c r="J64" s="251"/>
      <c r="K64" s="252"/>
      <c r="L64" s="251"/>
      <c r="M64" s="252"/>
      <c r="N64" s="251"/>
      <c r="O64" s="252"/>
      <c r="P64" s="251"/>
      <c r="Q64" s="252"/>
      <c r="R64" s="251"/>
      <c r="S64" s="252"/>
      <c r="T64" s="251"/>
      <c r="U64" s="252"/>
      <c r="V64" s="122"/>
      <c r="W64" s="122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5" customWidth="1"/>
  </cols>
  <sheetData>
    <row r="1" spans="1:23" ht="16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</row>
    <row r="2" spans="1:23" ht="18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</row>
    <row r="3" spans="1:23" ht="18" customHeight="1">
      <c r="A3" s="122"/>
      <c r="B3" s="190"/>
      <c r="C3" s="126" t="s">
        <v>452</v>
      </c>
      <c r="D3" s="126">
        <v>688</v>
      </c>
      <c r="E3" s="121">
        <v>1000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254">
        <v>688000</v>
      </c>
    </row>
    <row r="4" spans="1:23" ht="18" customHeight="1">
      <c r="A4" s="122"/>
      <c r="B4" s="189"/>
      <c r="C4" s="126" t="s">
        <v>453</v>
      </c>
      <c r="D4" s="126">
        <v>161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254">
        <v>161000</v>
      </c>
    </row>
    <row r="5" spans="1:23" ht="18" customHeight="1">
      <c r="A5" s="122"/>
      <c r="B5" s="196"/>
      <c r="C5" s="126" t="s">
        <v>59</v>
      </c>
      <c r="D5" s="126">
        <v>0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254">
        <v>0</v>
      </c>
    </row>
    <row r="6" spans="1:23" ht="18" customHeight="1">
      <c r="A6" s="122"/>
      <c r="B6" s="193"/>
      <c r="C6" s="126" t="s">
        <v>2383</v>
      </c>
      <c r="D6" s="126">
        <v>92</v>
      </c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254">
        <v>92000</v>
      </c>
    </row>
    <row r="7" spans="1:23" ht="18" customHeight="1">
      <c r="A7" s="122"/>
      <c r="B7" s="200"/>
      <c r="C7" s="126" t="s">
        <v>456</v>
      </c>
      <c r="D7" s="126">
        <v>80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254">
        <v>80000</v>
      </c>
    </row>
    <row r="8" spans="1:23" ht="18" customHeight="1">
      <c r="A8" s="122"/>
      <c r="B8" s="255"/>
      <c r="C8" s="126" t="s">
        <v>457</v>
      </c>
      <c r="D8" s="126">
        <v>87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254">
        <v>87000</v>
      </c>
    </row>
    <row r="9" spans="1:23" ht="18" customHeight="1">
      <c r="A9" s="122"/>
      <c r="B9" s="197"/>
      <c r="C9" s="126" t="s">
        <v>458</v>
      </c>
      <c r="D9" s="126">
        <v>136</v>
      </c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254">
        <v>136000</v>
      </c>
    </row>
    <row r="10" spans="1:23" ht="18" customHeight="1">
      <c r="A10" s="122"/>
      <c r="B10" s="256"/>
      <c r="C10" s="126" t="s">
        <v>459</v>
      </c>
      <c r="D10" s="126">
        <v>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254">
        <v>49000</v>
      </c>
    </row>
    <row r="11" spans="1:23" ht="18" customHeight="1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254"/>
    </row>
    <row r="12" spans="1:23" ht="18" customHeight="1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6" t="s">
        <v>295</v>
      </c>
      <c r="W12" s="254">
        <v>1293000</v>
      </c>
    </row>
    <row r="13" spans="1:23" ht="18" customHeight="1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</row>
    <row r="14" spans="1:23" ht="10" customHeight="1" thickBot="1">
      <c r="A14" s="122"/>
      <c r="B14" s="122"/>
      <c r="C14" s="126">
        <v>1</v>
      </c>
      <c r="D14" s="122"/>
      <c r="E14" s="126">
        <v>2</v>
      </c>
      <c r="F14" s="122"/>
      <c r="G14" s="126">
        <v>3</v>
      </c>
      <c r="H14" s="122"/>
      <c r="I14" s="126">
        <v>4</v>
      </c>
      <c r="J14" s="122"/>
      <c r="K14" s="126">
        <v>5</v>
      </c>
      <c r="L14" s="122"/>
      <c r="M14" s="126">
        <v>6</v>
      </c>
      <c r="N14" s="122"/>
      <c r="O14" s="126">
        <v>7</v>
      </c>
      <c r="P14" s="122"/>
      <c r="Q14" s="126">
        <v>8</v>
      </c>
      <c r="R14" s="122"/>
      <c r="S14" s="126">
        <v>9</v>
      </c>
      <c r="T14" s="122"/>
      <c r="U14" s="126">
        <v>10</v>
      </c>
      <c r="V14" s="122"/>
      <c r="W14" s="122"/>
    </row>
    <row r="15" spans="1:23" ht="10" customHeight="1">
      <c r="A15" s="122"/>
      <c r="B15" s="135"/>
      <c r="C15" s="136"/>
      <c r="D15" s="146"/>
      <c r="E15" s="147"/>
      <c r="F15" s="133"/>
      <c r="G15" s="134"/>
      <c r="H15" s="133"/>
      <c r="I15" s="134"/>
      <c r="J15" s="133"/>
      <c r="K15" s="134"/>
      <c r="L15" s="133"/>
      <c r="M15" s="134"/>
      <c r="N15" s="135"/>
      <c r="O15" s="136"/>
      <c r="P15" s="133"/>
      <c r="Q15" s="134"/>
      <c r="R15" s="133"/>
      <c r="S15" s="134"/>
      <c r="T15" s="146"/>
      <c r="U15" s="147"/>
      <c r="V15" s="122"/>
      <c r="W15" s="122"/>
    </row>
    <row r="16" spans="1:23" ht="10" customHeight="1">
      <c r="A16" s="122"/>
      <c r="B16" s="139"/>
      <c r="C16" s="140"/>
      <c r="D16" s="152"/>
      <c r="E16" s="153"/>
      <c r="F16" s="137"/>
      <c r="G16" s="138"/>
      <c r="H16" s="137"/>
      <c r="I16" s="138"/>
      <c r="J16" s="137"/>
      <c r="K16" s="138"/>
      <c r="L16" s="137"/>
      <c r="M16" s="138"/>
      <c r="N16" s="139"/>
      <c r="O16" s="140"/>
      <c r="P16" s="137"/>
      <c r="Q16" s="138"/>
      <c r="R16" s="137"/>
      <c r="S16" s="138"/>
      <c r="T16" s="137"/>
      <c r="U16" s="153"/>
      <c r="V16" s="122"/>
      <c r="W16" s="122"/>
    </row>
    <row r="17" spans="1:23" ht="10" customHeight="1">
      <c r="A17" s="122"/>
      <c r="B17" s="139"/>
      <c r="C17" s="140"/>
      <c r="D17" s="152"/>
      <c r="E17" s="153"/>
      <c r="F17" s="137"/>
      <c r="G17" s="138"/>
      <c r="H17" s="137"/>
      <c r="I17" s="138"/>
      <c r="J17" s="137"/>
      <c r="K17" s="138"/>
      <c r="L17" s="137"/>
      <c r="M17" s="138"/>
      <c r="N17" s="139"/>
      <c r="O17" s="140"/>
      <c r="P17" s="152"/>
      <c r="Q17" s="153"/>
      <c r="R17" s="137"/>
      <c r="S17" s="138"/>
      <c r="T17" s="137"/>
      <c r="U17" s="153"/>
      <c r="V17" s="122"/>
      <c r="W17" s="122"/>
    </row>
    <row r="18" spans="1:23" ht="10" customHeight="1">
      <c r="A18" s="122"/>
      <c r="B18" s="139"/>
      <c r="C18" s="140"/>
      <c r="D18" s="152"/>
      <c r="E18" s="153"/>
      <c r="F18" s="137"/>
      <c r="G18" s="138"/>
      <c r="H18" s="137"/>
      <c r="I18" s="138"/>
      <c r="J18" s="137"/>
      <c r="K18" s="138"/>
      <c r="L18" s="137"/>
      <c r="M18" s="138"/>
      <c r="N18" s="139"/>
      <c r="O18" s="140"/>
      <c r="P18" s="152"/>
      <c r="Q18" s="153"/>
      <c r="R18" s="137"/>
      <c r="S18" s="138"/>
      <c r="T18" s="137"/>
      <c r="U18" s="153"/>
      <c r="V18" s="122"/>
      <c r="W18" s="122"/>
    </row>
    <row r="19" spans="1:23" ht="10" customHeight="1" thickBot="1">
      <c r="A19" s="126">
        <v>1</v>
      </c>
      <c r="B19" s="144"/>
      <c r="C19" s="145"/>
      <c r="D19" s="158"/>
      <c r="E19" s="159"/>
      <c r="F19" s="142"/>
      <c r="G19" s="143"/>
      <c r="H19" s="142"/>
      <c r="I19" s="143"/>
      <c r="J19" s="142"/>
      <c r="K19" s="143"/>
      <c r="L19" s="142"/>
      <c r="M19" s="143"/>
      <c r="N19" s="144"/>
      <c r="O19" s="145"/>
      <c r="P19" s="158"/>
      <c r="Q19" s="159"/>
      <c r="R19" s="142"/>
      <c r="S19" s="143"/>
      <c r="T19" s="142"/>
      <c r="U19" s="159"/>
      <c r="V19" s="122"/>
      <c r="W19" s="122"/>
    </row>
    <row r="20" spans="1:23" ht="10" customHeight="1">
      <c r="A20" s="122"/>
      <c r="B20" s="133"/>
      <c r="C20" s="134"/>
      <c r="D20" s="133"/>
      <c r="E20" s="134"/>
      <c r="F20" s="135"/>
      <c r="G20" s="136"/>
      <c r="H20" s="133"/>
      <c r="I20" s="134"/>
      <c r="J20" s="133"/>
      <c r="K20" s="134"/>
      <c r="L20" s="146"/>
      <c r="M20" s="173"/>
      <c r="N20" s="146"/>
      <c r="O20" s="147"/>
      <c r="P20" s="133"/>
      <c r="Q20" s="134"/>
      <c r="R20" s="133"/>
      <c r="S20" s="134"/>
      <c r="T20" s="146"/>
      <c r="U20" s="147"/>
      <c r="V20" s="122"/>
      <c r="W20" s="122"/>
    </row>
    <row r="21" spans="1:23" ht="10" customHeight="1">
      <c r="A21" s="122"/>
      <c r="B21" s="137"/>
      <c r="C21" s="138"/>
      <c r="D21" s="137"/>
      <c r="E21" s="138"/>
      <c r="F21" s="139"/>
      <c r="G21" s="140"/>
      <c r="H21" s="137"/>
      <c r="I21" s="138"/>
      <c r="J21" s="137"/>
      <c r="K21" s="138"/>
      <c r="L21" s="152"/>
      <c r="M21" s="182"/>
      <c r="N21" s="152"/>
      <c r="O21" s="153"/>
      <c r="P21" s="137"/>
      <c r="Q21" s="138"/>
      <c r="R21" s="137"/>
      <c r="S21" s="138"/>
      <c r="T21" s="137"/>
      <c r="U21" s="138"/>
      <c r="V21" s="122"/>
      <c r="W21" s="122"/>
    </row>
    <row r="22" spans="1:23" ht="10" customHeight="1">
      <c r="A22" s="122"/>
      <c r="B22" s="137"/>
      <c r="C22" s="138"/>
      <c r="D22" s="137"/>
      <c r="E22" s="138"/>
      <c r="F22" s="139"/>
      <c r="G22" s="140"/>
      <c r="H22" s="137"/>
      <c r="I22" s="138"/>
      <c r="J22" s="137"/>
      <c r="K22" s="138"/>
      <c r="L22" s="152"/>
      <c r="M22" s="182"/>
      <c r="N22" s="164"/>
      <c r="O22" s="153"/>
      <c r="P22" s="137"/>
      <c r="Q22" s="138"/>
      <c r="R22" s="137"/>
      <c r="S22" s="138"/>
      <c r="T22" s="137"/>
      <c r="U22" s="138"/>
      <c r="V22" s="122"/>
      <c r="W22" s="122"/>
    </row>
    <row r="23" spans="1:23" ht="10" customHeight="1">
      <c r="A23" s="122"/>
      <c r="B23" s="137"/>
      <c r="C23" s="138"/>
      <c r="D23" s="137"/>
      <c r="E23" s="138"/>
      <c r="F23" s="139"/>
      <c r="G23" s="140"/>
      <c r="H23" s="137"/>
      <c r="I23" s="138"/>
      <c r="J23" s="137"/>
      <c r="K23" s="138"/>
      <c r="L23" s="152"/>
      <c r="M23" s="182"/>
      <c r="N23" s="164"/>
      <c r="O23" s="153"/>
      <c r="P23" s="137"/>
      <c r="Q23" s="138"/>
      <c r="R23" s="137"/>
      <c r="S23" s="138"/>
      <c r="T23" s="137"/>
      <c r="U23" s="138"/>
      <c r="V23" s="122"/>
      <c r="W23" s="122"/>
    </row>
    <row r="24" spans="1:23" ht="10" customHeight="1" thickBot="1">
      <c r="A24" s="126">
        <v>2</v>
      </c>
      <c r="B24" s="142"/>
      <c r="C24" s="143"/>
      <c r="D24" s="142"/>
      <c r="E24" s="143"/>
      <c r="F24" s="144"/>
      <c r="G24" s="145"/>
      <c r="H24" s="142"/>
      <c r="I24" s="143"/>
      <c r="J24" s="142"/>
      <c r="K24" s="143"/>
      <c r="L24" s="158"/>
      <c r="M24" s="172"/>
      <c r="N24" s="142"/>
      <c r="O24" s="159"/>
      <c r="P24" s="158"/>
      <c r="Q24" s="143"/>
      <c r="R24" s="142"/>
      <c r="S24" s="143"/>
      <c r="T24" s="142"/>
      <c r="U24" s="143"/>
      <c r="V24" s="122"/>
      <c r="W24" s="122"/>
    </row>
    <row r="25" spans="1:23" ht="10" customHeight="1">
      <c r="A25" s="122"/>
      <c r="B25" s="181"/>
      <c r="C25" s="173"/>
      <c r="D25" s="133"/>
      <c r="E25" s="134"/>
      <c r="F25" s="149"/>
      <c r="G25" s="148"/>
      <c r="H25" s="149"/>
      <c r="I25" s="148"/>
      <c r="J25" s="149"/>
      <c r="K25" s="148"/>
      <c r="L25" s="181"/>
      <c r="M25" s="173"/>
      <c r="N25" s="133"/>
      <c r="O25" s="134"/>
      <c r="P25" s="133"/>
      <c r="Q25" s="134"/>
      <c r="R25" s="133"/>
      <c r="S25" s="134"/>
      <c r="T25" s="133"/>
      <c r="U25" s="173"/>
      <c r="V25" s="122"/>
      <c r="W25" s="122"/>
    </row>
    <row r="26" spans="1:23" ht="10" customHeight="1">
      <c r="A26" s="122"/>
      <c r="B26" s="164"/>
      <c r="C26" s="182"/>
      <c r="D26" s="137"/>
      <c r="E26" s="138"/>
      <c r="F26" s="155"/>
      <c r="G26" s="154"/>
      <c r="H26" s="155"/>
      <c r="I26" s="154"/>
      <c r="J26" s="155"/>
      <c r="K26" s="154"/>
      <c r="L26" s="164"/>
      <c r="M26" s="182"/>
      <c r="N26" s="137"/>
      <c r="O26" s="138"/>
      <c r="P26" s="137"/>
      <c r="Q26" s="138"/>
      <c r="R26" s="137"/>
      <c r="S26" s="138"/>
      <c r="T26" s="137"/>
      <c r="U26" s="182"/>
      <c r="V26" s="122"/>
      <c r="W26" s="122"/>
    </row>
    <row r="27" spans="1:23" ht="10" customHeight="1">
      <c r="A27" s="122"/>
      <c r="B27" s="164"/>
      <c r="C27" s="182"/>
      <c r="D27" s="137"/>
      <c r="E27" s="138"/>
      <c r="F27" s="155"/>
      <c r="G27" s="154"/>
      <c r="H27" s="155"/>
      <c r="I27" s="154"/>
      <c r="J27" s="155"/>
      <c r="K27" s="154"/>
      <c r="L27" s="164"/>
      <c r="M27" s="182"/>
      <c r="N27" s="137"/>
      <c r="O27" s="138"/>
      <c r="P27" s="137"/>
      <c r="Q27" s="138"/>
      <c r="R27" s="137"/>
      <c r="S27" s="138"/>
      <c r="T27" s="137"/>
      <c r="U27" s="138"/>
      <c r="V27" s="122"/>
      <c r="W27" s="122"/>
    </row>
    <row r="28" spans="1:23" ht="10" customHeight="1">
      <c r="A28" s="122"/>
      <c r="B28" s="164"/>
      <c r="C28" s="182"/>
      <c r="D28" s="137"/>
      <c r="E28" s="138"/>
      <c r="F28" s="155"/>
      <c r="G28" s="154"/>
      <c r="H28" s="155"/>
      <c r="I28" s="154"/>
      <c r="J28" s="155"/>
      <c r="K28" s="154"/>
      <c r="L28" s="164"/>
      <c r="M28" s="182"/>
      <c r="N28" s="137"/>
      <c r="O28" s="138"/>
      <c r="P28" s="137"/>
      <c r="Q28" s="138"/>
      <c r="R28" s="137"/>
      <c r="S28" s="138"/>
      <c r="T28" s="137"/>
      <c r="U28" s="138"/>
      <c r="V28" s="122"/>
      <c r="W28" s="122"/>
    </row>
    <row r="29" spans="1:23" ht="10" customHeight="1" thickBot="1">
      <c r="A29" s="126">
        <v>3</v>
      </c>
      <c r="B29" s="165"/>
      <c r="C29" s="172"/>
      <c r="D29" s="142"/>
      <c r="E29" s="143"/>
      <c r="F29" s="161"/>
      <c r="G29" s="160"/>
      <c r="H29" s="161"/>
      <c r="I29" s="160"/>
      <c r="J29" s="161"/>
      <c r="K29" s="160"/>
      <c r="L29" s="165"/>
      <c r="M29" s="172"/>
      <c r="N29" s="142"/>
      <c r="O29" s="143"/>
      <c r="P29" s="142"/>
      <c r="Q29" s="143"/>
      <c r="R29" s="142"/>
      <c r="S29" s="143"/>
      <c r="T29" s="142"/>
      <c r="U29" s="143"/>
      <c r="V29" s="122"/>
      <c r="W29" s="122"/>
    </row>
    <row r="30" spans="1:23" ht="10" customHeight="1">
      <c r="A30" s="122"/>
      <c r="B30" s="133"/>
      <c r="C30" s="134"/>
      <c r="D30" s="133"/>
      <c r="E30" s="134"/>
      <c r="F30" s="133"/>
      <c r="G30" s="134"/>
      <c r="H30" s="133"/>
      <c r="I30" s="134"/>
      <c r="J30" s="135"/>
      <c r="K30" s="136"/>
      <c r="L30" s="133"/>
      <c r="M30" s="134"/>
      <c r="N30" s="133"/>
      <c r="O30" s="134"/>
      <c r="P30" s="135"/>
      <c r="Q30" s="136"/>
      <c r="R30" s="133"/>
      <c r="S30" s="134"/>
      <c r="T30" s="133"/>
      <c r="U30" s="134"/>
      <c r="V30" s="122"/>
      <c r="W30" s="122"/>
    </row>
    <row r="31" spans="1:23" ht="10" customHeight="1">
      <c r="A31" s="122"/>
      <c r="B31" s="137"/>
      <c r="C31" s="138"/>
      <c r="D31" s="137"/>
      <c r="E31" s="138"/>
      <c r="F31" s="137"/>
      <c r="G31" s="138"/>
      <c r="H31" s="137"/>
      <c r="I31" s="138"/>
      <c r="J31" s="139"/>
      <c r="K31" s="140"/>
      <c r="L31" s="137"/>
      <c r="M31" s="138"/>
      <c r="N31" s="137"/>
      <c r="O31" s="138"/>
      <c r="P31" s="139"/>
      <c r="Q31" s="140"/>
      <c r="R31" s="137"/>
      <c r="S31" s="138"/>
      <c r="T31" s="137"/>
      <c r="U31" s="138"/>
      <c r="V31" s="122"/>
      <c r="W31" s="122"/>
    </row>
    <row r="32" spans="1:23" ht="10" customHeight="1">
      <c r="A32" s="122"/>
      <c r="B32" s="137"/>
      <c r="C32" s="138"/>
      <c r="D32" s="137"/>
      <c r="E32" s="138"/>
      <c r="F32" s="137"/>
      <c r="G32" s="138"/>
      <c r="H32" s="137"/>
      <c r="I32" s="138"/>
      <c r="J32" s="139"/>
      <c r="K32" s="140"/>
      <c r="L32" s="137"/>
      <c r="M32" s="138"/>
      <c r="N32" s="137"/>
      <c r="O32" s="138"/>
      <c r="P32" s="139"/>
      <c r="Q32" s="140"/>
      <c r="R32" s="137"/>
      <c r="S32" s="138"/>
      <c r="T32" s="137"/>
      <c r="U32" s="138"/>
      <c r="V32" s="122"/>
      <c r="W32" s="122"/>
    </row>
    <row r="33" spans="1:23" ht="10" customHeight="1">
      <c r="A33" s="122"/>
      <c r="B33" s="137"/>
      <c r="C33" s="138"/>
      <c r="D33" s="137"/>
      <c r="E33" s="138"/>
      <c r="F33" s="137"/>
      <c r="G33" s="138"/>
      <c r="H33" s="137"/>
      <c r="I33" s="138"/>
      <c r="J33" s="139"/>
      <c r="K33" s="140"/>
      <c r="L33" s="137"/>
      <c r="M33" s="138"/>
      <c r="N33" s="137"/>
      <c r="O33" s="138"/>
      <c r="P33" s="139"/>
      <c r="Q33" s="140"/>
      <c r="R33" s="137"/>
      <c r="S33" s="138"/>
      <c r="T33" s="137"/>
      <c r="U33" s="138"/>
      <c r="V33" s="122"/>
      <c r="W33" s="122"/>
    </row>
    <row r="34" spans="1:23" ht="10" customHeight="1" thickBot="1">
      <c r="A34" s="126">
        <v>4</v>
      </c>
      <c r="B34" s="142"/>
      <c r="C34" s="143"/>
      <c r="D34" s="142"/>
      <c r="E34" s="143"/>
      <c r="F34" s="142"/>
      <c r="G34" s="143"/>
      <c r="H34" s="142"/>
      <c r="I34" s="143"/>
      <c r="J34" s="144"/>
      <c r="K34" s="145"/>
      <c r="L34" s="142"/>
      <c r="M34" s="143"/>
      <c r="N34" s="142"/>
      <c r="O34" s="143"/>
      <c r="P34" s="144"/>
      <c r="Q34" s="145"/>
      <c r="R34" s="142"/>
      <c r="S34" s="143"/>
      <c r="T34" s="142"/>
      <c r="U34" s="143"/>
      <c r="V34" s="122"/>
      <c r="W34" s="122"/>
    </row>
    <row r="35" spans="1:23" ht="10" customHeight="1">
      <c r="A35" s="122"/>
      <c r="B35" s="133"/>
      <c r="C35" s="134"/>
      <c r="D35" s="135"/>
      <c r="E35" s="136"/>
      <c r="F35" s="133"/>
      <c r="G35" s="134"/>
      <c r="H35" s="146"/>
      <c r="I35" s="147"/>
      <c r="J35" s="133"/>
      <c r="K35" s="134"/>
      <c r="L35" s="133"/>
      <c r="M35" s="136"/>
      <c r="N35" s="135"/>
      <c r="O35" s="148"/>
      <c r="P35" s="149"/>
      <c r="Q35" s="134"/>
      <c r="R35" s="133"/>
      <c r="S35" s="134"/>
      <c r="T35" s="133"/>
      <c r="U35" s="134"/>
      <c r="V35" s="122"/>
      <c r="W35" s="122"/>
    </row>
    <row r="36" spans="1:23" ht="10" customHeight="1">
      <c r="A36" s="122"/>
      <c r="B36" s="137"/>
      <c r="C36" s="138"/>
      <c r="D36" s="139"/>
      <c r="E36" s="140"/>
      <c r="F36" s="137"/>
      <c r="G36" s="138"/>
      <c r="H36" s="152"/>
      <c r="I36" s="153"/>
      <c r="J36" s="137"/>
      <c r="K36" s="138"/>
      <c r="L36" s="137"/>
      <c r="M36" s="140"/>
      <c r="N36" s="139"/>
      <c r="O36" s="154"/>
      <c r="P36" s="155"/>
      <c r="Q36" s="138"/>
      <c r="R36" s="137"/>
      <c r="S36" s="138"/>
      <c r="T36" s="152"/>
      <c r="U36" s="153"/>
      <c r="V36" s="122"/>
      <c r="W36" s="122"/>
    </row>
    <row r="37" spans="1:23" ht="10" customHeight="1">
      <c r="A37" s="122"/>
      <c r="B37" s="137"/>
      <c r="C37" s="138"/>
      <c r="D37" s="139"/>
      <c r="E37" s="140"/>
      <c r="F37" s="137"/>
      <c r="G37" s="138"/>
      <c r="H37" s="152"/>
      <c r="I37" s="153"/>
      <c r="J37" s="137"/>
      <c r="K37" s="138"/>
      <c r="L37" s="137"/>
      <c r="M37" s="140"/>
      <c r="N37" s="139"/>
      <c r="O37" s="154"/>
      <c r="P37" s="155"/>
      <c r="Q37" s="154"/>
      <c r="R37" s="155"/>
      <c r="S37" s="154"/>
      <c r="T37" s="152"/>
      <c r="U37" s="153"/>
      <c r="V37" s="122"/>
      <c r="W37" s="122"/>
    </row>
    <row r="38" spans="1:23" ht="10" customHeight="1">
      <c r="A38" s="122"/>
      <c r="B38" s="137"/>
      <c r="C38" s="138"/>
      <c r="D38" s="139"/>
      <c r="E38" s="140"/>
      <c r="F38" s="137"/>
      <c r="G38" s="138"/>
      <c r="H38" s="152"/>
      <c r="I38" s="153"/>
      <c r="J38" s="137"/>
      <c r="K38" s="138"/>
      <c r="L38" s="137"/>
      <c r="M38" s="140"/>
      <c r="N38" s="139"/>
      <c r="O38" s="154"/>
      <c r="P38" s="155"/>
      <c r="Q38" s="154"/>
      <c r="R38" s="155"/>
      <c r="S38" s="154"/>
      <c r="T38" s="152"/>
      <c r="U38" s="153"/>
      <c r="V38" s="122"/>
      <c r="W38" s="122"/>
    </row>
    <row r="39" spans="1:23" ht="10" customHeight="1" thickBot="1">
      <c r="A39" s="126">
        <v>5</v>
      </c>
      <c r="B39" s="142"/>
      <c r="C39" s="143"/>
      <c r="D39" s="144"/>
      <c r="E39" s="145"/>
      <c r="F39" s="142"/>
      <c r="G39" s="143"/>
      <c r="H39" s="158"/>
      <c r="I39" s="159"/>
      <c r="J39" s="142"/>
      <c r="K39" s="143"/>
      <c r="L39" s="142"/>
      <c r="M39" s="145"/>
      <c r="N39" s="144"/>
      <c r="O39" s="160"/>
      <c r="P39" s="161"/>
      <c r="Q39" s="160"/>
      <c r="R39" s="161"/>
      <c r="S39" s="160"/>
      <c r="T39" s="158"/>
      <c r="U39" s="159"/>
      <c r="V39" s="122"/>
      <c r="W39" s="122"/>
    </row>
    <row r="40" spans="1:23" ht="10" customHeight="1">
      <c r="A40" s="122"/>
      <c r="B40" s="133"/>
      <c r="C40" s="134"/>
      <c r="D40" s="146"/>
      <c r="E40" s="136"/>
      <c r="F40" s="135"/>
      <c r="G40" s="134"/>
      <c r="H40" s="133"/>
      <c r="I40" s="150"/>
      <c r="J40" s="151"/>
      <c r="K40" s="150"/>
      <c r="L40" s="151"/>
      <c r="M40" s="150"/>
      <c r="N40" s="151"/>
      <c r="O40" s="150"/>
      <c r="P40" s="133"/>
      <c r="Q40" s="134"/>
      <c r="R40" s="133"/>
      <c r="S40" s="134"/>
      <c r="T40" s="133"/>
      <c r="U40" s="134"/>
      <c r="V40" s="122"/>
      <c r="W40" s="122"/>
    </row>
    <row r="41" spans="1:23" ht="10" customHeight="1">
      <c r="A41" s="122"/>
      <c r="B41" s="137"/>
      <c r="C41" s="138"/>
      <c r="D41" s="152"/>
      <c r="E41" s="140"/>
      <c r="F41" s="139"/>
      <c r="G41" s="138"/>
      <c r="H41" s="137"/>
      <c r="I41" s="156"/>
      <c r="J41" s="157"/>
      <c r="K41" s="156"/>
      <c r="L41" s="157"/>
      <c r="M41" s="156"/>
      <c r="N41" s="157"/>
      <c r="O41" s="156"/>
      <c r="P41" s="137"/>
      <c r="Q41" s="138"/>
      <c r="R41" s="137"/>
      <c r="S41" s="138"/>
      <c r="T41" s="137"/>
      <c r="U41" s="138"/>
      <c r="V41" s="122"/>
      <c r="W41" s="122"/>
    </row>
    <row r="42" spans="1:23" ht="10" customHeight="1">
      <c r="A42" s="122"/>
      <c r="B42" s="137"/>
      <c r="C42" s="138"/>
      <c r="D42" s="152"/>
      <c r="E42" s="140"/>
      <c r="F42" s="139"/>
      <c r="G42" s="138"/>
      <c r="H42" s="137"/>
      <c r="I42" s="156"/>
      <c r="J42" s="157"/>
      <c r="K42" s="156"/>
      <c r="L42" s="157"/>
      <c r="M42" s="156"/>
      <c r="N42" s="157"/>
      <c r="O42" s="156"/>
      <c r="P42" s="137"/>
      <c r="Q42" s="138"/>
      <c r="R42" s="137"/>
      <c r="S42" s="153"/>
      <c r="T42" s="137"/>
      <c r="U42" s="138"/>
      <c r="V42" s="122"/>
      <c r="W42" s="122"/>
    </row>
    <row r="43" spans="1:23" ht="10" customHeight="1">
      <c r="A43" s="122"/>
      <c r="B43" s="137"/>
      <c r="C43" s="138"/>
      <c r="D43" s="152"/>
      <c r="E43" s="140"/>
      <c r="F43" s="139"/>
      <c r="G43" s="138"/>
      <c r="H43" s="137"/>
      <c r="I43" s="156"/>
      <c r="J43" s="157"/>
      <c r="K43" s="156"/>
      <c r="L43" s="157"/>
      <c r="M43" s="156"/>
      <c r="N43" s="157"/>
      <c r="O43" s="156"/>
      <c r="P43" s="137"/>
      <c r="Q43" s="138"/>
      <c r="R43" s="137"/>
      <c r="S43" s="153"/>
      <c r="T43" s="137"/>
      <c r="U43" s="138"/>
      <c r="V43" s="122"/>
      <c r="W43" s="122"/>
    </row>
    <row r="44" spans="1:23" ht="10" customHeight="1" thickBot="1">
      <c r="A44" s="126">
        <v>6</v>
      </c>
      <c r="B44" s="142"/>
      <c r="C44" s="143"/>
      <c r="D44" s="158"/>
      <c r="E44" s="145"/>
      <c r="F44" s="144"/>
      <c r="G44" s="143"/>
      <c r="H44" s="142"/>
      <c r="I44" s="162"/>
      <c r="J44" s="163"/>
      <c r="K44" s="162"/>
      <c r="L44" s="163"/>
      <c r="M44" s="162"/>
      <c r="N44" s="163"/>
      <c r="O44" s="162"/>
      <c r="P44" s="142"/>
      <c r="Q44" s="143"/>
      <c r="R44" s="142"/>
      <c r="S44" s="159"/>
      <c r="T44" s="158"/>
      <c r="U44" s="143"/>
      <c r="V44" s="122"/>
      <c r="W44" s="122"/>
    </row>
    <row r="45" spans="1:23" ht="10" customHeight="1">
      <c r="A45" s="122"/>
      <c r="B45" s="133"/>
      <c r="C45" s="134"/>
      <c r="D45" s="135"/>
      <c r="E45" s="136"/>
      <c r="F45" s="133"/>
      <c r="G45" s="150"/>
      <c r="H45" s="151"/>
      <c r="I45" s="150"/>
      <c r="J45" s="151"/>
      <c r="K45" s="134"/>
      <c r="L45" s="133"/>
      <c r="M45" s="134"/>
      <c r="N45" s="133"/>
      <c r="O45" s="134"/>
      <c r="P45" s="133"/>
      <c r="Q45" s="136"/>
      <c r="R45" s="133"/>
      <c r="S45" s="136"/>
      <c r="T45" s="133"/>
      <c r="U45" s="134"/>
      <c r="V45" s="122"/>
      <c r="W45" s="122"/>
    </row>
    <row r="46" spans="1:23" ht="10" customHeight="1">
      <c r="A46" s="122"/>
      <c r="B46" s="137"/>
      <c r="C46" s="138"/>
      <c r="D46" s="139"/>
      <c r="E46" s="140"/>
      <c r="F46" s="137"/>
      <c r="G46" s="156"/>
      <c r="H46" s="157"/>
      <c r="I46" s="156"/>
      <c r="J46" s="157"/>
      <c r="K46" s="138"/>
      <c r="L46" s="137"/>
      <c r="M46" s="138"/>
      <c r="N46" s="137"/>
      <c r="O46" s="138"/>
      <c r="P46" s="137"/>
      <c r="Q46" s="140"/>
      <c r="R46" s="137"/>
      <c r="S46" s="140"/>
      <c r="T46" s="137"/>
      <c r="U46" s="138"/>
      <c r="V46" s="122"/>
      <c r="W46" s="122"/>
    </row>
    <row r="47" spans="1:23" ht="10" customHeight="1">
      <c r="A47" s="122"/>
      <c r="B47" s="137"/>
      <c r="C47" s="138"/>
      <c r="D47" s="139"/>
      <c r="E47" s="140"/>
      <c r="F47" s="137"/>
      <c r="G47" s="156"/>
      <c r="H47" s="157"/>
      <c r="I47" s="156"/>
      <c r="J47" s="157"/>
      <c r="K47" s="138"/>
      <c r="L47" s="137"/>
      <c r="M47" s="138"/>
      <c r="N47" s="137"/>
      <c r="O47" s="138"/>
      <c r="P47" s="137"/>
      <c r="Q47" s="140"/>
      <c r="R47" s="137"/>
      <c r="S47" s="140"/>
      <c r="T47" s="137"/>
      <c r="U47" s="138"/>
      <c r="V47" s="122"/>
      <c r="W47" s="122"/>
    </row>
    <row r="48" spans="1:23" ht="10" customHeight="1">
      <c r="A48" s="122"/>
      <c r="B48" s="137"/>
      <c r="C48" s="138"/>
      <c r="D48" s="139"/>
      <c r="E48" s="140"/>
      <c r="F48" s="137"/>
      <c r="G48" s="156"/>
      <c r="H48" s="157"/>
      <c r="I48" s="156"/>
      <c r="J48" s="157"/>
      <c r="K48" s="138"/>
      <c r="L48" s="137"/>
      <c r="M48" s="138"/>
      <c r="N48" s="137"/>
      <c r="O48" s="138"/>
      <c r="P48" s="137"/>
      <c r="Q48" s="140"/>
      <c r="R48" s="137"/>
      <c r="S48" s="140"/>
      <c r="T48" s="137"/>
      <c r="U48" s="138"/>
      <c r="V48" s="122"/>
      <c r="W48" s="122"/>
    </row>
    <row r="49" spans="1:23" ht="10" customHeight="1" thickBot="1">
      <c r="A49" s="126">
        <v>7</v>
      </c>
      <c r="B49" s="142"/>
      <c r="C49" s="143"/>
      <c r="D49" s="144"/>
      <c r="E49" s="145"/>
      <c r="F49" s="142"/>
      <c r="G49" s="162"/>
      <c r="H49" s="163"/>
      <c r="I49" s="162"/>
      <c r="J49" s="163"/>
      <c r="K49" s="143"/>
      <c r="L49" s="142"/>
      <c r="M49" s="143"/>
      <c r="N49" s="142"/>
      <c r="O49" s="143"/>
      <c r="P49" s="142"/>
      <c r="Q49" s="145"/>
      <c r="R49" s="142"/>
      <c r="S49" s="145"/>
      <c r="T49" s="144"/>
      <c r="U49" s="143"/>
      <c r="V49" s="122"/>
      <c r="W49" s="122"/>
    </row>
    <row r="50" spans="1:23" ht="10" customHeight="1">
      <c r="A50" s="122"/>
      <c r="B50" s="133"/>
      <c r="C50" s="134"/>
      <c r="D50" s="135"/>
      <c r="E50" s="136"/>
      <c r="F50" s="133"/>
      <c r="G50" s="173"/>
      <c r="H50" s="181"/>
      <c r="I50" s="173"/>
      <c r="J50" s="181"/>
      <c r="K50" s="173"/>
      <c r="L50" s="181"/>
      <c r="M50" s="150"/>
      <c r="N50" s="151"/>
      <c r="O50" s="150"/>
      <c r="P50" s="133"/>
      <c r="Q50" s="147"/>
      <c r="R50" s="181"/>
      <c r="S50" s="134"/>
      <c r="T50" s="137"/>
      <c r="U50" s="134"/>
      <c r="V50" s="122"/>
      <c r="W50" s="122"/>
    </row>
    <row r="51" spans="1:23" ht="10" customHeight="1">
      <c r="A51" s="122"/>
      <c r="B51" s="137"/>
      <c r="C51" s="138"/>
      <c r="D51" s="139"/>
      <c r="E51" s="140"/>
      <c r="F51" s="137"/>
      <c r="G51" s="182"/>
      <c r="H51" s="164"/>
      <c r="I51" s="182"/>
      <c r="J51" s="164"/>
      <c r="K51" s="182"/>
      <c r="L51" s="164"/>
      <c r="M51" s="156"/>
      <c r="N51" s="157"/>
      <c r="O51" s="156"/>
      <c r="P51" s="137"/>
      <c r="Q51" s="138"/>
      <c r="R51" s="137"/>
      <c r="S51" s="138"/>
      <c r="T51" s="137"/>
      <c r="U51" s="138"/>
      <c r="V51" s="122"/>
      <c r="W51" s="122"/>
    </row>
    <row r="52" spans="1:23" ht="10" customHeight="1">
      <c r="A52" s="122"/>
      <c r="B52" s="137"/>
      <c r="C52" s="138"/>
      <c r="D52" s="139"/>
      <c r="E52" s="140"/>
      <c r="F52" s="137"/>
      <c r="G52" s="182"/>
      <c r="H52" s="164"/>
      <c r="I52" s="182"/>
      <c r="J52" s="164"/>
      <c r="K52" s="182"/>
      <c r="L52" s="164"/>
      <c r="M52" s="156"/>
      <c r="N52" s="157"/>
      <c r="O52" s="156"/>
      <c r="P52" s="137"/>
      <c r="Q52" s="138"/>
      <c r="R52" s="137"/>
      <c r="S52" s="138"/>
      <c r="T52" s="137"/>
      <c r="U52" s="138"/>
      <c r="V52" s="122"/>
      <c r="W52" s="122"/>
    </row>
    <row r="53" spans="1:23" ht="10" customHeight="1">
      <c r="A53" s="122"/>
      <c r="B53" s="137"/>
      <c r="C53" s="138"/>
      <c r="D53" s="139"/>
      <c r="E53" s="140"/>
      <c r="F53" s="137"/>
      <c r="G53" s="182"/>
      <c r="H53" s="164"/>
      <c r="I53" s="182"/>
      <c r="J53" s="164"/>
      <c r="K53" s="182"/>
      <c r="L53" s="164"/>
      <c r="M53" s="156"/>
      <c r="N53" s="157"/>
      <c r="O53" s="156"/>
      <c r="P53" s="137"/>
      <c r="Q53" s="138"/>
      <c r="R53" s="137"/>
      <c r="S53" s="138"/>
      <c r="T53" s="137"/>
      <c r="U53" s="138"/>
      <c r="V53" s="122"/>
      <c r="W53" s="122"/>
    </row>
    <row r="54" spans="1:23" ht="10" customHeight="1" thickBot="1">
      <c r="A54" s="126">
        <v>8</v>
      </c>
      <c r="B54" s="142"/>
      <c r="C54" s="143"/>
      <c r="D54" s="144"/>
      <c r="E54" s="145"/>
      <c r="F54" s="142"/>
      <c r="G54" s="172"/>
      <c r="H54" s="165"/>
      <c r="I54" s="172"/>
      <c r="J54" s="165"/>
      <c r="K54" s="172"/>
      <c r="L54" s="165"/>
      <c r="M54" s="162"/>
      <c r="N54" s="163"/>
      <c r="O54" s="162"/>
      <c r="P54" s="142"/>
      <c r="Q54" s="143"/>
      <c r="R54" s="142"/>
      <c r="S54" s="143"/>
      <c r="T54" s="142"/>
      <c r="U54" s="143"/>
      <c r="V54" s="122"/>
      <c r="W54" s="122"/>
    </row>
    <row r="55" spans="1:23" ht="10" customHeight="1">
      <c r="A55" s="122"/>
      <c r="B55" s="146"/>
      <c r="C55" s="147"/>
      <c r="D55" s="146"/>
      <c r="E55" s="136"/>
      <c r="F55" s="133"/>
      <c r="G55" s="134"/>
      <c r="H55" s="135"/>
      <c r="I55" s="136"/>
      <c r="J55" s="133"/>
      <c r="K55" s="134"/>
      <c r="L55" s="133"/>
      <c r="M55" s="134"/>
      <c r="N55" s="133"/>
      <c r="O55" s="134"/>
      <c r="P55" s="133"/>
      <c r="Q55" s="134"/>
      <c r="R55" s="133"/>
      <c r="S55" s="134"/>
      <c r="T55" s="133"/>
      <c r="U55" s="134"/>
      <c r="V55" s="122"/>
      <c r="W55" s="122"/>
    </row>
    <row r="56" spans="1:23" ht="10" customHeight="1">
      <c r="A56" s="122"/>
      <c r="B56" s="152"/>
      <c r="C56" s="153"/>
      <c r="D56" s="152"/>
      <c r="E56" s="140"/>
      <c r="F56" s="137"/>
      <c r="G56" s="138"/>
      <c r="H56" s="139"/>
      <c r="I56" s="140"/>
      <c r="J56" s="137"/>
      <c r="K56" s="138"/>
      <c r="L56" s="137"/>
      <c r="M56" s="138"/>
      <c r="N56" s="137"/>
      <c r="O56" s="138"/>
      <c r="P56" s="137"/>
      <c r="Q56" s="138"/>
      <c r="R56" s="137"/>
      <c r="S56" s="138"/>
      <c r="T56" s="137"/>
      <c r="U56" s="138"/>
      <c r="V56" s="122"/>
      <c r="W56" s="122"/>
    </row>
    <row r="57" spans="1:23" ht="10" customHeight="1">
      <c r="A57" s="122"/>
      <c r="B57" s="152"/>
      <c r="C57" s="153"/>
      <c r="D57" s="152"/>
      <c r="E57" s="140"/>
      <c r="F57" s="137"/>
      <c r="G57" s="138"/>
      <c r="H57" s="139"/>
      <c r="I57" s="140"/>
      <c r="J57" s="137"/>
      <c r="K57" s="138"/>
      <c r="L57" s="137"/>
      <c r="M57" s="138"/>
      <c r="N57" s="137"/>
      <c r="O57" s="138"/>
      <c r="P57" s="137"/>
      <c r="Q57" s="138"/>
      <c r="R57" s="137"/>
      <c r="S57" s="138"/>
      <c r="T57" s="137"/>
      <c r="U57" s="138"/>
      <c r="V57" s="122"/>
      <c r="W57" s="122"/>
    </row>
    <row r="58" spans="1:23" ht="10" customHeight="1">
      <c r="A58" s="122"/>
      <c r="B58" s="152"/>
      <c r="C58" s="153"/>
      <c r="D58" s="152"/>
      <c r="E58" s="140"/>
      <c r="F58" s="137"/>
      <c r="G58" s="138"/>
      <c r="H58" s="139"/>
      <c r="I58" s="140"/>
      <c r="J58" s="137"/>
      <c r="K58" s="138"/>
      <c r="L58" s="137"/>
      <c r="M58" s="138"/>
      <c r="N58" s="137"/>
      <c r="O58" s="138"/>
      <c r="P58" s="137"/>
      <c r="Q58" s="138"/>
      <c r="R58" s="137"/>
      <c r="S58" s="138"/>
      <c r="T58" s="137"/>
      <c r="U58" s="138"/>
      <c r="V58" s="122"/>
      <c r="W58" s="122"/>
    </row>
    <row r="59" spans="1:23" ht="10" customHeight="1" thickBot="1">
      <c r="A59" s="126">
        <v>9</v>
      </c>
      <c r="B59" s="158"/>
      <c r="C59" s="159"/>
      <c r="D59" s="158"/>
      <c r="E59" s="145"/>
      <c r="F59" s="142"/>
      <c r="G59" s="143"/>
      <c r="H59" s="144"/>
      <c r="I59" s="145"/>
      <c r="J59" s="142"/>
      <c r="K59" s="143"/>
      <c r="L59" s="142"/>
      <c r="M59" s="143"/>
      <c r="N59" s="142"/>
      <c r="O59" s="143"/>
      <c r="P59" s="142"/>
      <c r="Q59" s="143"/>
      <c r="R59" s="142"/>
      <c r="S59" s="143"/>
      <c r="T59" s="142"/>
      <c r="U59" s="143"/>
      <c r="V59" s="122"/>
      <c r="W59" s="122"/>
    </row>
    <row r="60" spans="1:23" ht="10" customHeight="1">
      <c r="A60" s="122"/>
      <c r="B60" s="133"/>
      <c r="C60" s="134"/>
      <c r="D60" s="135"/>
      <c r="E60" s="136"/>
      <c r="F60" s="146"/>
      <c r="G60" s="147"/>
      <c r="H60" s="146"/>
      <c r="I60" s="147"/>
      <c r="J60" s="146"/>
      <c r="K60" s="134"/>
      <c r="L60" s="133"/>
      <c r="M60" s="150"/>
      <c r="N60" s="151"/>
      <c r="O60" s="134"/>
      <c r="P60" s="167"/>
      <c r="Q60" s="166"/>
      <c r="R60" s="167"/>
      <c r="S60" s="166"/>
      <c r="T60" s="133"/>
      <c r="U60" s="134"/>
      <c r="V60" s="122"/>
      <c r="W60" s="122"/>
    </row>
    <row r="61" spans="1:23" ht="10" customHeight="1">
      <c r="A61" s="122"/>
      <c r="B61" s="137"/>
      <c r="C61" s="138"/>
      <c r="D61" s="139"/>
      <c r="E61" s="140"/>
      <c r="F61" s="152"/>
      <c r="G61" s="153"/>
      <c r="H61" s="152"/>
      <c r="I61" s="153"/>
      <c r="J61" s="152"/>
      <c r="K61" s="138"/>
      <c r="L61" s="137"/>
      <c r="M61" s="156"/>
      <c r="N61" s="157"/>
      <c r="O61" s="138"/>
      <c r="P61" s="169"/>
      <c r="Q61" s="168"/>
      <c r="R61" s="169"/>
      <c r="S61" s="168"/>
      <c r="T61" s="137"/>
      <c r="U61" s="138"/>
      <c r="V61" s="122"/>
      <c r="W61" s="122"/>
    </row>
    <row r="62" spans="1:23" ht="10" customHeight="1">
      <c r="A62" s="122"/>
      <c r="B62" s="137"/>
      <c r="C62" s="138"/>
      <c r="D62" s="139"/>
      <c r="E62" s="140"/>
      <c r="F62" s="152"/>
      <c r="G62" s="153"/>
      <c r="H62" s="152"/>
      <c r="I62" s="153"/>
      <c r="J62" s="152"/>
      <c r="K62" s="138"/>
      <c r="L62" s="137"/>
      <c r="M62" s="156"/>
      <c r="N62" s="157"/>
      <c r="O62" s="138"/>
      <c r="P62" s="169"/>
      <c r="Q62" s="168"/>
      <c r="R62" s="169"/>
      <c r="S62" s="168"/>
      <c r="T62" s="169"/>
      <c r="U62" s="168"/>
      <c r="V62" s="122"/>
      <c r="W62" s="122"/>
    </row>
    <row r="63" spans="1:23" ht="10" customHeight="1">
      <c r="A63" s="122"/>
      <c r="B63" s="137"/>
      <c r="C63" s="138"/>
      <c r="D63" s="139"/>
      <c r="E63" s="140"/>
      <c r="F63" s="152"/>
      <c r="G63" s="153"/>
      <c r="H63" s="152"/>
      <c r="I63" s="153"/>
      <c r="J63" s="152"/>
      <c r="K63" s="138"/>
      <c r="L63" s="137"/>
      <c r="M63" s="156"/>
      <c r="N63" s="157"/>
      <c r="O63" s="138"/>
      <c r="P63" s="169"/>
      <c r="Q63" s="168"/>
      <c r="R63" s="169"/>
      <c r="S63" s="168"/>
      <c r="T63" s="169"/>
      <c r="U63" s="168"/>
      <c r="V63" s="122"/>
      <c r="W63" s="122"/>
    </row>
    <row r="64" spans="1:23" ht="10" customHeight="1" thickBot="1">
      <c r="A64" s="126">
        <v>10</v>
      </c>
      <c r="B64" s="142"/>
      <c r="C64" s="143"/>
      <c r="D64" s="144"/>
      <c r="E64" s="145"/>
      <c r="F64" s="158"/>
      <c r="G64" s="159"/>
      <c r="H64" s="158"/>
      <c r="I64" s="159"/>
      <c r="J64" s="158"/>
      <c r="K64" s="143"/>
      <c r="L64" s="142"/>
      <c r="M64" s="162"/>
      <c r="N64" s="163"/>
      <c r="O64" s="143"/>
      <c r="P64" s="171"/>
      <c r="Q64" s="170"/>
      <c r="R64" s="171"/>
      <c r="S64" s="170"/>
      <c r="T64" s="171"/>
      <c r="U64" s="170"/>
      <c r="V64" s="122"/>
      <c r="W64" s="122"/>
    </row>
    <row r="65" spans="1:23" ht="10" customHeight="1">
      <c r="A65" s="122"/>
      <c r="B65" s="167"/>
      <c r="C65" s="166"/>
      <c r="D65" s="167"/>
      <c r="E65" s="166"/>
      <c r="F65" s="167"/>
      <c r="G65" s="166"/>
      <c r="H65" s="167"/>
      <c r="I65" s="166"/>
      <c r="J65" s="167"/>
      <c r="K65" s="166"/>
      <c r="L65" s="133"/>
      <c r="M65" s="134"/>
      <c r="N65" s="133"/>
      <c r="O65" s="134"/>
      <c r="P65" s="133"/>
      <c r="Q65" s="134"/>
      <c r="R65" s="135"/>
      <c r="S65" s="166"/>
      <c r="T65" s="167"/>
      <c r="U65" s="166"/>
      <c r="V65" s="122"/>
      <c r="W65" s="122"/>
    </row>
    <row r="66" spans="1:23" ht="10" customHeight="1">
      <c r="A66" s="122"/>
      <c r="B66" s="169"/>
      <c r="C66" s="168"/>
      <c r="D66" s="169"/>
      <c r="E66" s="168"/>
      <c r="F66" s="169"/>
      <c r="G66" s="168"/>
      <c r="H66" s="169"/>
      <c r="I66" s="168"/>
      <c r="J66" s="169"/>
      <c r="K66" s="168"/>
      <c r="L66" s="137"/>
      <c r="M66" s="138"/>
      <c r="N66" s="137"/>
      <c r="O66" s="138"/>
      <c r="P66" s="137"/>
      <c r="Q66" s="138"/>
      <c r="R66" s="139"/>
      <c r="S66" s="138"/>
      <c r="T66" s="169"/>
      <c r="U66" s="168"/>
      <c r="V66" s="122"/>
      <c r="W66" s="122"/>
    </row>
    <row r="67" spans="1:23" ht="10" customHeight="1">
      <c r="A67" s="122"/>
      <c r="B67" s="169"/>
      <c r="C67" s="168"/>
      <c r="D67" s="169"/>
      <c r="E67" s="168"/>
      <c r="F67" s="169"/>
      <c r="G67" s="168"/>
      <c r="H67" s="169"/>
      <c r="I67" s="168"/>
      <c r="J67" s="169"/>
      <c r="K67" s="168"/>
      <c r="L67" s="137"/>
      <c r="M67" s="138"/>
      <c r="N67" s="137"/>
      <c r="O67" s="138"/>
      <c r="P67" s="137"/>
      <c r="Q67" s="138"/>
      <c r="R67" s="139"/>
      <c r="S67" s="138"/>
      <c r="T67" s="169"/>
      <c r="U67" s="168"/>
      <c r="V67" s="122"/>
      <c r="W67" s="122"/>
    </row>
    <row r="68" spans="1:23" ht="10" customHeight="1">
      <c r="A68" s="122"/>
      <c r="B68" s="169"/>
      <c r="C68" s="168"/>
      <c r="D68" s="169"/>
      <c r="E68" s="168"/>
      <c r="F68" s="169"/>
      <c r="G68" s="168"/>
      <c r="H68" s="169"/>
      <c r="I68" s="168"/>
      <c r="J68" s="169"/>
      <c r="K68" s="168"/>
      <c r="L68" s="137"/>
      <c r="M68" s="138"/>
      <c r="N68" s="137"/>
      <c r="O68" s="138"/>
      <c r="P68" s="137"/>
      <c r="Q68" s="138"/>
      <c r="R68" s="139"/>
      <c r="S68" s="138"/>
      <c r="T68" s="169"/>
      <c r="U68" s="168"/>
      <c r="V68" s="122"/>
      <c r="W68" s="122"/>
    </row>
    <row r="69" spans="1:23" ht="10" customHeight="1" thickBot="1">
      <c r="A69" s="126">
        <v>11</v>
      </c>
      <c r="B69" s="171"/>
      <c r="C69" s="170"/>
      <c r="D69" s="171"/>
      <c r="E69" s="170"/>
      <c r="F69" s="171"/>
      <c r="G69" s="170"/>
      <c r="H69" s="171"/>
      <c r="I69" s="170"/>
      <c r="J69" s="171"/>
      <c r="K69" s="170"/>
      <c r="L69" s="142"/>
      <c r="M69" s="143"/>
      <c r="N69" s="142"/>
      <c r="O69" s="143"/>
      <c r="P69" s="142"/>
      <c r="Q69" s="143"/>
      <c r="R69" s="144"/>
      <c r="S69" s="159"/>
      <c r="T69" s="171"/>
      <c r="U69" s="170"/>
      <c r="V69" s="122"/>
      <c r="W69" s="122"/>
    </row>
    <row r="70" spans="1:23" ht="10" customHeight="1">
      <c r="A70" s="122"/>
      <c r="B70" s="135"/>
      <c r="C70" s="136"/>
      <c r="D70" s="146"/>
      <c r="E70" s="147"/>
      <c r="F70" s="146"/>
      <c r="G70" s="147"/>
      <c r="H70" s="146"/>
      <c r="I70" s="147"/>
      <c r="J70" s="133"/>
      <c r="K70" s="134"/>
      <c r="L70" s="133"/>
      <c r="M70" s="134"/>
      <c r="N70" s="133"/>
      <c r="O70" s="134"/>
      <c r="P70" s="133"/>
      <c r="Q70" s="134"/>
      <c r="R70" s="133"/>
      <c r="S70" s="134"/>
      <c r="T70" s="133"/>
      <c r="U70" s="134"/>
      <c r="V70" s="122"/>
      <c r="W70" s="122"/>
    </row>
    <row r="71" spans="1:23" ht="10" customHeight="1">
      <c r="A71" s="122"/>
      <c r="B71" s="139"/>
      <c r="C71" s="140"/>
      <c r="D71" s="152"/>
      <c r="E71" s="153"/>
      <c r="F71" s="152"/>
      <c r="G71" s="153"/>
      <c r="H71" s="152"/>
      <c r="I71" s="153"/>
      <c r="J71" s="137"/>
      <c r="K71" s="138"/>
      <c r="L71" s="137"/>
      <c r="M71" s="138"/>
      <c r="N71" s="137"/>
      <c r="O71" s="138"/>
      <c r="P71" s="137"/>
      <c r="Q71" s="138"/>
      <c r="R71" s="137"/>
      <c r="S71" s="138"/>
      <c r="T71" s="137"/>
      <c r="U71" s="138"/>
      <c r="V71" s="122"/>
      <c r="W71" s="122"/>
    </row>
    <row r="72" spans="1:23" ht="10" customHeight="1">
      <c r="A72" s="122"/>
      <c r="B72" s="139"/>
      <c r="C72" s="140"/>
      <c r="D72" s="152"/>
      <c r="E72" s="153"/>
      <c r="F72" s="152"/>
      <c r="G72" s="153"/>
      <c r="H72" s="152"/>
      <c r="I72" s="153"/>
      <c r="J72" s="137"/>
      <c r="K72" s="138"/>
      <c r="L72" s="137"/>
      <c r="M72" s="138"/>
      <c r="N72" s="137"/>
      <c r="O72" s="138"/>
      <c r="P72" s="137"/>
      <c r="Q72" s="138"/>
      <c r="R72" s="137"/>
      <c r="S72" s="138"/>
      <c r="T72" s="137"/>
      <c r="U72" s="138"/>
      <c r="V72" s="122"/>
      <c r="W72" s="122"/>
    </row>
    <row r="73" spans="1:23" ht="10" customHeight="1">
      <c r="A73" s="122"/>
      <c r="B73" s="139"/>
      <c r="C73" s="140"/>
      <c r="D73" s="152"/>
      <c r="E73" s="153"/>
      <c r="F73" s="152"/>
      <c r="G73" s="153"/>
      <c r="H73" s="152"/>
      <c r="I73" s="153"/>
      <c r="J73" s="137"/>
      <c r="K73" s="138"/>
      <c r="L73" s="137"/>
      <c r="M73" s="138"/>
      <c r="N73" s="137"/>
      <c r="O73" s="138"/>
      <c r="P73" s="137"/>
      <c r="Q73" s="138"/>
      <c r="R73" s="137"/>
      <c r="S73" s="138"/>
      <c r="T73" s="137"/>
      <c r="U73" s="138"/>
      <c r="V73" s="122"/>
      <c r="W73" s="122"/>
    </row>
    <row r="74" spans="1:23" ht="10" customHeight="1" thickBot="1">
      <c r="A74" s="126">
        <v>12</v>
      </c>
      <c r="B74" s="144"/>
      <c r="C74" s="145"/>
      <c r="D74" s="158"/>
      <c r="E74" s="159"/>
      <c r="F74" s="158"/>
      <c r="G74" s="159"/>
      <c r="H74" s="158"/>
      <c r="I74" s="159"/>
      <c r="J74" s="142"/>
      <c r="K74" s="143"/>
      <c r="L74" s="142"/>
      <c r="M74" s="143"/>
      <c r="N74" s="142"/>
      <c r="O74" s="143"/>
      <c r="P74" s="142"/>
      <c r="Q74" s="143"/>
      <c r="R74" s="142"/>
      <c r="S74" s="143"/>
      <c r="T74" s="142"/>
      <c r="U74" s="143"/>
      <c r="V74" s="122"/>
      <c r="W74" s="122"/>
    </row>
    <row r="75" spans="1:23" ht="10" customHeight="1">
      <c r="A75" s="122"/>
      <c r="B75" s="181"/>
      <c r="C75" s="173"/>
      <c r="D75" s="181"/>
      <c r="E75" s="136"/>
      <c r="F75" s="135"/>
      <c r="G75" s="134"/>
      <c r="H75" s="133"/>
      <c r="I75" s="173"/>
      <c r="J75" s="181"/>
      <c r="K75" s="134"/>
      <c r="L75" s="133"/>
      <c r="M75" s="134"/>
      <c r="N75" s="133"/>
      <c r="O75" s="134"/>
      <c r="P75" s="174"/>
      <c r="Q75" s="175"/>
      <c r="R75" s="181"/>
      <c r="S75" s="173"/>
      <c r="T75" s="133"/>
      <c r="U75" s="134"/>
      <c r="V75" s="122"/>
      <c r="W75" s="122"/>
    </row>
    <row r="76" spans="1:23" ht="10" customHeight="1">
      <c r="A76" s="122"/>
      <c r="B76" s="164"/>
      <c r="C76" s="182"/>
      <c r="D76" s="164"/>
      <c r="E76" s="140"/>
      <c r="F76" s="139"/>
      <c r="G76" s="138"/>
      <c r="H76" s="137"/>
      <c r="I76" s="182"/>
      <c r="J76" s="164"/>
      <c r="K76" s="138"/>
      <c r="L76" s="137"/>
      <c r="M76" s="138"/>
      <c r="N76" s="137"/>
      <c r="O76" s="138"/>
      <c r="P76" s="176"/>
      <c r="Q76" s="177"/>
      <c r="R76" s="164"/>
      <c r="S76" s="182"/>
      <c r="T76" s="137"/>
      <c r="U76" s="138"/>
      <c r="V76" s="122"/>
      <c r="W76" s="122"/>
    </row>
    <row r="77" spans="1:23" ht="10" customHeight="1">
      <c r="A77" s="122"/>
      <c r="B77" s="164"/>
      <c r="C77" s="182"/>
      <c r="D77" s="164"/>
      <c r="E77" s="140"/>
      <c r="F77" s="139"/>
      <c r="G77" s="138"/>
      <c r="H77" s="137"/>
      <c r="I77" s="182"/>
      <c r="J77" s="164"/>
      <c r="K77" s="138"/>
      <c r="L77" s="137"/>
      <c r="M77" s="138"/>
      <c r="N77" s="137"/>
      <c r="O77" s="138"/>
      <c r="P77" s="176"/>
      <c r="Q77" s="138"/>
      <c r="R77" s="137"/>
      <c r="S77" s="182"/>
      <c r="T77" s="137"/>
      <c r="U77" s="138"/>
      <c r="V77" s="122"/>
      <c r="W77" s="122"/>
    </row>
    <row r="78" spans="1:23" ht="10" customHeight="1">
      <c r="A78" s="122"/>
      <c r="B78" s="164"/>
      <c r="C78" s="182"/>
      <c r="D78" s="164"/>
      <c r="E78" s="140"/>
      <c r="F78" s="139"/>
      <c r="G78" s="138"/>
      <c r="H78" s="137"/>
      <c r="I78" s="182"/>
      <c r="J78" s="164"/>
      <c r="K78" s="138"/>
      <c r="L78" s="137"/>
      <c r="M78" s="138"/>
      <c r="N78" s="137"/>
      <c r="O78" s="138"/>
      <c r="P78" s="176"/>
      <c r="Q78" s="138"/>
      <c r="R78" s="137"/>
      <c r="S78" s="182"/>
      <c r="T78" s="137"/>
      <c r="U78" s="138"/>
      <c r="V78" s="122"/>
      <c r="W78" s="122"/>
    </row>
    <row r="79" spans="1:23" ht="10" customHeight="1" thickBot="1">
      <c r="A79" s="126">
        <v>13</v>
      </c>
      <c r="B79" s="165"/>
      <c r="C79" s="172"/>
      <c r="D79" s="165"/>
      <c r="E79" s="145"/>
      <c r="F79" s="144"/>
      <c r="G79" s="143"/>
      <c r="H79" s="142"/>
      <c r="I79" s="172"/>
      <c r="J79" s="165"/>
      <c r="K79" s="143"/>
      <c r="L79" s="142"/>
      <c r="M79" s="143"/>
      <c r="N79" s="142"/>
      <c r="O79" s="143"/>
      <c r="P79" s="179"/>
      <c r="Q79" s="143"/>
      <c r="R79" s="142"/>
      <c r="S79" s="172"/>
      <c r="T79" s="142"/>
      <c r="U79" s="143"/>
      <c r="V79" s="122"/>
      <c r="W79" s="122"/>
    </row>
    <row r="80" spans="1:23" ht="10" customHeight="1">
      <c r="A80" s="122"/>
      <c r="B80" s="174"/>
      <c r="C80" s="175"/>
      <c r="D80" s="174"/>
      <c r="E80" s="175"/>
      <c r="F80" s="174"/>
      <c r="G80" s="175"/>
      <c r="H80" s="174"/>
      <c r="I80" s="175"/>
      <c r="J80" s="174"/>
      <c r="K80" s="175"/>
      <c r="L80" s="174"/>
      <c r="M80" s="175"/>
      <c r="N80" s="174"/>
      <c r="O80" s="175"/>
      <c r="P80" s="174"/>
      <c r="Q80" s="175"/>
      <c r="R80" s="174"/>
      <c r="S80" s="175"/>
      <c r="T80" s="174"/>
      <c r="U80" s="175"/>
      <c r="V80" s="122"/>
      <c r="W80" s="122"/>
    </row>
    <row r="81" spans="1:23" ht="10" customHeight="1">
      <c r="A81" s="122"/>
      <c r="B81" s="176"/>
      <c r="C81" s="177"/>
      <c r="D81" s="176"/>
      <c r="E81" s="177"/>
      <c r="F81" s="176"/>
      <c r="G81" s="177"/>
      <c r="H81" s="176"/>
      <c r="I81" s="177"/>
      <c r="J81" s="176"/>
      <c r="K81" s="177"/>
      <c r="L81" s="176"/>
      <c r="M81" s="177"/>
      <c r="N81" s="176"/>
      <c r="O81" s="177"/>
      <c r="P81" s="176"/>
      <c r="Q81" s="177"/>
      <c r="R81" s="176"/>
      <c r="S81" s="177"/>
      <c r="T81" s="176"/>
      <c r="U81" s="177"/>
      <c r="V81" s="122"/>
      <c r="W81" s="122"/>
    </row>
    <row r="82" spans="1:23" ht="10" customHeight="1">
      <c r="A82" s="122"/>
      <c r="B82" s="176"/>
      <c r="C82" s="177"/>
      <c r="D82" s="176"/>
      <c r="E82" s="177"/>
      <c r="F82" s="176"/>
      <c r="G82" s="177"/>
      <c r="H82" s="176"/>
      <c r="I82" s="177"/>
      <c r="J82" s="176"/>
      <c r="K82" s="177"/>
      <c r="L82" s="176"/>
      <c r="M82" s="177"/>
      <c r="N82" s="176"/>
      <c r="O82" s="177"/>
      <c r="P82" s="176"/>
      <c r="Q82" s="177"/>
      <c r="R82" s="176"/>
      <c r="S82" s="177"/>
      <c r="T82" s="176"/>
      <c r="U82" s="177"/>
      <c r="V82" s="122"/>
      <c r="W82" s="122"/>
    </row>
    <row r="83" spans="1:23" ht="10" customHeight="1">
      <c r="A83" s="122"/>
      <c r="B83" s="176"/>
      <c r="C83" s="177"/>
      <c r="D83" s="176"/>
      <c r="E83" s="177"/>
      <c r="F83" s="176"/>
      <c r="G83" s="177"/>
      <c r="H83" s="176"/>
      <c r="I83" s="177"/>
      <c r="J83" s="176"/>
      <c r="K83" s="177"/>
      <c r="L83" s="176"/>
      <c r="M83" s="177"/>
      <c r="N83" s="176"/>
      <c r="O83" s="177"/>
      <c r="P83" s="176"/>
      <c r="Q83" s="177"/>
      <c r="R83" s="176"/>
      <c r="S83" s="177"/>
      <c r="T83" s="176"/>
      <c r="U83" s="177"/>
      <c r="V83" s="122"/>
      <c r="W83" s="122"/>
    </row>
    <row r="84" spans="1:23" ht="10" customHeight="1" thickBot="1">
      <c r="A84" s="126">
        <v>14</v>
      </c>
      <c r="B84" s="179"/>
      <c r="C84" s="178"/>
      <c r="D84" s="179"/>
      <c r="E84" s="178"/>
      <c r="F84" s="179"/>
      <c r="G84" s="178"/>
      <c r="H84" s="179"/>
      <c r="I84" s="178"/>
      <c r="J84" s="179"/>
      <c r="K84" s="178"/>
      <c r="L84" s="179"/>
      <c r="M84" s="178"/>
      <c r="N84" s="179"/>
      <c r="O84" s="178"/>
      <c r="P84" s="179"/>
      <c r="Q84" s="178"/>
      <c r="R84" s="179"/>
      <c r="S84" s="178"/>
      <c r="T84" s="179"/>
      <c r="U84" s="178"/>
      <c r="V84" s="122"/>
      <c r="W84" s="122"/>
    </row>
    <row r="85" spans="1:23" ht="10" customHeight="1">
      <c r="A85" s="122"/>
      <c r="B85" s="174"/>
      <c r="C85" s="175"/>
      <c r="D85" s="174"/>
      <c r="E85" s="175"/>
      <c r="F85" s="174"/>
      <c r="G85" s="175"/>
      <c r="H85" s="174"/>
      <c r="I85" s="175"/>
      <c r="J85" s="174"/>
      <c r="K85" s="175"/>
      <c r="L85" s="174"/>
      <c r="M85" s="175"/>
      <c r="N85" s="174"/>
      <c r="O85" s="175"/>
      <c r="P85" s="174"/>
      <c r="Q85" s="175"/>
      <c r="R85" s="174"/>
      <c r="S85" s="175"/>
      <c r="T85" s="174"/>
      <c r="U85" s="175"/>
      <c r="V85" s="122"/>
      <c r="W85" s="122"/>
    </row>
    <row r="86" spans="1:23" ht="10" customHeight="1">
      <c r="A86" s="122"/>
      <c r="B86" s="176"/>
      <c r="C86" s="177"/>
      <c r="D86" s="176"/>
      <c r="E86" s="177"/>
      <c r="F86" s="176"/>
      <c r="G86" s="177"/>
      <c r="H86" s="176"/>
      <c r="I86" s="177"/>
      <c r="J86" s="176"/>
      <c r="K86" s="177"/>
      <c r="L86" s="176"/>
      <c r="M86" s="177"/>
      <c r="N86" s="176"/>
      <c r="O86" s="177"/>
      <c r="P86" s="176"/>
      <c r="Q86" s="177"/>
      <c r="R86" s="176"/>
      <c r="S86" s="177"/>
      <c r="T86" s="176"/>
      <c r="U86" s="177"/>
      <c r="V86" s="122"/>
      <c r="W86" s="122"/>
    </row>
    <row r="87" spans="1:23" ht="10" customHeight="1">
      <c r="A87" s="122"/>
      <c r="B87" s="176"/>
      <c r="C87" s="177"/>
      <c r="D87" s="176"/>
      <c r="E87" s="177"/>
      <c r="F87" s="176"/>
      <c r="G87" s="177"/>
      <c r="H87" s="176"/>
      <c r="I87" s="177"/>
      <c r="J87" s="176"/>
      <c r="K87" s="177"/>
      <c r="L87" s="176"/>
      <c r="M87" s="177"/>
      <c r="N87" s="176"/>
      <c r="O87" s="177"/>
      <c r="P87" s="176"/>
      <c r="Q87" s="177"/>
      <c r="R87" s="176"/>
      <c r="S87" s="177"/>
      <c r="T87" s="176"/>
      <c r="U87" s="177"/>
      <c r="V87" s="122"/>
      <c r="W87" s="122"/>
    </row>
    <row r="88" spans="1:23" ht="10" customHeight="1">
      <c r="A88" s="122"/>
      <c r="B88" s="176"/>
      <c r="C88" s="177"/>
      <c r="D88" s="176"/>
      <c r="E88" s="177"/>
      <c r="F88" s="176"/>
      <c r="G88" s="177"/>
      <c r="H88" s="176"/>
      <c r="I88" s="177"/>
      <c r="J88" s="176"/>
      <c r="K88" s="177"/>
      <c r="L88" s="176"/>
      <c r="M88" s="177"/>
      <c r="N88" s="176"/>
      <c r="O88" s="177"/>
      <c r="P88" s="176"/>
      <c r="Q88" s="177"/>
      <c r="R88" s="176"/>
      <c r="S88" s="177"/>
      <c r="T88" s="176"/>
      <c r="U88" s="177"/>
      <c r="V88" s="122"/>
      <c r="W88" s="122"/>
    </row>
    <row r="89" spans="1:23" ht="10" customHeight="1" thickBot="1">
      <c r="A89" s="126">
        <v>15</v>
      </c>
      <c r="B89" s="179"/>
      <c r="C89" s="178"/>
      <c r="D89" s="179"/>
      <c r="E89" s="178"/>
      <c r="F89" s="179"/>
      <c r="G89" s="178"/>
      <c r="H89" s="179"/>
      <c r="I89" s="178"/>
      <c r="J89" s="179"/>
      <c r="K89" s="178"/>
      <c r="L89" s="179"/>
      <c r="M89" s="178"/>
      <c r="N89" s="179"/>
      <c r="O89" s="178"/>
      <c r="P89" s="179"/>
      <c r="Q89" s="178"/>
      <c r="R89" s="179"/>
      <c r="S89" s="178"/>
      <c r="T89" s="179"/>
      <c r="U89" s="178"/>
      <c r="V89" s="122"/>
      <c r="W89" s="122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width="12" hidden="1" customWidth="1"/>
  </cols>
  <sheetData>
    <row r="1" spans="1:34" ht="15.5" customHeight="1">
      <c r="A1" s="60" t="s">
        <v>224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34" ht="38" customHeight="1">
      <c r="A2" s="478" t="s">
        <v>225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AA2">
        <v>46023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34" ht="28" customHeight="1">
      <c r="A3" s="60" t="s">
        <v>226</v>
      </c>
      <c r="B3" s="107">
        <v>46296</v>
      </c>
      <c r="C3" s="456" t="s">
        <v>227</v>
      </c>
      <c r="D3" s="454"/>
      <c r="E3" s="454"/>
      <c r="F3" s="455"/>
      <c r="G3" s="467">
        <f>IF($B$3&lt;DATE(2026,3,1),"원장 없음",SUM($J$72:$J$76))</f>
        <v>2150000</v>
      </c>
      <c r="H3" s="454"/>
      <c r="I3" s="454"/>
      <c r="J3" s="455"/>
      <c r="K3" s="456" t="s">
        <v>228</v>
      </c>
      <c r="L3" s="454"/>
      <c r="M3" s="454"/>
      <c r="N3" s="455"/>
      <c r="O3" s="469">
        <f>IF(ISNUMBER(G3),G3-W40,"")</f>
        <v>339000</v>
      </c>
      <c r="P3" s="454"/>
      <c r="Q3" s="454"/>
      <c r="R3" s="455"/>
      <c r="S3" s="480" t="s">
        <v>229</v>
      </c>
      <c r="T3" s="454"/>
      <c r="U3" s="454"/>
      <c r="V3" s="454"/>
      <c r="W3" s="455"/>
      <c r="AA3">
        <v>46054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34" ht="40" customHeight="1">
      <c r="A4" s="61" t="s">
        <v>230</v>
      </c>
      <c r="B4" s="61" t="s">
        <v>231</v>
      </c>
      <c r="C4" s="61" t="s">
        <v>232</v>
      </c>
      <c r="D4" s="61" t="s">
        <v>233</v>
      </c>
      <c r="E4" s="61" t="s">
        <v>234</v>
      </c>
      <c r="F4" s="61" t="s">
        <v>235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236</v>
      </c>
      <c r="V4" s="61" t="s">
        <v>237</v>
      </c>
      <c r="W4" s="322" t="s">
        <v>238</v>
      </c>
      <c r="AA4">
        <v>46082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34" ht="34" customHeight="1">
      <c r="A5" s="63" t="s">
        <v>15</v>
      </c>
      <c r="B5" s="64" t="s">
        <v>239</v>
      </c>
      <c r="C5" s="65" t="s">
        <v>240</v>
      </c>
      <c r="D5" s="64" t="s">
        <v>241</v>
      </c>
      <c r="E5" s="64" t="s">
        <v>57</v>
      </c>
      <c r="F5" s="64"/>
      <c r="G5" s="66"/>
      <c r="H5" s="66">
        <f>예비비!D20</f>
        <v>0</v>
      </c>
      <c r="I5" s="66">
        <f>예비비!E20</f>
        <v>0</v>
      </c>
      <c r="J5" s="66">
        <f>예비비!F20</f>
        <v>0</v>
      </c>
      <c r="K5" s="66">
        <f>예비비!G20</f>
        <v>0</v>
      </c>
      <c r="L5" s="66">
        <f>예비비!H20</f>
        <v>0</v>
      </c>
      <c r="M5" s="66">
        <f>예비비!I20</f>
        <v>50000</v>
      </c>
      <c r="N5" s="66">
        <f>예비비!J20</f>
        <v>50000</v>
      </c>
      <c r="O5" s="66">
        <f>예비비!K20</f>
        <v>50000</v>
      </c>
      <c r="P5" s="66">
        <f>예비비!L20</f>
        <v>50000</v>
      </c>
      <c r="Q5" s="66">
        <f>예비비!M20</f>
        <v>0</v>
      </c>
      <c r="R5" s="66">
        <f>예비비!N20</f>
        <v>0</v>
      </c>
      <c r="S5" s="66">
        <f>예비비!O20</f>
        <v>0</v>
      </c>
      <c r="T5" s="66"/>
      <c r="U5" s="66">
        <f>SUM(G5:T5)</f>
        <v>200000</v>
      </c>
      <c r="V5" s="66"/>
      <c r="W5" s="66"/>
      <c r="AA5">
        <v>46113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34" ht="46" customHeight="1">
      <c r="A6" s="67" t="s">
        <v>15</v>
      </c>
      <c r="B6" s="68" t="s">
        <v>239</v>
      </c>
      <c r="C6" s="69" t="s">
        <v>242</v>
      </c>
      <c r="D6" s="68" t="s">
        <v>241</v>
      </c>
      <c r="E6" s="68" t="s">
        <v>57</v>
      </c>
      <c r="F6" s="323" t="s">
        <v>243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34" ht="46" customHeight="1">
      <c r="A7" s="71" t="s">
        <v>15</v>
      </c>
      <c r="B7" s="72" t="s">
        <v>239</v>
      </c>
      <c r="C7" s="73" t="s">
        <v>86</v>
      </c>
      <c r="D7" s="72" t="s">
        <v>241</v>
      </c>
      <c r="E7" s="72"/>
      <c r="F7" s="324" t="s">
        <v>2599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34" ht="34" customHeight="1">
      <c r="A8" s="63" t="s">
        <v>15</v>
      </c>
      <c r="B8" s="64" t="s">
        <v>244</v>
      </c>
      <c r="C8" s="65" t="s">
        <v>240</v>
      </c>
      <c r="D8" s="64" t="s">
        <v>245</v>
      </c>
      <c r="E8" s="64" t="s">
        <v>57</v>
      </c>
      <c r="F8" s="64"/>
      <c r="G8" s="66"/>
      <c r="H8" s="66">
        <f>예비비!D21</f>
        <v>0</v>
      </c>
      <c r="I8" s="66">
        <f>예비비!E21</f>
        <v>0</v>
      </c>
      <c r="J8" s="66">
        <f>예비비!F21</f>
        <v>0</v>
      </c>
      <c r="K8" s="66">
        <f>예비비!G21</f>
        <v>0</v>
      </c>
      <c r="L8" s="66">
        <f>예비비!H21</f>
        <v>50000</v>
      </c>
      <c r="M8" s="66">
        <f>예비비!I21</f>
        <v>0</v>
      </c>
      <c r="N8" s="66">
        <f>예비비!J21</f>
        <v>0</v>
      </c>
      <c r="O8" s="66">
        <f>예비비!K21</f>
        <v>0</v>
      </c>
      <c r="P8" s="66">
        <f>예비비!L21</f>
        <v>0</v>
      </c>
      <c r="Q8" s="66">
        <f>예비비!M21</f>
        <v>50000</v>
      </c>
      <c r="R8" s="66">
        <f>예비비!N21</f>
        <v>0</v>
      </c>
      <c r="S8" s="66">
        <f>예비비!O21</f>
        <v>0</v>
      </c>
      <c r="T8" s="66"/>
      <c r="U8" s="66">
        <f>SUM(G8:T8)</f>
        <v>100000</v>
      </c>
      <c r="V8" s="66"/>
      <c r="W8" s="66"/>
      <c r="AA8">
        <v>46204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34" ht="34" customHeight="1">
      <c r="A9" s="67" t="s">
        <v>15</v>
      </c>
      <c r="B9" s="68" t="s">
        <v>244</v>
      </c>
      <c r="C9" s="69" t="s">
        <v>242</v>
      </c>
      <c r="D9" s="68" t="s">
        <v>245</v>
      </c>
      <c r="E9" s="68" t="s">
        <v>57</v>
      </c>
      <c r="F9" s="68" t="s">
        <v>246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34" ht="34" customHeight="1">
      <c r="A10" s="71" t="s">
        <v>15</v>
      </c>
      <c r="B10" s="72" t="s">
        <v>244</v>
      </c>
      <c r="C10" s="73" t="s">
        <v>86</v>
      </c>
      <c r="D10" s="72" t="s">
        <v>245</v>
      </c>
      <c r="E10" s="72"/>
      <c r="F10" s="72" t="s">
        <v>247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34" ht="34" customHeight="1">
      <c r="A11" s="63" t="s">
        <v>15</v>
      </c>
      <c r="B11" s="64" t="s">
        <v>248</v>
      </c>
      <c r="C11" s="65" t="s">
        <v>240</v>
      </c>
      <c r="D11" s="64" t="s">
        <v>249</v>
      </c>
      <c r="E11" s="64" t="s">
        <v>57</v>
      </c>
      <c r="F11" s="64"/>
      <c r="G11" s="66">
        <v>50000</v>
      </c>
      <c r="H11" s="66">
        <f>예비비!D22</f>
        <v>0</v>
      </c>
      <c r="I11" s="66">
        <f>예비비!E22</f>
        <v>0</v>
      </c>
      <c r="J11" s="66">
        <f>예비비!F22</f>
        <v>0</v>
      </c>
      <c r="K11" s="66">
        <f>예비비!G22</f>
        <v>0</v>
      </c>
      <c r="L11" s="66">
        <f>예비비!H22</f>
        <v>0</v>
      </c>
      <c r="M11" s="66">
        <f>예비비!I22</f>
        <v>0</v>
      </c>
      <c r="N11" s="66">
        <f>예비비!J22</f>
        <v>0</v>
      </c>
      <c r="O11" s="66">
        <f>예비비!K22</f>
        <v>0</v>
      </c>
      <c r="P11" s="66">
        <f>예비비!L22</f>
        <v>0</v>
      </c>
      <c r="Q11" s="66">
        <f>예비비!M22</f>
        <v>0</v>
      </c>
      <c r="R11" s="66">
        <f>예비비!N22</f>
        <v>0</v>
      </c>
      <c r="S11" s="66">
        <f>예비비!O22</f>
        <v>0</v>
      </c>
      <c r="T11" s="66"/>
      <c r="U11" s="66">
        <f>SUM(G11:T11)</f>
        <v>50000</v>
      </c>
      <c r="V11" s="66"/>
      <c r="W11" s="66"/>
      <c r="AA11">
        <v>46296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34" ht="34" customHeight="1">
      <c r="A12" s="67" t="s">
        <v>15</v>
      </c>
      <c r="B12" s="68" t="s">
        <v>248</v>
      </c>
      <c r="C12" s="69" t="s">
        <v>242</v>
      </c>
      <c r="D12" s="68" t="s">
        <v>249</v>
      </c>
      <c r="E12" s="68" t="s">
        <v>57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34" ht="34" customHeight="1">
      <c r="A13" s="71" t="s">
        <v>15</v>
      </c>
      <c r="B13" s="72" t="s">
        <v>248</v>
      </c>
      <c r="C13" s="73" t="s">
        <v>86</v>
      </c>
      <c r="D13" s="72" t="s">
        <v>249</v>
      </c>
      <c r="E13" s="72"/>
      <c r="F13" s="72" t="s">
        <v>250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34" ht="34" customHeight="1">
      <c r="A14" s="63" t="s">
        <v>15</v>
      </c>
      <c r="B14" s="64" t="s">
        <v>251</v>
      </c>
      <c r="C14" s="65" t="s">
        <v>240</v>
      </c>
      <c r="D14" s="64" t="s">
        <v>252</v>
      </c>
      <c r="E14" s="64" t="s">
        <v>57</v>
      </c>
      <c r="F14" s="64"/>
      <c r="G14" s="66"/>
      <c r="H14" s="66">
        <f>예비비!D23</f>
        <v>0</v>
      </c>
      <c r="I14" s="66">
        <f>예비비!E23</f>
        <v>0</v>
      </c>
      <c r="J14" s="66">
        <f>예비비!F23</f>
        <v>0</v>
      </c>
      <c r="K14" s="66">
        <f>예비비!G23</f>
        <v>0</v>
      </c>
      <c r="L14" s="66">
        <f>예비비!H23</f>
        <v>0</v>
      </c>
      <c r="M14" s="66">
        <f>예비비!I23</f>
        <v>0</v>
      </c>
      <c r="N14" s="66">
        <f>예비비!J23</f>
        <v>0</v>
      </c>
      <c r="O14" s="66">
        <f>예비비!K23</f>
        <v>50000</v>
      </c>
      <c r="P14" s="66">
        <f>예비비!L23</f>
        <v>0</v>
      </c>
      <c r="Q14" s="66">
        <f>예비비!M23</f>
        <v>0</v>
      </c>
      <c r="R14" s="66">
        <f>예비비!N23</f>
        <v>0</v>
      </c>
      <c r="S14" s="66">
        <f>예비비!O23</f>
        <v>0</v>
      </c>
      <c r="T14" s="66"/>
      <c r="U14" s="66">
        <f>SUM(G14:T14)</f>
        <v>50000</v>
      </c>
      <c r="V14" s="66"/>
      <c r="W14" s="66"/>
    </row>
    <row r="15" spans="1:34" ht="34" customHeight="1">
      <c r="A15" s="67" t="s">
        <v>15</v>
      </c>
      <c r="B15" s="68" t="s">
        <v>251</v>
      </c>
      <c r="C15" s="69" t="s">
        <v>242</v>
      </c>
      <c r="D15" s="68" t="s">
        <v>252</v>
      </c>
      <c r="E15" s="68" t="s">
        <v>57</v>
      </c>
      <c r="F15" s="68" t="s">
        <v>253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34" ht="34" customHeight="1">
      <c r="A16" s="71" t="s">
        <v>15</v>
      </c>
      <c r="B16" s="72" t="s">
        <v>251</v>
      </c>
      <c r="C16" s="73" t="s">
        <v>86</v>
      </c>
      <c r="D16" s="72" t="s">
        <v>252</v>
      </c>
      <c r="E16" s="72"/>
      <c r="F16" s="72" t="s">
        <v>254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13</v>
      </c>
      <c r="B17" s="64" t="s">
        <v>58</v>
      </c>
      <c r="C17" s="65" t="s">
        <v>240</v>
      </c>
      <c r="D17" s="64" t="s">
        <v>255</v>
      </c>
      <c r="E17" s="64" t="s">
        <v>57</v>
      </c>
      <c r="F17" s="64"/>
      <c r="G17" s="66">
        <v>50000</v>
      </c>
      <c r="H17" s="66">
        <f>예비비!D24</f>
        <v>50000</v>
      </c>
      <c r="I17" s="66">
        <f>예비비!E24</f>
        <v>50000</v>
      </c>
      <c r="J17" s="66">
        <f>예비비!F24</f>
        <v>50000</v>
      </c>
      <c r="K17" s="66">
        <f>예비비!G24</f>
        <v>100000</v>
      </c>
      <c r="L17" s="66">
        <f>예비비!H24</f>
        <v>50000</v>
      </c>
      <c r="M17" s="66">
        <f>예비비!I24</f>
        <v>50000</v>
      </c>
      <c r="N17" s="66">
        <f>예비비!J24</f>
        <v>100000</v>
      </c>
      <c r="O17" s="66">
        <f>예비비!K24</f>
        <v>100000</v>
      </c>
      <c r="P17" s="66">
        <f>예비비!L24</f>
        <v>0</v>
      </c>
      <c r="Q17" s="66">
        <f>예비비!M24</f>
        <v>0</v>
      </c>
      <c r="R17" s="66">
        <f>예비비!N24</f>
        <v>0</v>
      </c>
      <c r="S17" s="66">
        <f>예비비!O24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13</v>
      </c>
      <c r="B18" s="68" t="s">
        <v>58</v>
      </c>
      <c r="C18" s="69" t="s">
        <v>242</v>
      </c>
      <c r="D18" s="68" t="s">
        <v>255</v>
      </c>
      <c r="E18" s="68" t="s">
        <v>57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13</v>
      </c>
      <c r="B19" s="72" t="s">
        <v>58</v>
      </c>
      <c r="C19" s="73" t="s">
        <v>86</v>
      </c>
      <c r="D19" s="72" t="s">
        <v>256</v>
      </c>
      <c r="E19" s="72"/>
      <c r="F19" s="324" t="s">
        <v>257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25">
        <f>U18-V19-W32</f>
        <v>0</v>
      </c>
    </row>
    <row r="20" spans="1:23" ht="34" customHeight="1">
      <c r="A20" s="63" t="s">
        <v>14</v>
      </c>
      <c r="B20" s="64" t="s">
        <v>59</v>
      </c>
      <c r="C20" s="65" t="s">
        <v>240</v>
      </c>
      <c r="D20" s="64"/>
      <c r="E20" s="64" t="s">
        <v>57</v>
      </c>
      <c r="F20" s="64"/>
      <c r="G20" s="66">
        <v>1000000</v>
      </c>
      <c r="H20" s="66">
        <f>예비비!D25</f>
        <v>50000</v>
      </c>
      <c r="I20" s="66">
        <f>예비비!E25</f>
        <v>150000</v>
      </c>
      <c r="J20" s="66">
        <f>예비비!F25</f>
        <v>100000</v>
      </c>
      <c r="K20" s="66">
        <f>예비비!G25</f>
        <v>100000</v>
      </c>
      <c r="L20" s="66">
        <f>예비비!H25</f>
        <v>100000</v>
      </c>
      <c r="M20" s="66">
        <f>예비비!I25</f>
        <v>100000</v>
      </c>
      <c r="N20" s="66">
        <f>예비비!J25</f>
        <v>0</v>
      </c>
      <c r="O20" s="66">
        <f>예비비!K25</f>
        <v>0</v>
      </c>
      <c r="P20" s="66">
        <f>예비비!L25</f>
        <v>100000</v>
      </c>
      <c r="Q20" s="66">
        <f>예비비!M25</f>
        <v>100000</v>
      </c>
      <c r="R20" s="66">
        <f>예비비!N25</f>
        <v>100000</v>
      </c>
      <c r="S20" s="66">
        <f>예비비!O25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14</v>
      </c>
      <c r="B21" s="68" t="s">
        <v>59</v>
      </c>
      <c r="C21" s="69" t="s">
        <v>242</v>
      </c>
      <c r="D21" s="68"/>
      <c r="E21" s="68" t="s">
        <v>57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14</v>
      </c>
      <c r="B22" s="72" t="s">
        <v>59</v>
      </c>
      <c r="C22" s="73" t="s">
        <v>86</v>
      </c>
      <c r="D22" s="72" t="s">
        <v>258</v>
      </c>
      <c r="E22" s="72"/>
      <c r="F22" s="72" t="s">
        <v>259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15</v>
      </c>
      <c r="B23" s="64" t="s">
        <v>88</v>
      </c>
      <c r="C23" s="65" t="s">
        <v>240</v>
      </c>
      <c r="D23" s="64"/>
      <c r="E23" s="64" t="s">
        <v>57</v>
      </c>
      <c r="F23" s="64"/>
      <c r="G23" s="66"/>
      <c r="H23" s="66">
        <f>예비비!D26</f>
        <v>0</v>
      </c>
      <c r="I23" s="66">
        <f>예비비!E26</f>
        <v>0</v>
      </c>
      <c r="J23" s="66">
        <f>예비비!F26</f>
        <v>0</v>
      </c>
      <c r="K23" s="66">
        <f>예비비!G26</f>
        <v>0</v>
      </c>
      <c r="L23" s="66">
        <f>예비비!H26</f>
        <v>50000</v>
      </c>
      <c r="M23" s="66">
        <f>예비비!I26</f>
        <v>0</v>
      </c>
      <c r="N23" s="66">
        <f>예비비!J26</f>
        <v>0</v>
      </c>
      <c r="O23" s="66">
        <f>예비비!K26</f>
        <v>0</v>
      </c>
      <c r="P23" s="66">
        <f>예비비!L26</f>
        <v>50000</v>
      </c>
      <c r="Q23" s="66">
        <f>예비비!M26</f>
        <v>0</v>
      </c>
      <c r="R23" s="66">
        <f>예비비!N26</f>
        <v>100000</v>
      </c>
      <c r="S23" s="66">
        <f>예비비!O26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15</v>
      </c>
      <c r="B24" s="68" t="s">
        <v>88</v>
      </c>
      <c r="C24" s="69" t="s">
        <v>242</v>
      </c>
      <c r="D24" s="68"/>
      <c r="E24" s="68" t="s">
        <v>57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15</v>
      </c>
      <c r="B25" s="72" t="s">
        <v>88</v>
      </c>
      <c r="C25" s="73" t="s">
        <v>86</v>
      </c>
      <c r="D25" s="72" t="s">
        <v>260</v>
      </c>
      <c r="E25" s="72"/>
      <c r="F25" s="72" t="s">
        <v>261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16</v>
      </c>
      <c r="B26" s="64" t="s">
        <v>262</v>
      </c>
      <c r="C26" s="65" t="s">
        <v>240</v>
      </c>
      <c r="D26" s="64" t="s">
        <v>263</v>
      </c>
      <c r="E26" s="64" t="s">
        <v>57</v>
      </c>
      <c r="F26" s="64"/>
      <c r="G26" s="66">
        <v>100000</v>
      </c>
      <c r="H26" s="66">
        <f>예비비!D27</f>
        <v>100000</v>
      </c>
      <c r="I26" s="66">
        <f>예비비!E27</f>
        <v>100000</v>
      </c>
      <c r="J26" s="66">
        <f>예비비!F27</f>
        <v>50000</v>
      </c>
      <c r="K26" s="66">
        <f>예비비!G27</f>
        <v>0</v>
      </c>
      <c r="L26" s="66">
        <f>예비비!H27</f>
        <v>0</v>
      </c>
      <c r="M26" s="66">
        <f>예비비!I27</f>
        <v>0</v>
      </c>
      <c r="N26" s="66">
        <f>예비비!J27</f>
        <v>100000</v>
      </c>
      <c r="O26" s="66">
        <f>예비비!K27</f>
        <v>100000</v>
      </c>
      <c r="P26" s="66">
        <f>예비비!L27</f>
        <v>100000</v>
      </c>
      <c r="Q26" s="66">
        <f>예비비!M27</f>
        <v>50000</v>
      </c>
      <c r="R26" s="66">
        <f>예비비!N27</f>
        <v>0</v>
      </c>
      <c r="S26" s="66">
        <f>예비비!O27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16</v>
      </c>
      <c r="B27" s="68" t="s">
        <v>262</v>
      </c>
      <c r="C27" s="69" t="s">
        <v>242</v>
      </c>
      <c r="D27" s="68" t="s">
        <v>263</v>
      </c>
      <c r="E27" s="68" t="s">
        <v>57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16</v>
      </c>
      <c r="B28" s="72" t="s">
        <v>262</v>
      </c>
      <c r="C28" s="73" t="s">
        <v>86</v>
      </c>
      <c r="D28" s="72" t="s">
        <v>264</v>
      </c>
      <c r="E28" s="72"/>
      <c r="F28" s="324" t="s">
        <v>265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17</v>
      </c>
      <c r="B29" s="64" t="s">
        <v>266</v>
      </c>
      <c r="C29" s="65" t="s">
        <v>240</v>
      </c>
      <c r="D29" s="64"/>
      <c r="E29" s="64" t="s">
        <v>267</v>
      </c>
      <c r="F29" s="64"/>
      <c r="G29" s="66">
        <v>100000</v>
      </c>
      <c r="H29" s="66">
        <f>예비비!D28</f>
        <v>100000</v>
      </c>
      <c r="I29" s="66">
        <f>예비비!E28</f>
        <v>0</v>
      </c>
      <c r="J29" s="66">
        <f>예비비!F28</f>
        <v>0</v>
      </c>
      <c r="K29" s="66">
        <f>예비비!G28</f>
        <v>0</v>
      </c>
      <c r="L29" s="66">
        <f>예비비!H28</f>
        <v>0</v>
      </c>
      <c r="M29" s="66">
        <f>예비비!I28</f>
        <v>0</v>
      </c>
      <c r="N29" s="66">
        <f>예비비!J28</f>
        <v>0</v>
      </c>
      <c r="O29" s="66">
        <f>예비비!K28</f>
        <v>0</v>
      </c>
      <c r="P29" s="66">
        <f>예비비!L28</f>
        <v>0</v>
      </c>
      <c r="Q29" s="66">
        <f>예비비!M28</f>
        <v>0</v>
      </c>
      <c r="R29" s="66">
        <f>예비비!N28</f>
        <v>0</v>
      </c>
      <c r="S29" s="66">
        <f>예비비!O28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17</v>
      </c>
      <c r="B30" s="68" t="s">
        <v>266</v>
      </c>
      <c r="C30" s="69" t="s">
        <v>242</v>
      </c>
      <c r="D30" s="68"/>
      <c r="E30" s="68" t="s">
        <v>267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17</v>
      </c>
      <c r="B31" s="72" t="s">
        <v>266</v>
      </c>
      <c r="C31" s="73" t="s">
        <v>86</v>
      </c>
      <c r="D31" s="72" t="s">
        <v>268</v>
      </c>
      <c r="E31" s="72"/>
      <c r="F31" s="72" t="s">
        <v>269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53" t="s">
        <v>270</v>
      </c>
      <c r="B32" s="454"/>
      <c r="C32" s="454"/>
      <c r="D32" s="454"/>
      <c r="E32" s="454"/>
      <c r="F32" s="455"/>
      <c r="G32" s="326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26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26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26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26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26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26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26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26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26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26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26" t="str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  <v/>
      </c>
      <c r="S32" s="326" t="str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  <v/>
      </c>
      <c r="T32" s="326" t="str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  <v/>
      </c>
      <c r="U32" s="471" t="s">
        <v>271</v>
      </c>
      <c r="V32" s="455"/>
      <c r="W32" s="327">
        <f>SUMIF($G$4:$T$4,"&lt;="&amp;EOMONTH($B$3,0),G32:T32)</f>
        <v>300000</v>
      </c>
    </row>
    <row r="33" spans="1:23" ht="34" customHeight="1">
      <c r="A33" s="470" t="s">
        <v>272</v>
      </c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5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79" t="s">
        <v>273</v>
      </c>
      <c r="B35" s="376"/>
      <c r="C35" s="376"/>
      <c r="D35" s="376"/>
      <c r="E35" s="376"/>
      <c r="F35" s="376"/>
      <c r="G35" s="376"/>
      <c r="H35" s="376"/>
      <c r="I35" s="376"/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377"/>
    </row>
    <row r="36" spans="1:23" ht="34" customHeight="1">
      <c r="A36" s="457" t="s">
        <v>274</v>
      </c>
      <c r="B36" s="376"/>
      <c r="C36" s="376"/>
      <c r="D36" s="376"/>
      <c r="E36" s="376"/>
      <c r="F36" s="377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65" t="s">
        <v>275</v>
      </c>
      <c r="B37" s="376"/>
      <c r="C37" s="376"/>
      <c r="D37" s="376"/>
      <c r="E37" s="376"/>
      <c r="F37" s="377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57" t="s">
        <v>276</v>
      </c>
      <c r="B38" s="376"/>
      <c r="C38" s="376"/>
      <c r="D38" s="376"/>
      <c r="E38" s="376"/>
      <c r="F38" s="377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65" t="s">
        <v>277</v>
      </c>
      <c r="B39" s="376"/>
      <c r="C39" s="376"/>
      <c r="D39" s="376"/>
      <c r="E39" s="376"/>
      <c r="F39" s="377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60" t="s">
        <v>86</v>
      </c>
      <c r="B40" s="376"/>
      <c r="C40" s="376"/>
      <c r="D40" s="376"/>
      <c r="E40" s="376"/>
      <c r="F40" s="377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25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72" t="s">
        <v>278</v>
      </c>
      <c r="B43" s="376"/>
      <c r="C43" s="376"/>
      <c r="D43" s="376"/>
      <c r="E43" s="376"/>
      <c r="F43" s="376"/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6"/>
      <c r="R43" s="376"/>
      <c r="S43" s="376"/>
      <c r="T43" s="376"/>
      <c r="U43" s="376"/>
      <c r="V43" s="376"/>
      <c r="W43" s="377"/>
    </row>
    <row r="44" spans="1:23" ht="40" customHeight="1">
      <c r="A44" s="61" t="s">
        <v>279</v>
      </c>
      <c r="B44" s="61" t="s">
        <v>232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236</v>
      </c>
      <c r="V44" s="61" t="s">
        <v>237</v>
      </c>
      <c r="W44" s="322" t="s">
        <v>280</v>
      </c>
    </row>
    <row r="45" spans="1:23" ht="34" customHeight="1">
      <c r="A45" s="63" t="s">
        <v>13</v>
      </c>
      <c r="B45" s="65" t="s">
        <v>240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13</v>
      </c>
      <c r="B46" s="69" t="s">
        <v>242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13</v>
      </c>
      <c r="B47" s="73" t="s">
        <v>86</v>
      </c>
      <c r="C47" s="461" t="s">
        <v>281</v>
      </c>
      <c r="D47" s="454"/>
      <c r="E47" s="454"/>
      <c r="F47" s="455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28">
        <f>IF($B$3&lt;DATE(2026,3,1),"원장 없음",J72)</f>
        <v>0</v>
      </c>
    </row>
    <row r="48" spans="1:23" ht="34" customHeight="1">
      <c r="A48" s="63" t="s">
        <v>14</v>
      </c>
      <c r="B48" s="65" t="s">
        <v>240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14</v>
      </c>
      <c r="B49" s="69" t="s">
        <v>242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14</v>
      </c>
      <c r="B50" s="73" t="s">
        <v>86</v>
      </c>
      <c r="C50" s="461" t="s">
        <v>281</v>
      </c>
      <c r="D50" s="454"/>
      <c r="E50" s="454"/>
      <c r="F50" s="455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28">
        <f>IF($B$3&lt;DATE(2026,3,1),"원장 없음",J73)</f>
        <v>1400000</v>
      </c>
    </row>
    <row r="51" spans="1:23" ht="34" customHeight="1">
      <c r="A51" s="63" t="s">
        <v>15</v>
      </c>
      <c r="B51" s="65" t="s">
        <v>240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15</v>
      </c>
      <c r="B52" s="69" t="s">
        <v>242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15</v>
      </c>
      <c r="B53" s="73" t="s">
        <v>86</v>
      </c>
      <c r="C53" s="461" t="s">
        <v>281</v>
      </c>
      <c r="D53" s="454"/>
      <c r="E53" s="454"/>
      <c r="F53" s="455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28">
        <f>IF($B$3&lt;DATE(2026,3,1),"원장 없음",J74)</f>
        <v>450000</v>
      </c>
    </row>
    <row r="54" spans="1:23" ht="34" customHeight="1">
      <c r="A54" s="63" t="s">
        <v>16</v>
      </c>
      <c r="B54" s="65" t="s">
        <v>240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16</v>
      </c>
      <c r="B55" s="69" t="s">
        <v>242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16</v>
      </c>
      <c r="B56" s="73" t="s">
        <v>86</v>
      </c>
      <c r="C56" s="461" t="s">
        <v>281</v>
      </c>
      <c r="D56" s="454"/>
      <c r="E56" s="454"/>
      <c r="F56" s="455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28">
        <f>IF($B$3&lt;DATE(2026,3,1),"원장 없음",J75)</f>
        <v>300000</v>
      </c>
    </row>
    <row r="57" spans="1:23" ht="34" customHeight="1">
      <c r="A57" s="63" t="s">
        <v>17</v>
      </c>
      <c r="B57" s="65" t="s">
        <v>240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17</v>
      </c>
      <c r="B58" s="69" t="s">
        <v>242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17</v>
      </c>
      <c r="B59" s="73" t="s">
        <v>86</v>
      </c>
      <c r="C59" s="461" t="s">
        <v>281</v>
      </c>
      <c r="D59" s="454"/>
      <c r="E59" s="454"/>
      <c r="F59" s="455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28">
        <f>IF($B$3&lt;DATE(2026,3,1),"원장 없음",J76)</f>
        <v>0</v>
      </c>
    </row>
    <row r="60" spans="1:23" ht="23" customHeight="1">
      <c r="A60" s="461" t="s">
        <v>282</v>
      </c>
      <c r="B60" s="392"/>
      <c r="C60" s="392"/>
      <c r="D60" s="392"/>
      <c r="E60" s="392"/>
      <c r="F60" s="392"/>
      <c r="G60" s="392"/>
      <c r="H60" s="392"/>
      <c r="I60" s="392"/>
      <c r="J60" s="392"/>
      <c r="K60" s="392"/>
      <c r="L60" s="392"/>
      <c r="M60" s="392"/>
      <c r="N60" s="392"/>
      <c r="O60" s="392"/>
      <c r="P60" s="392"/>
      <c r="Q60" s="392"/>
      <c r="R60" s="392"/>
      <c r="S60" s="392"/>
      <c r="T60" s="392"/>
      <c r="U60" s="392"/>
      <c r="V60" s="392"/>
      <c r="W60" s="393"/>
    </row>
    <row r="61" spans="1:23" ht="23" customHeight="1">
      <c r="A61" s="394"/>
      <c r="B61" s="395"/>
      <c r="C61" s="395"/>
      <c r="D61" s="395"/>
      <c r="E61" s="395"/>
      <c r="F61" s="395"/>
      <c r="G61" s="395"/>
      <c r="H61" s="395"/>
      <c r="I61" s="395"/>
      <c r="J61" s="395"/>
      <c r="K61" s="395"/>
      <c r="L61" s="395"/>
      <c r="M61" s="395"/>
      <c r="N61" s="395"/>
      <c r="O61" s="395"/>
      <c r="P61" s="395"/>
      <c r="Q61" s="395"/>
      <c r="R61" s="395"/>
      <c r="S61" s="395"/>
      <c r="T61" s="395"/>
      <c r="U61" s="395"/>
      <c r="V61" s="395"/>
      <c r="W61" s="396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73" ht="24" customHeight="1">
      <c r="A65" s="477" t="s">
        <v>2600</v>
      </c>
      <c r="B65" s="350"/>
      <c r="C65" s="350"/>
      <c r="D65" s="350"/>
      <c r="E65" s="350"/>
      <c r="F65" s="350"/>
      <c r="G65" s="350"/>
      <c r="H65" s="350"/>
      <c r="I65" s="350"/>
      <c r="J65" s="350"/>
      <c r="K65" s="350"/>
      <c r="L65" s="350"/>
      <c r="M65" s="350"/>
      <c r="N65" s="350"/>
      <c r="O65" s="350"/>
      <c r="P65" s="350"/>
      <c r="Q65" s="350"/>
      <c r="R65" s="350"/>
      <c r="S65" s="350"/>
      <c r="T65" s="350"/>
      <c r="U65" s="350"/>
      <c r="V65" s="350"/>
      <c r="W65" s="350"/>
    </row>
    <row r="66" spans="1:73" ht="24" customHeight="1">
      <c r="A66" s="350"/>
      <c r="B66" s="350"/>
      <c r="C66" s="350"/>
      <c r="D66" s="350"/>
      <c r="E66" s="350"/>
      <c r="F66" s="350"/>
      <c r="G66" s="350"/>
      <c r="H66" s="350"/>
      <c r="I66" s="350"/>
      <c r="J66" s="350"/>
      <c r="K66" s="350"/>
      <c r="L66" s="350"/>
      <c r="M66" s="350"/>
      <c r="N66" s="350"/>
      <c r="O66" s="350"/>
      <c r="P66" s="350"/>
      <c r="Q66" s="350"/>
      <c r="R66" s="350"/>
      <c r="S66" s="350"/>
      <c r="T66" s="350"/>
      <c r="U66" s="350"/>
      <c r="V66" s="350"/>
      <c r="W66" s="350"/>
    </row>
    <row r="69" spans="1:73" ht="30" customHeight="1">
      <c r="A69" s="474" t="s">
        <v>283</v>
      </c>
      <c r="B69" s="454"/>
      <c r="C69" s="454"/>
      <c r="D69" s="454"/>
      <c r="E69" s="454"/>
      <c r="F69" s="454"/>
      <c r="G69" s="454"/>
      <c r="H69" s="454"/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5"/>
    </row>
    <row r="70" spans="1:73" ht="36" customHeight="1">
      <c r="A70" s="391" t="s">
        <v>284</v>
      </c>
      <c r="B70" s="454"/>
      <c r="C70" s="454"/>
      <c r="D70" s="454"/>
      <c r="E70" s="454"/>
      <c r="F70" s="454"/>
      <c r="G70" s="454"/>
      <c r="H70" s="454"/>
      <c r="I70" s="454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5"/>
    </row>
    <row r="71" spans="1:73" ht="42" customHeight="1">
      <c r="A71" s="329" t="s">
        <v>279</v>
      </c>
      <c r="B71" s="458" t="s">
        <v>285</v>
      </c>
      <c r="C71" s="455"/>
      <c r="D71" s="458" t="s">
        <v>286</v>
      </c>
      <c r="E71" s="455"/>
      <c r="F71" s="458" t="s">
        <v>287</v>
      </c>
      <c r="G71" s="455"/>
      <c r="H71" s="458" t="s">
        <v>288</v>
      </c>
      <c r="I71" s="455"/>
      <c r="J71" s="458" t="s">
        <v>289</v>
      </c>
      <c r="K71" s="455"/>
      <c r="L71" s="458" t="s">
        <v>290</v>
      </c>
      <c r="M71" s="455"/>
      <c r="N71" s="458" t="s">
        <v>215</v>
      </c>
      <c r="O71" s="454"/>
      <c r="P71" s="454"/>
      <c r="Q71" s="454"/>
      <c r="R71" s="454"/>
      <c r="S71" s="454"/>
      <c r="T71" s="454"/>
      <c r="U71" s="454"/>
      <c r="V71" s="454"/>
      <c r="W71" s="455"/>
    </row>
    <row r="72" spans="1:73" ht="58" customHeight="1">
      <c r="A72" s="321" t="s">
        <v>13</v>
      </c>
      <c r="B72" s="473">
        <f>U46-V47</f>
        <v>300000</v>
      </c>
      <c r="C72" s="455"/>
      <c r="D72" s="459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455"/>
      <c r="F72" s="459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455"/>
      <c r="H72" s="459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455"/>
      <c r="J72" s="467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455"/>
      <c r="L72" s="462" t="b">
        <f>IF(OR($B$3&lt;DATE(2026,3,1),$B$3&gt;MAX(잔액!$A$64:$A$500)),"기준월 확인",J72=INDEX(잔액!$C$22:$L$30,MATCH(A72,잔액!$A$22:$A$30,0),MATCH($B$3,잔액!$C$21:$L$21,0)))</f>
        <v>1</v>
      </c>
      <c r="M72" s="455"/>
      <c r="N72" s="391" t="s">
        <v>291</v>
      </c>
      <c r="O72" s="454"/>
      <c r="P72" s="454"/>
      <c r="Q72" s="454"/>
      <c r="R72" s="454"/>
      <c r="S72" s="454"/>
      <c r="T72" s="454"/>
      <c r="U72" s="454"/>
      <c r="V72" s="454"/>
      <c r="W72" s="455"/>
    </row>
    <row r="73" spans="1:73" ht="58" customHeight="1">
      <c r="A73" s="330" t="s">
        <v>14</v>
      </c>
      <c r="B73" s="476">
        <f>U49-V50</f>
        <v>1400000</v>
      </c>
      <c r="C73" s="455"/>
      <c r="D73" s="464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455"/>
      <c r="F73" s="464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455"/>
      <c r="H73" s="464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455"/>
      <c r="J73" s="467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455"/>
      <c r="L73" s="462" t="b">
        <f>IF(OR($B$3&lt;DATE(2026,3,1),$B$3&gt;MAX(잔액!$A$64:$A$500)),"기준월 확인",J73=INDEX(잔액!$C$22:$L$30,MATCH(A73,잔액!$A$22:$A$30,0),MATCH($B$3,잔액!$C$21:$L$21,0)))</f>
        <v>1</v>
      </c>
      <c r="M73" s="455"/>
      <c r="N73" s="468" t="s">
        <v>292</v>
      </c>
      <c r="O73" s="454"/>
      <c r="P73" s="454"/>
      <c r="Q73" s="454"/>
      <c r="R73" s="454"/>
      <c r="S73" s="454"/>
      <c r="T73" s="454"/>
      <c r="U73" s="454"/>
      <c r="V73" s="454"/>
      <c r="W73" s="455"/>
    </row>
    <row r="74" spans="1:73" ht="58" customHeight="1">
      <c r="A74" s="321" t="s">
        <v>15</v>
      </c>
      <c r="B74" s="473">
        <f>U52-V53</f>
        <v>111000</v>
      </c>
      <c r="C74" s="455"/>
      <c r="D74" s="459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455"/>
      <c r="F74" s="459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455"/>
      <c r="H74" s="459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455"/>
      <c r="J74" s="467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455"/>
      <c r="L74" s="462" t="b">
        <f>IF(OR($B$3&lt;DATE(2026,3,1),$B$3&gt;MAX(잔액!$A$64:$A$500)),"기준월 확인",J74=INDEX(잔액!$C$22:$L$30,MATCH(A74,잔액!$A$22:$A$30,0),MATCH($B$3,잔액!$C$21:$L$21,0)))</f>
        <v>1</v>
      </c>
      <c r="M74" s="455"/>
      <c r="N74" s="391" t="s">
        <v>2601</v>
      </c>
      <c r="O74" s="454"/>
      <c r="P74" s="454"/>
      <c r="Q74" s="454"/>
      <c r="R74" s="454"/>
      <c r="S74" s="454"/>
      <c r="T74" s="454"/>
      <c r="U74" s="454"/>
      <c r="V74" s="454"/>
      <c r="W74" s="455"/>
    </row>
    <row r="75" spans="1:73" ht="58" customHeight="1">
      <c r="A75" s="330" t="s">
        <v>16</v>
      </c>
      <c r="B75" s="476">
        <f>U55-V56</f>
        <v>300000</v>
      </c>
      <c r="C75" s="455"/>
      <c r="D75" s="464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455"/>
      <c r="F75" s="464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455"/>
      <c r="H75" s="464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455"/>
      <c r="J75" s="467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455"/>
      <c r="L75" s="462" t="b">
        <f>IF(OR($B$3&lt;DATE(2026,3,1),$B$3&gt;MAX(잔액!$A$64:$A$500)),"기준월 확인",J75=INDEX(잔액!$C$22:$L$30,MATCH(A75,잔액!$A$22:$A$30,0),MATCH($B$3,잔액!$C$21:$L$21,0)))</f>
        <v>1</v>
      </c>
      <c r="M75" s="455"/>
      <c r="N75" s="468" t="s">
        <v>293</v>
      </c>
      <c r="O75" s="454"/>
      <c r="P75" s="454"/>
      <c r="Q75" s="454"/>
      <c r="R75" s="454"/>
      <c r="S75" s="454"/>
      <c r="T75" s="454"/>
      <c r="U75" s="454"/>
      <c r="V75" s="454"/>
      <c r="W75" s="455"/>
    </row>
    <row r="76" spans="1:73" ht="58" customHeight="1">
      <c r="A76" s="321" t="s">
        <v>17</v>
      </c>
      <c r="B76" s="473">
        <f>U58-V59</f>
        <v>0</v>
      </c>
      <c r="C76" s="455"/>
      <c r="D76" s="459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455"/>
      <c r="F76" s="459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455"/>
      <c r="H76" s="459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455"/>
      <c r="J76" s="467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455"/>
      <c r="L76" s="462" t="b">
        <f>IF(OR($B$3&lt;DATE(2026,3,1),$B$3&gt;MAX(잔액!$A$64:$A$500)),"기준월 확인",J76=INDEX(잔액!$C$22:$L$30,MATCH(A76,잔액!$A$22:$A$30,0),MATCH($B$3,잔액!$C$21:$L$21,0)))</f>
        <v>1</v>
      </c>
      <c r="M76" s="455"/>
      <c r="N76" s="391" t="s">
        <v>294</v>
      </c>
      <c r="O76" s="454"/>
      <c r="P76" s="454"/>
      <c r="Q76" s="454"/>
      <c r="R76" s="454"/>
      <c r="S76" s="454"/>
      <c r="T76" s="454"/>
      <c r="U76" s="454"/>
      <c r="V76" s="454"/>
      <c r="W76" s="455"/>
    </row>
    <row r="77" spans="1:73" ht="30" customHeight="1">
      <c r="A77" s="321" t="s">
        <v>295</v>
      </c>
      <c r="B77" s="467">
        <f>IF($B$3&lt;DATE(2026,3,1),"",SUM(B72:B76))</f>
        <v>2111000</v>
      </c>
      <c r="C77" s="455"/>
      <c r="D77" s="467">
        <f>IF($B$3&lt;DATE(2026,3,1),"",SUM(D72:D76))</f>
        <v>-100000</v>
      </c>
      <c r="E77" s="455"/>
      <c r="F77" s="467">
        <f>IF($B$3&lt;DATE(2026,3,1),"",SUM(F72:F76))</f>
        <v>-187120</v>
      </c>
      <c r="G77" s="455"/>
      <c r="H77" s="467">
        <f>IF($B$3&lt;DATE(2026,3,1),"",SUM(H72:H76))</f>
        <v>326120</v>
      </c>
      <c r="I77" s="455"/>
      <c r="J77" s="467">
        <f>IF($B$3&lt;DATE(2026,3,1),"",SUM(J72:J76))</f>
        <v>2150000</v>
      </c>
      <c r="K77" s="455"/>
      <c r="L77" s="475" t="b">
        <f>AND(L72:L76)</f>
        <v>1</v>
      </c>
      <c r="M77" s="455"/>
      <c r="N77" s="466" t="s">
        <v>296</v>
      </c>
      <c r="O77" s="454"/>
      <c r="P77" s="454"/>
      <c r="Q77" s="454"/>
      <c r="R77" s="454"/>
      <c r="S77" s="454"/>
      <c r="T77" s="454"/>
      <c r="U77" s="454"/>
      <c r="V77" s="454"/>
      <c r="W77" s="455"/>
    </row>
    <row r="78" spans="1:73" ht="23" customHeight="1">
      <c r="A78" s="391" t="s">
        <v>297</v>
      </c>
      <c r="B78" s="392"/>
      <c r="C78" s="392"/>
      <c r="D78" s="392"/>
      <c r="E78" s="392"/>
      <c r="F78" s="392"/>
      <c r="G78" s="392"/>
      <c r="H78" s="392"/>
      <c r="I78" s="392"/>
      <c r="J78" s="392"/>
      <c r="K78" s="392"/>
      <c r="L78" s="392"/>
      <c r="M78" s="392"/>
      <c r="N78" s="392"/>
      <c r="O78" s="392"/>
      <c r="P78" s="392"/>
      <c r="Q78" s="392"/>
      <c r="R78" s="392"/>
      <c r="S78" s="392"/>
      <c r="T78" s="392"/>
      <c r="U78" s="392"/>
      <c r="V78" s="392"/>
      <c r="W78" s="393"/>
    </row>
    <row r="79" spans="1:73" ht="23" customHeight="1">
      <c r="A79" s="394"/>
      <c r="B79" s="395"/>
      <c r="C79" s="395"/>
      <c r="D79" s="395"/>
      <c r="E79" s="395"/>
      <c r="F79" s="395"/>
      <c r="G79" s="395"/>
      <c r="H79" s="395"/>
      <c r="I79" s="395"/>
      <c r="J79" s="395"/>
      <c r="K79" s="395"/>
      <c r="L79" s="395"/>
      <c r="M79" s="395"/>
      <c r="N79" s="395"/>
      <c r="O79" s="395"/>
      <c r="P79" s="395"/>
      <c r="Q79" s="395"/>
      <c r="R79" s="395"/>
      <c r="S79" s="395"/>
      <c r="T79" s="395"/>
      <c r="U79" s="395"/>
      <c r="V79" s="395"/>
      <c r="W79" s="396"/>
    </row>
    <row r="80" spans="1:73">
      <c r="BI80">
        <v>45992</v>
      </c>
      <c r="BJ80">
        <v>46023</v>
      </c>
      <c r="BK80">
        <v>46054</v>
      </c>
      <c r="BL80">
        <v>46082</v>
      </c>
      <c r="BM80">
        <v>46113</v>
      </c>
      <c r="BN80">
        <v>46143</v>
      </c>
      <c r="BO80">
        <v>46174</v>
      </c>
      <c r="BP80">
        <v>46204</v>
      </c>
      <c r="BQ80">
        <v>46235</v>
      </c>
      <c r="BR80">
        <v>46266</v>
      </c>
      <c r="BS80">
        <v>46296</v>
      </c>
      <c r="BT80">
        <v>46327</v>
      </c>
      <c r="BU80">
        <v>46357</v>
      </c>
    </row>
    <row r="81" spans="1:73" ht="30" customHeight="1">
      <c r="A81" s="474" t="s">
        <v>298</v>
      </c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5"/>
      <c r="BH81" t="s">
        <v>13</v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73" ht="34" customHeight="1">
      <c r="A82" s="463" t="s">
        <v>279</v>
      </c>
      <c r="B82" s="454"/>
      <c r="C82" s="454"/>
      <c r="D82" s="454"/>
      <c r="E82" s="454"/>
      <c r="F82" s="455"/>
      <c r="G82" s="331">
        <f t="shared" ref="G82:T82" si="6">G4</f>
        <v>45992</v>
      </c>
      <c r="H82" s="331">
        <f t="shared" si="6"/>
        <v>46023</v>
      </c>
      <c r="I82" s="331">
        <f t="shared" si="6"/>
        <v>46054</v>
      </c>
      <c r="J82" s="331">
        <f t="shared" si="6"/>
        <v>46082</v>
      </c>
      <c r="K82" s="331">
        <f t="shared" si="6"/>
        <v>46113</v>
      </c>
      <c r="L82" s="331">
        <f t="shared" si="6"/>
        <v>46143</v>
      </c>
      <c r="M82" s="331">
        <f t="shared" si="6"/>
        <v>46174</v>
      </c>
      <c r="N82" s="331">
        <f t="shared" si="6"/>
        <v>46204</v>
      </c>
      <c r="O82" s="331">
        <f t="shared" si="6"/>
        <v>46235</v>
      </c>
      <c r="P82" s="331">
        <f t="shared" si="6"/>
        <v>46266</v>
      </c>
      <c r="Q82" s="331">
        <f t="shared" si="6"/>
        <v>46296</v>
      </c>
      <c r="R82" s="331">
        <f t="shared" si="6"/>
        <v>46327</v>
      </c>
      <c r="S82" s="331">
        <f t="shared" si="6"/>
        <v>46357</v>
      </c>
      <c r="T82" s="331">
        <f t="shared" si="6"/>
        <v>46388</v>
      </c>
      <c r="U82" s="458" t="s">
        <v>299</v>
      </c>
      <c r="V82" s="454"/>
      <c r="W82" s="455"/>
      <c r="BH82" t="s">
        <v>14</v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73" ht="28" customHeight="1">
      <c r="A83" s="456" t="s">
        <v>13</v>
      </c>
      <c r="B83" s="454"/>
      <c r="C83" s="454"/>
      <c r="D83" s="454"/>
      <c r="E83" s="454"/>
      <c r="F83" s="455"/>
      <c r="G83" s="320" t="str">
        <f>IF(OR(G$4&lt;DATE(2026,3,1),G$4&gt;$B$3),"",(SUMIFS(잔액!$Y$64:$Y$500,잔액!$D$64:$D$500,$A83,잔액!$A$64:$A$500,"&lt;="&amp;EOMONTH(G$4,0)))-(SUMIFS(잔액!$Y$64:$Y$500,잔액!$C$64:$C$500,$A83,잔액!$A$64:$A$500,"&lt;="&amp;EOMONTH(G$4,0))))</f>
        <v/>
      </c>
      <c r="H83" s="320" t="str">
        <f>IF(OR(H$4&lt;DATE(2026,3,1),H$4&gt;$B$3),"",(SUMIFS(잔액!$Y$64:$Y$500,잔액!$D$64:$D$500,$A83,잔액!$A$64:$A$500,"&lt;="&amp;EOMONTH(H$4,0)))-(SUMIFS(잔액!$Y$64:$Y$500,잔액!$C$64:$C$500,$A83,잔액!$A$64:$A$500,"&lt;="&amp;EOMONTH(H$4,0))))</f>
        <v/>
      </c>
      <c r="I83" s="320" t="str">
        <f>IF(OR(I$4&lt;DATE(2026,3,1),I$4&gt;$B$3),"",(SUMIFS(잔액!$Y$64:$Y$500,잔액!$D$64:$D$500,$A83,잔액!$A$64:$A$500,"&lt;="&amp;EOMONTH(I$4,0)))-(SUMIFS(잔액!$Y$64:$Y$500,잔액!$C$64:$C$500,$A83,잔액!$A$64:$A$500,"&lt;="&amp;EOMONTH(I$4,0))))</f>
        <v/>
      </c>
      <c r="J83" s="320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0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0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0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0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0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0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0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0" t="str">
        <f>IF(OR(R$4&lt;DATE(2026,3,1),R$4&gt;$B$3),"",(SUMIFS(잔액!$Y$64:$Y$500,잔액!$D$64:$D$500,$A83,잔액!$A$64:$A$500,"&lt;="&amp;EOMONTH(R$4,0)))-(SUMIFS(잔액!$Y$64:$Y$500,잔액!$C$64:$C$500,$A83,잔액!$A$64:$A$500,"&lt;="&amp;EOMONTH(R$4,0))))</f>
        <v/>
      </c>
      <c r="S83" s="320" t="str">
        <f>IF(OR(S$4&lt;DATE(2026,3,1),S$4&gt;$B$3),"",(SUMIFS(잔액!$Y$64:$Y$500,잔액!$D$64:$D$500,$A83,잔액!$A$64:$A$500,"&lt;="&amp;EOMONTH(S$4,0)))-(SUMIFS(잔액!$Y$64:$Y$500,잔액!$C$64:$C$500,$A83,잔액!$A$64:$A$500,"&lt;="&amp;EOMONTH(S$4,0))))</f>
        <v/>
      </c>
      <c r="T83" s="320" t="str">
        <f>IF(OR(T$4&lt;DATE(2026,3,1),T$4&gt;$B$3),"",(SUMIFS(잔액!$Y$64:$Y$500,잔액!$D$64:$D$500,$A83,잔액!$A$64:$A$500,"&lt;="&amp;EOMONTH(T$4,0)))-(SUMIFS(잔액!$Y$64:$Y$500,잔액!$C$64:$C$500,$A83,잔액!$A$64:$A$500,"&lt;="&amp;EOMONTH(T$4,0))))</f>
        <v/>
      </c>
      <c r="U83" s="467">
        <f>IF($B$3&lt;DATE(2026,3,1),"원장 없음",J72)</f>
        <v>0</v>
      </c>
      <c r="V83" s="454"/>
      <c r="W83" s="455"/>
      <c r="BH83" t="s">
        <v>15</v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73" ht="28" customHeight="1">
      <c r="A84" s="456" t="s">
        <v>14</v>
      </c>
      <c r="B84" s="454"/>
      <c r="C84" s="454"/>
      <c r="D84" s="454"/>
      <c r="E84" s="454"/>
      <c r="F84" s="455"/>
      <c r="G84" s="320" t="str">
        <f>IF(OR(G$4&lt;DATE(2026,3,1),G$4&gt;$B$3),"",(SUMIFS(잔액!$Y$64:$Y$500,잔액!$D$64:$D$500,$A84,잔액!$A$64:$A$500,"&lt;="&amp;EOMONTH(G$4,0)))-(SUMIFS(잔액!$Y$64:$Y$500,잔액!$C$64:$C$500,$A84,잔액!$A$64:$A$500,"&lt;="&amp;EOMONTH(G$4,0))))</f>
        <v/>
      </c>
      <c r="H84" s="320" t="str">
        <f>IF(OR(H$4&lt;DATE(2026,3,1),H$4&gt;$B$3),"",(SUMIFS(잔액!$Y$64:$Y$500,잔액!$D$64:$D$500,$A84,잔액!$A$64:$A$500,"&lt;="&amp;EOMONTH(H$4,0)))-(SUMIFS(잔액!$Y$64:$Y$500,잔액!$C$64:$C$500,$A84,잔액!$A$64:$A$500,"&lt;="&amp;EOMONTH(H$4,0))))</f>
        <v/>
      </c>
      <c r="I84" s="320" t="str">
        <f>IF(OR(I$4&lt;DATE(2026,3,1),I$4&gt;$B$3),"",(SUMIFS(잔액!$Y$64:$Y$500,잔액!$D$64:$D$500,$A84,잔액!$A$64:$A$500,"&lt;="&amp;EOMONTH(I$4,0)))-(SUMIFS(잔액!$Y$64:$Y$500,잔액!$C$64:$C$500,$A84,잔액!$A$64:$A$500,"&lt;="&amp;EOMONTH(I$4,0))))</f>
        <v/>
      </c>
      <c r="J84" s="320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0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0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0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0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0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0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0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0" t="str">
        <f>IF(OR(R$4&lt;DATE(2026,3,1),R$4&gt;$B$3),"",(SUMIFS(잔액!$Y$64:$Y$500,잔액!$D$64:$D$500,$A84,잔액!$A$64:$A$500,"&lt;="&amp;EOMONTH(R$4,0)))-(SUMIFS(잔액!$Y$64:$Y$500,잔액!$C$64:$C$500,$A84,잔액!$A$64:$A$500,"&lt;="&amp;EOMONTH(R$4,0))))</f>
        <v/>
      </c>
      <c r="S84" s="320" t="str">
        <f>IF(OR(S$4&lt;DATE(2026,3,1),S$4&gt;$B$3),"",(SUMIFS(잔액!$Y$64:$Y$500,잔액!$D$64:$D$500,$A84,잔액!$A$64:$A$500,"&lt;="&amp;EOMONTH(S$4,0)))-(SUMIFS(잔액!$Y$64:$Y$500,잔액!$C$64:$C$500,$A84,잔액!$A$64:$A$500,"&lt;="&amp;EOMONTH(S$4,0))))</f>
        <v/>
      </c>
      <c r="T84" s="320" t="str">
        <f>IF(OR(T$4&lt;DATE(2026,3,1),T$4&gt;$B$3),"",(SUMIFS(잔액!$Y$64:$Y$500,잔액!$D$64:$D$500,$A84,잔액!$A$64:$A$500,"&lt;="&amp;EOMONTH(T$4,0)))-(SUMIFS(잔액!$Y$64:$Y$500,잔액!$C$64:$C$500,$A84,잔액!$A$64:$A$500,"&lt;="&amp;EOMONTH(T$4,0))))</f>
        <v/>
      </c>
      <c r="U84" s="467">
        <f>IF($B$3&lt;DATE(2026,3,1),"원장 없음",J73)</f>
        <v>1400000</v>
      </c>
      <c r="V84" s="454"/>
      <c r="W84" s="455"/>
      <c r="BH84" t="s">
        <v>16</v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73" ht="28" customHeight="1">
      <c r="A85" s="456" t="s">
        <v>15</v>
      </c>
      <c r="B85" s="454"/>
      <c r="C85" s="454"/>
      <c r="D85" s="454"/>
      <c r="E85" s="454"/>
      <c r="F85" s="455"/>
      <c r="G85" s="320" t="str">
        <f>IF(OR(G$4&lt;DATE(2026,3,1),G$4&gt;$B$3),"",(SUMIFS(잔액!$Y$64:$Y$500,잔액!$D$64:$D$500,$A85,잔액!$A$64:$A$500,"&lt;="&amp;EOMONTH(G$4,0)))-(SUMIFS(잔액!$Y$64:$Y$500,잔액!$C$64:$C$500,$A85,잔액!$A$64:$A$500,"&lt;="&amp;EOMONTH(G$4,0))))</f>
        <v/>
      </c>
      <c r="H85" s="320" t="str">
        <f>IF(OR(H$4&lt;DATE(2026,3,1),H$4&gt;$B$3),"",(SUMIFS(잔액!$Y$64:$Y$500,잔액!$D$64:$D$500,$A85,잔액!$A$64:$A$500,"&lt;="&amp;EOMONTH(H$4,0)))-(SUMIFS(잔액!$Y$64:$Y$500,잔액!$C$64:$C$500,$A85,잔액!$A$64:$A$500,"&lt;="&amp;EOMONTH(H$4,0))))</f>
        <v/>
      </c>
      <c r="I85" s="320" t="str">
        <f>IF(OR(I$4&lt;DATE(2026,3,1),I$4&gt;$B$3),"",(SUMIFS(잔액!$Y$64:$Y$500,잔액!$D$64:$D$500,$A85,잔액!$A$64:$A$500,"&lt;="&amp;EOMONTH(I$4,0)))-(SUMIFS(잔액!$Y$64:$Y$500,잔액!$C$64:$C$500,$A85,잔액!$A$64:$A$500,"&lt;="&amp;EOMONTH(I$4,0))))</f>
        <v/>
      </c>
      <c r="J85" s="320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0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0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0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0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0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0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0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0" t="str">
        <f>IF(OR(R$4&lt;DATE(2026,3,1),R$4&gt;$B$3),"",(SUMIFS(잔액!$Y$64:$Y$500,잔액!$D$64:$D$500,$A85,잔액!$A$64:$A$500,"&lt;="&amp;EOMONTH(R$4,0)))-(SUMIFS(잔액!$Y$64:$Y$500,잔액!$C$64:$C$500,$A85,잔액!$A$64:$A$500,"&lt;="&amp;EOMONTH(R$4,0))))</f>
        <v/>
      </c>
      <c r="S85" s="320" t="str">
        <f>IF(OR(S$4&lt;DATE(2026,3,1),S$4&gt;$B$3),"",(SUMIFS(잔액!$Y$64:$Y$500,잔액!$D$64:$D$500,$A85,잔액!$A$64:$A$500,"&lt;="&amp;EOMONTH(S$4,0)))-(SUMIFS(잔액!$Y$64:$Y$500,잔액!$C$64:$C$500,$A85,잔액!$A$64:$A$500,"&lt;="&amp;EOMONTH(S$4,0))))</f>
        <v/>
      </c>
      <c r="T85" s="320" t="str">
        <f>IF(OR(T$4&lt;DATE(2026,3,1),T$4&gt;$B$3),"",(SUMIFS(잔액!$Y$64:$Y$500,잔액!$D$64:$D$500,$A85,잔액!$A$64:$A$500,"&lt;="&amp;EOMONTH(T$4,0)))-(SUMIFS(잔액!$Y$64:$Y$500,잔액!$C$64:$C$500,$A85,잔액!$A$64:$A$500,"&lt;="&amp;EOMONTH(T$4,0))))</f>
        <v/>
      </c>
      <c r="U85" s="467">
        <f>IF($B$3&lt;DATE(2026,3,1),"원장 없음",J74)</f>
        <v>450000</v>
      </c>
      <c r="V85" s="454"/>
      <c r="W85" s="455"/>
      <c r="BH85" t="s">
        <v>17</v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73" ht="28" customHeight="1">
      <c r="A86" s="456" t="s">
        <v>16</v>
      </c>
      <c r="B86" s="454"/>
      <c r="C86" s="454"/>
      <c r="D86" s="454"/>
      <c r="E86" s="454"/>
      <c r="F86" s="455"/>
      <c r="G86" s="320" t="str">
        <f>IF(OR(G$4&lt;DATE(2026,3,1),G$4&gt;$B$3),"",(SUMIFS(잔액!$Y$64:$Y$500,잔액!$D$64:$D$500,$A86,잔액!$A$64:$A$500,"&lt;="&amp;EOMONTH(G$4,0)))-(SUMIFS(잔액!$Y$64:$Y$500,잔액!$C$64:$C$500,$A86,잔액!$A$64:$A$500,"&lt;="&amp;EOMONTH(G$4,0))))</f>
        <v/>
      </c>
      <c r="H86" s="320" t="str">
        <f>IF(OR(H$4&lt;DATE(2026,3,1),H$4&gt;$B$3),"",(SUMIFS(잔액!$Y$64:$Y$500,잔액!$D$64:$D$500,$A86,잔액!$A$64:$A$500,"&lt;="&amp;EOMONTH(H$4,0)))-(SUMIFS(잔액!$Y$64:$Y$500,잔액!$C$64:$C$500,$A86,잔액!$A$64:$A$500,"&lt;="&amp;EOMONTH(H$4,0))))</f>
        <v/>
      </c>
      <c r="I86" s="320" t="str">
        <f>IF(OR(I$4&lt;DATE(2026,3,1),I$4&gt;$B$3),"",(SUMIFS(잔액!$Y$64:$Y$500,잔액!$D$64:$D$500,$A86,잔액!$A$64:$A$500,"&lt;="&amp;EOMONTH(I$4,0)))-(SUMIFS(잔액!$Y$64:$Y$500,잔액!$C$64:$C$500,$A86,잔액!$A$64:$A$500,"&lt;="&amp;EOMONTH(I$4,0))))</f>
        <v/>
      </c>
      <c r="J86" s="320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0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0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0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0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0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0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0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0" t="str">
        <f>IF(OR(R$4&lt;DATE(2026,3,1),R$4&gt;$B$3),"",(SUMIFS(잔액!$Y$64:$Y$500,잔액!$D$64:$D$500,$A86,잔액!$A$64:$A$500,"&lt;="&amp;EOMONTH(R$4,0)))-(SUMIFS(잔액!$Y$64:$Y$500,잔액!$C$64:$C$500,$A86,잔액!$A$64:$A$500,"&lt;="&amp;EOMONTH(R$4,0))))</f>
        <v/>
      </c>
      <c r="S86" s="320" t="str">
        <f>IF(OR(S$4&lt;DATE(2026,3,1),S$4&gt;$B$3),"",(SUMIFS(잔액!$Y$64:$Y$500,잔액!$D$64:$D$500,$A86,잔액!$A$64:$A$500,"&lt;="&amp;EOMONTH(S$4,0)))-(SUMIFS(잔액!$Y$64:$Y$500,잔액!$C$64:$C$500,$A86,잔액!$A$64:$A$500,"&lt;="&amp;EOMONTH(S$4,0))))</f>
        <v/>
      </c>
      <c r="T86" s="320" t="str">
        <f>IF(OR(T$4&lt;DATE(2026,3,1),T$4&gt;$B$3),"",(SUMIFS(잔액!$Y$64:$Y$500,잔액!$D$64:$D$500,$A86,잔액!$A$64:$A$500,"&lt;="&amp;EOMONTH(T$4,0)))-(SUMIFS(잔액!$Y$64:$Y$500,잔액!$C$64:$C$500,$A86,잔액!$A$64:$A$500,"&lt;="&amp;EOMONTH(T$4,0))))</f>
        <v/>
      </c>
      <c r="U86" s="467">
        <f>IF($B$3&lt;DATE(2026,3,1),"원장 없음",J75)</f>
        <v>300000</v>
      </c>
      <c r="V86" s="454"/>
      <c r="W86" s="455"/>
      <c r="BH86" t="s">
        <v>18</v>
      </c>
      <c r="BI86">
        <f t="shared" ref="BI86:BU86" si="7">SUM(BI81:BI85)</f>
        <v>0</v>
      </c>
      <c r="BJ86">
        <f t="shared" si="7"/>
        <v>50000</v>
      </c>
      <c r="BK86">
        <f t="shared" si="7"/>
        <v>350000</v>
      </c>
      <c r="BL86">
        <f t="shared" si="7"/>
        <v>0</v>
      </c>
      <c r="BM86">
        <f t="shared" si="7"/>
        <v>0</v>
      </c>
      <c r="BN86">
        <f t="shared" si="7"/>
        <v>0</v>
      </c>
      <c r="BO86">
        <f t="shared" si="7"/>
        <v>0</v>
      </c>
      <c r="BP86">
        <f t="shared" si="7"/>
        <v>0</v>
      </c>
      <c r="BQ86">
        <f t="shared" si="7"/>
        <v>0</v>
      </c>
      <c r="BR86">
        <f t="shared" si="7"/>
        <v>0</v>
      </c>
      <c r="BS86">
        <f t="shared" si="7"/>
        <v>0</v>
      </c>
      <c r="BT86">
        <f t="shared" si="7"/>
        <v>0</v>
      </c>
      <c r="BU86">
        <f t="shared" si="7"/>
        <v>0</v>
      </c>
    </row>
    <row r="87" spans="1:73" ht="28" customHeight="1">
      <c r="A87" s="456" t="s">
        <v>17</v>
      </c>
      <c r="B87" s="454"/>
      <c r="C87" s="454"/>
      <c r="D87" s="454"/>
      <c r="E87" s="454"/>
      <c r="F87" s="455"/>
      <c r="G87" s="320" t="str">
        <f>IF(OR(G$4&lt;DATE(2026,3,1),G$4&gt;$B$3),"",(SUMIFS(잔액!$Y$64:$Y$500,잔액!$D$64:$D$500,$A87,잔액!$A$64:$A$500,"&lt;="&amp;EOMONTH(G$4,0)))-(SUMIFS(잔액!$Y$64:$Y$500,잔액!$C$64:$C$500,$A87,잔액!$A$64:$A$500,"&lt;="&amp;EOMONTH(G$4,0))))</f>
        <v/>
      </c>
      <c r="H87" s="320" t="str">
        <f>IF(OR(H$4&lt;DATE(2026,3,1),H$4&gt;$B$3),"",(SUMIFS(잔액!$Y$64:$Y$500,잔액!$D$64:$D$500,$A87,잔액!$A$64:$A$500,"&lt;="&amp;EOMONTH(H$4,0)))-(SUMIFS(잔액!$Y$64:$Y$500,잔액!$C$64:$C$500,$A87,잔액!$A$64:$A$500,"&lt;="&amp;EOMONTH(H$4,0))))</f>
        <v/>
      </c>
      <c r="I87" s="320" t="str">
        <f>IF(OR(I$4&lt;DATE(2026,3,1),I$4&gt;$B$3),"",(SUMIFS(잔액!$Y$64:$Y$500,잔액!$D$64:$D$500,$A87,잔액!$A$64:$A$500,"&lt;="&amp;EOMONTH(I$4,0)))-(SUMIFS(잔액!$Y$64:$Y$500,잔액!$C$64:$C$500,$A87,잔액!$A$64:$A$500,"&lt;="&amp;EOMONTH(I$4,0))))</f>
        <v/>
      </c>
      <c r="J87" s="320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0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0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0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0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0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0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0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0" t="str">
        <f>IF(OR(R$4&lt;DATE(2026,3,1),R$4&gt;$B$3),"",(SUMIFS(잔액!$Y$64:$Y$500,잔액!$D$64:$D$500,$A87,잔액!$A$64:$A$500,"&lt;="&amp;EOMONTH(R$4,0)))-(SUMIFS(잔액!$Y$64:$Y$500,잔액!$C$64:$C$500,$A87,잔액!$A$64:$A$500,"&lt;="&amp;EOMONTH(R$4,0))))</f>
        <v/>
      </c>
      <c r="S87" s="320" t="str">
        <f>IF(OR(S$4&lt;DATE(2026,3,1),S$4&gt;$B$3),"",(SUMIFS(잔액!$Y$64:$Y$500,잔액!$D$64:$D$500,$A87,잔액!$A$64:$A$500,"&lt;="&amp;EOMONTH(S$4,0)))-(SUMIFS(잔액!$Y$64:$Y$500,잔액!$C$64:$C$500,$A87,잔액!$A$64:$A$500,"&lt;="&amp;EOMONTH(S$4,0))))</f>
        <v/>
      </c>
      <c r="T87" s="320" t="str">
        <f>IF(OR(T$4&lt;DATE(2026,3,1),T$4&gt;$B$3),"",(SUMIFS(잔액!$Y$64:$Y$500,잔액!$D$64:$D$500,$A87,잔액!$A$64:$A$500,"&lt;="&amp;EOMONTH(T$4,0)))-(SUMIFS(잔액!$Y$64:$Y$500,잔액!$C$64:$C$500,$A87,잔액!$A$64:$A$500,"&lt;="&amp;EOMONTH(T$4,0))))</f>
        <v/>
      </c>
      <c r="U87" s="467">
        <f>IF($B$3&lt;DATE(2026,3,1),"원장 없음",J76)</f>
        <v>0</v>
      </c>
      <c r="V87" s="454"/>
      <c r="W87" s="455"/>
    </row>
    <row r="88" spans="1:73" ht="23" customHeight="1">
      <c r="A88" s="391" t="s">
        <v>300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3"/>
    </row>
    <row r="89" spans="1:73" ht="23" customHeight="1">
      <c r="A89" s="394"/>
      <c r="B89" s="395"/>
      <c r="C89" s="395"/>
      <c r="D89" s="395"/>
      <c r="E89" s="395"/>
      <c r="F89" s="395"/>
      <c r="G89" s="395"/>
      <c r="H89" s="395"/>
      <c r="I89" s="395"/>
      <c r="J89" s="395"/>
      <c r="K89" s="395"/>
      <c r="L89" s="395"/>
      <c r="M89" s="395"/>
      <c r="N89" s="395"/>
      <c r="O89" s="395"/>
      <c r="P89" s="395"/>
      <c r="Q89" s="395"/>
      <c r="R89" s="395"/>
      <c r="S89" s="395"/>
      <c r="T89" s="395"/>
      <c r="U89" s="395"/>
      <c r="V89" s="395"/>
      <c r="W89" s="396"/>
    </row>
    <row r="92" spans="1:73" ht="30" customHeight="1">
      <c r="A92" s="474" t="s">
        <v>301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5"/>
    </row>
    <row r="93" spans="1:73" ht="42" customHeight="1">
      <c r="A93" s="463" t="s">
        <v>302</v>
      </c>
      <c r="B93" s="454"/>
      <c r="C93" s="454"/>
      <c r="D93" s="454"/>
      <c r="E93" s="454"/>
      <c r="F93" s="455"/>
      <c r="G93" s="331">
        <f t="shared" ref="G93:T93" si="8">G4</f>
        <v>45992</v>
      </c>
      <c r="H93" s="331">
        <f t="shared" si="8"/>
        <v>46023</v>
      </c>
      <c r="I93" s="331">
        <f t="shared" si="8"/>
        <v>46054</v>
      </c>
      <c r="J93" s="331">
        <f t="shared" si="8"/>
        <v>46082</v>
      </c>
      <c r="K93" s="331">
        <f t="shared" si="8"/>
        <v>46113</v>
      </c>
      <c r="L93" s="331">
        <f t="shared" si="8"/>
        <v>46143</v>
      </c>
      <c r="M93" s="331">
        <f t="shared" si="8"/>
        <v>46174</v>
      </c>
      <c r="N93" s="331">
        <f t="shared" si="8"/>
        <v>46204</v>
      </c>
      <c r="O93" s="331">
        <f t="shared" si="8"/>
        <v>46235</v>
      </c>
      <c r="P93" s="331">
        <f t="shared" si="8"/>
        <v>46266</v>
      </c>
      <c r="Q93" s="331">
        <f t="shared" si="8"/>
        <v>46296</v>
      </c>
      <c r="R93" s="331">
        <f t="shared" si="8"/>
        <v>46327</v>
      </c>
      <c r="S93" s="331">
        <f t="shared" si="8"/>
        <v>46357</v>
      </c>
      <c r="T93" s="331">
        <f t="shared" si="8"/>
        <v>46388</v>
      </c>
      <c r="U93" s="458" t="s">
        <v>303</v>
      </c>
      <c r="V93" s="454"/>
      <c r="W93" s="455"/>
    </row>
    <row r="94" spans="1:73" ht="28" customHeight="1">
      <c r="A94" s="456" t="s">
        <v>13</v>
      </c>
      <c r="B94" s="454"/>
      <c r="C94" s="454"/>
      <c r="D94" s="454"/>
      <c r="E94" s="454"/>
      <c r="F94" s="455"/>
      <c r="G94" s="332" t="str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  <v/>
      </c>
      <c r="H94" s="332" t="str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  <v/>
      </c>
      <c r="I94" s="332" t="str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  <v/>
      </c>
      <c r="J94" s="332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2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2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2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2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2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2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2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2" t="str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  <v/>
      </c>
      <c r="S94" s="332" t="str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  <v/>
      </c>
      <c r="T94" s="332" t="str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  <v/>
      </c>
      <c r="U94" s="469">
        <f>SUM(G94:T94)</f>
        <v>0</v>
      </c>
      <c r="V94" s="454"/>
      <c r="W94" s="455"/>
    </row>
    <row r="95" spans="1:73" ht="28" customHeight="1">
      <c r="A95" s="456" t="s">
        <v>14</v>
      </c>
      <c r="B95" s="454"/>
      <c r="C95" s="454"/>
      <c r="D95" s="454"/>
      <c r="E95" s="454"/>
      <c r="F95" s="455"/>
      <c r="G95" s="332" t="str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  <v/>
      </c>
      <c r="H95" s="332" t="str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  <v/>
      </c>
      <c r="I95" s="332" t="str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  <v/>
      </c>
      <c r="J95" s="332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2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2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2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2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2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2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2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2" t="str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  <v/>
      </c>
      <c r="S95" s="332" t="str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  <v/>
      </c>
      <c r="T95" s="332" t="str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  <v/>
      </c>
      <c r="U95" s="469">
        <f>SUM(G95:T95)</f>
        <v>0</v>
      </c>
      <c r="V95" s="454"/>
      <c r="W95" s="455"/>
    </row>
    <row r="96" spans="1:73" ht="28" customHeight="1">
      <c r="A96" s="456" t="s">
        <v>15</v>
      </c>
      <c r="B96" s="454"/>
      <c r="C96" s="454"/>
      <c r="D96" s="454"/>
      <c r="E96" s="454"/>
      <c r="F96" s="455"/>
      <c r="G96" s="332" t="str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  <v/>
      </c>
      <c r="H96" s="332" t="str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  <v/>
      </c>
      <c r="I96" s="332" t="str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  <v/>
      </c>
      <c r="J96" s="332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2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2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2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2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2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2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2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2" t="str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  <v/>
      </c>
      <c r="S96" s="332" t="str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  <v/>
      </c>
      <c r="T96" s="332" t="str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  <v/>
      </c>
      <c r="U96" s="469">
        <f>SUM(G96:T96)</f>
        <v>-100000</v>
      </c>
      <c r="V96" s="454"/>
      <c r="W96" s="455"/>
    </row>
    <row r="97" spans="1:73" ht="28" customHeight="1">
      <c r="A97" s="456" t="s">
        <v>16</v>
      </c>
      <c r="B97" s="454"/>
      <c r="C97" s="454"/>
      <c r="D97" s="454"/>
      <c r="E97" s="454"/>
      <c r="F97" s="455"/>
      <c r="G97" s="332" t="str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  <v/>
      </c>
      <c r="H97" s="332" t="str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  <v/>
      </c>
      <c r="I97" s="332" t="str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  <v/>
      </c>
      <c r="J97" s="332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2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2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2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2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2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2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2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2" t="str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  <v/>
      </c>
      <c r="S97" s="332" t="str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  <v/>
      </c>
      <c r="T97" s="332" t="str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  <v/>
      </c>
      <c r="U97" s="469">
        <f>SUM(G97:T97)</f>
        <v>0</v>
      </c>
      <c r="V97" s="454"/>
      <c r="W97" s="455"/>
    </row>
    <row r="98" spans="1:73" ht="28" customHeight="1">
      <c r="A98" s="456" t="s">
        <v>17</v>
      </c>
      <c r="B98" s="454"/>
      <c r="C98" s="454"/>
      <c r="D98" s="454"/>
      <c r="E98" s="454"/>
      <c r="F98" s="455"/>
      <c r="G98" s="332" t="str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  <v/>
      </c>
      <c r="H98" s="332" t="str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  <v/>
      </c>
      <c r="I98" s="332" t="str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  <v/>
      </c>
      <c r="J98" s="332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2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2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2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2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2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2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2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2" t="str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  <v/>
      </c>
      <c r="S98" s="332" t="str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  <v/>
      </c>
      <c r="T98" s="332" t="str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  <v/>
      </c>
      <c r="U98" s="469">
        <f>SUM(G98:T98)</f>
        <v>0</v>
      </c>
      <c r="V98" s="454"/>
      <c r="W98" s="455"/>
    </row>
    <row r="99" spans="1:73">
      <c r="BI99">
        <v>45992</v>
      </c>
      <c r="BJ99">
        <v>46023</v>
      </c>
      <c r="BK99">
        <v>46054</v>
      </c>
      <c r="BL99">
        <v>46082</v>
      </c>
      <c r="BM99">
        <v>46113</v>
      </c>
      <c r="BN99">
        <v>46143</v>
      </c>
      <c r="BO99">
        <v>46174</v>
      </c>
      <c r="BP99">
        <v>46204</v>
      </c>
      <c r="BQ99">
        <v>46235</v>
      </c>
      <c r="BR99">
        <v>46266</v>
      </c>
      <c r="BS99">
        <v>46296</v>
      </c>
      <c r="BT99">
        <v>46327</v>
      </c>
      <c r="BU99">
        <v>46357</v>
      </c>
    </row>
    <row r="100" spans="1:73" ht="24" customHeight="1">
      <c r="A100" s="470" t="s">
        <v>304</v>
      </c>
      <c r="B100" s="392"/>
      <c r="C100" s="392"/>
      <c r="D100" s="392"/>
      <c r="E100" s="392"/>
      <c r="F100" s="392"/>
      <c r="G100" s="392"/>
      <c r="H100" s="392"/>
      <c r="I100" s="392"/>
      <c r="J100" s="392"/>
      <c r="K100" s="392"/>
      <c r="L100" s="392"/>
      <c r="M100" s="392"/>
      <c r="N100" s="392"/>
      <c r="O100" s="392"/>
      <c r="P100" s="392"/>
      <c r="Q100" s="392"/>
      <c r="R100" s="392"/>
      <c r="S100" s="392"/>
      <c r="T100" s="392"/>
      <c r="U100" s="392"/>
      <c r="V100" s="392"/>
      <c r="W100" s="393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73" ht="24" customHeight="1">
      <c r="A101" s="394"/>
      <c r="B101" s="395"/>
      <c r="C101" s="395"/>
      <c r="D101" s="395"/>
      <c r="E101" s="395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5"/>
      <c r="R101" s="395"/>
      <c r="S101" s="395"/>
      <c r="T101" s="395"/>
      <c r="U101" s="395"/>
      <c r="V101" s="395"/>
      <c r="W101" s="396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 spans="1:73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 spans="1:7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 spans="1:73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 spans="1:73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 spans="1:73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 spans="1:73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 spans="1:73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 spans="1:73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 spans="1:73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 spans="1:73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 spans="1:73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 spans="53:7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 spans="53:73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 spans="53:73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 spans="53:73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 spans="53:73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 spans="53:73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 spans="53:73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 spans="53:73">
      <c r="BA120">
        <v>64</v>
      </c>
      <c r="BB120">
        <f>IFERROR(INDEX(잔액!$A:$A,BA120),0)</f>
        <v>46082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 spans="53:73">
      <c r="BA121">
        <v>65</v>
      </c>
      <c r="BB121">
        <f>IFERROR(INDEX(잔액!$A:$A,BA121),0)</f>
        <v>46082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 spans="53:73">
      <c r="BA122">
        <v>66</v>
      </c>
      <c r="BB122">
        <f>IFERROR(INDEX(잔액!$A:$A,BA122),0)</f>
        <v>46082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 spans="53:73">
      <c r="BA123">
        <v>67</v>
      </c>
      <c r="BB123">
        <f>IFERROR(INDEX(잔액!$A:$A,BA123),0)</f>
        <v>46082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 spans="53:73">
      <c r="BA124">
        <v>68</v>
      </c>
      <c r="BB124">
        <f>IFERROR(INDEX(잔액!$A:$A,BA124),0)</f>
        <v>46082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 spans="53:73">
      <c r="BA125">
        <v>69</v>
      </c>
      <c r="BB125">
        <f>IFERROR(INDEX(잔액!$A:$A,BA125),0)</f>
        <v>46082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 spans="53:73">
      <c r="BA126">
        <v>70</v>
      </c>
      <c r="BB126">
        <f>IFERROR(INDEX(잔액!$A:$A,BA126),0)</f>
        <v>46082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 spans="53:73">
      <c r="BA127">
        <v>71</v>
      </c>
      <c r="BB127">
        <f>IFERROR(INDEX(잔액!$A:$A,BA127),0)</f>
        <v>46082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 spans="53:73">
      <c r="BA128">
        <v>72</v>
      </c>
      <c r="BB128">
        <f>IFERROR(INDEX(잔액!$A:$A,BA128),0)</f>
        <v>46082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 spans="53:73">
      <c r="BA129">
        <v>73</v>
      </c>
      <c r="BB129">
        <f>IFERROR(INDEX(잔액!$A:$A,BA129),0)</f>
        <v>46082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 spans="53:73">
      <c r="BA130">
        <v>74</v>
      </c>
      <c r="BB130">
        <f>IFERROR(INDEX(잔액!$A:$A,BA130),0)</f>
        <v>46113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 spans="53:73">
      <c r="BA131">
        <v>75</v>
      </c>
      <c r="BB131">
        <f>IFERROR(INDEX(잔액!$A:$A,BA131),0)</f>
        <v>46113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 spans="53:73">
      <c r="BA132">
        <v>76</v>
      </c>
      <c r="BB132">
        <f>IFERROR(INDEX(잔액!$A:$A,BA132),0)</f>
        <v>46113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 spans="53:73">
      <c r="BA133">
        <v>77</v>
      </c>
      <c r="BB133">
        <f>IFERROR(INDEX(잔액!$A:$A,BA133),0)</f>
        <v>46113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 spans="53:73">
      <c r="BA134">
        <v>78</v>
      </c>
      <c r="BB134">
        <f>IFERROR(INDEX(잔액!$A:$A,BA134),0)</f>
        <v>46113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 spans="53:73">
      <c r="BA135">
        <v>79</v>
      </c>
      <c r="BB135">
        <f>IFERROR(INDEX(잔액!$A:$A,BA135),0)</f>
        <v>46113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 spans="53:73">
      <c r="BA136">
        <v>80</v>
      </c>
      <c r="BB136">
        <f>IFERROR(INDEX(잔액!$A:$A,BA136),0)</f>
        <v>46113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 spans="53:73">
      <c r="BA137">
        <v>81</v>
      </c>
      <c r="BB137">
        <f>IFERROR(INDEX(잔액!$A:$A,BA137),0)</f>
        <v>46113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 spans="53:73">
      <c r="BA138">
        <v>82</v>
      </c>
      <c r="BB138">
        <f>IFERROR(INDEX(잔액!$A:$A,BA138),0)</f>
        <v>46113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 spans="53:73">
      <c r="BA139">
        <v>83</v>
      </c>
      <c r="BB139">
        <f>IFERROR(INDEX(잔액!$A:$A,BA139),0)</f>
        <v>46113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 spans="53:73">
      <c r="BA140">
        <v>84</v>
      </c>
      <c r="BB140">
        <f>IFERROR(INDEX(잔액!$A:$A,BA140),0)</f>
        <v>46113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 spans="53:73">
      <c r="BA141">
        <v>85</v>
      </c>
      <c r="BB141">
        <f>IFERROR(INDEX(잔액!$A:$A,BA141),0)</f>
        <v>46113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 spans="53:73">
      <c r="BA142">
        <v>86</v>
      </c>
      <c r="BB142">
        <f>IFERROR(INDEX(잔액!$A:$A,BA142),0)</f>
        <v>46113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 spans="53:73">
      <c r="BA143">
        <v>87</v>
      </c>
      <c r="BB143">
        <f>IFERROR(INDEX(잔액!$A:$A,BA143),0)</f>
        <v>46113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 spans="53:73">
      <c r="BA144">
        <v>88</v>
      </c>
      <c r="BB144">
        <f>IFERROR(INDEX(잔액!$A:$A,BA144),0)</f>
        <v>46113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 spans="53:73">
      <c r="BA145">
        <v>89</v>
      </c>
      <c r="BB145">
        <f>IFERROR(INDEX(잔액!$A:$A,BA145),0)</f>
        <v>46113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 spans="53:73">
      <c r="BA146">
        <v>90</v>
      </c>
      <c r="BB146">
        <f>IFERROR(INDEX(잔액!$A:$A,BA146),0)</f>
        <v>46113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 spans="53:73">
      <c r="BA147">
        <v>91</v>
      </c>
      <c r="BB147">
        <f>IFERROR(INDEX(잔액!$A:$A,BA147),0)</f>
        <v>46113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 spans="53:73">
      <c r="BA148">
        <v>92</v>
      </c>
      <c r="BB148">
        <f>IFERROR(INDEX(잔액!$A:$A,BA148),0)</f>
        <v>46113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 spans="53:73">
      <c r="BA149">
        <v>93</v>
      </c>
      <c r="BB149">
        <f>IFERROR(INDEX(잔액!$A:$A,BA149),0)</f>
        <v>46113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 spans="53:73">
      <c r="BA150">
        <v>94</v>
      </c>
      <c r="BB150">
        <f>IFERROR(INDEX(잔액!$A:$A,BA150),0)</f>
        <v>46113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 spans="53:73">
      <c r="BA151">
        <v>95</v>
      </c>
      <c r="BB151">
        <f>IFERROR(INDEX(잔액!$A:$A,BA151),0)</f>
        <v>46113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 spans="53:73">
      <c r="BA152">
        <v>96</v>
      </c>
      <c r="BB152">
        <f>IFERROR(INDEX(잔액!$A:$A,BA152),0)</f>
        <v>46143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 spans="53:73">
      <c r="BA153">
        <v>97</v>
      </c>
      <c r="BB153">
        <f>IFERROR(INDEX(잔액!$A:$A,BA153),0)</f>
        <v>46143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 spans="53:73">
      <c r="BA154">
        <v>98</v>
      </c>
      <c r="BB154">
        <f>IFERROR(INDEX(잔액!$A:$A,BA154),0)</f>
        <v>46143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 spans="53:73">
      <c r="BA155">
        <v>99</v>
      </c>
      <c r="BB155">
        <f>IFERROR(INDEX(잔액!$A:$A,BA155),0)</f>
        <v>46143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 spans="53:73">
      <c r="BA156">
        <v>100</v>
      </c>
      <c r="BB156">
        <f>IFERROR(INDEX(잔액!$A:$A,BA156),0)</f>
        <v>46143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 spans="53:73">
      <c r="BA157">
        <v>101</v>
      </c>
      <c r="BB157">
        <f>IFERROR(INDEX(잔액!$A:$A,BA157),0)</f>
        <v>46143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 spans="53:73">
      <c r="BA158">
        <v>102</v>
      </c>
      <c r="BB158">
        <f>IFERROR(INDEX(잔액!$A:$A,BA158),0)</f>
        <v>46143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 spans="53:73">
      <c r="BA159">
        <v>103</v>
      </c>
      <c r="BB159">
        <f>IFERROR(INDEX(잔액!$A:$A,BA159),0)</f>
        <v>46143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 spans="53:73">
      <c r="BA160">
        <v>104</v>
      </c>
      <c r="BB160">
        <f>IFERROR(INDEX(잔액!$A:$A,BA160),0)</f>
        <v>46143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 spans="53:73">
      <c r="BA161">
        <v>105</v>
      </c>
      <c r="BB161">
        <f>IFERROR(INDEX(잔액!$A:$A,BA161),0)</f>
        <v>46143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 spans="53:73">
      <c r="BA162">
        <v>106</v>
      </c>
      <c r="BB162">
        <f>IFERROR(INDEX(잔액!$A:$A,BA162),0)</f>
        <v>46143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 spans="53:73">
      <c r="BA163">
        <v>107</v>
      </c>
      <c r="BB163">
        <f>IFERROR(INDEX(잔액!$A:$A,BA163),0)</f>
        <v>46143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 spans="53:73">
      <c r="BA164">
        <v>108</v>
      </c>
      <c r="BB164">
        <f>IFERROR(INDEX(잔액!$A:$A,BA164),0)</f>
        <v>46143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 spans="53:73">
      <c r="BA165">
        <v>109</v>
      </c>
      <c r="BB165">
        <f>IFERROR(INDEX(잔액!$A:$A,BA165),0)</f>
        <v>46143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 spans="53:73">
      <c r="BA166">
        <v>110</v>
      </c>
      <c r="BB166">
        <f>IFERROR(INDEX(잔액!$A:$A,BA166),0)</f>
        <v>46143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 spans="53:73">
      <c r="BA167">
        <v>111</v>
      </c>
      <c r="BB167">
        <f>IFERROR(INDEX(잔액!$A:$A,BA167),0)</f>
        <v>46143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 spans="53:73">
      <c r="BA168">
        <v>112</v>
      </c>
      <c r="BB168">
        <f>IFERROR(INDEX(잔액!$A:$A,BA168),0)</f>
        <v>46143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 spans="53:73">
      <c r="BA169">
        <v>113</v>
      </c>
      <c r="BB169">
        <f>IFERROR(INDEX(잔액!$A:$A,BA169),0)</f>
        <v>46143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 spans="53:73">
      <c r="BA170">
        <v>114</v>
      </c>
      <c r="BB170">
        <f>IFERROR(INDEX(잔액!$A:$A,BA170),0)</f>
        <v>46143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 spans="53:73">
      <c r="BA171">
        <v>115</v>
      </c>
      <c r="BB171">
        <f>IFERROR(INDEX(잔액!$A:$A,BA171),0)</f>
        <v>46143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 spans="53:73">
      <c r="BA172">
        <v>116</v>
      </c>
      <c r="BB172">
        <f>IFERROR(INDEX(잔액!$A:$A,BA172),0)</f>
        <v>46143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 spans="53:73">
      <c r="BA173">
        <v>117</v>
      </c>
      <c r="BB173">
        <f>IFERROR(INDEX(잔액!$A:$A,BA173),0)</f>
        <v>46143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 spans="53:73">
      <c r="BA174">
        <v>118</v>
      </c>
      <c r="BB174">
        <f>IFERROR(INDEX(잔액!$A:$A,BA174),0)</f>
        <v>46143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 spans="53:73">
      <c r="BA175">
        <v>119</v>
      </c>
      <c r="BB175">
        <f>IFERROR(INDEX(잔액!$A:$A,BA175),0)</f>
        <v>46143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 spans="53:73">
      <c r="BA176">
        <v>120</v>
      </c>
      <c r="BB176">
        <f>IFERROR(INDEX(잔액!$A:$A,BA176),0)</f>
        <v>46143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 spans="53:73">
      <c r="BA177">
        <v>121</v>
      </c>
      <c r="BB177">
        <f>IFERROR(INDEX(잔액!$A:$A,BA177),0)</f>
        <v>46143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 spans="53:73">
      <c r="BA178">
        <v>122</v>
      </c>
      <c r="BB178">
        <f>IFERROR(INDEX(잔액!$A:$A,BA178),0)</f>
        <v>46143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 spans="53:73">
      <c r="BA179">
        <v>123</v>
      </c>
      <c r="BB179">
        <f>IFERROR(INDEX(잔액!$A:$A,BA179),0)</f>
        <v>46174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 spans="53:73">
      <c r="BA180">
        <v>124</v>
      </c>
      <c r="BB180">
        <f>IFERROR(INDEX(잔액!$A:$A,BA180),0)</f>
        <v>46174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 spans="53:73">
      <c r="BA181">
        <v>125</v>
      </c>
      <c r="BB181">
        <f>IFERROR(INDEX(잔액!$A:$A,BA181),0)</f>
        <v>46174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 spans="53:73">
      <c r="BA182">
        <v>126</v>
      </c>
      <c r="BB182">
        <f>IFERROR(INDEX(잔액!$A:$A,BA182),0)</f>
        <v>46174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 spans="53:73">
      <c r="BA183">
        <v>127</v>
      </c>
      <c r="BB183">
        <f>IFERROR(INDEX(잔액!$A:$A,BA183),0)</f>
        <v>46174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 spans="53:73">
      <c r="BA184">
        <v>128</v>
      </c>
      <c r="BB184">
        <f>IFERROR(INDEX(잔액!$A:$A,BA184),0)</f>
        <v>46174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 spans="53:73">
      <c r="BA185">
        <v>129</v>
      </c>
      <c r="BB185">
        <f>IFERROR(INDEX(잔액!$A:$A,BA185),0)</f>
        <v>46174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 spans="53:73">
      <c r="BA186">
        <v>130</v>
      </c>
      <c r="BB186">
        <f>IFERROR(INDEX(잔액!$A:$A,BA186),0)</f>
        <v>46174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 spans="53:73">
      <c r="BA187">
        <v>131</v>
      </c>
      <c r="BB187">
        <f>IFERROR(INDEX(잔액!$A:$A,BA187),0)</f>
        <v>46174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 spans="53:73">
      <c r="BA188">
        <v>132</v>
      </c>
      <c r="BB188">
        <f>IFERROR(INDEX(잔액!$A:$A,BA188),0)</f>
        <v>46174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 spans="53:73">
      <c r="BA189">
        <v>133</v>
      </c>
      <c r="BB189">
        <f>IFERROR(INDEX(잔액!$A:$A,BA189),0)</f>
        <v>46174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 spans="53:73">
      <c r="BA190">
        <v>134</v>
      </c>
      <c r="BB190">
        <f>IFERROR(INDEX(잔액!$A:$A,BA190),0)</f>
        <v>46174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 spans="53:73">
      <c r="BA191">
        <v>135</v>
      </c>
      <c r="BB191">
        <f>IFERROR(INDEX(잔액!$A:$A,BA191),0)</f>
        <v>46174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 spans="53:73">
      <c r="BA192">
        <v>136</v>
      </c>
      <c r="BB192">
        <f>IFERROR(INDEX(잔액!$A:$A,BA192),0)</f>
        <v>46174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 spans="53:73">
      <c r="BA193">
        <v>137</v>
      </c>
      <c r="BB193">
        <f>IFERROR(INDEX(잔액!$A:$A,BA193),0)</f>
        <v>46174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 spans="53:73">
      <c r="BA194">
        <v>138</v>
      </c>
      <c r="BB194">
        <f>IFERROR(INDEX(잔액!$A:$A,BA194),0)</f>
        <v>46174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 spans="53:73">
      <c r="BA195">
        <v>139</v>
      </c>
      <c r="BB195">
        <f>IFERROR(INDEX(잔액!$A:$A,BA195),0)</f>
        <v>46174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 spans="53:73">
      <c r="BA196">
        <v>140</v>
      </c>
      <c r="BB196">
        <f>IFERROR(INDEX(잔액!$A:$A,BA196),0)</f>
        <v>46174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 spans="53:73">
      <c r="BA197">
        <v>141</v>
      </c>
      <c r="BB197">
        <f>IFERROR(INDEX(잔액!$A:$A,BA197),0)</f>
        <v>46174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 spans="53:73">
      <c r="BA198">
        <v>142</v>
      </c>
      <c r="BB198">
        <f>IFERROR(INDEX(잔액!$A:$A,BA198),0)</f>
        <v>46174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 spans="53:73">
      <c r="BA199">
        <v>143</v>
      </c>
      <c r="BB199">
        <f>IFERROR(INDEX(잔액!$A:$A,BA199),0)</f>
        <v>46174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 spans="53:73">
      <c r="BA200">
        <v>144</v>
      </c>
      <c r="BB200">
        <f>IFERROR(INDEX(잔액!$A:$A,BA200),0)</f>
        <v>46204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 spans="53:73">
      <c r="BA201">
        <v>145</v>
      </c>
      <c r="BB201">
        <f>IFERROR(INDEX(잔액!$A:$A,BA201),0)</f>
        <v>46204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 spans="53:73">
      <c r="BA202">
        <v>146</v>
      </c>
      <c r="BB202">
        <f>IFERROR(INDEX(잔액!$A:$A,BA202),0)</f>
        <v>46204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 spans="53:73">
      <c r="BA203">
        <v>147</v>
      </c>
      <c r="BB203">
        <f>IFERROR(INDEX(잔액!$A:$A,BA203),0)</f>
        <v>46204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 spans="53:73">
      <c r="BA204">
        <v>148</v>
      </c>
      <c r="BB204">
        <f>IFERROR(INDEX(잔액!$A:$A,BA204),0)</f>
        <v>46204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 spans="53:73">
      <c r="BA205">
        <v>149</v>
      </c>
      <c r="BB205">
        <f>IFERROR(INDEX(잔액!$A:$A,BA205),0)</f>
        <v>46204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 spans="53:73">
      <c r="BA206">
        <v>150</v>
      </c>
      <c r="BB206">
        <f>IFERROR(INDEX(잔액!$A:$A,BA206),0)</f>
        <v>46204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 spans="53:73">
      <c r="BA207">
        <v>151</v>
      </c>
      <c r="BB207">
        <f>IFERROR(INDEX(잔액!$A:$A,BA207),0)</f>
        <v>46204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 spans="53:73">
      <c r="BA208">
        <v>152</v>
      </c>
      <c r="BB208">
        <f>IFERROR(INDEX(잔액!$A:$A,BA208),0)</f>
        <v>46204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 spans="53:73">
      <c r="BA209">
        <v>153</v>
      </c>
      <c r="BB209">
        <f>IFERROR(INDEX(잔액!$A:$A,BA209),0)</f>
        <v>46204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 spans="53:73">
      <c r="BA210">
        <v>154</v>
      </c>
      <c r="BB210">
        <f>IFERROR(INDEX(잔액!$A:$A,BA210),0)</f>
        <v>46204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 spans="53:73">
      <c r="BA211">
        <v>155</v>
      </c>
      <c r="BB211">
        <f>IFERROR(INDEX(잔액!$A:$A,BA211),0)</f>
        <v>46204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 spans="53:73">
      <c r="BA212">
        <v>156</v>
      </c>
      <c r="BB212">
        <f>IFERROR(INDEX(잔액!$A:$A,BA212),0)</f>
        <v>46204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 spans="53:73">
      <c r="BA213">
        <v>157</v>
      </c>
      <c r="BB213">
        <f>IFERROR(INDEX(잔액!$A:$A,BA213),0)</f>
        <v>46204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 spans="53:73">
      <c r="BA214">
        <v>158</v>
      </c>
      <c r="BB214">
        <f>IFERROR(INDEX(잔액!$A:$A,BA214),0)</f>
        <v>46204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 spans="53:73">
      <c r="BA215">
        <v>159</v>
      </c>
      <c r="BB215">
        <f>IFERROR(INDEX(잔액!$A:$A,BA215),0)</f>
        <v>46204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 spans="53:73">
      <c r="BA216">
        <v>160</v>
      </c>
      <c r="BB216">
        <f>IFERROR(INDEX(잔액!$A:$A,BA216),0)</f>
        <v>46204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 spans="53:73">
      <c r="BA217">
        <v>161</v>
      </c>
      <c r="BB217">
        <f>IFERROR(INDEX(잔액!$A:$A,BA217),0)</f>
        <v>46204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 spans="53:73">
      <c r="BA218">
        <v>162</v>
      </c>
      <c r="BB218">
        <f>IFERROR(INDEX(잔액!$A:$A,BA218),0)</f>
        <v>46204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 spans="53:73">
      <c r="BA219">
        <v>163</v>
      </c>
      <c r="BB219">
        <f>IFERROR(INDEX(잔액!$A:$A,BA219),0)</f>
        <v>46204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 spans="53:73">
      <c r="BA220">
        <v>164</v>
      </c>
      <c r="BB220">
        <f>IFERROR(INDEX(잔액!$A:$A,BA220),0)</f>
        <v>46204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 spans="53:73">
      <c r="BA221">
        <v>165</v>
      </c>
      <c r="BB221">
        <f>IFERROR(INDEX(잔액!$A:$A,BA221),0)</f>
        <v>46204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 spans="53:73">
      <c r="BA222">
        <v>166</v>
      </c>
      <c r="BB222">
        <f>IFERROR(INDEX(잔액!$A:$A,BA222),0)</f>
        <v>46204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 spans="53:73">
      <c r="BA223">
        <v>167</v>
      </c>
      <c r="BB223">
        <f>IFERROR(INDEX(잔액!$A:$A,BA223),0)</f>
        <v>46204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 spans="53:73">
      <c r="BA224">
        <v>168</v>
      </c>
      <c r="BB224">
        <f>IFERROR(INDEX(잔액!$A:$A,BA224),0)</f>
        <v>46204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 spans="53:73">
      <c r="BA225">
        <v>169</v>
      </c>
      <c r="BB225">
        <f>IFERROR(INDEX(잔액!$A:$A,BA225),0)</f>
        <v>46204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 spans="53:73">
      <c r="BA226">
        <v>170</v>
      </c>
      <c r="BB226">
        <f>IFERROR(INDEX(잔액!$A:$A,BA226),0)</f>
        <v>46204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 spans="53:73">
      <c r="BA227">
        <v>171</v>
      </c>
      <c r="BB227">
        <f>IFERROR(INDEX(잔액!$A:$A,BA227),0)</f>
        <v>46204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 spans="53:73">
      <c r="BA228">
        <v>172</v>
      </c>
      <c r="BB228">
        <f>IFERROR(INDEX(잔액!$A:$A,BA228),0)</f>
        <v>46204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 spans="53:73">
      <c r="BA229">
        <v>173</v>
      </c>
      <c r="BB229">
        <f>IFERROR(INDEX(잔액!$A:$A,BA229),0)</f>
        <v>46204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 spans="53:73">
      <c r="BA230">
        <v>174</v>
      </c>
      <c r="BB230">
        <f>IFERROR(INDEX(잔액!$A:$A,BA230),0)</f>
        <v>46235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 spans="53:73">
      <c r="BA231">
        <v>175</v>
      </c>
      <c r="BB231">
        <f>IFERROR(INDEX(잔액!$A:$A,BA231),0)</f>
        <v>46235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 spans="53:73">
      <c r="BA232">
        <v>176</v>
      </c>
      <c r="BB232">
        <f>IFERROR(INDEX(잔액!$A:$A,BA232),0)</f>
        <v>46235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 spans="53:73">
      <c r="BA233">
        <v>177</v>
      </c>
      <c r="BB233">
        <f>IFERROR(INDEX(잔액!$A:$A,BA233),0)</f>
        <v>46235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 spans="53:73">
      <c r="BA234">
        <v>178</v>
      </c>
      <c r="BB234">
        <f>IFERROR(INDEX(잔액!$A:$A,BA234),0)</f>
        <v>46235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 spans="53:73">
      <c r="BA235">
        <v>179</v>
      </c>
      <c r="BB235">
        <f>IFERROR(INDEX(잔액!$A:$A,BA235),0)</f>
        <v>46235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 spans="53:73">
      <c r="BA236">
        <v>180</v>
      </c>
      <c r="BB236">
        <f>IFERROR(INDEX(잔액!$A:$A,BA236),0)</f>
        <v>46235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 spans="53:73">
      <c r="BA237">
        <v>181</v>
      </c>
      <c r="BB237">
        <f>IFERROR(INDEX(잔액!$A:$A,BA237),0)</f>
        <v>46235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 spans="53:73">
      <c r="BA238">
        <v>182</v>
      </c>
      <c r="BB238">
        <f>IFERROR(INDEX(잔액!$A:$A,BA238),0)</f>
        <v>46235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 spans="53:73">
      <c r="BA239">
        <v>183</v>
      </c>
      <c r="BB239">
        <f>IFERROR(INDEX(잔액!$A:$A,BA239),0)</f>
        <v>46235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 spans="53:73">
      <c r="BA240">
        <v>184</v>
      </c>
      <c r="BB240">
        <f>IFERROR(INDEX(잔액!$A:$A,BA240),0)</f>
        <v>46235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 spans="53:73">
      <c r="BA241">
        <v>185</v>
      </c>
      <c r="BB241">
        <f>IFERROR(INDEX(잔액!$A:$A,BA241),0)</f>
        <v>46235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 spans="53:73">
      <c r="BA242">
        <v>186</v>
      </c>
      <c r="BB242">
        <f>IFERROR(INDEX(잔액!$A:$A,BA242),0)</f>
        <v>46235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 spans="53:73">
      <c r="BA243">
        <v>187</v>
      </c>
      <c r="BB243">
        <f>IFERROR(INDEX(잔액!$A:$A,BA243),0)</f>
        <v>46235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 spans="53:73">
      <c r="BA244">
        <v>188</v>
      </c>
      <c r="BB244">
        <f>IFERROR(INDEX(잔액!$A:$A,BA244),0)</f>
        <v>46235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 spans="53:73">
      <c r="BA245">
        <v>189</v>
      </c>
      <c r="BB245">
        <f>IFERROR(INDEX(잔액!$A:$A,BA245),0)</f>
        <v>46235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 spans="53:73">
      <c r="BA246">
        <v>190</v>
      </c>
      <c r="BB246">
        <f>IFERROR(INDEX(잔액!$A:$A,BA246),0)</f>
        <v>46235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 spans="53:73">
      <c r="BA247">
        <v>191</v>
      </c>
      <c r="BB247">
        <f>IFERROR(INDEX(잔액!$A:$A,BA247),0)</f>
        <v>46235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 spans="53:73">
      <c r="BA248">
        <v>192</v>
      </c>
      <c r="BB248">
        <f>IFERROR(INDEX(잔액!$A:$A,BA248),0)</f>
        <v>46235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 spans="53:73">
      <c r="BA249">
        <v>193</v>
      </c>
      <c r="BB249">
        <f>IFERROR(INDEX(잔액!$A:$A,BA249),0)</f>
        <v>46235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 spans="53:73">
      <c r="BA250">
        <v>194</v>
      </c>
      <c r="BB250">
        <f>IFERROR(INDEX(잔액!$A:$A,BA250),0)</f>
        <v>46235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 spans="53:73">
      <c r="BA251">
        <v>195</v>
      </c>
      <c r="BB251">
        <f>IFERROR(INDEX(잔액!$A:$A,BA251),0)</f>
        <v>46235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 spans="53:73">
      <c r="BA252">
        <v>196</v>
      </c>
      <c r="BB252">
        <f>IFERROR(INDEX(잔액!$A:$A,BA252),0)</f>
        <v>46235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 spans="53:73">
      <c r="BA253">
        <v>197</v>
      </c>
      <c r="BB253">
        <f>IFERROR(INDEX(잔액!$A:$A,BA253),0)</f>
        <v>46235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 spans="53:73">
      <c r="BA254">
        <v>198</v>
      </c>
      <c r="BB254">
        <f>IFERROR(INDEX(잔액!$A:$A,BA254),0)</f>
        <v>46235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 spans="53:73">
      <c r="BA255">
        <v>199</v>
      </c>
      <c r="BB255">
        <f>IFERROR(INDEX(잔액!$A:$A,BA255),0)</f>
        <v>46235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 spans="53:73">
      <c r="BA256">
        <v>200</v>
      </c>
      <c r="BB256">
        <f>IFERROR(INDEX(잔액!$A:$A,BA256),0)</f>
        <v>46235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 spans="53:73">
      <c r="BA257">
        <v>201</v>
      </c>
      <c r="BB257">
        <f>IFERROR(INDEX(잔액!$A:$A,BA257),0)</f>
        <v>46235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 spans="53:73">
      <c r="BA258">
        <v>202</v>
      </c>
      <c r="BB258">
        <f>IFERROR(INDEX(잔액!$A:$A,BA258),0)</f>
        <v>46235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 spans="53:73">
      <c r="BA259">
        <v>203</v>
      </c>
      <c r="BB259">
        <f>IFERROR(INDEX(잔액!$A:$A,BA259),0)</f>
        <v>46235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 spans="53:73">
      <c r="BA260">
        <v>204</v>
      </c>
      <c r="BB260">
        <f>IFERROR(INDEX(잔액!$A:$A,BA260),0)</f>
        <v>46235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 spans="53:73">
      <c r="BA261">
        <v>205</v>
      </c>
      <c r="BB261">
        <f>IFERROR(INDEX(잔액!$A:$A,BA261),0)</f>
        <v>46235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 spans="53:73">
      <c r="BA262">
        <v>206</v>
      </c>
      <c r="BB262">
        <f>IFERROR(INDEX(잔액!$A:$A,BA262),0)</f>
        <v>46235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 spans="53:73">
      <c r="BA263">
        <v>207</v>
      </c>
      <c r="BB263">
        <f>IFERROR(INDEX(잔액!$A:$A,BA263),0)</f>
        <v>46235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 spans="53:73">
      <c r="BA264">
        <v>208</v>
      </c>
      <c r="BB264">
        <f>IFERROR(INDEX(잔액!$A:$A,BA264),0)</f>
        <v>46235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 spans="53:73">
      <c r="BA265">
        <v>209</v>
      </c>
      <c r="BB265">
        <f>IFERROR(INDEX(잔액!$A:$A,BA265),0)</f>
        <v>46235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 spans="53:73">
      <c r="BA266">
        <v>210</v>
      </c>
      <c r="BB266">
        <f>IFERROR(INDEX(잔액!$A:$A,BA266),0)</f>
        <v>46235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 spans="53:73">
      <c r="BA267">
        <v>211</v>
      </c>
      <c r="BB267">
        <f>IFERROR(INDEX(잔액!$A:$A,BA267),0)</f>
        <v>46235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 spans="53:73">
      <c r="BA268">
        <v>212</v>
      </c>
      <c r="BB268">
        <f>IFERROR(INDEX(잔액!$A:$A,BA268),0)</f>
        <v>46235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 spans="53:73">
      <c r="BA269">
        <v>213</v>
      </c>
      <c r="BB269">
        <f>IFERROR(INDEX(잔액!$A:$A,BA269),0)</f>
        <v>46235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 spans="53:73">
      <c r="BA270">
        <v>214</v>
      </c>
      <c r="BB270">
        <f>IFERROR(INDEX(잔액!$A:$A,BA270),0)</f>
        <v>46266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 spans="53:73">
      <c r="BA271">
        <v>215</v>
      </c>
      <c r="BB271">
        <f>IFERROR(INDEX(잔액!$A:$A,BA271),0)</f>
        <v>46266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 spans="53:73">
      <c r="BA272">
        <v>216</v>
      </c>
      <c r="BB272">
        <f>IFERROR(INDEX(잔액!$A:$A,BA272),0)</f>
        <v>46266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 spans="53:73">
      <c r="BA273">
        <v>217</v>
      </c>
      <c r="BB273">
        <f>IFERROR(INDEX(잔액!$A:$A,BA273),0)</f>
        <v>46266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 spans="53:73">
      <c r="BA274">
        <v>218</v>
      </c>
      <c r="BB274">
        <f>IFERROR(INDEX(잔액!$A:$A,BA274),0)</f>
        <v>46266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 spans="53:73">
      <c r="BA275">
        <v>219</v>
      </c>
      <c r="BB275">
        <f>IFERROR(INDEX(잔액!$A:$A,BA275),0)</f>
        <v>46266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 spans="53:73">
      <c r="BA276">
        <v>220</v>
      </c>
      <c r="BB276">
        <f>IFERROR(INDEX(잔액!$A:$A,BA276),0)</f>
        <v>46266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 spans="53:73">
      <c r="BA277">
        <v>221</v>
      </c>
      <c r="BB277">
        <f>IFERROR(INDEX(잔액!$A:$A,BA277),0)</f>
        <v>46266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 spans="53:73">
      <c r="BA278">
        <v>222</v>
      </c>
      <c r="BB278">
        <f>IFERROR(INDEX(잔액!$A:$A,BA278),0)</f>
        <v>46266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 spans="53:73">
      <c r="BA279">
        <v>223</v>
      </c>
      <c r="BB279">
        <f>IFERROR(INDEX(잔액!$A:$A,BA279),0)</f>
        <v>46266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 spans="53:73">
      <c r="BA280">
        <v>224</v>
      </c>
      <c r="BB280">
        <f>IFERROR(INDEX(잔액!$A:$A,BA280),0)</f>
        <v>46266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 spans="53:73">
      <c r="BA281">
        <v>225</v>
      </c>
      <c r="BB281">
        <f>IFERROR(INDEX(잔액!$A:$A,BA281),0)</f>
        <v>46266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 spans="53:73">
      <c r="BA282">
        <v>226</v>
      </c>
      <c r="BB282">
        <f>IFERROR(INDEX(잔액!$A:$A,BA282),0)</f>
        <v>46266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 spans="53:73">
      <c r="BA283">
        <v>227</v>
      </c>
      <c r="BB283">
        <f>IFERROR(INDEX(잔액!$A:$A,BA283),0)</f>
        <v>46266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 spans="53:73">
      <c r="BA284">
        <v>228</v>
      </c>
      <c r="BB284">
        <f>IFERROR(INDEX(잔액!$A:$A,BA284),0)</f>
        <v>46266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 spans="53:73">
      <c r="BA285">
        <v>229</v>
      </c>
      <c r="BB285">
        <f>IFERROR(INDEX(잔액!$A:$A,BA285),0)</f>
        <v>46266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 spans="53:73">
      <c r="BA286">
        <v>230</v>
      </c>
      <c r="BB286">
        <f>IFERROR(INDEX(잔액!$A:$A,BA286),0)</f>
        <v>46266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 spans="53:73">
      <c r="BA287">
        <v>231</v>
      </c>
      <c r="BB287">
        <f>IFERROR(INDEX(잔액!$A:$A,BA287),0)</f>
        <v>46308.851395949067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 spans="53:73">
      <c r="BA288">
        <v>232</v>
      </c>
      <c r="BB288">
        <f>IFERROR(INDEX(잔액!$A:$A,BA288),0)</f>
        <v>46308.850696064823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 spans="53:73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 spans="53:73">
      <c r="BA290">
        <v>234</v>
      </c>
      <c r="BB290">
        <f>IFERROR(INDEX(잔액!$A:$A,BA290),0)</f>
        <v>46308.848613587958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 spans="53:73">
      <c r="BA291">
        <v>235</v>
      </c>
      <c r="BB291">
        <f>IFERROR(INDEX(잔액!$A:$A,BA291),0)</f>
        <v>46308.847924930553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 spans="53:73">
      <c r="BA292">
        <v>236</v>
      </c>
      <c r="BB292">
        <f>IFERROR(INDEX(잔액!$A:$A,BA292),0)</f>
        <v>46308.845837777779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 spans="53:73">
      <c r="BA293">
        <v>237</v>
      </c>
      <c r="BB293">
        <f>IFERROR(INDEX(잔액!$A:$A,BA293),0)</f>
        <v>46308.749010173611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 spans="53:73">
      <c r="BA294">
        <v>238</v>
      </c>
      <c r="BB294">
        <f>IFERROR(INDEX(잔액!$A:$A,BA294),0)</f>
        <v>46307.843067106478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 spans="53:73">
      <c r="BA295">
        <v>239</v>
      </c>
      <c r="BB295">
        <f>IFERROR(INDEX(잔액!$A:$A,BA295),0)</f>
        <v>46307.825001041667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 spans="53:73">
      <c r="BA296">
        <v>240</v>
      </c>
      <c r="BB296">
        <f>IFERROR(INDEX(잔액!$A:$A,BA296),0)</f>
        <v>46307.824310555552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 spans="53:73">
      <c r="BA297">
        <v>241</v>
      </c>
      <c r="BB297">
        <f>IFERROR(INDEX(잔액!$A:$A,BA297),0)</f>
        <v>46299.620147118047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 spans="53:73">
      <c r="BA298">
        <v>242</v>
      </c>
      <c r="BB298">
        <f>IFERROR(INDEX(잔액!$A:$A,BA298),0)</f>
        <v>46297.622223078703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 spans="53:73">
      <c r="BA299">
        <v>243</v>
      </c>
      <c r="BB299">
        <f>IFERROR(INDEX(잔액!$A:$A,BA299),0)</f>
        <v>46266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 spans="53:73">
      <c r="BA300">
        <v>244</v>
      </c>
      <c r="BB300">
        <f>IFERROR(INDEX(잔액!$A:$A,BA300),0)</f>
        <v>46082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 spans="53:73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 spans="53:73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 spans="53:73">
      <c r="BA303">
        <v>247</v>
      </c>
      <c r="BB303">
        <f>IFERROR(INDEX(잔액!$A:$A,BA303),0)</f>
        <v>46310.958796296298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 spans="53:73">
      <c r="BA304">
        <v>248</v>
      </c>
      <c r="BB304">
        <f>IFERROR(INDEX(잔액!$A:$A,BA304),0)</f>
        <v>46312.667370740739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 spans="53:73">
      <c r="BA305">
        <v>249</v>
      </c>
      <c r="BB305">
        <f>IFERROR(INDEX(잔액!$A:$A,BA305),0)</f>
        <v>46314.866669293981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 spans="53:73">
      <c r="BA306">
        <v>250</v>
      </c>
      <c r="BB306">
        <f>IFERROR(INDEX(잔액!$A:$A,BA306),0)</f>
        <v>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 spans="53:73">
      <c r="BA307">
        <v>251</v>
      </c>
      <c r="BB307">
        <f>IFERROR(INDEX(잔액!$A:$A,BA307),0)</f>
        <v>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 spans="53:73">
      <c r="BA308">
        <v>252</v>
      </c>
      <c r="BB308">
        <f>IFERROR(INDEX(잔액!$A:$A,BA308),0)</f>
        <v>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 spans="53:73">
      <c r="BA309">
        <v>253</v>
      </c>
      <c r="BB309">
        <f>IFERROR(INDEX(잔액!$A:$A,BA309),0)</f>
        <v>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 spans="53:73">
      <c r="BA310">
        <v>254</v>
      </c>
      <c r="BB310">
        <f>IFERROR(INDEX(잔액!$A:$A,BA310),0)</f>
        <v>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 spans="53:73">
      <c r="BA311">
        <v>255</v>
      </c>
      <c r="BB311">
        <f>IFERROR(INDEX(잔액!$A:$A,BA311),0)</f>
        <v>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 spans="53:73">
      <c r="BA312">
        <v>256</v>
      </c>
      <c r="BB312">
        <f>IFERROR(INDEX(잔액!$A:$A,BA312),0)</f>
        <v>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 spans="53:73">
      <c r="BA313">
        <v>257</v>
      </c>
      <c r="BB313">
        <f>IFERROR(INDEX(잔액!$A:$A,BA313),0)</f>
        <v>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 spans="53:73">
      <c r="BA314">
        <v>258</v>
      </c>
      <c r="BB314">
        <f>IFERROR(INDEX(잔액!$A:$A,BA314),0)</f>
        <v>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 spans="53:73">
      <c r="BA315">
        <v>259</v>
      </c>
      <c r="BB315">
        <f>IFERROR(INDEX(잔액!$A:$A,BA315),0)</f>
        <v>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 spans="53:73">
      <c r="BA316">
        <v>260</v>
      </c>
      <c r="BB316">
        <f>IFERROR(INDEX(잔액!$A:$A,BA316),0)</f>
        <v>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 spans="53:73">
      <c r="BA317">
        <v>261</v>
      </c>
      <c r="BB317">
        <f>IFERROR(INDEX(잔액!$A:$A,BA317),0)</f>
        <v>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 spans="53:73">
      <c r="BA318">
        <v>262</v>
      </c>
      <c r="BB318">
        <f>IFERROR(INDEX(잔액!$A:$A,BA318),0)</f>
        <v>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 spans="53:73">
      <c r="BA319">
        <v>263</v>
      </c>
      <c r="BB319">
        <f>IFERROR(INDEX(잔액!$A:$A,BA319),0)</f>
        <v>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 spans="53:73">
      <c r="BA320">
        <v>264</v>
      </c>
      <c r="BB320">
        <f>IFERROR(INDEX(잔액!$A:$A,BA320),0)</f>
        <v>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 spans="53:73">
      <c r="BA321">
        <v>265</v>
      </c>
      <c r="BB321">
        <f>IFERROR(INDEX(잔액!$A:$A,BA321),0)</f>
        <v>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 spans="53:73">
      <c r="BA322">
        <v>266</v>
      </c>
      <c r="BB322">
        <f>IFERROR(INDEX(잔액!$A:$A,BA322),0)</f>
        <v>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 spans="53:73">
      <c r="BA323">
        <v>267</v>
      </c>
      <c r="BB323">
        <f>IFERROR(INDEX(잔액!$A:$A,BA323),0)</f>
        <v>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 spans="53:73">
      <c r="BA324">
        <v>268</v>
      </c>
      <c r="BB324">
        <f>IFERROR(INDEX(잔액!$A:$A,BA324),0)</f>
        <v>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 spans="53:73">
      <c r="BA325">
        <v>269</v>
      </c>
      <c r="BB325">
        <f>IFERROR(INDEX(잔액!$A:$A,BA325),0)</f>
        <v>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 spans="53:73">
      <c r="BA326">
        <v>270</v>
      </c>
      <c r="BB326">
        <f>IFERROR(INDEX(잔액!$A:$A,BA326),0)</f>
        <v>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 spans="53:73">
      <c r="BA327">
        <v>271</v>
      </c>
      <c r="BB327">
        <f>IFERROR(INDEX(잔액!$A:$A,BA327),0)</f>
        <v>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 spans="53:73">
      <c r="BA328">
        <v>272</v>
      </c>
      <c r="BB328">
        <f>IFERROR(INDEX(잔액!$A:$A,BA328),0)</f>
        <v>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 spans="53:73">
      <c r="BA329">
        <v>273</v>
      </c>
      <c r="BB329">
        <f>IFERROR(INDEX(잔액!$A:$A,BA329),0)</f>
        <v>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 spans="53:73">
      <c r="BA330">
        <v>274</v>
      </c>
      <c r="BB330">
        <f>IFERROR(INDEX(잔액!$A:$A,BA330),0)</f>
        <v>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 spans="53:73">
      <c r="BA331">
        <v>275</v>
      </c>
      <c r="BB331">
        <f>IFERROR(INDEX(잔액!$A:$A,BA331),0)</f>
        <v>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 spans="53:73">
      <c r="BA332">
        <v>276</v>
      </c>
      <c r="BB332">
        <f>IFERROR(INDEX(잔액!$A:$A,BA332),0)</f>
        <v>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 spans="53:73">
      <c r="BA333">
        <v>277</v>
      </c>
      <c r="BB333">
        <f>IFERROR(INDEX(잔액!$A:$A,BA333),0)</f>
        <v>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 spans="53:73">
      <c r="BA334">
        <v>278</v>
      </c>
      <c r="BB334">
        <f>IFERROR(INDEX(잔액!$A:$A,BA334),0)</f>
        <v>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 spans="53:73">
      <c r="BA335">
        <v>279</v>
      </c>
      <c r="BB335">
        <f>IFERROR(INDEX(잔액!$A:$A,BA335),0)</f>
        <v>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 spans="53:73">
      <c r="BA336">
        <v>280</v>
      </c>
      <c r="BB336">
        <f>IFERROR(INDEX(잔액!$A:$A,BA336),0)</f>
        <v>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 spans="53:73">
      <c r="BA337">
        <v>281</v>
      </c>
      <c r="BB337">
        <f>IFERROR(INDEX(잔액!$A:$A,BA337),0)</f>
        <v>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 spans="53:73">
      <c r="BA338">
        <v>282</v>
      </c>
      <c r="BB338">
        <f>IFERROR(INDEX(잔액!$A:$A,BA338),0)</f>
        <v>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 spans="53:73">
      <c r="BA339">
        <v>283</v>
      </c>
      <c r="BB339">
        <f>IFERROR(INDEX(잔액!$A:$A,BA339),0)</f>
        <v>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 spans="53:73">
      <c r="BA340">
        <v>284</v>
      </c>
      <c r="BB340">
        <f>IFERROR(INDEX(잔액!$A:$A,BA340),0)</f>
        <v>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 spans="53:73">
      <c r="BA341">
        <v>285</v>
      </c>
      <c r="BB341">
        <f>IFERROR(INDEX(잔액!$A:$A,BA341),0)</f>
        <v>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 spans="53:73">
      <c r="BA342">
        <v>286</v>
      </c>
      <c r="BB342">
        <f>IFERROR(INDEX(잔액!$A:$A,BA342),0)</f>
        <v>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 spans="53:73">
      <c r="BA343">
        <v>287</v>
      </c>
      <c r="BB343">
        <f>IFERROR(INDEX(잔액!$A:$A,BA343),0)</f>
        <v>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 spans="53:73">
      <c r="BA344">
        <v>288</v>
      </c>
      <c r="BB344">
        <f>IFERROR(INDEX(잔액!$A:$A,BA344),0)</f>
        <v>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 spans="53:73">
      <c r="BA345">
        <v>289</v>
      </c>
      <c r="BB345">
        <f>IFERROR(INDEX(잔액!$A:$A,BA345),0)</f>
        <v>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 spans="53:73">
      <c r="BA346">
        <v>290</v>
      </c>
      <c r="BB346">
        <f>IFERROR(INDEX(잔액!$A:$A,BA346),0)</f>
        <v>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 spans="53:73">
      <c r="BA347">
        <v>291</v>
      </c>
      <c r="BB347">
        <f>IFERROR(INDEX(잔액!$A:$A,BA347),0)</f>
        <v>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 spans="53:73">
      <c r="BA348">
        <v>292</v>
      </c>
      <c r="BB348">
        <f>IFERROR(INDEX(잔액!$A:$A,BA348),0)</f>
        <v>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 spans="53:73">
      <c r="BA349">
        <v>293</v>
      </c>
      <c r="BB349">
        <f>IFERROR(INDEX(잔액!$A:$A,BA349),0)</f>
        <v>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 spans="53:73">
      <c r="BA350">
        <v>294</v>
      </c>
      <c r="BB350">
        <f>IFERROR(INDEX(잔액!$A:$A,BA350),0)</f>
        <v>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 spans="53:73">
      <c r="BA351">
        <v>295</v>
      </c>
      <c r="BB351">
        <f>IFERROR(INDEX(잔액!$A:$A,BA351),0)</f>
        <v>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 spans="53:73">
      <c r="BA352">
        <v>296</v>
      </c>
      <c r="BB352">
        <f>IFERROR(INDEX(잔액!$A:$A,BA352),0)</f>
        <v>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 spans="53:73">
      <c r="BA353">
        <v>297</v>
      </c>
      <c r="BB353">
        <f>IFERROR(INDEX(잔액!$A:$A,BA353),0)</f>
        <v>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 spans="53:73">
      <c r="BA354">
        <v>298</v>
      </c>
      <c r="BB354">
        <f>IFERROR(INDEX(잔액!$A:$A,BA354),0)</f>
        <v>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 spans="53:73">
      <c r="BA355">
        <v>299</v>
      </c>
      <c r="BB355">
        <f>IFERROR(INDEX(잔액!$A:$A,BA355),0)</f>
        <v>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 spans="53:73">
      <c r="BA356">
        <v>300</v>
      </c>
      <c r="BB356">
        <f>IFERROR(INDEX(잔액!$A:$A,BA356),0)</f>
        <v>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 spans="53:73">
      <c r="BA357">
        <v>301</v>
      </c>
      <c r="BB357">
        <f>IFERROR(INDEX(잔액!$A:$A,BA357),0)</f>
        <v>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 spans="53:73">
      <c r="BA358">
        <v>302</v>
      </c>
      <c r="BB358">
        <f>IFERROR(INDEX(잔액!$A:$A,BA358),0)</f>
        <v>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 spans="53:73">
      <c r="BA359">
        <v>303</v>
      </c>
      <c r="BB359">
        <f>IFERROR(INDEX(잔액!$A:$A,BA359),0)</f>
        <v>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 spans="53:73">
      <c r="BA360">
        <v>304</v>
      </c>
      <c r="BB360">
        <f>IFERROR(INDEX(잔액!$A:$A,BA360),0)</f>
        <v>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 spans="53:73">
      <c r="BA361">
        <v>305</v>
      </c>
      <c r="BB361">
        <f>IFERROR(INDEX(잔액!$A:$A,BA361),0)</f>
        <v>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 spans="53:73">
      <c r="BA362">
        <v>306</v>
      </c>
      <c r="BB362">
        <f>IFERROR(INDEX(잔액!$A:$A,BA362),0)</f>
        <v>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 spans="53:73">
      <c r="BA363">
        <v>307</v>
      </c>
      <c r="BB363">
        <f>IFERROR(INDEX(잔액!$A:$A,BA363),0)</f>
        <v>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 spans="53:73">
      <c r="BA364">
        <v>308</v>
      </c>
      <c r="BB364">
        <f>IFERROR(INDEX(잔액!$A:$A,BA364),0)</f>
        <v>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 spans="53:73">
      <c r="BA365">
        <v>309</v>
      </c>
      <c r="BB365">
        <f>IFERROR(INDEX(잔액!$A:$A,BA365),0)</f>
        <v>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 spans="53:73">
      <c r="BA366">
        <v>310</v>
      </c>
      <c r="BB366">
        <f>IFERROR(INDEX(잔액!$A:$A,BA366),0)</f>
        <v>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 spans="53:73">
      <c r="BA367">
        <v>311</v>
      </c>
      <c r="BB367">
        <f>IFERROR(INDEX(잔액!$A:$A,BA367),0)</f>
        <v>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 spans="53:73">
      <c r="BA368">
        <v>312</v>
      </c>
      <c r="BB368">
        <f>IFERROR(INDEX(잔액!$A:$A,BA368),0)</f>
        <v>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 spans="53:73">
      <c r="BA369">
        <v>313</v>
      </c>
      <c r="BB369">
        <f>IFERROR(INDEX(잔액!$A:$A,BA369),0)</f>
        <v>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 spans="53:73">
      <c r="BA370">
        <v>314</v>
      </c>
      <c r="BB370">
        <f>IFERROR(INDEX(잔액!$A:$A,BA370),0)</f>
        <v>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 spans="53:73">
      <c r="BA371">
        <v>315</v>
      </c>
      <c r="BB371">
        <f>IFERROR(INDEX(잔액!$A:$A,BA371),0)</f>
        <v>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 spans="53:73">
      <c r="BA372">
        <v>316</v>
      </c>
      <c r="BB372">
        <f>IFERROR(INDEX(잔액!$A:$A,BA372),0)</f>
        <v>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 spans="53:73">
      <c r="BA373">
        <v>317</v>
      </c>
      <c r="BB373">
        <f>IFERROR(INDEX(잔액!$A:$A,BA373),0)</f>
        <v>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 spans="53:73">
      <c r="BA374">
        <v>318</v>
      </c>
      <c r="BB374">
        <f>IFERROR(INDEX(잔액!$A:$A,BA374),0)</f>
        <v>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 spans="53:73">
      <c r="BA375">
        <v>319</v>
      </c>
      <c r="BB375">
        <f>IFERROR(INDEX(잔액!$A:$A,BA375),0)</f>
        <v>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 spans="53:73">
      <c r="BA376">
        <v>320</v>
      </c>
      <c r="BB376">
        <f>IFERROR(INDEX(잔액!$A:$A,BA376),0)</f>
        <v>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 spans="53:73">
      <c r="BA377">
        <v>321</v>
      </c>
      <c r="BB377">
        <f>IFERROR(INDEX(잔액!$A:$A,BA377),0)</f>
        <v>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 spans="53:73">
      <c r="BA378">
        <v>322</v>
      </c>
      <c r="BB378">
        <f>IFERROR(INDEX(잔액!$A:$A,BA378),0)</f>
        <v>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 spans="53:73">
      <c r="BA379">
        <v>323</v>
      </c>
      <c r="BB379">
        <f>IFERROR(INDEX(잔액!$A:$A,BA379),0)</f>
        <v>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 spans="53:73">
      <c r="BA380">
        <v>324</v>
      </c>
      <c r="BB380">
        <f>IFERROR(INDEX(잔액!$A:$A,BA380),0)</f>
        <v>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 spans="53:73">
      <c r="BA381">
        <v>325</v>
      </c>
      <c r="BB381">
        <f>IFERROR(INDEX(잔액!$A:$A,BA381),0)</f>
        <v>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 spans="53:73">
      <c r="BA382">
        <v>326</v>
      </c>
      <c r="BB382">
        <f>IFERROR(INDEX(잔액!$A:$A,BA382),0)</f>
        <v>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 spans="53:73">
      <c r="BA383">
        <v>327</v>
      </c>
      <c r="BB383">
        <f>IFERROR(INDEX(잔액!$A:$A,BA383),0)</f>
        <v>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 spans="53:73">
      <c r="BA384">
        <v>328</v>
      </c>
      <c r="BB384">
        <f>IFERROR(INDEX(잔액!$A:$A,BA384),0)</f>
        <v>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 spans="53:73">
      <c r="BA385">
        <v>329</v>
      </c>
      <c r="BB385">
        <f>IFERROR(INDEX(잔액!$A:$A,BA385),0)</f>
        <v>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 spans="53:73">
      <c r="BA386">
        <v>330</v>
      </c>
      <c r="BB386">
        <f>IFERROR(INDEX(잔액!$A:$A,BA386),0)</f>
        <v>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 spans="53:73">
      <c r="BA387">
        <v>331</v>
      </c>
      <c r="BB387">
        <f>IFERROR(INDEX(잔액!$A:$A,BA387),0)</f>
        <v>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 spans="53:73">
      <c r="BA388">
        <v>332</v>
      </c>
      <c r="BB388">
        <f>IFERROR(INDEX(잔액!$A:$A,BA388),0)</f>
        <v>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 spans="53:73">
      <c r="BA389">
        <v>333</v>
      </c>
      <c r="BB389">
        <f>IFERROR(INDEX(잔액!$A:$A,BA389),0)</f>
        <v>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 spans="53:73">
      <c r="BA390">
        <v>334</v>
      </c>
      <c r="BB390">
        <f>IFERROR(INDEX(잔액!$A:$A,BA390),0)</f>
        <v>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 spans="53:73">
      <c r="BA391">
        <v>335</v>
      </c>
      <c r="BB391">
        <f>IFERROR(INDEX(잔액!$A:$A,BA391),0)</f>
        <v>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 spans="53:73">
      <c r="BA392">
        <v>336</v>
      </c>
      <c r="BB392">
        <f>IFERROR(INDEX(잔액!$A:$A,BA392),0)</f>
        <v>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 spans="53:73">
      <c r="BA393">
        <v>337</v>
      </c>
      <c r="BB393">
        <f>IFERROR(INDEX(잔액!$A:$A,BA393),0)</f>
        <v>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 spans="53:73">
      <c r="BA394">
        <v>338</v>
      </c>
      <c r="BB394">
        <f>IFERROR(INDEX(잔액!$A:$A,BA394),0)</f>
        <v>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 spans="53:73">
      <c r="BA395">
        <v>339</v>
      </c>
      <c r="BB395">
        <f>IFERROR(INDEX(잔액!$A:$A,BA395),0)</f>
        <v>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 spans="53:73">
      <c r="BA396">
        <v>340</v>
      </c>
      <c r="BB396">
        <f>IFERROR(INDEX(잔액!$A:$A,BA396),0)</f>
        <v>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 spans="53:73">
      <c r="BA397">
        <v>341</v>
      </c>
      <c r="BB397">
        <f>IFERROR(INDEX(잔액!$A:$A,BA397),0)</f>
        <v>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 spans="53:73">
      <c r="BA398">
        <v>342</v>
      </c>
      <c r="BB398">
        <f>IFERROR(INDEX(잔액!$A:$A,BA398),0)</f>
        <v>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 spans="53:73">
      <c r="BA399">
        <v>343</v>
      </c>
      <c r="BB399">
        <f>IFERROR(INDEX(잔액!$A:$A,BA399),0)</f>
        <v>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 spans="53:73">
      <c r="BA400">
        <v>344</v>
      </c>
      <c r="BB400">
        <f>IFERROR(INDEX(잔액!$A:$A,BA400),0)</f>
        <v>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 spans="53:60">
      <c r="BA401">
        <v>345</v>
      </c>
      <c r="BB401">
        <f>IFERROR(INDEX(잔액!$A:$A,BA401),0)</f>
        <v>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 spans="53:60">
      <c r="BA402">
        <v>346</v>
      </c>
      <c r="BB402">
        <f>IFERROR(INDEX(잔액!$A:$A,BA402),0)</f>
        <v>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 spans="53:60">
      <c r="BA403">
        <v>347</v>
      </c>
      <c r="BB403">
        <f>IFERROR(INDEX(잔액!$A:$A,BA403),0)</f>
        <v>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 spans="53:60">
      <c r="BA404">
        <v>348</v>
      </c>
      <c r="BB404">
        <f>IFERROR(INDEX(잔액!$A:$A,BA404),0)</f>
        <v>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 spans="53:60">
      <c r="BA405">
        <v>349</v>
      </c>
      <c r="BB405">
        <f>IFERROR(INDEX(잔액!$A:$A,BA405),0)</f>
        <v>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 spans="53:60">
      <c r="BA406">
        <v>350</v>
      </c>
      <c r="BB406">
        <f>IFERROR(INDEX(잔액!$A:$A,BA406),0)</f>
        <v>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 spans="53:60">
      <c r="BA407">
        <v>351</v>
      </c>
      <c r="BB407">
        <f>IFERROR(INDEX(잔액!$A:$A,BA407),0)</f>
        <v>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 spans="53:60">
      <c r="BA408">
        <v>352</v>
      </c>
      <c r="BB408">
        <f>IFERROR(INDEX(잔액!$A:$A,BA408),0)</f>
        <v>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 spans="53:60">
      <c r="BA409">
        <v>353</v>
      </c>
      <c r="BB409">
        <f>IFERROR(INDEX(잔액!$A:$A,BA409),0)</f>
        <v>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 spans="53:60">
      <c r="BA410">
        <v>354</v>
      </c>
      <c r="BB410">
        <f>IFERROR(INDEX(잔액!$A:$A,BA410),0)</f>
        <v>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 spans="53:60">
      <c r="BA411">
        <v>355</v>
      </c>
      <c r="BB411">
        <f>IFERROR(INDEX(잔액!$A:$A,BA411),0)</f>
        <v>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 spans="53:60">
      <c r="BA412">
        <v>356</v>
      </c>
      <c r="BB412">
        <f>IFERROR(INDEX(잔액!$A:$A,BA412),0)</f>
        <v>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 spans="53:60">
      <c r="BA413">
        <v>357</v>
      </c>
      <c r="BB413">
        <f>IFERROR(INDEX(잔액!$A:$A,BA413),0)</f>
        <v>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 spans="53:60">
      <c r="BA414">
        <v>358</v>
      </c>
      <c r="BB414">
        <f>IFERROR(INDEX(잔액!$A:$A,BA414),0)</f>
        <v>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 spans="53:60">
      <c r="BA415">
        <v>359</v>
      </c>
      <c r="BB415">
        <f>IFERROR(INDEX(잔액!$A:$A,BA415),0)</f>
        <v>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 spans="53:60">
      <c r="BA416">
        <v>360</v>
      </c>
      <c r="BB416">
        <f>IFERROR(INDEX(잔액!$A:$A,BA416),0)</f>
        <v>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 spans="53:60">
      <c r="BA417">
        <v>361</v>
      </c>
      <c r="BB417">
        <f>IFERROR(INDEX(잔액!$A:$A,BA417),0)</f>
        <v>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 spans="53:60">
      <c r="BA418">
        <v>362</v>
      </c>
      <c r="BB418">
        <f>IFERROR(INDEX(잔액!$A:$A,BA418),0)</f>
        <v>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 spans="53:60">
      <c r="BA419">
        <v>363</v>
      </c>
      <c r="BB419">
        <f>IFERROR(INDEX(잔액!$A:$A,BA419),0)</f>
        <v>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 spans="53:60">
      <c r="BA420">
        <v>364</v>
      </c>
      <c r="BB420">
        <f>IFERROR(INDEX(잔액!$A:$A,BA420),0)</f>
        <v>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 spans="53:60">
      <c r="BA421">
        <v>365</v>
      </c>
      <c r="BB421">
        <f>IFERROR(INDEX(잔액!$A:$A,BA421),0)</f>
        <v>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 spans="53:60">
      <c r="BA422">
        <v>366</v>
      </c>
      <c r="BB422">
        <f>IFERROR(INDEX(잔액!$A:$A,BA422),0)</f>
        <v>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 spans="53:60">
      <c r="BA423">
        <v>367</v>
      </c>
      <c r="BB423">
        <f>IFERROR(INDEX(잔액!$A:$A,BA423),0)</f>
        <v>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 spans="53:60">
      <c r="BA424">
        <v>368</v>
      </c>
      <c r="BB424">
        <f>IFERROR(INDEX(잔액!$A:$A,BA424),0)</f>
        <v>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 spans="53:60">
      <c r="BA425">
        <v>369</v>
      </c>
      <c r="BB425">
        <f>IFERROR(INDEX(잔액!$A:$A,BA425),0)</f>
        <v>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 spans="53:60">
      <c r="BA426">
        <v>370</v>
      </c>
      <c r="BB426">
        <f>IFERROR(INDEX(잔액!$A:$A,BA426),0)</f>
        <v>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 spans="53:60">
      <c r="BA427">
        <v>371</v>
      </c>
      <c r="BB427">
        <f>IFERROR(INDEX(잔액!$A:$A,BA427),0)</f>
        <v>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 spans="53:60">
      <c r="BA428">
        <v>372</v>
      </c>
      <c r="BB428">
        <f>IFERROR(INDEX(잔액!$A:$A,BA428),0)</f>
        <v>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 spans="53:60">
      <c r="BA429">
        <v>373</v>
      </c>
      <c r="BB429">
        <f>IFERROR(INDEX(잔액!$A:$A,BA429),0)</f>
        <v>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 spans="53:60">
      <c r="BA430">
        <v>374</v>
      </c>
      <c r="BB430">
        <f>IFERROR(INDEX(잔액!$A:$A,BA430),0)</f>
        <v>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 spans="53:60">
      <c r="BA431">
        <v>375</v>
      </c>
      <c r="BB431">
        <f>IFERROR(INDEX(잔액!$A:$A,BA431),0)</f>
        <v>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 spans="53:60">
      <c r="BA432">
        <v>376</v>
      </c>
      <c r="BB432">
        <f>IFERROR(INDEX(잔액!$A:$A,BA432),0)</f>
        <v>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 spans="53:60">
      <c r="BA433">
        <v>377</v>
      </c>
      <c r="BB433">
        <f>IFERROR(INDEX(잔액!$A:$A,BA433),0)</f>
        <v>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 spans="53:60">
      <c r="BA434">
        <v>378</v>
      </c>
      <c r="BB434">
        <f>IFERROR(INDEX(잔액!$A:$A,BA434),0)</f>
        <v>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 spans="53:60">
      <c r="BA435">
        <v>379</v>
      </c>
      <c r="BB435">
        <f>IFERROR(INDEX(잔액!$A:$A,BA435),0)</f>
        <v>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 spans="53:60">
      <c r="BA436">
        <v>380</v>
      </c>
      <c r="BB436">
        <f>IFERROR(INDEX(잔액!$A:$A,BA436),0)</f>
        <v>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 spans="53:60">
      <c r="BA437">
        <v>381</v>
      </c>
      <c r="BB437">
        <f>IFERROR(INDEX(잔액!$A:$A,BA437),0)</f>
        <v>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 spans="53:60">
      <c r="BA438">
        <v>382</v>
      </c>
      <c r="BB438">
        <f>IFERROR(INDEX(잔액!$A:$A,BA438),0)</f>
        <v>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 spans="53:60">
      <c r="BA439">
        <v>383</v>
      </c>
      <c r="BB439">
        <f>IFERROR(INDEX(잔액!$A:$A,BA439),0)</f>
        <v>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 spans="53:60">
      <c r="BA440">
        <v>384</v>
      </c>
      <c r="BB440">
        <f>IFERROR(INDEX(잔액!$A:$A,BA440),0)</f>
        <v>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 spans="53:60">
      <c r="BA441">
        <v>385</v>
      </c>
      <c r="BB441">
        <f>IFERROR(INDEX(잔액!$A:$A,BA441),0)</f>
        <v>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 spans="53:60">
      <c r="BA442">
        <v>386</v>
      </c>
      <c r="BB442">
        <f>IFERROR(INDEX(잔액!$A:$A,BA442),0)</f>
        <v>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 spans="53:60">
      <c r="BA443">
        <v>387</v>
      </c>
      <c r="BB443">
        <f>IFERROR(INDEX(잔액!$A:$A,BA443),0)</f>
        <v>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 spans="53:60">
      <c r="BA444">
        <v>388</v>
      </c>
      <c r="BB444">
        <f>IFERROR(INDEX(잔액!$A:$A,BA444),0)</f>
        <v>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 spans="53:60">
      <c r="BA445">
        <v>389</v>
      </c>
      <c r="BB445">
        <f>IFERROR(INDEX(잔액!$A:$A,BA445),0)</f>
        <v>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 spans="53:60">
      <c r="BA446">
        <v>390</v>
      </c>
      <c r="BB446">
        <f>IFERROR(INDEX(잔액!$A:$A,BA446),0)</f>
        <v>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 spans="53:60">
      <c r="BA447">
        <v>391</v>
      </c>
      <c r="BB447">
        <f>IFERROR(INDEX(잔액!$A:$A,BA447),0)</f>
        <v>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 spans="53:60">
      <c r="BA448">
        <v>392</v>
      </c>
      <c r="BB448">
        <f>IFERROR(INDEX(잔액!$A:$A,BA448),0)</f>
        <v>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 spans="53:60">
      <c r="BA449">
        <v>393</v>
      </c>
      <c r="BB449">
        <f>IFERROR(INDEX(잔액!$A:$A,BA449),0)</f>
        <v>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 spans="53:60">
      <c r="BA450">
        <v>394</v>
      </c>
      <c r="BB450">
        <f>IFERROR(INDEX(잔액!$A:$A,BA450),0)</f>
        <v>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 spans="53:60">
      <c r="BA451">
        <v>395</v>
      </c>
      <c r="BB451">
        <f>IFERROR(INDEX(잔액!$A:$A,BA451),0)</f>
        <v>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 spans="53:60">
      <c r="BA452">
        <v>396</v>
      </c>
      <c r="BB452">
        <f>IFERROR(INDEX(잔액!$A:$A,BA452),0)</f>
        <v>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 spans="53:60">
      <c r="BA453">
        <v>397</v>
      </c>
      <c r="BB453">
        <f>IFERROR(INDEX(잔액!$A:$A,BA453),0)</f>
        <v>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 spans="53:60">
      <c r="BA454">
        <v>398</v>
      </c>
      <c r="BB454">
        <f>IFERROR(INDEX(잔액!$A:$A,BA454),0)</f>
        <v>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 spans="53:60">
      <c r="BA455">
        <v>399</v>
      </c>
      <c r="BB455">
        <f>IFERROR(INDEX(잔액!$A:$A,BA455),0)</f>
        <v>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 spans="53:60">
      <c r="BA456">
        <v>400</v>
      </c>
      <c r="BB456">
        <f>IFERROR(INDEX(잔액!$A:$A,BA456),0)</f>
        <v>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 spans="53:60">
      <c r="BA457">
        <v>401</v>
      </c>
      <c r="BB457">
        <f>IFERROR(INDEX(잔액!$A:$A,BA457),0)</f>
        <v>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 spans="53:60">
      <c r="BA458">
        <v>402</v>
      </c>
      <c r="BB458">
        <f>IFERROR(INDEX(잔액!$A:$A,BA458),0)</f>
        <v>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 spans="53:60">
      <c r="BA459">
        <v>403</v>
      </c>
      <c r="BB459">
        <f>IFERROR(INDEX(잔액!$A:$A,BA459),0)</f>
        <v>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 spans="53:60">
      <c r="BA460">
        <v>404</v>
      </c>
      <c r="BB460">
        <f>IFERROR(INDEX(잔액!$A:$A,BA460),0)</f>
        <v>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 spans="53:60">
      <c r="BA461">
        <v>405</v>
      </c>
      <c r="BB461">
        <f>IFERROR(INDEX(잔액!$A:$A,BA461),0)</f>
        <v>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 spans="53:60">
      <c r="BA462">
        <v>406</v>
      </c>
      <c r="BB462">
        <f>IFERROR(INDEX(잔액!$A:$A,BA462),0)</f>
        <v>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 spans="53:60">
      <c r="BA463">
        <v>407</v>
      </c>
      <c r="BB463">
        <f>IFERROR(INDEX(잔액!$A:$A,BA463),0)</f>
        <v>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 spans="53:60">
      <c r="BA464">
        <v>408</v>
      </c>
      <c r="BB464">
        <f>IFERROR(INDEX(잔액!$A:$A,BA464),0)</f>
        <v>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 spans="53:60">
      <c r="BA465">
        <v>409</v>
      </c>
      <c r="BB465">
        <f>IFERROR(INDEX(잔액!$A:$A,BA465),0)</f>
        <v>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 spans="53:60">
      <c r="BA466">
        <v>410</v>
      </c>
      <c r="BB466">
        <f>IFERROR(INDEX(잔액!$A:$A,BA466),0)</f>
        <v>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 spans="53:60">
      <c r="BA467">
        <v>411</v>
      </c>
      <c r="BB467">
        <f>IFERROR(INDEX(잔액!$A:$A,BA467),0)</f>
        <v>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 spans="53:60">
      <c r="BA468">
        <v>412</v>
      </c>
      <c r="BB468">
        <f>IFERROR(INDEX(잔액!$A:$A,BA468),0)</f>
        <v>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 spans="53:60">
      <c r="BA469">
        <v>413</v>
      </c>
      <c r="BB469">
        <f>IFERROR(INDEX(잔액!$A:$A,BA469),0)</f>
        <v>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 spans="53:60">
      <c r="BA470">
        <v>414</v>
      </c>
      <c r="BB470">
        <f>IFERROR(INDEX(잔액!$A:$A,BA470),0)</f>
        <v>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 spans="53:60">
      <c r="BA471">
        <v>415</v>
      </c>
      <c r="BB471">
        <f>IFERROR(INDEX(잔액!$A:$A,BA471),0)</f>
        <v>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 spans="53:60">
      <c r="BA472">
        <v>416</v>
      </c>
      <c r="BB472">
        <f>IFERROR(INDEX(잔액!$A:$A,BA472),0)</f>
        <v>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 spans="53:60">
      <c r="BA473">
        <v>417</v>
      </c>
      <c r="BB473">
        <f>IFERROR(INDEX(잔액!$A:$A,BA473),0)</f>
        <v>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 spans="53:60">
      <c r="BA474">
        <v>418</v>
      </c>
      <c r="BB474">
        <f>IFERROR(INDEX(잔액!$A:$A,BA474),0)</f>
        <v>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 spans="53:60">
      <c r="BA475">
        <v>419</v>
      </c>
      <c r="BB475">
        <f>IFERROR(INDEX(잔액!$A:$A,BA475),0)</f>
        <v>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 spans="53:60">
      <c r="BA476">
        <v>420</v>
      </c>
      <c r="BB476">
        <f>IFERROR(INDEX(잔액!$A:$A,BA476),0)</f>
        <v>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 spans="53:60">
      <c r="BA477">
        <v>421</v>
      </c>
      <c r="BB477">
        <f>IFERROR(INDEX(잔액!$A:$A,BA477),0)</f>
        <v>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 spans="53:60">
      <c r="BA478">
        <v>422</v>
      </c>
      <c r="BB478">
        <f>IFERROR(INDEX(잔액!$A:$A,BA478),0)</f>
        <v>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 spans="53:60">
      <c r="BA479">
        <v>423</v>
      </c>
      <c r="BB479">
        <f>IFERROR(INDEX(잔액!$A:$A,BA479),0)</f>
        <v>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 spans="53:60">
      <c r="BA480">
        <v>424</v>
      </c>
      <c r="BB480">
        <f>IFERROR(INDEX(잔액!$A:$A,BA480),0)</f>
        <v>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 spans="53:60">
      <c r="BA481">
        <v>425</v>
      </c>
      <c r="BB481">
        <f>IFERROR(INDEX(잔액!$A:$A,BA481),0)</f>
        <v>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 spans="53:60">
      <c r="BA482">
        <v>426</v>
      </c>
      <c r="BB482">
        <f>IFERROR(INDEX(잔액!$A:$A,BA482),0)</f>
        <v>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 spans="53:60">
      <c r="BA483">
        <v>427</v>
      </c>
      <c r="BB483">
        <f>IFERROR(INDEX(잔액!$A:$A,BA483),0)</f>
        <v>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 spans="53:60">
      <c r="BA484">
        <v>428</v>
      </c>
      <c r="BB484">
        <f>IFERROR(INDEX(잔액!$A:$A,BA484),0)</f>
        <v>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 spans="53:60">
      <c r="BA485">
        <v>429</v>
      </c>
      <c r="BB485">
        <f>IFERROR(INDEX(잔액!$A:$A,BA485),0)</f>
        <v>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 spans="53:60">
      <c r="BA486">
        <v>430</v>
      </c>
      <c r="BB486">
        <f>IFERROR(INDEX(잔액!$A:$A,BA486),0)</f>
        <v>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 spans="53:60">
      <c r="BA487">
        <v>431</v>
      </c>
      <c r="BB487">
        <f>IFERROR(INDEX(잔액!$A:$A,BA487),0)</f>
        <v>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 spans="53:60">
      <c r="BA488">
        <v>432</v>
      </c>
      <c r="BB488">
        <f>IFERROR(INDEX(잔액!$A:$A,BA488),0)</f>
        <v>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 spans="53:60">
      <c r="BA489">
        <v>433</v>
      </c>
      <c r="BB489">
        <f>IFERROR(INDEX(잔액!$A:$A,BA489),0)</f>
        <v>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 spans="53:60">
      <c r="BA490">
        <v>434</v>
      </c>
      <c r="BB490">
        <f>IFERROR(INDEX(잔액!$A:$A,BA490),0)</f>
        <v>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 spans="53:60">
      <c r="BA491">
        <v>435</v>
      </c>
      <c r="BB491">
        <f>IFERROR(INDEX(잔액!$A:$A,BA491),0)</f>
        <v>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 spans="53:60">
      <c r="BA492">
        <v>436</v>
      </c>
      <c r="BB492">
        <f>IFERROR(INDEX(잔액!$A:$A,BA492),0)</f>
        <v>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 spans="53:60">
      <c r="BA493">
        <v>437</v>
      </c>
      <c r="BB493">
        <f>IFERROR(INDEX(잔액!$A:$A,BA493),0)</f>
        <v>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 spans="53:60">
      <c r="BA494">
        <v>438</v>
      </c>
      <c r="BB494">
        <f>IFERROR(INDEX(잔액!$A:$A,BA494),0)</f>
        <v>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 spans="53:60">
      <c r="BA495">
        <v>439</v>
      </c>
      <c r="BB495">
        <f>IFERROR(INDEX(잔액!$A:$A,BA495),0)</f>
        <v>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 spans="53:60">
      <c r="BA496">
        <v>440</v>
      </c>
      <c r="BB496">
        <f>IFERROR(INDEX(잔액!$A:$A,BA496),0)</f>
        <v>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 spans="53:60">
      <c r="BA497">
        <v>441</v>
      </c>
      <c r="BB497">
        <f>IFERROR(INDEX(잔액!$A:$A,BA497),0)</f>
        <v>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 spans="53:60">
      <c r="BA498">
        <v>442</v>
      </c>
      <c r="BB498">
        <f>IFERROR(INDEX(잔액!$A:$A,BA498),0)</f>
        <v>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 spans="53:60">
      <c r="BA499">
        <v>443</v>
      </c>
      <c r="BB499">
        <f>IFERROR(INDEX(잔액!$A:$A,BA499),0)</f>
        <v>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 spans="53:60">
      <c r="BA500">
        <v>444</v>
      </c>
      <c r="BB500">
        <f>IFERROR(INDEX(잔액!$A:$A,BA500),0)</f>
        <v>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 spans="53:60">
      <c r="BA501">
        <v>445</v>
      </c>
      <c r="BB501">
        <f>IFERROR(INDEX(잔액!$A:$A,BA501),0)</f>
        <v>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 spans="53:60">
      <c r="BA502">
        <v>446</v>
      </c>
      <c r="BB502">
        <f>IFERROR(INDEX(잔액!$A:$A,BA502),0)</f>
        <v>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 spans="53:60">
      <c r="BA503">
        <v>447</v>
      </c>
      <c r="BB503">
        <f>IFERROR(INDEX(잔액!$A:$A,BA503),0)</f>
        <v>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 spans="53:60">
      <c r="BA504">
        <v>448</v>
      </c>
      <c r="BB504">
        <f>IFERROR(INDEX(잔액!$A:$A,BA504),0)</f>
        <v>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 spans="53:60">
      <c r="BA505">
        <v>449</v>
      </c>
      <c r="BB505">
        <f>IFERROR(INDEX(잔액!$A:$A,BA505),0)</f>
        <v>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 spans="53:60">
      <c r="BA506">
        <v>450</v>
      </c>
      <c r="BB506">
        <f>IFERROR(INDEX(잔액!$A:$A,BA506),0)</f>
        <v>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 spans="53:60">
      <c r="BA507">
        <v>451</v>
      </c>
      <c r="BB507">
        <f>IFERROR(INDEX(잔액!$A:$A,BA507),0)</f>
        <v>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 spans="53:60">
      <c r="BA508">
        <v>452</v>
      </c>
      <c r="BB508">
        <f>IFERROR(INDEX(잔액!$A:$A,BA508),0)</f>
        <v>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 spans="53:60">
      <c r="BA509">
        <v>453</v>
      </c>
      <c r="BB509">
        <f>IFERROR(INDEX(잔액!$A:$A,BA509),0)</f>
        <v>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 spans="53:60">
      <c r="BA510">
        <v>454</v>
      </c>
      <c r="BB510">
        <f>IFERROR(INDEX(잔액!$A:$A,BA510),0)</f>
        <v>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 spans="53:60">
      <c r="BA511">
        <v>455</v>
      </c>
      <c r="BB511">
        <f>IFERROR(INDEX(잔액!$A:$A,BA511),0)</f>
        <v>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 spans="53:60">
      <c r="BA512">
        <v>456</v>
      </c>
      <c r="BB512">
        <f>IFERROR(INDEX(잔액!$A:$A,BA512),0)</f>
        <v>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 spans="53:60">
      <c r="BA513">
        <v>457</v>
      </c>
      <c r="BB513">
        <f>IFERROR(INDEX(잔액!$A:$A,BA513),0)</f>
        <v>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 spans="53:60">
      <c r="BA514">
        <v>458</v>
      </c>
      <c r="BB514">
        <f>IFERROR(INDEX(잔액!$A:$A,BA514),0)</f>
        <v>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 spans="53:60">
      <c r="BA515">
        <v>459</v>
      </c>
      <c r="BB515">
        <f>IFERROR(INDEX(잔액!$A:$A,BA515),0)</f>
        <v>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 spans="53:60">
      <c r="BA516">
        <v>460</v>
      </c>
      <c r="BB516">
        <f>IFERROR(INDEX(잔액!$A:$A,BA516),0)</f>
        <v>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 spans="53:60">
      <c r="BA517">
        <v>461</v>
      </c>
      <c r="BB517">
        <f>IFERROR(INDEX(잔액!$A:$A,BA517),0)</f>
        <v>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 spans="53:60">
      <c r="BA518">
        <v>462</v>
      </c>
      <c r="BB518">
        <f>IFERROR(INDEX(잔액!$A:$A,BA518),0)</f>
        <v>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 spans="53:60">
      <c r="BA519">
        <v>463</v>
      </c>
      <c r="BB519">
        <f>IFERROR(INDEX(잔액!$A:$A,BA519),0)</f>
        <v>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 spans="53:60">
      <c r="BA520">
        <v>464</v>
      </c>
      <c r="BB520">
        <f>IFERROR(INDEX(잔액!$A:$A,BA520),0)</f>
        <v>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 spans="53:60">
      <c r="BA521">
        <v>465</v>
      </c>
      <c r="BB521">
        <f>IFERROR(INDEX(잔액!$A:$A,BA521),0)</f>
        <v>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 spans="53:60">
      <c r="BA522">
        <v>466</v>
      </c>
      <c r="BB522">
        <f>IFERROR(INDEX(잔액!$A:$A,BA522),0)</f>
        <v>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 spans="53:60">
      <c r="BA523">
        <v>467</v>
      </c>
      <c r="BB523">
        <f>IFERROR(INDEX(잔액!$A:$A,BA523),0)</f>
        <v>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 spans="53:60">
      <c r="BA524">
        <v>468</v>
      </c>
      <c r="BB524">
        <f>IFERROR(INDEX(잔액!$A:$A,BA524),0)</f>
        <v>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 spans="53:60">
      <c r="BA525">
        <v>469</v>
      </c>
      <c r="BB525">
        <f>IFERROR(INDEX(잔액!$A:$A,BA525),0)</f>
        <v>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 spans="53:60">
      <c r="BA526">
        <v>470</v>
      </c>
      <c r="BB526">
        <f>IFERROR(INDEX(잔액!$A:$A,BA526),0)</f>
        <v>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 spans="53:60">
      <c r="BA527">
        <v>471</v>
      </c>
      <c r="BB527">
        <f>IFERROR(INDEX(잔액!$A:$A,BA527),0)</f>
        <v>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 spans="53:60">
      <c r="BA528">
        <v>472</v>
      </c>
      <c r="BB528">
        <f>IFERROR(INDEX(잔액!$A:$A,BA528),0)</f>
        <v>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 spans="53:60">
      <c r="BA529">
        <v>473</v>
      </c>
      <c r="BB529">
        <f>IFERROR(INDEX(잔액!$A:$A,BA529),0)</f>
        <v>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 spans="53:60">
      <c r="BA530">
        <v>474</v>
      </c>
      <c r="BB530">
        <f>IFERROR(INDEX(잔액!$A:$A,BA530),0)</f>
        <v>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 spans="53:60">
      <c r="BA531">
        <v>475</v>
      </c>
      <c r="BB531">
        <f>IFERROR(INDEX(잔액!$A:$A,BA531),0)</f>
        <v>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 spans="53:60">
      <c r="BA532">
        <v>476</v>
      </c>
      <c r="BB532">
        <f>IFERROR(INDEX(잔액!$A:$A,BA532),0)</f>
        <v>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 spans="53:60">
      <c r="BA533">
        <v>477</v>
      </c>
      <c r="BB533">
        <f>IFERROR(INDEX(잔액!$A:$A,BA533),0)</f>
        <v>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 spans="53:60">
      <c r="BA534">
        <v>478</v>
      </c>
      <c r="BB534">
        <f>IFERROR(INDEX(잔액!$A:$A,BA534),0)</f>
        <v>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 spans="53:60">
      <c r="BA535">
        <v>479</v>
      </c>
      <c r="BB535">
        <f>IFERROR(INDEX(잔액!$A:$A,BA535),0)</f>
        <v>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 spans="53:60">
      <c r="BA536">
        <v>480</v>
      </c>
      <c r="BB536">
        <f>IFERROR(INDEX(잔액!$A:$A,BA536),0)</f>
        <v>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 spans="53:60">
      <c r="BA537">
        <v>481</v>
      </c>
      <c r="BB537">
        <f>IFERROR(INDEX(잔액!$A:$A,BA537),0)</f>
        <v>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 spans="53:60">
      <c r="BA538">
        <v>482</v>
      </c>
      <c r="BB538">
        <f>IFERROR(INDEX(잔액!$A:$A,BA538),0)</f>
        <v>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 spans="53:60">
      <c r="BA539">
        <v>483</v>
      </c>
      <c r="BB539">
        <f>IFERROR(INDEX(잔액!$A:$A,BA539),0)</f>
        <v>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 spans="53:60">
      <c r="BA540">
        <v>484</v>
      </c>
      <c r="BB540">
        <f>IFERROR(INDEX(잔액!$A:$A,BA540),0)</f>
        <v>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 spans="53:60">
      <c r="BA541">
        <v>485</v>
      </c>
      <c r="BB541">
        <f>IFERROR(INDEX(잔액!$A:$A,BA541),0)</f>
        <v>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 spans="53:60">
      <c r="BA542">
        <v>486</v>
      </c>
      <c r="BB542">
        <f>IFERROR(INDEX(잔액!$A:$A,BA542),0)</f>
        <v>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 spans="53:60">
      <c r="BA543">
        <v>487</v>
      </c>
      <c r="BB543">
        <f>IFERROR(INDEX(잔액!$A:$A,BA543),0)</f>
        <v>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 spans="53:60">
      <c r="BA544">
        <v>488</v>
      </c>
      <c r="BB544">
        <f>IFERROR(INDEX(잔액!$A:$A,BA544),0)</f>
        <v>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 spans="53:60">
      <c r="BA545">
        <v>489</v>
      </c>
      <c r="BB545">
        <f>IFERROR(INDEX(잔액!$A:$A,BA545),0)</f>
        <v>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 spans="53:60">
      <c r="BA546">
        <v>490</v>
      </c>
      <c r="BB546">
        <f>IFERROR(INDEX(잔액!$A:$A,BA546),0)</f>
        <v>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 spans="53:60">
      <c r="BA547">
        <v>491</v>
      </c>
      <c r="BB547">
        <f>IFERROR(INDEX(잔액!$A:$A,BA547),0)</f>
        <v>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 spans="53:60">
      <c r="BA548">
        <v>492</v>
      </c>
      <c r="BB548">
        <f>IFERROR(INDEX(잔액!$A:$A,BA548),0)</f>
        <v>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 spans="53:60">
      <c r="BA549">
        <v>493</v>
      </c>
      <c r="BB549">
        <f>IFERROR(INDEX(잔액!$A:$A,BA549),0)</f>
        <v>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 spans="53:60">
      <c r="BA550">
        <v>494</v>
      </c>
      <c r="BB550">
        <f>IFERROR(INDEX(잔액!$A:$A,BA550),0)</f>
        <v>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 spans="53:60">
      <c r="BA551">
        <v>495</v>
      </c>
      <c r="BB551">
        <f>IFERROR(INDEX(잔액!$A:$A,BA551),0)</f>
        <v>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 spans="53:60">
      <c r="BA552">
        <v>496</v>
      </c>
      <c r="BB552">
        <f>IFERROR(INDEX(잔액!$A:$A,BA552),0)</f>
        <v>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 spans="53:60">
      <c r="BA553">
        <v>497</v>
      </c>
      <c r="BB553">
        <f>IFERROR(INDEX(잔액!$A:$A,BA553),0)</f>
        <v>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 spans="53:60">
      <c r="BA554">
        <v>498</v>
      </c>
      <c r="BB554">
        <f>IFERROR(INDEX(잔액!$A:$A,BA554),0)</f>
        <v>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 spans="53:60">
      <c r="BA555">
        <v>499</v>
      </c>
      <c r="BB555">
        <f>IFERROR(INDEX(잔액!$A:$A,BA555),0)</f>
        <v>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 spans="53:60">
      <c r="BA556">
        <v>500</v>
      </c>
      <c r="BB556">
        <f>IFERROR(INDEX(잔액!$A:$A,BA556),0)</f>
        <v>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37:F37"/>
    <mergeCell ref="A60:W61"/>
    <mergeCell ref="H74:I74"/>
    <mergeCell ref="S3:W3"/>
    <mergeCell ref="J77:K77"/>
    <mergeCell ref="C3:F3"/>
    <mergeCell ref="A84:F84"/>
    <mergeCell ref="D76:E76"/>
    <mergeCell ref="O3:R3"/>
    <mergeCell ref="F76:G76"/>
    <mergeCell ref="K3:N3"/>
    <mergeCell ref="L76:M76"/>
    <mergeCell ref="U96:W96"/>
    <mergeCell ref="A81:W81"/>
    <mergeCell ref="L77:M77"/>
    <mergeCell ref="A87:F87"/>
    <mergeCell ref="B75:C75"/>
    <mergeCell ref="A65:W66"/>
    <mergeCell ref="J72:K72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H71:I71"/>
    <mergeCell ref="J71:K71"/>
    <mergeCell ref="N73:W73"/>
    <mergeCell ref="J73:K73"/>
    <mergeCell ref="A92:W92"/>
    <mergeCell ref="F74:G74"/>
    <mergeCell ref="J74:K74"/>
    <mergeCell ref="N76:W76"/>
    <mergeCell ref="L74:M74"/>
    <mergeCell ref="U85:W85"/>
    <mergeCell ref="A93:F93"/>
    <mergeCell ref="U94:W94"/>
    <mergeCell ref="A69:W69"/>
    <mergeCell ref="A94:F94"/>
    <mergeCell ref="B76:C76"/>
    <mergeCell ref="U97:W97"/>
    <mergeCell ref="L75:M75"/>
    <mergeCell ref="A86:F86"/>
    <mergeCell ref="U87:W87"/>
    <mergeCell ref="A95:F95"/>
    <mergeCell ref="B77:C77"/>
    <mergeCell ref="D77:E77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  <mergeCell ref="A85:F85"/>
    <mergeCell ref="A83:F83"/>
    <mergeCell ref="C47:F47"/>
    <mergeCell ref="A39:F39"/>
    <mergeCell ref="N77:W77"/>
    <mergeCell ref="F77:G77"/>
    <mergeCell ref="H77:I77"/>
    <mergeCell ref="N75:W75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26</vt:i4>
      </vt:variant>
    </vt:vector>
  </HeadingPairs>
  <TitlesOfParts>
    <vt:vector size="71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예비비!Print_Area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2026-10-25T10:59:45Z</dcterms:modified>
</cp:coreProperties>
</file>