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<sst xmlns="http://schemas.openxmlformats.org/spreadsheetml/2006/main" count="172" uniqueCount="99">
  <si>
    <t>Tesco</t>
  </si>
  <si>
    <t>Sainsbury</t>
  </si>
  <si>
    <t>Return on capital employed</t>
  </si>
  <si>
    <t>2019
in  £</t>
  </si>
  <si>
    <t>2020
in  £</t>
  </si>
  <si>
    <t>(EBIT/ Capital Employed</t>
  </si>
  <si>
    <t>1617/((44320+12480)-20973))</t>
  </si>
  <si>
    <t>(1315/((39138+12879)-17927))</t>
  </si>
  <si>
    <t>(186/(28011-11849)</t>
  </si>
  <si>
    <t>(152/(27937-12047)</t>
  </si>
  <si>
    <t xml:space="preserve">Return On Sales </t>
  </si>
  <si>
    <t>(Operating profit/ Sales) *100</t>
  </si>
  <si>
    <t>(2649/63911)</t>
  </si>
  <si>
    <t>(2518/64760)</t>
  </si>
  <si>
    <t>(601/29007)*100</t>
  </si>
  <si>
    <t>(650/28993)*100</t>
  </si>
  <si>
    <t>Asset Utilization Ratio</t>
  </si>
  <si>
    <t>(Sales/ Total Assets)</t>
  </si>
  <si>
    <t>(63911/(36379+12570)</t>
  </si>
  <si>
    <t>58091/(39254+13893)</t>
  </si>
  <si>
    <t>(29007/28011)</t>
  </si>
  <si>
    <t>(28993/27937)</t>
  </si>
  <si>
    <t>Gross Profit Margin</t>
  </si>
  <si>
    <t>(Gross Profit/ Sales) *100</t>
  </si>
  <si>
    <t>(4696/63911) *100</t>
  </si>
  <si>
    <t>(4580/64760)* 100</t>
  </si>
  <si>
    <t>(2288/29007)*100</t>
  </si>
  <si>
    <t>(2016/28993)*100</t>
  </si>
  <si>
    <t>Current Ratio</t>
  </si>
  <si>
    <t>(Current Asset/ Current Liability)</t>
  </si>
  <si>
    <t>(12570/20680)</t>
  </si>
  <si>
    <t>( 13608 / 18656 )</t>
  </si>
  <si>
    <t>(7550/11849)</t>
  </si>
  <si>
    <t>(7582/12047)</t>
  </si>
  <si>
    <t>Quick Ratio</t>
  </si>
  <si>
    <t>(12570-2617)/20680</t>
  </si>
  <si>
    <t xml:space="preserve">( 13608 - 2433 ) / 18656 </t>
  </si>
  <si>
    <t>(7550-1929)/11849</t>
  </si>
  <si>
    <t>(7582-1732)/12047</t>
  </si>
  <si>
    <t>(Current Asset-Inventory)/ Current Liability</t>
  </si>
  <si>
    <t>Gearing Ratio</t>
  </si>
  <si>
    <t>Debt to equity ratio</t>
  </si>
  <si>
    <t>((20680+13533)/14834)</t>
  </si>
  <si>
    <t xml:space="preserve">( 4763 + 21122 ) / 13369 </t>
  </si>
  <si>
    <t>( Total debt / total shareholder's equity )</t>
  </si>
  <si>
    <t>Interest Cover Ratio</t>
  </si>
  <si>
    <t>(EBIT/Interest)</t>
  </si>
  <si>
    <t>(1617/347)</t>
  </si>
  <si>
    <t>(1315/380)</t>
  </si>
  <si>
    <t>(202/16)</t>
  </si>
  <si>
    <t>(255/103)</t>
  </si>
  <si>
    <t>Stock days</t>
  </si>
  <si>
    <t>(Inventory/ Cost of goods Sold)*365</t>
  </si>
  <si>
    <t>(2617/59767)*365</t>
  </si>
  <si>
    <t>(2433/ 53810)/*365</t>
  </si>
  <si>
    <t>(1929/26719)*365</t>
  </si>
  <si>
    <t>(1732/26977)*365</t>
  </si>
  <si>
    <t>Current Trade Receivable days</t>
  </si>
  <si>
    <t>(Trade Receivables/ Sales)*365</t>
  </si>
  <si>
    <t>(1640/63911)*365</t>
  </si>
  <si>
    <t>(1396/58091)*365</t>
  </si>
  <si>
    <t>(1929/29007)*365</t>
  </si>
  <si>
    <t>(1732/28993) *365</t>
  </si>
  <si>
    <t>Current Trade Payable days</t>
  </si>
  <si>
    <t>(Trade Payables/ COGS)*365</t>
  </si>
  <si>
    <t>(9354/59767)*365</t>
  </si>
  <si>
    <t>(8922/ 53810 ) *365</t>
  </si>
  <si>
    <t>(4373/26719)* 365</t>
  </si>
  <si>
    <t>(4275/26977)*365</t>
  </si>
  <si>
    <t>Return On Equity</t>
  </si>
  <si>
    <r>
      <rPr>
        <rFont val="Times New Roman"/>
        <color rgb="FF000000"/>
        <sz val="12.0"/>
      </rPr>
      <t>( Net profit / Share</t>
    </r>
    <r>
      <rPr>
        <rFont val="Times New Roman"/>
        <color rgb="FF000000"/>
        <sz val="12.0"/>
      </rPr>
      <t>holder's 
equity) * 100))</t>
    </r>
  </si>
  <si>
    <t>(1320/14834)</t>
  </si>
  <si>
    <t xml:space="preserve"> ( 973 / 13369  ) * 100</t>
  </si>
  <si>
    <t xml:space="preserve">(186/7782) 
</t>
  </si>
  <si>
    <t>(152/7773)</t>
  </si>
  <si>
    <t>Du Pont Analysis</t>
  </si>
  <si>
    <t>Net income / revenue</t>
  </si>
  <si>
    <t>(1320/63911)</t>
  </si>
  <si>
    <t>(973/58091)</t>
  </si>
  <si>
    <t>(186/29007)</t>
  </si>
  <si>
    <t>(152/28993)</t>
  </si>
  <si>
    <t>Revenue / Total assets</t>
  </si>
  <si>
    <t>(63911/(36379+12570))</t>
  </si>
  <si>
    <t>(58091/(39254+13893))</t>
  </si>
  <si>
    <t>Total Asset/ Total Equity</t>
  </si>
  <si>
    <t>((36379+12570)/14834)</t>
  </si>
  <si>
    <t>((39254+13893)/13369)</t>
  </si>
  <si>
    <t>(28011/7782)</t>
  </si>
  <si>
    <t>(27937/7773)</t>
  </si>
  <si>
    <t>Du Point Analysis</t>
  </si>
  <si>
    <t>Particulars</t>
  </si>
  <si>
    <t>Revenue</t>
  </si>
  <si>
    <t>COGS</t>
  </si>
  <si>
    <t>Gross Profit</t>
  </si>
  <si>
    <t>Administrative expenses</t>
  </si>
  <si>
    <t>Operating Income/ Loss</t>
  </si>
  <si>
    <t>Profit Before Tax</t>
  </si>
  <si>
    <t>Income tax</t>
  </si>
  <si>
    <t>Profit For the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</si>
</sst>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rgb="FF1F1F1F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readingOrder="0" vertical="bottom"/>
    </xf>
    <xf borderId="0" fillId="0" fontId="3" numFmtId="0" xfId="0" applyFont="1"/>
    <xf borderId="4" fillId="0" fontId="4" numFmtId="0" xfId="0" applyAlignment="1" applyBorder="1" applyFont="1">
      <alignment readingOrder="0"/>
    </xf>
    <xf borderId="4" fillId="0" fontId="1" numFmtId="0" xfId="0" applyAlignment="1" applyBorder="1" applyFont="1">
      <alignment horizontal="center" vertical="bottom"/>
    </xf>
    <xf borderId="4" fillId="0" fontId="5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3" numFmtId="10" xfId="0" applyAlignment="1" applyBorder="1" applyFont="1" applyNumberFormat="1">
      <alignment horizontal="center"/>
    </xf>
    <xf borderId="4" fillId="0" fontId="1" numFmtId="10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horizontal="left" readingOrder="0"/>
    </xf>
    <xf borderId="5" fillId="0" fontId="3" numFmtId="0" xfId="0" applyAlignment="1" applyBorder="1" applyFont="1">
      <alignment vertical="bottom"/>
    </xf>
    <xf borderId="6" fillId="0" fontId="1" numFmtId="10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2" fontId="6" numFmtId="0" xfId="0" applyAlignment="1" applyBorder="1" applyFill="1" applyFont="1">
      <alignment vertical="bottom"/>
    </xf>
    <xf borderId="3" fillId="2" fontId="6" numFmtId="0" xfId="0" applyAlignment="1" applyBorder="1" applyFont="1">
      <alignment vertical="bottom"/>
    </xf>
    <xf borderId="5" fillId="0" fontId="1" numFmtId="4" xfId="0" applyAlignment="1" applyBorder="1" applyFont="1" applyNumberFormat="1">
      <alignment horizontal="center" vertical="bottom"/>
    </xf>
    <xf borderId="6" fillId="0" fontId="1" numFmtId="4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horizontal="center" readingOrder="0" vertical="bottom"/>
    </xf>
    <xf borderId="5" fillId="0" fontId="1" numFmtId="10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readingOrder="0"/>
    </xf>
    <xf borderId="4" fillId="2" fontId="3" numFmtId="0" xfId="0" applyAlignment="1" applyBorder="1" applyFont="1">
      <alignment horizontal="center" vertical="bottom"/>
    </xf>
    <xf borderId="4" fillId="2" fontId="4" numFmtId="0" xfId="0" applyAlignment="1" applyBorder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4" fillId="0" fontId="3" numFmtId="0" xfId="0" applyAlignment="1" applyBorder="1" applyFont="1">
      <alignment vertical="bottom"/>
    </xf>
    <xf borderId="3" fillId="2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6" fillId="0" fontId="3" numFmtId="4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6" fillId="0" fontId="1" numFmtId="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readingOrder="0"/>
    </xf>
    <xf borderId="4" fillId="0" fontId="3" numFmtId="10" xfId="0" applyAlignment="1" applyBorder="1" applyFont="1" applyNumberFormat="1">
      <alignment readingOrder="0"/>
    </xf>
    <xf borderId="4" fillId="0" fontId="3" numFmtId="10" xfId="0" applyBorder="1" applyFont="1" applyNumberFormat="1"/>
    <xf borderId="0" fillId="0" fontId="7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  <col customWidth="1" min="2" max="2" width="25.38"/>
    <col customWidth="1" min="3" max="3" width="25.25"/>
    <col customWidth="1" min="4" max="4" width="21.63"/>
    <col customWidth="1" min="5" max="5" width="23.0"/>
  </cols>
  <sheetData>
    <row r="1">
      <c r="A1" s="1" t="s">
        <v>0</v>
      </c>
      <c r="B1" s="2"/>
      <c r="C1" s="3"/>
      <c r="D1" s="4" t="s">
        <v>1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2</v>
      </c>
      <c r="B2" s="7" t="s">
        <v>3</v>
      </c>
      <c r="C2" s="7" t="s">
        <v>4</v>
      </c>
      <c r="D2" s="7" t="s">
        <v>3</v>
      </c>
      <c r="E2" s="7" t="s">
        <v>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8" t="s">
        <v>5</v>
      </c>
      <c r="B3" s="9" t="s">
        <v>6</v>
      </c>
      <c r="C3" s="9" t="s">
        <v>7</v>
      </c>
      <c r="D3" s="10" t="s">
        <v>8</v>
      </c>
      <c r="E3" s="11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2"/>
      <c r="B4" s="13">
        <f>(1617/((44320+12480)-20973))</f>
        <v>0.04513355849</v>
      </c>
      <c r="C4" s="13">
        <f>(1315/((39138+12879)-17927))</f>
        <v>0.03857436198</v>
      </c>
      <c r="D4" s="14">
        <f>(186/(28011-11849))</f>
        <v>0.01150847667</v>
      </c>
      <c r="E4" s="14">
        <f>(152/(27937-12047))</f>
        <v>0.009565764632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" t="s">
        <v>0</v>
      </c>
      <c r="B6" s="2"/>
      <c r="C6" s="3"/>
      <c r="D6" s="4" t="s">
        <v>1</v>
      </c>
      <c r="E6" s="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5" t="s">
        <v>10</v>
      </c>
      <c r="B7" s="7" t="s">
        <v>3</v>
      </c>
      <c r="C7" s="7" t="s">
        <v>4</v>
      </c>
      <c r="D7" s="7" t="s">
        <v>3</v>
      </c>
      <c r="E7" s="7" t="s">
        <v>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8" t="s">
        <v>11</v>
      </c>
      <c r="B8" s="10" t="s">
        <v>12</v>
      </c>
      <c r="C8" s="10" t="s">
        <v>13</v>
      </c>
      <c r="D8" s="10" t="s">
        <v>14</v>
      </c>
      <c r="E8" s="10" t="s">
        <v>15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6"/>
      <c r="B9" s="17">
        <f>(2649/63911)</f>
        <v>0.04144826399</v>
      </c>
      <c r="C9" s="14">
        <f>(2518/64760)</f>
        <v>0.03888202594</v>
      </c>
      <c r="D9" s="17">
        <f>(601/29007)</f>
        <v>0.02071913676</v>
      </c>
      <c r="E9" s="14">
        <f>(650/28993)</f>
        <v>0.02241920464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 t="s">
        <v>0</v>
      </c>
      <c r="B11" s="2"/>
      <c r="C11" s="3"/>
      <c r="D11" s="4" t="s">
        <v>1</v>
      </c>
      <c r="E11" s="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5" t="s">
        <v>16</v>
      </c>
      <c r="B12" s="7" t="s">
        <v>3</v>
      </c>
      <c r="C12" s="7" t="s">
        <v>4</v>
      </c>
      <c r="D12" s="7" t="s">
        <v>3</v>
      </c>
      <c r="E12" s="7" t="s"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8" t="s">
        <v>17</v>
      </c>
      <c r="B13" s="18" t="s">
        <v>18</v>
      </c>
      <c r="C13" s="19" t="s">
        <v>19</v>
      </c>
      <c r="D13" s="20" t="s">
        <v>20</v>
      </c>
      <c r="E13" s="21" t="s">
        <v>21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6"/>
      <c r="B14" s="22">
        <f>(63911/(36379+12570))</f>
        <v>1.30566508</v>
      </c>
      <c r="C14" s="23">
        <f> 58091 / ( 39254 + 13893 )</f>
        <v>1.093025006</v>
      </c>
      <c r="D14" s="22">
        <f>(29007/28011)</f>
        <v>1.03555746</v>
      </c>
      <c r="E14" s="23">
        <f>(28993/27937)</f>
        <v>1.037799334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 t="s">
        <v>0</v>
      </c>
      <c r="B16" s="2"/>
      <c r="C16" s="3"/>
      <c r="D16" s="4" t="s">
        <v>1</v>
      </c>
      <c r="E16" s="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5" t="s">
        <v>22</v>
      </c>
      <c r="B17" s="7" t="s">
        <v>3</v>
      </c>
      <c r="C17" s="7" t="s">
        <v>4</v>
      </c>
      <c r="D17" s="7" t="s">
        <v>3</v>
      </c>
      <c r="E17" s="7" t="s">
        <v>4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8" t="s">
        <v>23</v>
      </c>
      <c r="B18" s="10" t="s">
        <v>24</v>
      </c>
      <c r="C18" s="24" t="s">
        <v>25</v>
      </c>
      <c r="D18" s="10" t="s">
        <v>26</v>
      </c>
      <c r="E18" s="10" t="s">
        <v>27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6"/>
      <c r="B19" s="25">
        <f>(4696/63911)</f>
        <v>0.0734771792</v>
      </c>
      <c r="C19" s="17">
        <f>(4580/64760)</f>
        <v>0.07072266831</v>
      </c>
      <c r="D19" s="25">
        <f>(2288/29007)</f>
        <v>0.07887751232</v>
      </c>
      <c r="E19" s="17">
        <f>(2016/28993)</f>
        <v>0.06953402545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 t="s">
        <v>0</v>
      </c>
      <c r="B21" s="2"/>
      <c r="C21" s="3"/>
      <c r="D21" s="4" t="s">
        <v>1</v>
      </c>
      <c r="E21" s="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5" t="s">
        <v>28</v>
      </c>
      <c r="B22" s="7" t="s">
        <v>3</v>
      </c>
      <c r="C22" s="7" t="s">
        <v>4</v>
      </c>
      <c r="D22" s="7" t="s">
        <v>3</v>
      </c>
      <c r="E22" s="7" t="s">
        <v>4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8" t="s">
        <v>29</v>
      </c>
      <c r="B23" s="18" t="s">
        <v>30</v>
      </c>
      <c r="C23" s="19" t="s">
        <v>31</v>
      </c>
      <c r="D23" s="18" t="s">
        <v>32</v>
      </c>
      <c r="E23" s="19" t="s">
        <v>33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2"/>
      <c r="B24" s="22">
        <f>(12570/20680)</f>
        <v>0.6078336557</v>
      </c>
      <c r="C24" s="23">
        <f> ( 13608 / 18656 )</f>
        <v>0.7294168096</v>
      </c>
      <c r="D24" s="22">
        <f>(7550/11849)</f>
        <v>0.6371845725</v>
      </c>
      <c r="E24" s="23">
        <f>(7582/12047)</f>
        <v>0.6293683075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26" t="s">
        <v>34</v>
      </c>
      <c r="B25" s="27" t="s">
        <v>35</v>
      </c>
      <c r="C25" s="19" t="s">
        <v>36</v>
      </c>
      <c r="D25" s="18" t="s">
        <v>37</v>
      </c>
      <c r="E25" s="19" t="s">
        <v>38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8" t="s">
        <v>39</v>
      </c>
      <c r="B26" s="22">
        <f>(12570-2617)/20680</f>
        <v>0.4812862669</v>
      </c>
      <c r="C26" s="23">
        <f> ( 13608 - 2433 ) / 18656</f>
        <v>0.5990030017</v>
      </c>
      <c r="D26" s="22">
        <f>(7550-1929)/11849</f>
        <v>0.4743860241</v>
      </c>
      <c r="E26" s="23">
        <f>(7582-1732)/12047</f>
        <v>0.4855980742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" t="s">
        <v>0</v>
      </c>
      <c r="B28" s="2"/>
      <c r="C28" s="3"/>
      <c r="D28" s="4" t="s">
        <v>1</v>
      </c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5" t="s">
        <v>40</v>
      </c>
      <c r="B29" s="7" t="s">
        <v>3</v>
      </c>
      <c r="C29" s="7" t="s">
        <v>4</v>
      </c>
      <c r="D29" s="7" t="s">
        <v>3</v>
      </c>
      <c r="E29" s="7" t="s">
        <v>4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28" t="s">
        <v>41</v>
      </c>
      <c r="B30" s="18" t="s">
        <v>42</v>
      </c>
      <c r="C30" s="19" t="s">
        <v>43</v>
      </c>
      <c r="D30" s="18" t="s">
        <v>42</v>
      </c>
      <c r="E30" s="19" t="s">
        <v>43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29" t="s">
        <v>44</v>
      </c>
      <c r="B31" s="22">
        <f>((20680+13533)/14834)</f>
        <v>2.306390724</v>
      </c>
      <c r="C31" s="23">
        <f> ( 4763 + 21122 ) /
 13369</f>
        <v>1.936195677</v>
      </c>
      <c r="D31" s="22">
        <f>((20680+13533)/14834)</f>
        <v>2.306390724</v>
      </c>
      <c r="E31" s="23">
        <f> ( 4763 + 21122 ) /
 13369</f>
        <v>1.936195677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" t="s">
        <v>0</v>
      </c>
      <c r="B33" s="2"/>
      <c r="C33" s="3"/>
      <c r="D33" s="4" t="s">
        <v>1</v>
      </c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5" t="s">
        <v>45</v>
      </c>
      <c r="B34" s="7" t="s">
        <v>3</v>
      </c>
      <c r="C34" s="7" t="s">
        <v>4</v>
      </c>
      <c r="D34" s="7" t="s">
        <v>3</v>
      </c>
      <c r="E34" s="7" t="s">
        <v>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30" t="s">
        <v>46</v>
      </c>
      <c r="B35" s="10" t="s">
        <v>47</v>
      </c>
      <c r="C35" s="24" t="s">
        <v>48</v>
      </c>
      <c r="D35" s="10" t="s">
        <v>49</v>
      </c>
      <c r="E35" s="24" t="s">
        <v>50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29"/>
      <c r="B36" s="22">
        <f>(1617/347)</f>
        <v>4.659942363</v>
      </c>
      <c r="C36" s="23">
        <f>(1315/380)</f>
        <v>3.460526316</v>
      </c>
      <c r="D36" s="22">
        <f>(202/16)</f>
        <v>12.625</v>
      </c>
      <c r="E36" s="23">
        <f>(255/103)</f>
        <v>2.475728155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" t="s">
        <v>0</v>
      </c>
      <c r="B38" s="2"/>
      <c r="C38" s="3"/>
      <c r="D38" s="4" t="s">
        <v>1</v>
      </c>
      <c r="E38" s="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5" t="s">
        <v>51</v>
      </c>
      <c r="B39" s="7" t="s">
        <v>3</v>
      </c>
      <c r="C39" s="7" t="s">
        <v>4</v>
      </c>
      <c r="D39" s="7" t="s">
        <v>3</v>
      </c>
      <c r="E39" s="7" t="s">
        <v>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30" t="s">
        <v>52</v>
      </c>
      <c r="B40" s="10" t="s">
        <v>53</v>
      </c>
      <c r="C40" s="24" t="s">
        <v>54</v>
      </c>
      <c r="D40" s="10" t="s">
        <v>55</v>
      </c>
      <c r="E40" s="24" t="s">
        <v>56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29"/>
      <c r="B41" s="22">
        <f>(2617/59767)* 365</f>
        <v>15.98214734</v>
      </c>
      <c r="C41" s="23">
        <f>(2433/ 53810)*365</f>
        <v>16.5033451</v>
      </c>
      <c r="D41" s="22">
        <f>(1929/26719)*365</f>
        <v>26.35147273</v>
      </c>
      <c r="E41" s="23">
        <f>(1732/26977)*365</f>
        <v>23.4340364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" t="s">
        <v>0</v>
      </c>
      <c r="B43" s="2"/>
      <c r="C43" s="3"/>
      <c r="D43" s="4" t="s">
        <v>1</v>
      </c>
      <c r="E43" s="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5" t="s">
        <v>57</v>
      </c>
      <c r="B44" s="7" t="s">
        <v>3</v>
      </c>
      <c r="C44" s="7" t="s">
        <v>4</v>
      </c>
      <c r="D44" s="7" t="s">
        <v>3</v>
      </c>
      <c r="E44" s="7" t="s">
        <v>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30" t="s">
        <v>58</v>
      </c>
      <c r="B45" s="10" t="s">
        <v>59</v>
      </c>
      <c r="C45" s="24" t="s">
        <v>60</v>
      </c>
      <c r="D45" s="10" t="s">
        <v>61</v>
      </c>
      <c r="E45" s="24" t="s">
        <v>62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29"/>
      <c r="B46" s="22">
        <f>(1640/63911)*365</f>
        <v>9.366149802</v>
      </c>
      <c r="C46" s="23">
        <f>(1396/58091)*365</f>
        <v>8.771410373</v>
      </c>
      <c r="D46" s="22">
        <f>(1929/29007)*365</f>
        <v>24.27293412</v>
      </c>
      <c r="E46" s="23">
        <f>(1732/28993) *365</f>
        <v>21.80457352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" t="s">
        <v>0</v>
      </c>
      <c r="B48" s="2"/>
      <c r="C48" s="3"/>
      <c r="D48" s="4" t="s">
        <v>1</v>
      </c>
      <c r="E48" s="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5" t="s">
        <v>63</v>
      </c>
      <c r="B49" s="7" t="s">
        <v>3</v>
      </c>
      <c r="C49" s="7" t="s">
        <v>4</v>
      </c>
      <c r="D49" s="7" t="s">
        <v>3</v>
      </c>
      <c r="E49" s="7" t="s">
        <v>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30" t="s">
        <v>64</v>
      </c>
      <c r="B50" s="10" t="s">
        <v>65</v>
      </c>
      <c r="C50" s="24" t="s">
        <v>66</v>
      </c>
      <c r="D50" s="10" t="s">
        <v>67</v>
      </c>
      <c r="E50" s="24" t="s">
        <v>68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29"/>
      <c r="B51" s="22">
        <f>(9354/59767)*365</f>
        <v>57.12533672</v>
      </c>
      <c r="C51" s="23">
        <f>(8922/ 53810 ) *365</f>
        <v>60.5190485</v>
      </c>
      <c r="D51" s="22">
        <f>(4373/26719)* 365</f>
        <v>59.73820128</v>
      </c>
      <c r="E51" s="23">
        <f>(4275/26977)*365</f>
        <v>57.84093858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">
        <v>0</v>
      </c>
      <c r="B53" s="2"/>
      <c r="C53" s="3"/>
      <c r="D53" s="4" t="s">
        <v>1</v>
      </c>
      <c r="E53" s="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5" t="s">
        <v>69</v>
      </c>
      <c r="B54" s="7" t="s">
        <v>3</v>
      </c>
      <c r="C54" s="7" t="s">
        <v>4</v>
      </c>
      <c r="D54" s="7" t="s">
        <v>3</v>
      </c>
      <c r="E54" s="7" t="s">
        <v>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8" t="s">
        <v>70</v>
      </c>
      <c r="B55" s="18" t="s">
        <v>71</v>
      </c>
      <c r="C55" s="18" t="s">
        <v>72</v>
      </c>
      <c r="D55" s="18" t="s">
        <v>73</v>
      </c>
      <c r="E55" s="12" t="s">
        <v>74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29"/>
      <c r="B56" s="17">
        <f>(1320/14834)</f>
        <v>0.08898476473</v>
      </c>
      <c r="C56" s="14">
        <f> ( 973 / 13369 )</f>
        <v>0.07278031266</v>
      </c>
      <c r="D56" s="25">
        <f>(186/7782)</f>
        <v>0.02390131072</v>
      </c>
      <c r="E56" s="17">
        <f>(152/7773)</f>
        <v>0.01955486942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1" t="s">
        <v>0</v>
      </c>
      <c r="B59" s="2"/>
      <c r="C59" s="3"/>
      <c r="D59" s="4"/>
      <c r="E59" s="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5" t="s">
        <v>75</v>
      </c>
      <c r="B60" s="7" t="s">
        <v>3</v>
      </c>
      <c r="C60" s="7" t="s">
        <v>4</v>
      </c>
      <c r="D60" s="7" t="s">
        <v>3</v>
      </c>
      <c r="E60" s="7" t="s">
        <v>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31" t="s">
        <v>76</v>
      </c>
      <c r="B61" s="32" t="s">
        <v>77</v>
      </c>
      <c r="C61" s="33" t="s">
        <v>78</v>
      </c>
      <c r="D61" s="32" t="s">
        <v>79</v>
      </c>
      <c r="E61" s="33" t="s">
        <v>80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34"/>
      <c r="B62" s="35">
        <f>(1320/63911)</f>
        <v>0.02065372158</v>
      </c>
      <c r="C62" s="35">
        <f>(973/58091)</f>
        <v>0.01674958255</v>
      </c>
      <c r="D62" s="35">
        <f>(186/29007)</f>
        <v>0.00641224532</v>
      </c>
      <c r="E62" s="35">
        <f>(152/28993)</f>
        <v>0.005242644776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6" t="s">
        <v>81</v>
      </c>
      <c r="B63" s="36" t="s">
        <v>82</v>
      </c>
      <c r="C63" s="36" t="s">
        <v>83</v>
      </c>
      <c r="D63" s="36" t="s">
        <v>20</v>
      </c>
      <c r="E63" s="36" t="s">
        <v>21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6"/>
      <c r="B64" s="35">
        <f>(63911/(36379+12570))</f>
        <v>1.30566508</v>
      </c>
      <c r="C64" s="35">
        <f> 58091 / ( 39254 + 13893 )</f>
        <v>1.093025006</v>
      </c>
      <c r="D64" s="35">
        <f>(29007/28011)</f>
        <v>1.03555746</v>
      </c>
      <c r="E64" s="35">
        <f>(28993/27937)</f>
        <v>1.037799334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6" t="s">
        <v>84</v>
      </c>
      <c r="B65" s="36" t="s">
        <v>85</v>
      </c>
      <c r="C65" s="36" t="s">
        <v>86</v>
      </c>
      <c r="D65" s="36" t="s">
        <v>87</v>
      </c>
      <c r="E65" s="36" t="s">
        <v>88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16"/>
      <c r="B66" s="35">
        <f>((36379+12570)/14834)</f>
        <v>3.299784279</v>
      </c>
      <c r="C66" s="35">
        <f>((39254+13893)/13369)</f>
        <v>3.97539083</v>
      </c>
      <c r="D66" s="35">
        <f>(28011/7782)</f>
        <v>3.599460293</v>
      </c>
      <c r="E66" s="35">
        <f>(27937/7773)</f>
        <v>3.594107809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37" t="s">
        <v>89</v>
      </c>
      <c r="B67" s="38">
        <f t="shared" ref="B67:E67" si="1">B62*B64*B66</f>
        <v>0.08898476473</v>
      </c>
      <c r="C67" s="38">
        <f t="shared" si="1"/>
        <v>0.07278031266</v>
      </c>
      <c r="D67" s="38">
        <f t="shared" si="1"/>
        <v>0.02390131072</v>
      </c>
      <c r="E67" s="38">
        <f t="shared" si="1"/>
        <v>0.01955486942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</sheetData>
  <mergeCells count="24">
    <mergeCell ref="A1:C1"/>
    <mergeCell ref="A6:C6"/>
    <mergeCell ref="A11:C11"/>
    <mergeCell ref="D1:E1"/>
    <mergeCell ref="D6:E6"/>
    <mergeCell ref="D11:E11"/>
    <mergeCell ref="D16:E16"/>
    <mergeCell ref="A16:C16"/>
    <mergeCell ref="A21:C21"/>
    <mergeCell ref="A28:C28"/>
    <mergeCell ref="A33:C33"/>
    <mergeCell ref="D21:E21"/>
    <mergeCell ref="D28:E28"/>
    <mergeCell ref="D33:E33"/>
    <mergeCell ref="A53:C53"/>
    <mergeCell ref="A59:C59"/>
    <mergeCell ref="D59:E59"/>
    <mergeCell ref="D53:E53"/>
    <mergeCell ref="A38:C38"/>
    <mergeCell ref="A43:C43"/>
    <mergeCell ref="A48:C48"/>
    <mergeCell ref="D38:E38"/>
    <mergeCell ref="D43:E43"/>
    <mergeCell ref="D48:E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9.63"/>
    <col customWidth="1" min="5" max="5" width="31.0"/>
  </cols>
  <sheetData>
    <row r="1">
      <c r="A1" s="39" t="s">
        <v>90</v>
      </c>
      <c r="B1" s="39" t="s">
        <v>0</v>
      </c>
      <c r="C1" s="39" t="s">
        <v>1</v>
      </c>
    </row>
    <row r="2">
      <c r="A2" s="26" t="s">
        <v>91</v>
      </c>
      <c r="B2" s="40">
        <f>( 64760-63911)/63911</f>
        <v>0.0132840982</v>
      </c>
      <c r="C2" s="41">
        <f>(28993-29007)/29007</f>
        <v>-0.0004826421209</v>
      </c>
    </row>
    <row r="3">
      <c r="A3" s="26" t="s">
        <v>92</v>
      </c>
      <c r="B3" s="41">
        <f>(60180-59215)/59215</f>
        <v>0.01629654648</v>
      </c>
      <c r="C3" s="41">
        <f>(26977-26719)/26719</f>
        <v>0.009656050002</v>
      </c>
    </row>
    <row r="4">
      <c r="A4" s="26" t="s">
        <v>93</v>
      </c>
      <c r="B4" s="41">
        <f>(4580-4696)/4696</f>
        <v>-0.02470187394</v>
      </c>
      <c r="C4" s="41">
        <f>(2016-2288)/2288</f>
        <v>-0.1188811189</v>
      </c>
    </row>
    <row r="5">
      <c r="A5" s="26" t="s">
        <v>94</v>
      </c>
      <c r="B5" s="41">
        <f>(2062-2047)/2047</f>
        <v>0.007327796776</v>
      </c>
      <c r="C5" s="41">
        <f>(1459-1725)/1725</f>
        <v>-0.1542028986</v>
      </c>
    </row>
    <row r="6">
      <c r="A6" s="26" t="s">
        <v>95</v>
      </c>
      <c r="B6" s="41">
        <f>(2518-2649)/2649</f>
        <v>-0.04945262363</v>
      </c>
      <c r="C6" s="41">
        <f>(650-601)/601</f>
        <v>0.08153078203</v>
      </c>
    </row>
    <row r="7">
      <c r="A7" s="26" t="s">
        <v>96</v>
      </c>
      <c r="B7" s="41">
        <f>(1315-1617)/1617</f>
        <v>-0.1867656153</v>
      </c>
      <c r="C7" s="41">
        <f>(255-202)/202</f>
        <v>0.2623762376</v>
      </c>
    </row>
    <row r="8">
      <c r="A8" s="26" t="s">
        <v>97</v>
      </c>
      <c r="B8" s="41">
        <f>(380-347)/347</f>
        <v>0.09510086455</v>
      </c>
      <c r="C8" s="41">
        <f>(103-16)/16</f>
        <v>5.4375</v>
      </c>
    </row>
    <row r="9">
      <c r="A9" s="26" t="s">
        <v>98</v>
      </c>
      <c r="B9" s="41">
        <f>(973-1270)/1270</f>
        <v>-0.2338582677</v>
      </c>
      <c r="C9" s="41">
        <f>(152-186)/186</f>
        <v>-0.1827956989</v>
      </c>
    </row>
    <row r="10">
      <c r="B10" s="42"/>
      <c r="C10" s="42"/>
    </row>
    <row r="11">
      <c r="B11" s="42"/>
      <c r="C11" s="42"/>
    </row>
    <row r="12">
      <c r="B12" s="42"/>
      <c r="C12" s="42"/>
    </row>
    <row r="13">
      <c r="B13" s="42"/>
      <c r="C13" s="42"/>
    </row>
    <row r="14">
      <c r="B14" s="42"/>
      <c r="C14" s="42"/>
    </row>
  </sheetData>
  <drawing r:id="rId1"/>
</worksheet>
</file>