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</sheets>
  <definedNames/>
  <calcPr/>
</workbook>
</file>

<file path=xl/sharedStrings.xml><?xml version="1.0" encoding="utf-8"?>
<sst xmlns="http://schemas.openxmlformats.org/spreadsheetml/2006/main" count="96" uniqueCount="75">
  <si>
    <t>Profitabilty</t>
  </si>
  <si>
    <t>Liquidity</t>
  </si>
  <si>
    <t>Ratios</t>
  </si>
  <si>
    <t>Formula</t>
  </si>
  <si>
    <t>20X2</t>
  </si>
  <si>
    <t>20X1</t>
  </si>
  <si>
    <t>Operating Profit Margin</t>
  </si>
  <si>
    <t>(Operating profit / Revenue) * 100</t>
  </si>
  <si>
    <t>(22/200)</t>
  </si>
  <si>
    <t>(10/190)</t>
  </si>
  <si>
    <t>Current Ratio</t>
  </si>
  <si>
    <t>(Current Assets / Current Liabilities)</t>
  </si>
  <si>
    <t>(66/60)</t>
  </si>
  <si>
    <t>(54/62)</t>
  </si>
  <si>
    <t>ROA</t>
  </si>
  <si>
    <t>(Operating profit / Total assets) * 100</t>
  </si>
  <si>
    <t>(22/198)</t>
  </si>
  <si>
    <t>(10/156)</t>
  </si>
  <si>
    <t>Cash Ratio</t>
  </si>
  <si>
    <t>(Cash/ Current Liabilities)</t>
  </si>
  <si>
    <t>(9/60)</t>
  </si>
  <si>
    <t>(5/62)</t>
  </si>
  <si>
    <t>ROE</t>
  </si>
  <si>
    <t>(Net Income / Total Shareholder's Equity) * 100</t>
  </si>
  <si>
    <t>(14/78)</t>
  </si>
  <si>
    <t>(4/71)</t>
  </si>
  <si>
    <t>Effeciency</t>
  </si>
  <si>
    <t>Gearing</t>
  </si>
  <si>
    <t>Inventory Turnover Ratio</t>
  </si>
  <si>
    <t>(COGS / Inventories)</t>
  </si>
  <si>
    <t>(157/25)</t>
  </si>
  <si>
    <t>(160/24)</t>
  </si>
  <si>
    <t>Debt to Equity</t>
  </si>
  <si>
    <t>(Debt / Equity)</t>
  </si>
  <si>
    <t>(60/78)</t>
  </si>
  <si>
    <t>(23/71)</t>
  </si>
  <si>
    <t>Debtor Turnover Ratio</t>
  </si>
  <si>
    <t>(365/Net Sales/ Debtors)</t>
  </si>
  <si>
    <t>365/(200/29)</t>
  </si>
  <si>
    <t>365/(190/25)</t>
  </si>
  <si>
    <t>Debt to Assets</t>
  </si>
  <si>
    <t>(Debt / Assets)</t>
  </si>
  <si>
    <t>(60/198)</t>
  </si>
  <si>
    <t>(23/156)</t>
  </si>
  <si>
    <t>Assets Turnover Ratio</t>
  </si>
  <si>
    <t>(Revenue / Total  Assets)</t>
  </si>
  <si>
    <t>(200/198)</t>
  </si>
  <si>
    <t>(190/156)</t>
  </si>
  <si>
    <t>Payback Period</t>
  </si>
  <si>
    <t>Years</t>
  </si>
  <si>
    <t>Software A</t>
  </si>
  <si>
    <t>Cumulative Cash flow
(£ in million)</t>
  </si>
  <si>
    <t>Software B</t>
  </si>
  <si>
    <t>Cumulative Software B
(£ in million)</t>
  </si>
  <si>
    <t>C0</t>
  </si>
  <si>
    <t>C1</t>
  </si>
  <si>
    <t>C2</t>
  </si>
  <si>
    <t>C3</t>
  </si>
  <si>
    <t>C4</t>
  </si>
  <si>
    <t>Payback Period
(In Years)</t>
  </si>
  <si>
    <t>3+(8000/16000)</t>
  </si>
  <si>
    <t>3+(16000/17000)</t>
  </si>
  <si>
    <t>Accounting Rate of Reurn</t>
  </si>
  <si>
    <t>Cash Inflows</t>
  </si>
  <si>
    <t>Depreciation</t>
  </si>
  <si>
    <t>Net Profit</t>
  </si>
  <si>
    <t>Average Profit</t>
  </si>
  <si>
    <t>Initial Investment</t>
  </si>
  <si>
    <t>Accounting Rate of Return</t>
  </si>
  <si>
    <t>Net Present value of the Projects</t>
  </si>
  <si>
    <t>Discounting 
Factor @ 10%</t>
  </si>
  <si>
    <t>Discounted Cash Flows</t>
  </si>
  <si>
    <t>Present Value of the Cash Flows</t>
  </si>
  <si>
    <t>Less: Initial Investment</t>
  </si>
  <si>
    <t>NPV of the 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</si>
</sst>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"/>
    <numFmt numFmtId="165" formatCode="0.0"/>
    <numFmt numFmtId="166" formatCode="#,##0.0000"/>
  </numFmts>
  <fonts count="4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10" xfId="0" applyAlignment="1" applyBorder="1" applyFont="1" applyNumberFormat="1">
      <alignment vertical="bottom"/>
    </xf>
    <xf borderId="1" fillId="0" fontId="1" numFmtId="4" xfId="0" applyAlignment="1" applyBorder="1" applyFont="1" applyNumberFormat="1">
      <alignment vertical="bottom"/>
    </xf>
    <xf borderId="0" fillId="0" fontId="1" numFmtId="0" xfId="0" applyFont="1"/>
    <xf borderId="1" fillId="0" fontId="2" numFmtId="10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vertical="bottom"/>
    </xf>
    <xf borderId="3" fillId="0" fontId="1" numFmtId="0" xfId="0" applyBorder="1" applyFont="1"/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vertical="bottom"/>
    </xf>
    <xf borderId="1" fillId="0" fontId="1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Border="1" applyFont="1" applyNumberFormat="1"/>
    <xf borderId="1" fillId="0" fontId="1" numFmtId="4" xfId="0" applyBorder="1" applyFont="1" applyNumberFormat="1"/>
    <xf borderId="4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164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2" numFmtId="165" xfId="0" applyAlignment="1" applyBorder="1" applyFont="1" applyNumberFormat="1">
      <alignment vertical="center"/>
    </xf>
    <xf borderId="4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4" fillId="0" fontId="1" numFmtId="0" xfId="0" applyAlignment="1" applyBorder="1" applyFont="1">
      <alignment readingOrder="0" vertical="center"/>
    </xf>
    <xf borderId="1" fillId="0" fontId="2" numFmtId="10" xfId="0" applyAlignment="1" applyBorder="1" applyFont="1" applyNumberFormat="1">
      <alignment vertical="center"/>
    </xf>
    <xf borderId="2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166" xfId="0" applyAlignment="1" applyBorder="1" applyFont="1" applyNumberFormat="1">
      <alignment vertical="center"/>
    </xf>
    <xf borderId="1" fillId="0" fontId="2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1.63"/>
    <col customWidth="1" min="3" max="3" width="40.5"/>
    <col customWidth="1" min="8" max="8" width="18.75"/>
    <col customWidth="1" min="9" max="9" width="3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2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2</v>
      </c>
      <c r="C3" s="3" t="s">
        <v>3</v>
      </c>
      <c r="D3" s="4" t="s">
        <v>4</v>
      </c>
      <c r="E3" s="4" t="s">
        <v>5</v>
      </c>
      <c r="F3" s="1"/>
      <c r="G3" s="1"/>
      <c r="H3" s="5" t="s">
        <v>2</v>
      </c>
      <c r="I3" s="5" t="s">
        <v>3</v>
      </c>
      <c r="J3" s="4" t="s">
        <v>4</v>
      </c>
      <c r="K3" s="4" t="s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6</v>
      </c>
      <c r="C4" s="6" t="s">
        <v>7</v>
      </c>
      <c r="D4" s="7" t="s">
        <v>8</v>
      </c>
      <c r="E4" s="7" t="s">
        <v>9</v>
      </c>
      <c r="F4" s="1"/>
      <c r="G4" s="1"/>
      <c r="H4" s="7" t="s">
        <v>10</v>
      </c>
      <c r="I4" s="7" t="s">
        <v>11</v>
      </c>
      <c r="J4" s="7" t="s">
        <v>12</v>
      </c>
      <c r="K4" s="7" t="s">
        <v>13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/>
      <c r="C5" s="6"/>
      <c r="D5" s="8">
        <f>(22/200)</f>
        <v>0.11</v>
      </c>
      <c r="E5" s="8">
        <f>(10/190)</f>
        <v>0.05263157895</v>
      </c>
      <c r="F5" s="1"/>
      <c r="G5" s="1"/>
      <c r="H5" s="6"/>
      <c r="I5" s="7"/>
      <c r="J5" s="9">
        <f>(66/60)</f>
        <v>1.1</v>
      </c>
      <c r="K5" s="9">
        <f>(54/62)</f>
        <v>0.8709677419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14</v>
      </c>
      <c r="C6" s="10" t="s">
        <v>15</v>
      </c>
      <c r="D6" s="7" t="s">
        <v>16</v>
      </c>
      <c r="E6" s="7" t="s">
        <v>17</v>
      </c>
      <c r="F6" s="1"/>
      <c r="G6" s="1"/>
      <c r="H6" s="7" t="s">
        <v>18</v>
      </c>
      <c r="I6" s="7" t="s">
        <v>19</v>
      </c>
      <c r="J6" s="7" t="s">
        <v>20</v>
      </c>
      <c r="K6" s="7" t="s">
        <v>21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/>
      <c r="C7" s="3"/>
      <c r="D7" s="11">
        <f>(22/198)</f>
        <v>0.1111111111</v>
      </c>
      <c r="E7" s="11">
        <f>(10/156)</f>
        <v>0.0641025641</v>
      </c>
      <c r="F7" s="1"/>
      <c r="G7" s="1"/>
      <c r="H7" s="5"/>
      <c r="I7" s="5"/>
      <c r="J7" s="12">
        <f>(9/60)</f>
        <v>0.15</v>
      </c>
      <c r="K7" s="12">
        <f>(5/62)</f>
        <v>0.08064516129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22</v>
      </c>
      <c r="C8" s="10" t="s">
        <v>23</v>
      </c>
      <c r="D8" s="7" t="s">
        <v>24</v>
      </c>
      <c r="E8" s="7" t="s">
        <v>25</v>
      </c>
      <c r="F8" s="1"/>
      <c r="G8" s="1"/>
      <c r="H8" s="13"/>
      <c r="I8" s="13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/>
      <c r="C9" s="7"/>
      <c r="D9" s="8">
        <f>(14/78)</f>
        <v>0.1794871795</v>
      </c>
      <c r="E9" s="8">
        <f>(4/71)</f>
        <v>0.05633802817</v>
      </c>
      <c r="F9" s="1"/>
      <c r="G9" s="1"/>
      <c r="H9" s="15"/>
      <c r="I9" s="16"/>
      <c r="J9" s="17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26</v>
      </c>
      <c r="C15" s="1"/>
      <c r="D15" s="1"/>
      <c r="E15" s="1"/>
      <c r="F15" s="1"/>
      <c r="G15" s="1"/>
      <c r="H15" s="2" t="s">
        <v>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2</v>
      </c>
      <c r="C16" s="5" t="s">
        <v>3</v>
      </c>
      <c r="D16" s="4" t="s">
        <v>4</v>
      </c>
      <c r="E16" s="4" t="s">
        <v>5</v>
      </c>
      <c r="F16" s="1"/>
      <c r="G16" s="1"/>
      <c r="H16" s="5" t="s">
        <v>2</v>
      </c>
      <c r="I16" s="5" t="s">
        <v>3</v>
      </c>
      <c r="J16" s="4" t="s">
        <v>4</v>
      </c>
      <c r="K16" s="4" t="s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 t="s">
        <v>28</v>
      </c>
      <c r="C17" s="7" t="s">
        <v>29</v>
      </c>
      <c r="D17" s="7" t="s">
        <v>30</v>
      </c>
      <c r="E17" s="7" t="s">
        <v>31</v>
      </c>
      <c r="F17" s="1"/>
      <c r="G17" s="1"/>
      <c r="H17" s="7" t="s">
        <v>32</v>
      </c>
      <c r="I17" s="7" t="s">
        <v>33</v>
      </c>
      <c r="J17" s="7" t="s">
        <v>34</v>
      </c>
      <c r="K17" s="7" t="s">
        <v>35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/>
      <c r="C18" s="7"/>
      <c r="D18" s="18">
        <f>(157/25)</f>
        <v>6.28</v>
      </c>
      <c r="E18" s="19">
        <f>(160/24)</f>
        <v>6.666666667</v>
      </c>
      <c r="F18" s="1"/>
      <c r="G18" s="1"/>
      <c r="H18" s="6"/>
      <c r="I18" s="6"/>
      <c r="J18" s="9">
        <f>(60/78)</f>
        <v>0.7692307692</v>
      </c>
      <c r="K18" s="9">
        <f>(23/71)</f>
        <v>0.323943662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" t="s">
        <v>36</v>
      </c>
      <c r="C19" s="20" t="s">
        <v>37</v>
      </c>
      <c r="D19" s="20" t="s">
        <v>38</v>
      </c>
      <c r="E19" s="20" t="s">
        <v>39</v>
      </c>
      <c r="F19" s="1"/>
      <c r="G19" s="1"/>
      <c r="H19" s="20" t="s">
        <v>40</v>
      </c>
      <c r="I19" s="20" t="s">
        <v>41</v>
      </c>
      <c r="J19" s="20" t="s">
        <v>42</v>
      </c>
      <c r="K19" s="20" t="s">
        <v>43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/>
      <c r="C20" s="21"/>
      <c r="D20" s="22">
        <f>365/(200/29)</f>
        <v>52.925</v>
      </c>
      <c r="E20" s="22">
        <f>365/(190/25)</f>
        <v>48.02631579</v>
      </c>
      <c r="F20" s="1"/>
      <c r="G20" s="1"/>
      <c r="H20" s="21"/>
      <c r="I20" s="21"/>
      <c r="J20" s="23">
        <f>(29/198)</f>
        <v>0.1464646465</v>
      </c>
      <c r="K20" s="23">
        <f>(25/156)</f>
        <v>0.1602564103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44</v>
      </c>
      <c r="C21" s="7" t="s">
        <v>45</v>
      </c>
      <c r="D21" s="7" t="s">
        <v>46</v>
      </c>
      <c r="E21" s="7" t="s">
        <v>47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/>
      <c r="C22" s="7"/>
      <c r="D22" s="9">
        <f>(200/198)</f>
        <v>1.01010101</v>
      </c>
      <c r="E22" s="9">
        <f>(190/156)</f>
        <v>1.217948718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7.75"/>
    <col customWidth="1" min="3" max="3" width="17.13"/>
    <col customWidth="1" min="4" max="4" width="15.38"/>
    <col customWidth="1" min="5" max="5" width="19.5"/>
  </cols>
  <sheetData>
    <row r="1">
      <c r="A1" s="24" t="s">
        <v>48</v>
      </c>
      <c r="B1" s="25"/>
      <c r="C1" s="25"/>
      <c r="D1" s="25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49</v>
      </c>
      <c r="B2" s="28" t="s">
        <v>50</v>
      </c>
      <c r="C2" s="28" t="s">
        <v>51</v>
      </c>
      <c r="D2" s="28" t="s">
        <v>52</v>
      </c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9" t="s">
        <v>54</v>
      </c>
      <c r="B3" s="30">
        <v>-40000.0</v>
      </c>
      <c r="C3" s="30">
        <f>B3</f>
        <v>-40000</v>
      </c>
      <c r="D3" s="30">
        <v>-50000.0</v>
      </c>
      <c r="E3" s="31">
        <f>D3</f>
        <v>-50000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9" t="s">
        <v>55</v>
      </c>
      <c r="B4" s="30">
        <v>16000.0</v>
      </c>
      <c r="C4" s="30">
        <f t="shared" ref="C4:C7" si="1">C3+B4</f>
        <v>-24000</v>
      </c>
      <c r="D4" s="30">
        <v>17000.0</v>
      </c>
      <c r="E4" s="31">
        <f t="shared" ref="E4:E7" si="2">E3+D4</f>
        <v>-33000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9" t="s">
        <v>56</v>
      </c>
      <c r="B5" s="30">
        <v>16000.0</v>
      </c>
      <c r="C5" s="30">
        <f t="shared" si="1"/>
        <v>-8000</v>
      </c>
      <c r="D5" s="30">
        <v>17000.0</v>
      </c>
      <c r="E5" s="31">
        <f t="shared" si="2"/>
        <v>-16000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9" t="s">
        <v>57</v>
      </c>
      <c r="B6" s="30">
        <v>16000.0</v>
      </c>
      <c r="C6" s="30">
        <f t="shared" si="1"/>
        <v>8000</v>
      </c>
      <c r="D6" s="30">
        <v>17000.0</v>
      </c>
      <c r="E6" s="31">
        <f t="shared" si="2"/>
        <v>1000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29" t="s">
        <v>58</v>
      </c>
      <c r="B7" s="30">
        <v>12000.0</v>
      </c>
      <c r="C7" s="30">
        <f t="shared" si="1"/>
        <v>20000</v>
      </c>
      <c r="D7" s="30">
        <v>17000.0</v>
      </c>
      <c r="E7" s="31">
        <f t="shared" si="2"/>
        <v>18000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29" t="s">
        <v>59</v>
      </c>
      <c r="B8" s="29" t="s">
        <v>60</v>
      </c>
      <c r="C8" s="32">
        <f>3+(8000/16000)</f>
        <v>3.5</v>
      </c>
      <c r="D8" s="29" t="s">
        <v>61</v>
      </c>
      <c r="E8" s="33">
        <f>3+(16000/17000)</f>
        <v>3.941176471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34" t="s">
        <v>62</v>
      </c>
      <c r="B10" s="25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35" t="s">
        <v>49</v>
      </c>
      <c r="B11" s="24" t="s">
        <v>63</v>
      </c>
      <c r="C11" s="26"/>
      <c r="D11" s="24" t="s">
        <v>64</v>
      </c>
      <c r="E11" s="26"/>
      <c r="F11" s="24" t="s">
        <v>65</v>
      </c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36"/>
      <c r="B12" s="28" t="s">
        <v>50</v>
      </c>
      <c r="C12" s="28" t="s">
        <v>52</v>
      </c>
      <c r="D12" s="28" t="s">
        <v>50</v>
      </c>
      <c r="E12" s="28" t="s">
        <v>52</v>
      </c>
      <c r="F12" s="28" t="s">
        <v>50</v>
      </c>
      <c r="G12" s="28" t="s">
        <v>52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9">
        <v>1.0</v>
      </c>
      <c r="B13" s="30">
        <f t="shared" ref="B13:B16" si="4">B4</f>
        <v>16000</v>
      </c>
      <c r="C13" s="30">
        <f t="shared" ref="C13:C16" si="5">D4</f>
        <v>17000</v>
      </c>
      <c r="D13" s="30">
        <f t="shared" ref="D13:D16" si="6">40000/4</f>
        <v>10000</v>
      </c>
      <c r="E13" s="30">
        <f t="shared" ref="E13:E16" si="7">50000/4</f>
        <v>12500</v>
      </c>
      <c r="F13" s="31">
        <f t="shared" ref="F13:G13" si="3">B13-D13</f>
        <v>6000</v>
      </c>
      <c r="G13" s="31">
        <f t="shared" si="3"/>
        <v>4500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9">
        <v>2.0</v>
      </c>
      <c r="B14" s="30">
        <f t="shared" si="4"/>
        <v>16000</v>
      </c>
      <c r="C14" s="30">
        <f t="shared" si="5"/>
        <v>17000</v>
      </c>
      <c r="D14" s="30">
        <f t="shared" si="6"/>
        <v>10000</v>
      </c>
      <c r="E14" s="30">
        <f t="shared" si="7"/>
        <v>12500</v>
      </c>
      <c r="F14" s="31">
        <f t="shared" ref="F14:G14" si="8">B14-D14</f>
        <v>6000</v>
      </c>
      <c r="G14" s="31">
        <f t="shared" si="8"/>
        <v>4500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9">
        <v>3.0</v>
      </c>
      <c r="B15" s="30">
        <f t="shared" si="4"/>
        <v>16000</v>
      </c>
      <c r="C15" s="30">
        <f t="shared" si="5"/>
        <v>17000</v>
      </c>
      <c r="D15" s="30">
        <f t="shared" si="6"/>
        <v>10000</v>
      </c>
      <c r="E15" s="30">
        <f t="shared" si="7"/>
        <v>12500</v>
      </c>
      <c r="F15" s="31">
        <f t="shared" ref="F15:G15" si="9">B15-D15</f>
        <v>6000</v>
      </c>
      <c r="G15" s="31">
        <f t="shared" si="9"/>
        <v>4500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9">
        <v>4.0</v>
      </c>
      <c r="B16" s="30">
        <f t="shared" si="4"/>
        <v>12000</v>
      </c>
      <c r="C16" s="30">
        <f t="shared" si="5"/>
        <v>17000</v>
      </c>
      <c r="D16" s="30">
        <f t="shared" si="6"/>
        <v>10000</v>
      </c>
      <c r="E16" s="30">
        <f t="shared" si="7"/>
        <v>12500</v>
      </c>
      <c r="F16" s="31">
        <f t="shared" ref="F16:G16" si="10">B16-D16</f>
        <v>2000</v>
      </c>
      <c r="G16" s="31">
        <f t="shared" si="10"/>
        <v>4500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37" t="s">
        <v>66</v>
      </c>
      <c r="B17" s="25"/>
      <c r="C17" s="25"/>
      <c r="D17" s="25"/>
      <c r="E17" s="26"/>
      <c r="F17" s="31">
        <f t="shared" ref="F17:G17" si="11">AVERAGE(F13:F16)</f>
        <v>5000</v>
      </c>
      <c r="G17" s="31">
        <f t="shared" si="11"/>
        <v>4500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37" t="s">
        <v>67</v>
      </c>
      <c r="B18" s="25"/>
      <c r="C18" s="25"/>
      <c r="D18" s="25"/>
      <c r="E18" s="26"/>
      <c r="F18" s="30">
        <v>40000.0</v>
      </c>
      <c r="G18" s="30">
        <v>50000.0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37" t="s">
        <v>68</v>
      </c>
      <c r="B19" s="25"/>
      <c r="C19" s="25"/>
      <c r="D19" s="25"/>
      <c r="E19" s="26"/>
      <c r="F19" s="38">
        <f t="shared" ref="F19:G19" si="12">F17/F18</f>
        <v>0.125</v>
      </c>
      <c r="G19" s="38">
        <f t="shared" si="12"/>
        <v>0.09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24" t="s">
        <v>69</v>
      </c>
      <c r="B22" s="25"/>
      <c r="C22" s="25"/>
      <c r="D22" s="25"/>
      <c r="E22" s="25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39" t="str">
        <f t="shared" ref="A23:B23" si="13">A11</f>
        <v>Years</v>
      </c>
      <c r="B23" s="40" t="str">
        <f t="shared" si="13"/>
        <v>Cash Inflows</v>
      </c>
      <c r="C23" s="26"/>
      <c r="D23" s="35" t="s">
        <v>70</v>
      </c>
      <c r="E23" s="24" t="s">
        <v>71</v>
      </c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36"/>
      <c r="B24" s="41" t="str">
        <f t="shared" ref="B24:C24" si="14">B12</f>
        <v>Software A</v>
      </c>
      <c r="C24" s="41" t="str">
        <f t="shared" si="14"/>
        <v>Software B</v>
      </c>
      <c r="D24" s="36"/>
      <c r="E24" s="28" t="s">
        <v>50</v>
      </c>
      <c r="F24" s="28" t="s">
        <v>52</v>
      </c>
      <c r="G24" s="27"/>
      <c r="H24" s="27"/>
      <c r="I24" s="42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43">
        <f t="shared" ref="A25:C25" si="15">A13</f>
        <v>1</v>
      </c>
      <c r="B25" s="31">
        <f t="shared" si="15"/>
        <v>16000</v>
      </c>
      <c r="C25" s="31">
        <f t="shared" si="15"/>
        <v>17000</v>
      </c>
      <c r="D25" s="44">
        <f t="shared" ref="D25:D28" si="17">(1/1.1)^A25</f>
        <v>0.9090909091</v>
      </c>
      <c r="E25" s="31">
        <f t="shared" ref="E25:E28" si="18">B25*D25</f>
        <v>14545.45455</v>
      </c>
      <c r="F25" s="31">
        <f t="shared" ref="F25:F28" si="19">C25*D25</f>
        <v>15454.54545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A26" s="43">
        <f t="shared" ref="A26:C26" si="16">A14</f>
        <v>2</v>
      </c>
      <c r="B26" s="31">
        <f t="shared" si="16"/>
        <v>16000</v>
      </c>
      <c r="C26" s="31">
        <f t="shared" si="16"/>
        <v>17000</v>
      </c>
      <c r="D26" s="44">
        <f t="shared" si="17"/>
        <v>0.826446281</v>
      </c>
      <c r="E26" s="31">
        <f t="shared" si="18"/>
        <v>13223.1405</v>
      </c>
      <c r="F26" s="31">
        <f t="shared" si="19"/>
        <v>14049.58678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A27" s="43">
        <f t="shared" ref="A27:C27" si="20">A15</f>
        <v>3</v>
      </c>
      <c r="B27" s="31">
        <f t="shared" si="20"/>
        <v>16000</v>
      </c>
      <c r="C27" s="31">
        <f t="shared" si="20"/>
        <v>17000</v>
      </c>
      <c r="D27" s="44">
        <f t="shared" si="17"/>
        <v>0.7513148009</v>
      </c>
      <c r="E27" s="31">
        <f t="shared" si="18"/>
        <v>12021.03681</v>
      </c>
      <c r="F27" s="31">
        <f t="shared" si="19"/>
        <v>12772.35162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43">
        <f t="shared" ref="A28:C28" si="21">A16</f>
        <v>4</v>
      </c>
      <c r="B28" s="31">
        <f t="shared" si="21"/>
        <v>12000</v>
      </c>
      <c r="C28" s="31">
        <f t="shared" si="21"/>
        <v>17000</v>
      </c>
      <c r="D28" s="44">
        <f t="shared" si="17"/>
        <v>0.6830134554</v>
      </c>
      <c r="E28" s="31">
        <f t="shared" si="18"/>
        <v>8196.161464</v>
      </c>
      <c r="F28" s="31">
        <f t="shared" si="19"/>
        <v>11611.22874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37" t="s">
        <v>72</v>
      </c>
      <c r="B29" s="25"/>
      <c r="C29" s="25"/>
      <c r="D29" s="26"/>
      <c r="E29" s="31">
        <f t="shared" ref="E29:F29" si="22">SUM(E25:E28)</f>
        <v>47985.79332</v>
      </c>
      <c r="F29" s="31">
        <f t="shared" si="22"/>
        <v>53887.71259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37" t="s">
        <v>73</v>
      </c>
      <c r="B30" s="25"/>
      <c r="C30" s="25"/>
      <c r="D30" s="26"/>
      <c r="E30" s="30">
        <v>40000.0</v>
      </c>
      <c r="F30" s="30">
        <v>50000.0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>
      <c r="A31" s="37" t="s">
        <v>74</v>
      </c>
      <c r="B31" s="25"/>
      <c r="C31" s="25"/>
      <c r="D31" s="26"/>
      <c r="E31" s="45">
        <f t="shared" ref="E31:F31" si="23">E29-E30</f>
        <v>7985.79332</v>
      </c>
      <c r="F31" s="45">
        <f t="shared" si="23"/>
        <v>3887.712588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mergeCells count="17">
    <mergeCell ref="A1:E1"/>
    <mergeCell ref="A10:G10"/>
    <mergeCell ref="A11:A12"/>
    <mergeCell ref="B11:C11"/>
    <mergeCell ref="D11:E11"/>
    <mergeCell ref="F11:G11"/>
    <mergeCell ref="A17:E17"/>
    <mergeCell ref="A29:D29"/>
    <mergeCell ref="A30:D30"/>
    <mergeCell ref="A31:D31"/>
    <mergeCell ref="A18:E18"/>
    <mergeCell ref="A19:E19"/>
    <mergeCell ref="A22:F22"/>
    <mergeCell ref="A23:A24"/>
    <mergeCell ref="B23:C23"/>
    <mergeCell ref="D23:D24"/>
    <mergeCell ref="E23:F23"/>
  </mergeCells>
  <drawing r:id="rId1"/>
</worksheet>
</file>