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in" sheetId="1" r:id="rId1"/>
    <sheet name="Modal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4" l="1"/>
  <c r="Q11" i="4"/>
  <c r="D8" i="1"/>
  <c r="R24" i="4" l="1"/>
  <c r="R37" i="4" s="1"/>
  <c r="Q24" i="4"/>
  <c r="V24" i="4" s="1"/>
  <c r="P24" i="4"/>
  <c r="U9" i="4"/>
  <c r="P3" i="4"/>
  <c r="P4" i="4"/>
  <c r="Q37" i="4" l="1"/>
  <c r="P5" i="4"/>
  <c r="P6" i="4"/>
  <c r="V11" i="4" l="1"/>
  <c r="V10" i="4"/>
  <c r="V9" i="4"/>
  <c r="W9" i="4" s="1"/>
  <c r="P73" i="4"/>
  <c r="P70" i="4"/>
  <c r="P79" i="4" s="1"/>
  <c r="P81" i="4" s="1"/>
  <c r="N70" i="4"/>
  <c r="P61" i="4"/>
  <c r="P52" i="4"/>
  <c r="P48" i="4"/>
  <c r="P47" i="4"/>
  <c r="P63" i="4" s="1"/>
  <c r="N47" i="4"/>
  <c r="P23" i="4"/>
  <c r="P20" i="4"/>
  <c r="P11" i="4"/>
  <c r="P15" i="4" s="1"/>
  <c r="P28" i="4" s="1"/>
  <c r="P42" i="4" l="1"/>
  <c r="P18" i="4"/>
  <c r="P21" i="4" l="1"/>
  <c r="P29" i="4"/>
  <c r="I5" i="4"/>
  <c r="I4" i="4"/>
  <c r="I3" i="4"/>
  <c r="K5" i="4"/>
  <c r="L5" i="4"/>
  <c r="M5" i="4"/>
  <c r="M4" i="4"/>
  <c r="M3" i="4"/>
  <c r="J5" i="4"/>
  <c r="J4" i="4"/>
  <c r="J3" i="4"/>
  <c r="N5" i="4"/>
  <c r="N4" i="4"/>
  <c r="N3" i="4"/>
  <c r="C6" i="4"/>
  <c r="D6" i="4"/>
  <c r="E6" i="4"/>
  <c r="F6" i="4"/>
  <c r="G6" i="4"/>
  <c r="H6" i="4"/>
  <c r="K6" i="4"/>
  <c r="L6" i="4"/>
  <c r="P7" i="4" s="1"/>
  <c r="O6" i="4"/>
  <c r="O7" i="4" s="1"/>
  <c r="K4" i="4"/>
  <c r="K3" i="4"/>
  <c r="O5" i="4"/>
  <c r="O4" i="4"/>
  <c r="O3" i="4"/>
  <c r="L4" i="4"/>
  <c r="L3" i="4"/>
  <c r="J6" i="4" l="1"/>
  <c r="P30" i="4"/>
  <c r="I6" i="4"/>
  <c r="M6" i="4"/>
  <c r="M7" i="4" s="1"/>
  <c r="N6" i="4"/>
  <c r="N7" i="4" l="1"/>
  <c r="P39" i="4"/>
  <c r="P31" i="4"/>
  <c r="U88" i="4"/>
  <c r="T9" i="4" l="1"/>
  <c r="S9" i="4"/>
  <c r="U10" i="4"/>
  <c r="W53" i="4" l="1"/>
  <c r="S88" i="4"/>
  <c r="T88" i="4"/>
  <c r="X9" i="4" l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S16" i="4"/>
  <c r="T16" i="4"/>
  <c r="U16" i="4"/>
  <c r="V16" i="4" s="1"/>
  <c r="S17" i="4"/>
  <c r="T17" i="4"/>
  <c r="U17" i="4"/>
  <c r="V17" i="4" s="1"/>
  <c r="W16" i="4" l="1"/>
  <c r="W17" i="4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O23" i="4"/>
  <c r="O22" i="4"/>
  <c r="O11" i="4"/>
  <c r="O15" i="4" s="1"/>
  <c r="X16" i="4" l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O18" i="4" l="1"/>
  <c r="O21" i="4" s="1"/>
  <c r="O24" i="4" s="1"/>
  <c r="O28" i="4"/>
  <c r="O29" i="4" l="1"/>
  <c r="O39" i="4"/>
  <c r="O30" i="4"/>
  <c r="O31" i="4" l="1"/>
  <c r="H78" i="4"/>
  <c r="H73" i="4"/>
  <c r="H70" i="4"/>
  <c r="H61" i="4"/>
  <c r="H52" i="4"/>
  <c r="H48" i="4"/>
  <c r="H47" i="4"/>
  <c r="S20" i="4"/>
  <c r="S19" i="4"/>
  <c r="S14" i="4"/>
  <c r="S13" i="4"/>
  <c r="S12" i="4"/>
  <c r="S10" i="4"/>
  <c r="T10" i="4"/>
  <c r="C23" i="4"/>
  <c r="C22" i="4"/>
  <c r="C11" i="4"/>
  <c r="C15" i="4" s="1"/>
  <c r="C28" i="4" s="1"/>
  <c r="D23" i="4"/>
  <c r="D22" i="4"/>
  <c r="D11" i="4"/>
  <c r="D15" i="4" s="1"/>
  <c r="H23" i="4"/>
  <c r="H22" i="4"/>
  <c r="E23" i="4"/>
  <c r="E22" i="4"/>
  <c r="E11" i="4"/>
  <c r="J73" i="4"/>
  <c r="J78" i="4"/>
  <c r="F78" i="4"/>
  <c r="F73" i="4"/>
  <c r="F61" i="4"/>
  <c r="F52" i="4"/>
  <c r="F48" i="4"/>
  <c r="F47" i="4"/>
  <c r="F23" i="4"/>
  <c r="F22" i="4"/>
  <c r="F11" i="4"/>
  <c r="G23" i="4"/>
  <c r="G22" i="4"/>
  <c r="K23" i="4"/>
  <c r="K22" i="4"/>
  <c r="C18" i="4" l="1"/>
  <c r="F15" i="4"/>
  <c r="F18" i="4" s="1"/>
  <c r="F21" i="4" s="1"/>
  <c r="F24" i="4" s="1"/>
  <c r="E15" i="4"/>
  <c r="E18" i="4" s="1"/>
  <c r="E21" i="4" s="1"/>
  <c r="E24" i="4" s="1"/>
  <c r="D18" i="4"/>
  <c r="D21" i="4" s="1"/>
  <c r="D24" i="4" s="1"/>
  <c r="F28" i="4"/>
  <c r="D28" i="4"/>
  <c r="S11" i="4"/>
  <c r="H79" i="4"/>
  <c r="H81" i="4" s="1"/>
  <c r="F79" i="4"/>
  <c r="F81" i="4" s="1"/>
  <c r="F63" i="4"/>
  <c r="S22" i="4"/>
  <c r="H63" i="4"/>
  <c r="S23" i="4"/>
  <c r="I23" i="4"/>
  <c r="I22" i="4"/>
  <c r="L23" i="4"/>
  <c r="L22" i="4"/>
  <c r="N73" i="4"/>
  <c r="J70" i="4"/>
  <c r="J79" i="4" s="1"/>
  <c r="N61" i="4"/>
  <c r="N52" i="4"/>
  <c r="N48" i="4"/>
  <c r="J61" i="4"/>
  <c r="J52" i="4"/>
  <c r="J48" i="4"/>
  <c r="J47" i="4"/>
  <c r="J23" i="4"/>
  <c r="J22" i="4"/>
  <c r="M23" i="4"/>
  <c r="M22" i="4"/>
  <c r="N23" i="4"/>
  <c r="N22" i="4"/>
  <c r="U20" i="4"/>
  <c r="T20" i="4"/>
  <c r="U19" i="4"/>
  <c r="V19" i="4" s="1"/>
  <c r="T19" i="4"/>
  <c r="U14" i="4"/>
  <c r="V14" i="4" s="1"/>
  <c r="T14" i="4"/>
  <c r="U13" i="4"/>
  <c r="V13" i="4" s="1"/>
  <c r="T13" i="4"/>
  <c r="U12" i="4"/>
  <c r="V12" i="4" s="1"/>
  <c r="T12" i="4"/>
  <c r="N11" i="4"/>
  <c r="N15" i="4" s="1"/>
  <c r="M11" i="4"/>
  <c r="L11" i="4"/>
  <c r="P34" i="4" s="1"/>
  <c r="K11" i="4"/>
  <c r="O34" i="4" s="1"/>
  <c r="J11" i="4"/>
  <c r="I11" i="4"/>
  <c r="H11" i="4"/>
  <c r="G11" i="4"/>
  <c r="V15" i="4" l="1"/>
  <c r="V18" i="4" s="1"/>
  <c r="V21" i="4" s="1"/>
  <c r="V23" i="4" s="1"/>
  <c r="V20" i="4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W19" i="4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E28" i="4"/>
  <c r="W13" i="4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W12" i="4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W14" i="4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C21" i="4"/>
  <c r="C29" i="4"/>
  <c r="H15" i="4"/>
  <c r="H18" i="4" s="1"/>
  <c r="I15" i="4"/>
  <c r="I18" i="4" s="1"/>
  <c r="I21" i="4" s="1"/>
  <c r="I24" i="4" s="1"/>
  <c r="M15" i="4"/>
  <c r="M18" i="4" s="1"/>
  <c r="M21" i="4" s="1"/>
  <c r="M24" i="4" s="1"/>
  <c r="J15" i="4"/>
  <c r="J28" i="4" s="1"/>
  <c r="S15" i="4"/>
  <c r="S18" i="4" s="1"/>
  <c r="S21" i="4" s="1"/>
  <c r="S24" i="4" s="1"/>
  <c r="G15" i="4"/>
  <c r="G18" i="4" s="1"/>
  <c r="K15" i="4"/>
  <c r="L15" i="4"/>
  <c r="G34" i="4"/>
  <c r="K34" i="4"/>
  <c r="H34" i="4"/>
  <c r="L34" i="4"/>
  <c r="I34" i="4"/>
  <c r="M34" i="4"/>
  <c r="J34" i="4"/>
  <c r="N34" i="4"/>
  <c r="E29" i="4"/>
  <c r="D30" i="4"/>
  <c r="D29" i="4"/>
  <c r="F30" i="4"/>
  <c r="F29" i="4"/>
  <c r="H42" i="4"/>
  <c r="F42" i="4"/>
  <c r="N79" i="4"/>
  <c r="N81" i="4" s="1"/>
  <c r="J81" i="4"/>
  <c r="U22" i="4"/>
  <c r="T22" i="4"/>
  <c r="J63" i="4"/>
  <c r="T11" i="4"/>
  <c r="N63" i="4"/>
  <c r="U23" i="4"/>
  <c r="U11" i="4"/>
  <c r="T23" i="4"/>
  <c r="W22" i="4" l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V22" i="4"/>
  <c r="M28" i="4"/>
  <c r="N35" i="4"/>
  <c r="L18" i="4"/>
  <c r="P35" i="4"/>
  <c r="U15" i="4"/>
  <c r="U18" i="4" s="1"/>
  <c r="U21" i="4" s="1"/>
  <c r="U24" i="4" s="1"/>
  <c r="V34" i="4"/>
  <c r="M37" i="4"/>
  <c r="I37" i="4"/>
  <c r="S84" i="4"/>
  <c r="S28" i="4"/>
  <c r="S32" i="4"/>
  <c r="K18" i="4"/>
  <c r="O35" i="4"/>
  <c r="C24" i="4"/>
  <c r="C30" i="4"/>
  <c r="H21" i="4"/>
  <c r="H24" i="4" s="1"/>
  <c r="H36" i="4"/>
  <c r="G21" i="4"/>
  <c r="G24" i="4" s="1"/>
  <c r="G36" i="4"/>
  <c r="T15" i="4"/>
  <c r="T18" i="4" s="1"/>
  <c r="T21" i="4" s="1"/>
  <c r="I28" i="4"/>
  <c r="G28" i="4"/>
  <c r="J35" i="4"/>
  <c r="I35" i="4"/>
  <c r="H35" i="4"/>
  <c r="G35" i="4"/>
  <c r="N18" i="4"/>
  <c r="N29" i="4" s="1"/>
  <c r="J18" i="4"/>
  <c r="J29" i="4" s="1"/>
  <c r="M35" i="4"/>
  <c r="L35" i="4"/>
  <c r="N42" i="4"/>
  <c r="L28" i="4"/>
  <c r="K28" i="4"/>
  <c r="K35" i="4"/>
  <c r="L36" i="4"/>
  <c r="I36" i="4"/>
  <c r="H28" i="4"/>
  <c r="N28" i="4"/>
  <c r="U34" i="4"/>
  <c r="T34" i="4"/>
  <c r="F39" i="4"/>
  <c r="E30" i="4"/>
  <c r="L29" i="4"/>
  <c r="S29" i="4"/>
  <c r="I29" i="4"/>
  <c r="M30" i="4"/>
  <c r="M29" i="4"/>
  <c r="H29" i="4"/>
  <c r="G29" i="4"/>
  <c r="J42" i="4"/>
  <c r="L21" i="4" l="1"/>
  <c r="L24" i="4" s="1"/>
  <c r="P37" i="4" s="1"/>
  <c r="P36" i="4"/>
  <c r="U28" i="4"/>
  <c r="V28" i="4"/>
  <c r="G37" i="4"/>
  <c r="U84" i="4"/>
  <c r="H37" i="4"/>
  <c r="T24" i="4"/>
  <c r="T32" i="4"/>
  <c r="K21" i="4"/>
  <c r="K24" i="4" s="1"/>
  <c r="O36" i="4"/>
  <c r="U32" i="4"/>
  <c r="C31" i="4"/>
  <c r="J21" i="4"/>
  <c r="J36" i="4"/>
  <c r="N21" i="4"/>
  <c r="N36" i="4"/>
  <c r="I39" i="4"/>
  <c r="K29" i="4"/>
  <c r="K36" i="4"/>
  <c r="M36" i="4"/>
  <c r="T28" i="4"/>
  <c r="T35" i="4"/>
  <c r="T36" i="4"/>
  <c r="V35" i="4"/>
  <c r="U35" i="4"/>
  <c r="F31" i="4"/>
  <c r="M39" i="4"/>
  <c r="G39" i="4"/>
  <c r="G30" i="4"/>
  <c r="E39" i="4"/>
  <c r="E31" i="4"/>
  <c r="D39" i="4"/>
  <c r="D31" i="4"/>
  <c r="H39" i="4"/>
  <c r="H30" i="4"/>
  <c r="S31" i="4"/>
  <c r="S30" i="4"/>
  <c r="C39" i="4"/>
  <c r="L30" i="4" l="1"/>
  <c r="L37" i="4"/>
  <c r="K37" i="4"/>
  <c r="O37" i="4"/>
  <c r="U37" i="4"/>
  <c r="V36" i="4"/>
  <c r="V29" i="4"/>
  <c r="K39" i="4"/>
  <c r="J24" i="4"/>
  <c r="J31" i="4" s="1"/>
  <c r="N30" i="4"/>
  <c r="N24" i="4"/>
  <c r="N37" i="4" s="1"/>
  <c r="J30" i="4"/>
  <c r="M31" i="4"/>
  <c r="K30" i="4"/>
  <c r="I30" i="4"/>
  <c r="L39" i="4"/>
  <c r="U29" i="4"/>
  <c r="T29" i="4"/>
  <c r="T84" i="4"/>
  <c r="U36" i="4"/>
  <c r="H31" i="4"/>
  <c r="G31" i="4"/>
  <c r="K31" i="4"/>
  <c r="I31" i="4"/>
  <c r="V30" i="4"/>
  <c r="V32" i="4" l="1"/>
  <c r="J37" i="4"/>
  <c r="J39" i="4"/>
  <c r="N39" i="4"/>
  <c r="N31" i="4"/>
  <c r="L31" i="4"/>
  <c r="U31" i="4"/>
  <c r="U30" i="4"/>
  <c r="T30" i="4"/>
  <c r="T31" i="4"/>
  <c r="V37" i="4" l="1"/>
  <c r="V31" i="4"/>
  <c r="V42" i="4"/>
  <c r="W10" i="4" s="1"/>
  <c r="W11" i="4" s="1"/>
  <c r="W15" i="4" s="1"/>
  <c r="W18" i="4" s="1"/>
  <c r="W21" i="4" s="1"/>
  <c r="BD45" i="4"/>
  <c r="BD46" i="4" s="1"/>
  <c r="W23" i="4" l="1"/>
  <c r="W24" i="4" s="1"/>
  <c r="W34" i="4"/>
  <c r="W35" i="4"/>
  <c r="W36" i="4"/>
  <c r="W28" i="4"/>
  <c r="W32" i="4" l="1"/>
  <c r="W37" i="4"/>
  <c r="W29" i="4"/>
  <c r="D7" i="1"/>
  <c r="D10" i="1" s="1"/>
  <c r="BD44" i="4" s="1"/>
  <c r="BD47" i="4" l="1"/>
  <c r="W30" i="4"/>
  <c r="W42" i="4" l="1"/>
  <c r="X10" i="4" s="1"/>
  <c r="X11" i="4" s="1"/>
  <c r="W31" i="4"/>
  <c r="X15" i="4" l="1"/>
  <c r="X34" i="4"/>
  <c r="X35" i="4" l="1"/>
  <c r="X18" i="4"/>
  <c r="X28" i="4"/>
  <c r="X36" i="4" l="1"/>
  <c r="X21" i="4"/>
  <c r="X23" i="4" s="1"/>
  <c r="X29" i="4"/>
  <c r="X24" i="4" l="1"/>
  <c r="X32" i="4"/>
  <c r="X30" i="4"/>
  <c r="X37" i="4" l="1"/>
  <c r="X42" i="4"/>
  <c r="Y10" i="4" s="1"/>
  <c r="Y11" i="4" s="1"/>
  <c r="X31" i="4"/>
  <c r="Y15" i="4" l="1"/>
  <c r="Y18" i="4" s="1"/>
  <c r="Y21" i="4" s="1"/>
  <c r="Y23" i="4" s="1"/>
  <c r="Y34" i="4"/>
  <c r="Y24" i="4" l="1"/>
  <c r="Y32" i="4"/>
  <c r="Y35" i="4"/>
  <c r="Y28" i="4"/>
  <c r="Y36" i="4"/>
  <c r="Y37" i="4" l="1"/>
  <c r="Y29" i="4"/>
  <c r="Y30" i="4" l="1"/>
  <c r="Y31" i="4"/>
  <c r="Y42" i="4"/>
  <c r="Z10" i="4" s="1"/>
  <c r="Z11" i="4" s="1"/>
  <c r="Z15" i="4" l="1"/>
  <c r="Z18" i="4" s="1"/>
  <c r="Z21" i="4" s="1"/>
  <c r="Z23" i="4" s="1"/>
  <c r="Z34" i="4"/>
  <c r="Z24" i="4" l="1"/>
  <c r="Z32" i="4"/>
  <c r="Z35" i="4"/>
  <c r="Z28" i="4"/>
  <c r="Z36" i="4"/>
  <c r="Z37" i="4" l="1"/>
  <c r="Z29" i="4"/>
  <c r="Z30" i="4" l="1"/>
  <c r="Z42" i="4"/>
  <c r="AA10" i="4" s="1"/>
  <c r="AA11" i="4" s="1"/>
  <c r="Z31" i="4"/>
  <c r="AA15" i="4" l="1"/>
  <c r="AA18" i="4" s="1"/>
  <c r="AA21" i="4" s="1"/>
  <c r="AA23" i="4" s="1"/>
  <c r="AA34" i="4"/>
  <c r="AA24" i="4" l="1"/>
  <c r="AA32" i="4"/>
  <c r="AA35" i="4"/>
  <c r="AA36" i="4"/>
  <c r="AA28" i="4"/>
  <c r="AA37" i="4" l="1"/>
  <c r="AA29" i="4"/>
  <c r="AA30" i="4" l="1"/>
  <c r="AA42" i="4"/>
  <c r="AA31" i="4"/>
  <c r="AB10" i="4" l="1"/>
  <c r="AB11" i="4" s="1"/>
  <c r="AB15" i="4" l="1"/>
  <c r="AB18" i="4" s="1"/>
  <c r="AB21" i="4" s="1"/>
  <c r="AB23" i="4" s="1"/>
  <c r="AB34" i="4"/>
  <c r="AB24" i="4" l="1"/>
  <c r="AB32" i="4"/>
  <c r="AB35" i="4"/>
  <c r="AB28" i="4"/>
  <c r="AB36" i="4"/>
  <c r="AB37" i="4" l="1"/>
  <c r="AB29" i="4"/>
  <c r="AB30" i="4" l="1"/>
  <c r="AB31" i="4"/>
  <c r="AB42" i="4"/>
  <c r="AC10" i="4" l="1"/>
  <c r="AC11" i="4" s="1"/>
  <c r="AC15" i="4" l="1"/>
  <c r="AC18" i="4" s="1"/>
  <c r="AC21" i="4" s="1"/>
  <c r="AC23" i="4" s="1"/>
  <c r="AC34" i="4"/>
  <c r="AC24" i="4" l="1"/>
  <c r="AC32" i="4"/>
  <c r="AC35" i="4"/>
  <c r="AC28" i="4"/>
  <c r="AC36" i="4"/>
  <c r="AC37" i="4" l="1"/>
  <c r="AC29" i="4"/>
  <c r="AC30" i="4"/>
  <c r="AC31" i="4" l="1"/>
  <c r="AC42" i="4" l="1"/>
  <c r="AD10" i="4" s="1"/>
  <c r="AD11" i="4" s="1"/>
  <c r="AD15" i="4" s="1"/>
  <c r="AD18" i="4" l="1"/>
  <c r="AD34" i="4"/>
  <c r="AD36" i="4" l="1"/>
  <c r="AD21" i="4"/>
  <c r="AD23" i="4" s="1"/>
  <c r="AD28" i="4"/>
  <c r="AD35" i="4"/>
  <c r="AD29" i="4"/>
  <c r="AD24" i="4" l="1"/>
  <c r="AD32" i="4"/>
  <c r="AD30" i="4"/>
  <c r="AD37" i="4" l="1"/>
  <c r="AD31" i="4"/>
  <c r="AD42" i="4"/>
  <c r="AE10" i="4" s="1"/>
  <c r="AE11" i="4" s="1"/>
  <c r="AE15" i="4" l="1"/>
  <c r="AE18" i="4" s="1"/>
  <c r="AE21" i="4" s="1"/>
  <c r="AE23" i="4" s="1"/>
  <c r="AE34" i="4"/>
  <c r="AE24" i="4" l="1"/>
  <c r="AE32" i="4"/>
  <c r="AE35" i="4"/>
  <c r="AE28" i="4"/>
  <c r="AE36" i="4"/>
  <c r="AE37" i="4" l="1"/>
  <c r="AE29" i="4"/>
  <c r="AE30" i="4" l="1"/>
  <c r="AE31" i="4"/>
  <c r="AE42" i="4"/>
  <c r="AF10" i="4" l="1"/>
  <c r="AF11" i="4" s="1"/>
  <c r="AF15" i="4" l="1"/>
  <c r="AF18" i="4" s="1"/>
  <c r="AF21" i="4" s="1"/>
  <c r="AF23" i="4" s="1"/>
  <c r="AF34" i="4"/>
  <c r="AF24" i="4" l="1"/>
  <c r="AF32" i="4"/>
  <c r="AF35" i="4"/>
  <c r="AF28" i="4"/>
  <c r="AF36" i="4"/>
  <c r="AF37" i="4" l="1"/>
  <c r="AF29" i="4"/>
  <c r="AF30" i="4" l="1"/>
  <c r="AF31" i="4"/>
  <c r="AF42" i="4"/>
  <c r="AG10" i="4" l="1"/>
  <c r="AG11" i="4" s="1"/>
  <c r="AG15" i="4" l="1"/>
  <c r="AG18" i="4" s="1"/>
  <c r="AG21" i="4" s="1"/>
  <c r="AG23" i="4" s="1"/>
  <c r="AG34" i="4"/>
  <c r="AG24" i="4" l="1"/>
  <c r="AG32" i="4"/>
  <c r="AG35" i="4"/>
  <c r="AG28" i="4"/>
  <c r="AG36" i="4"/>
  <c r="AG37" i="4" l="1"/>
  <c r="AG29" i="4"/>
  <c r="AG30" i="4" l="1"/>
  <c r="AG31" i="4"/>
  <c r="AG42" i="4"/>
  <c r="AH10" i="4" l="1"/>
  <c r="AH11" i="4" s="1"/>
  <c r="AH15" i="4" l="1"/>
  <c r="AH18" i="4" s="1"/>
  <c r="AH21" i="4" s="1"/>
  <c r="AH23" i="4" s="1"/>
  <c r="AH34" i="4"/>
  <c r="AH24" i="4" l="1"/>
  <c r="AH32" i="4"/>
  <c r="AH35" i="4"/>
  <c r="AH36" i="4"/>
  <c r="AH28" i="4"/>
  <c r="AH37" i="4" l="1"/>
  <c r="AH29" i="4"/>
  <c r="AH30" i="4" l="1"/>
  <c r="AH31" i="4"/>
  <c r="AH42" i="4"/>
  <c r="AI10" i="4" l="1"/>
  <c r="AI11" i="4" s="1"/>
  <c r="AI15" i="4" l="1"/>
  <c r="AI18" i="4" s="1"/>
  <c r="AI34" i="4"/>
  <c r="AI35" i="4" l="1"/>
  <c r="AI36" i="4"/>
  <c r="AI21" i="4"/>
  <c r="AI23" i="4" s="1"/>
  <c r="AI28" i="4"/>
  <c r="AI29" i="4"/>
  <c r="AI24" i="4" l="1"/>
  <c r="AI32" i="4"/>
  <c r="AI30" i="4"/>
  <c r="AI37" i="4" l="1"/>
  <c r="AI31" i="4"/>
  <c r="AI42" i="4"/>
  <c r="AJ10" i="4" l="1"/>
  <c r="AJ11" i="4" s="1"/>
  <c r="AJ15" i="4" l="1"/>
  <c r="AJ18" i="4" s="1"/>
  <c r="AJ21" i="4" s="1"/>
  <c r="AJ23" i="4" s="1"/>
  <c r="AJ34" i="4"/>
  <c r="AJ24" i="4" l="1"/>
  <c r="AJ32" i="4"/>
  <c r="AJ35" i="4"/>
  <c r="AJ28" i="4"/>
  <c r="AJ36" i="4"/>
  <c r="AJ37" i="4" l="1"/>
  <c r="AJ29" i="4"/>
  <c r="AJ30" i="4" l="1"/>
  <c r="AJ31" i="4"/>
  <c r="AJ42" i="4"/>
  <c r="AK10" i="4" l="1"/>
  <c r="AK11" i="4" s="1"/>
  <c r="AK15" i="4" l="1"/>
  <c r="AK18" i="4" s="1"/>
  <c r="AK21" i="4" s="1"/>
  <c r="AK23" i="4" s="1"/>
  <c r="AK34" i="4"/>
  <c r="AK24" i="4" l="1"/>
  <c r="AL24" i="4" s="1"/>
  <c r="AM24" i="4" s="1"/>
  <c r="AN24" i="4" s="1"/>
  <c r="AO24" i="4" s="1"/>
  <c r="AP24" i="4" s="1"/>
  <c r="AQ24" i="4" s="1"/>
  <c r="AR24" i="4" s="1"/>
  <c r="AS24" i="4" s="1"/>
  <c r="AT24" i="4" s="1"/>
  <c r="AU24" i="4" s="1"/>
  <c r="AV24" i="4" s="1"/>
  <c r="AW24" i="4" s="1"/>
  <c r="AK32" i="4"/>
  <c r="AK35" i="4"/>
  <c r="AK28" i="4"/>
  <c r="AK36" i="4"/>
  <c r="AK37" i="4" l="1"/>
  <c r="AK29" i="4"/>
  <c r="AK30" i="4" l="1"/>
  <c r="AK31" i="4"/>
  <c r="AK42" i="4"/>
  <c r="AL42" i="4" s="1"/>
  <c r="AM42" i="4" l="1"/>
  <c r="AN42" i="4" l="1"/>
  <c r="AO42" i="4" l="1"/>
  <c r="AP42" i="4" l="1"/>
  <c r="AQ42" i="4" l="1"/>
  <c r="AR42" i="4" l="1"/>
  <c r="AS42" i="4" l="1"/>
  <c r="AT42" i="4" l="1"/>
  <c r="AU42" i="4" l="1"/>
  <c r="AX24" i="4" l="1"/>
  <c r="AY24" i="4" s="1"/>
  <c r="AZ24" i="4" s="1"/>
  <c r="BA24" i="4" s="1"/>
  <c r="BB24" i="4" s="1"/>
  <c r="BC24" i="4" s="1"/>
  <c r="BD24" i="4" s="1"/>
  <c r="BE24" i="4" s="1"/>
  <c r="BF24" i="4" s="1"/>
  <c r="BG24" i="4" s="1"/>
  <c r="BH24" i="4" s="1"/>
  <c r="BI24" i="4" s="1"/>
  <c r="BJ24" i="4" s="1"/>
  <c r="BK24" i="4" s="1"/>
  <c r="BL24" i="4" s="1"/>
  <c r="BM24" i="4" s="1"/>
  <c r="BN24" i="4" s="1"/>
  <c r="BO24" i="4" s="1"/>
  <c r="BP24" i="4" s="1"/>
  <c r="BQ24" i="4" s="1"/>
  <c r="BR24" i="4" s="1"/>
  <c r="BS24" i="4" s="1"/>
  <c r="BT24" i="4" s="1"/>
  <c r="BU24" i="4" s="1"/>
  <c r="BV24" i="4" s="1"/>
  <c r="BW24" i="4" s="1"/>
  <c r="BX24" i="4" s="1"/>
  <c r="BY24" i="4" s="1"/>
  <c r="BZ24" i="4" s="1"/>
  <c r="CA24" i="4" s="1"/>
  <c r="CB24" i="4" s="1"/>
  <c r="CC24" i="4" s="1"/>
  <c r="CD24" i="4" s="1"/>
  <c r="CE24" i="4" s="1"/>
  <c r="CF24" i="4" s="1"/>
  <c r="CG24" i="4" s="1"/>
  <c r="CH24" i="4" s="1"/>
  <c r="CI24" i="4" s="1"/>
  <c r="CJ24" i="4" s="1"/>
  <c r="CK24" i="4" s="1"/>
  <c r="CL24" i="4" s="1"/>
  <c r="CM24" i="4" s="1"/>
  <c r="CN24" i="4" s="1"/>
  <c r="CO24" i="4" s="1"/>
  <c r="CP24" i="4" s="1"/>
  <c r="CQ24" i="4" s="1"/>
  <c r="CR24" i="4" s="1"/>
  <c r="CS24" i="4" s="1"/>
  <c r="CT24" i="4" s="1"/>
  <c r="CU24" i="4" s="1"/>
  <c r="CV24" i="4" s="1"/>
  <c r="CW24" i="4" s="1"/>
  <c r="CX24" i="4" s="1"/>
  <c r="CY24" i="4" s="1"/>
  <c r="CZ24" i="4" s="1"/>
  <c r="DA24" i="4" s="1"/>
  <c r="DB24" i="4" s="1"/>
  <c r="DC24" i="4" s="1"/>
  <c r="DD24" i="4" s="1"/>
  <c r="DE24" i="4" s="1"/>
  <c r="DF24" i="4" s="1"/>
  <c r="DG24" i="4" s="1"/>
  <c r="DH24" i="4" s="1"/>
  <c r="DI24" i="4" s="1"/>
  <c r="DJ24" i="4" s="1"/>
  <c r="DK24" i="4" s="1"/>
  <c r="DL24" i="4" s="1"/>
  <c r="DM24" i="4" s="1"/>
  <c r="DN24" i="4" s="1"/>
  <c r="DO24" i="4" s="1"/>
  <c r="DP24" i="4" s="1"/>
  <c r="DQ24" i="4" s="1"/>
  <c r="DR24" i="4" s="1"/>
  <c r="DS24" i="4" s="1"/>
  <c r="DT24" i="4" s="1"/>
  <c r="DU24" i="4" s="1"/>
  <c r="DV24" i="4" s="1"/>
  <c r="DW24" i="4" s="1"/>
  <c r="DX24" i="4" s="1"/>
  <c r="DY24" i="4" s="1"/>
  <c r="DZ24" i="4" s="1"/>
  <c r="EA24" i="4" s="1"/>
  <c r="EB24" i="4" s="1"/>
  <c r="EC24" i="4" s="1"/>
  <c r="ED24" i="4" s="1"/>
  <c r="EE24" i="4" s="1"/>
  <c r="EF24" i="4" s="1"/>
  <c r="EG24" i="4" s="1"/>
  <c r="EH24" i="4" s="1"/>
  <c r="EI24" i="4" s="1"/>
  <c r="EJ24" i="4" s="1"/>
  <c r="EK24" i="4" s="1"/>
  <c r="EL24" i="4" s="1"/>
  <c r="EM24" i="4" s="1"/>
  <c r="EN24" i="4" s="1"/>
  <c r="EO24" i="4" s="1"/>
  <c r="EP24" i="4" s="1"/>
  <c r="EQ24" i="4" s="1"/>
  <c r="ER24" i="4" s="1"/>
  <c r="ES24" i="4" s="1"/>
  <c r="ET24" i="4" s="1"/>
  <c r="EU24" i="4" s="1"/>
  <c r="EV24" i="4" s="1"/>
  <c r="EW24" i="4" s="1"/>
  <c r="EX24" i="4" s="1"/>
  <c r="EY24" i="4" s="1"/>
  <c r="EZ24" i="4" s="1"/>
  <c r="FA24" i="4" s="1"/>
  <c r="FB24" i="4" s="1"/>
  <c r="FC24" i="4" s="1"/>
  <c r="FD24" i="4" s="1"/>
  <c r="FE24" i="4" s="1"/>
  <c r="FF24" i="4" s="1"/>
  <c r="FG24" i="4" s="1"/>
  <c r="FH24" i="4" s="1"/>
  <c r="FI24" i="4" s="1"/>
  <c r="FJ24" i="4" s="1"/>
  <c r="FK24" i="4" s="1"/>
  <c r="FL24" i="4" s="1"/>
  <c r="FM24" i="4" s="1"/>
  <c r="FN24" i="4" s="1"/>
  <c r="FO24" i="4" s="1"/>
  <c r="FP24" i="4" s="1"/>
  <c r="FQ24" i="4" s="1"/>
  <c r="FR24" i="4" s="1"/>
  <c r="FS24" i="4" s="1"/>
  <c r="FT24" i="4" s="1"/>
  <c r="FU24" i="4" s="1"/>
  <c r="FV24" i="4" s="1"/>
  <c r="FW24" i="4" s="1"/>
  <c r="FX24" i="4" s="1"/>
  <c r="FY24" i="4" s="1"/>
  <c r="FZ24" i="4" s="1"/>
  <c r="GA24" i="4" s="1"/>
  <c r="GB24" i="4" s="1"/>
  <c r="GC24" i="4" s="1"/>
  <c r="GD24" i="4" s="1"/>
  <c r="GE24" i="4" s="1"/>
  <c r="GF24" i="4" s="1"/>
  <c r="GG24" i="4" s="1"/>
  <c r="GH24" i="4" s="1"/>
  <c r="GI24" i="4" s="1"/>
  <c r="GJ24" i="4" s="1"/>
  <c r="GK24" i="4" s="1"/>
  <c r="GL24" i="4" s="1"/>
  <c r="GM24" i="4" s="1"/>
  <c r="GN24" i="4" s="1"/>
  <c r="GO24" i="4" s="1"/>
  <c r="GP24" i="4" s="1"/>
  <c r="GQ24" i="4" s="1"/>
  <c r="GR24" i="4" s="1"/>
  <c r="GS24" i="4" s="1"/>
  <c r="GT24" i="4" s="1"/>
  <c r="GU24" i="4" s="1"/>
  <c r="GV24" i="4" s="1"/>
  <c r="GW24" i="4" s="1"/>
  <c r="GX24" i="4" s="1"/>
  <c r="GY24" i="4" s="1"/>
  <c r="GZ24" i="4" s="1"/>
  <c r="HA24" i="4" s="1"/>
  <c r="HB24" i="4" s="1"/>
  <c r="HC24" i="4" s="1"/>
  <c r="HD24" i="4" s="1"/>
  <c r="HE24" i="4" s="1"/>
  <c r="HF24" i="4" s="1"/>
  <c r="HG24" i="4" s="1"/>
  <c r="HH24" i="4" s="1"/>
  <c r="HI24" i="4" s="1"/>
  <c r="HJ24" i="4" s="1"/>
  <c r="HK24" i="4" s="1"/>
  <c r="HL24" i="4" s="1"/>
  <c r="HM24" i="4" s="1"/>
  <c r="HN24" i="4" s="1"/>
  <c r="HO24" i="4" s="1"/>
  <c r="HP24" i="4" s="1"/>
  <c r="HQ24" i="4" s="1"/>
  <c r="HR24" i="4" s="1"/>
  <c r="HS24" i="4" s="1"/>
  <c r="HT24" i="4" s="1"/>
  <c r="HU24" i="4" s="1"/>
  <c r="HV24" i="4" s="1"/>
  <c r="HW24" i="4" s="1"/>
  <c r="HX24" i="4" s="1"/>
  <c r="HY24" i="4" s="1"/>
  <c r="HZ24" i="4" s="1"/>
  <c r="IA24" i="4" s="1"/>
  <c r="IB24" i="4" s="1"/>
  <c r="IC24" i="4" s="1"/>
  <c r="ID24" i="4" s="1"/>
  <c r="IE24" i="4" s="1"/>
  <c r="IF24" i="4" s="1"/>
  <c r="IG24" i="4" s="1"/>
  <c r="IH24" i="4" s="1"/>
  <c r="II24" i="4" s="1"/>
  <c r="IJ24" i="4" s="1"/>
  <c r="IK24" i="4" s="1"/>
  <c r="IL24" i="4" s="1"/>
  <c r="IM24" i="4" s="1"/>
  <c r="IN24" i="4" s="1"/>
  <c r="IO24" i="4" s="1"/>
  <c r="IP24" i="4" s="1"/>
  <c r="IQ24" i="4" s="1"/>
  <c r="IR24" i="4" s="1"/>
  <c r="IS24" i="4" s="1"/>
  <c r="IT24" i="4" s="1"/>
  <c r="IU24" i="4" s="1"/>
  <c r="IV24" i="4" s="1"/>
  <c r="IW24" i="4" s="1"/>
  <c r="IX24" i="4" s="1"/>
  <c r="IY24" i="4" s="1"/>
  <c r="IZ24" i="4" s="1"/>
  <c r="JA24" i="4" s="1"/>
  <c r="JB24" i="4" s="1"/>
  <c r="JC24" i="4" s="1"/>
  <c r="JD24" i="4" s="1"/>
  <c r="JE24" i="4" s="1"/>
  <c r="JF24" i="4" s="1"/>
  <c r="JG24" i="4" s="1"/>
  <c r="JH24" i="4" s="1"/>
  <c r="JI24" i="4" s="1"/>
  <c r="JJ24" i="4" s="1"/>
  <c r="JK24" i="4" s="1"/>
  <c r="JL24" i="4" s="1"/>
  <c r="JM24" i="4" s="1"/>
  <c r="JN24" i="4" s="1"/>
  <c r="JO24" i="4" s="1"/>
  <c r="JP24" i="4" s="1"/>
  <c r="JQ24" i="4" s="1"/>
  <c r="JR24" i="4" s="1"/>
  <c r="JS24" i="4" s="1"/>
  <c r="JT24" i="4" s="1"/>
  <c r="JU24" i="4" s="1"/>
  <c r="JV24" i="4" s="1"/>
  <c r="JW24" i="4" s="1"/>
  <c r="JX24" i="4" s="1"/>
  <c r="JY24" i="4" s="1"/>
  <c r="JZ24" i="4" s="1"/>
  <c r="KA24" i="4" s="1"/>
  <c r="KB24" i="4" s="1"/>
  <c r="KC24" i="4" s="1"/>
  <c r="KD24" i="4" s="1"/>
  <c r="KE24" i="4" s="1"/>
  <c r="KF24" i="4" s="1"/>
  <c r="KG24" i="4" s="1"/>
  <c r="KH24" i="4" s="1"/>
  <c r="KI24" i="4" s="1"/>
  <c r="KJ24" i="4" s="1"/>
  <c r="KK24" i="4" s="1"/>
  <c r="KL24" i="4" s="1"/>
  <c r="KM24" i="4" s="1"/>
  <c r="KN24" i="4" s="1"/>
  <c r="KO24" i="4" s="1"/>
  <c r="KP24" i="4" s="1"/>
  <c r="KQ24" i="4" s="1"/>
  <c r="KR24" i="4" s="1"/>
  <c r="KS24" i="4" s="1"/>
  <c r="KT24" i="4" s="1"/>
  <c r="KU24" i="4" s="1"/>
  <c r="KV24" i="4" s="1"/>
  <c r="KW24" i="4" s="1"/>
  <c r="KX24" i="4" s="1"/>
  <c r="KY24" i="4" s="1"/>
  <c r="KZ24" i="4" s="1"/>
  <c r="LA24" i="4" s="1"/>
  <c r="LB24" i="4" s="1"/>
  <c r="LC24" i="4" s="1"/>
  <c r="LD24" i="4" s="1"/>
  <c r="LE24" i="4" s="1"/>
  <c r="LF24" i="4" s="1"/>
  <c r="LG24" i="4" s="1"/>
  <c r="LH24" i="4" s="1"/>
  <c r="LI24" i="4" s="1"/>
  <c r="LJ24" i="4" s="1"/>
  <c r="LK24" i="4" s="1"/>
  <c r="LL24" i="4" s="1"/>
  <c r="LM24" i="4" s="1"/>
  <c r="LN24" i="4" s="1"/>
  <c r="LO24" i="4" s="1"/>
  <c r="LP24" i="4" s="1"/>
  <c r="LQ24" i="4" s="1"/>
  <c r="LR24" i="4" s="1"/>
  <c r="LS24" i="4" s="1"/>
  <c r="LT24" i="4" s="1"/>
  <c r="LU24" i="4" s="1"/>
  <c r="LV24" i="4" s="1"/>
  <c r="LW24" i="4" s="1"/>
  <c r="LX24" i="4" s="1"/>
  <c r="LY24" i="4" s="1"/>
  <c r="LZ24" i="4" s="1"/>
  <c r="MA24" i="4" s="1"/>
  <c r="MB24" i="4" s="1"/>
  <c r="MC24" i="4" s="1"/>
  <c r="MD24" i="4" s="1"/>
  <c r="ME24" i="4" s="1"/>
  <c r="MF24" i="4" s="1"/>
  <c r="MG24" i="4" s="1"/>
  <c r="MH24" i="4" s="1"/>
  <c r="MI24" i="4" s="1"/>
  <c r="MJ24" i="4" s="1"/>
  <c r="MK24" i="4" s="1"/>
  <c r="ML24" i="4" s="1"/>
  <c r="MM24" i="4" s="1"/>
  <c r="MN24" i="4" s="1"/>
  <c r="MO24" i="4" s="1"/>
  <c r="MP24" i="4" s="1"/>
  <c r="MQ24" i="4" s="1"/>
  <c r="MR24" i="4" s="1"/>
  <c r="MS24" i="4" s="1"/>
  <c r="MT24" i="4" s="1"/>
  <c r="MU24" i="4" s="1"/>
  <c r="MV24" i="4" s="1"/>
  <c r="MW24" i="4" s="1"/>
  <c r="MX24" i="4" s="1"/>
  <c r="MY24" i="4" s="1"/>
  <c r="MZ24" i="4" s="1"/>
  <c r="NA24" i="4" s="1"/>
  <c r="NB24" i="4" s="1"/>
  <c r="NC24" i="4" s="1"/>
  <c r="ND24" i="4" s="1"/>
  <c r="NE24" i="4" s="1"/>
  <c r="NF24" i="4" s="1"/>
  <c r="NG24" i="4" s="1"/>
  <c r="NH24" i="4" s="1"/>
  <c r="NI24" i="4" s="1"/>
  <c r="NJ24" i="4" s="1"/>
  <c r="NK24" i="4" s="1"/>
  <c r="NL24" i="4" s="1"/>
  <c r="NM24" i="4" s="1"/>
  <c r="NN24" i="4" s="1"/>
  <c r="NO24" i="4" s="1"/>
  <c r="NP24" i="4" s="1"/>
  <c r="NQ24" i="4" s="1"/>
  <c r="NR24" i="4" s="1"/>
  <c r="NS24" i="4" s="1"/>
  <c r="NT24" i="4" s="1"/>
  <c r="NU24" i="4" s="1"/>
  <c r="NV24" i="4" s="1"/>
  <c r="NW24" i="4" s="1"/>
  <c r="NX24" i="4" s="1"/>
  <c r="NY24" i="4" s="1"/>
  <c r="NZ24" i="4" s="1"/>
  <c r="OA24" i="4" s="1"/>
  <c r="OB24" i="4" s="1"/>
  <c r="OC24" i="4" s="1"/>
  <c r="OD24" i="4" s="1"/>
  <c r="OE24" i="4" s="1"/>
  <c r="OF24" i="4" s="1"/>
  <c r="OG24" i="4" s="1"/>
  <c r="OH24" i="4" s="1"/>
  <c r="OI24" i="4" s="1"/>
  <c r="OJ24" i="4" s="1"/>
  <c r="OK24" i="4" s="1"/>
  <c r="OL24" i="4" s="1"/>
  <c r="OM24" i="4" s="1"/>
  <c r="ON24" i="4" s="1"/>
  <c r="OO24" i="4" s="1"/>
  <c r="OP24" i="4" s="1"/>
  <c r="OQ24" i="4" s="1"/>
  <c r="OR24" i="4" s="1"/>
  <c r="OS24" i="4" s="1"/>
  <c r="OT24" i="4" s="1"/>
  <c r="OU24" i="4" s="1"/>
  <c r="OV24" i="4" s="1"/>
  <c r="OW24" i="4" s="1"/>
  <c r="OX24" i="4" s="1"/>
  <c r="OY24" i="4" s="1"/>
  <c r="OZ24" i="4" s="1"/>
  <c r="PA24" i="4" s="1"/>
  <c r="PB24" i="4" s="1"/>
  <c r="PC24" i="4" s="1"/>
  <c r="PD24" i="4" s="1"/>
  <c r="PE24" i="4" s="1"/>
  <c r="PF24" i="4" s="1"/>
  <c r="PG24" i="4" s="1"/>
  <c r="PH24" i="4" s="1"/>
  <c r="PI24" i="4" s="1"/>
  <c r="PJ24" i="4" s="1"/>
  <c r="PK24" i="4" s="1"/>
  <c r="PL24" i="4" s="1"/>
  <c r="PM24" i="4" s="1"/>
  <c r="PN24" i="4" s="1"/>
  <c r="PO24" i="4" s="1"/>
  <c r="PP24" i="4" s="1"/>
  <c r="PQ24" i="4" s="1"/>
  <c r="PR24" i="4" s="1"/>
  <c r="PS24" i="4" s="1"/>
  <c r="PT24" i="4" s="1"/>
  <c r="PU24" i="4" s="1"/>
  <c r="PV24" i="4" s="1"/>
  <c r="PW24" i="4" s="1"/>
  <c r="PX24" i="4" s="1"/>
  <c r="PY24" i="4" s="1"/>
  <c r="PZ24" i="4" s="1"/>
  <c r="QA24" i="4" s="1"/>
  <c r="QB24" i="4" s="1"/>
  <c r="QC24" i="4" s="1"/>
  <c r="QD24" i="4" s="1"/>
  <c r="QE24" i="4" s="1"/>
  <c r="QF24" i="4" s="1"/>
  <c r="QG24" i="4" s="1"/>
  <c r="QH24" i="4" s="1"/>
  <c r="QI24" i="4" s="1"/>
  <c r="QJ24" i="4" s="1"/>
  <c r="QK24" i="4" s="1"/>
  <c r="QL24" i="4" s="1"/>
  <c r="QM24" i="4" s="1"/>
  <c r="QN24" i="4" s="1"/>
  <c r="QO24" i="4" s="1"/>
  <c r="QP24" i="4" s="1"/>
  <c r="QQ24" i="4" s="1"/>
  <c r="QR24" i="4" s="1"/>
  <c r="QS24" i="4" s="1"/>
  <c r="QT24" i="4" s="1"/>
  <c r="QU24" i="4" s="1"/>
  <c r="QV24" i="4" s="1"/>
  <c r="QW24" i="4" s="1"/>
  <c r="QX24" i="4" s="1"/>
  <c r="QY24" i="4" s="1"/>
  <c r="QZ24" i="4" s="1"/>
  <c r="RA24" i="4" s="1"/>
  <c r="RB24" i="4" s="1"/>
  <c r="RC24" i="4" s="1"/>
  <c r="RD24" i="4" s="1"/>
  <c r="RE24" i="4" s="1"/>
  <c r="RF24" i="4" s="1"/>
  <c r="RG24" i="4" s="1"/>
  <c r="RH24" i="4" s="1"/>
  <c r="RI24" i="4" s="1"/>
  <c r="RJ24" i="4" s="1"/>
  <c r="RK24" i="4" s="1"/>
  <c r="RL24" i="4" s="1"/>
  <c r="RM24" i="4" s="1"/>
  <c r="RN24" i="4" s="1"/>
  <c r="RO24" i="4" s="1"/>
  <c r="RP24" i="4" s="1"/>
  <c r="RQ24" i="4" s="1"/>
  <c r="RR24" i="4" s="1"/>
  <c r="RS24" i="4" s="1"/>
  <c r="RT24" i="4" s="1"/>
  <c r="RU24" i="4" s="1"/>
  <c r="RV24" i="4" s="1"/>
  <c r="RW24" i="4" s="1"/>
  <c r="RX24" i="4" s="1"/>
  <c r="RY24" i="4" s="1"/>
  <c r="RZ24" i="4" s="1"/>
  <c r="SA24" i="4" s="1"/>
  <c r="SB24" i="4" s="1"/>
  <c r="SC24" i="4" s="1"/>
  <c r="SD24" i="4" s="1"/>
  <c r="SE24" i="4" s="1"/>
  <c r="SF24" i="4" s="1"/>
  <c r="SG24" i="4" s="1"/>
  <c r="SH24" i="4" s="1"/>
  <c r="SI24" i="4" s="1"/>
  <c r="SJ24" i="4" s="1"/>
  <c r="SK24" i="4" s="1"/>
  <c r="SL24" i="4" s="1"/>
  <c r="SM24" i="4" s="1"/>
  <c r="SN24" i="4" s="1"/>
  <c r="SO24" i="4" s="1"/>
  <c r="SP24" i="4" s="1"/>
  <c r="SQ24" i="4" s="1"/>
  <c r="SR24" i="4" s="1"/>
  <c r="SS24" i="4" s="1"/>
  <c r="ST24" i="4" s="1"/>
  <c r="SU24" i="4" s="1"/>
  <c r="SV24" i="4" s="1"/>
  <c r="SW24" i="4" s="1"/>
  <c r="SX24" i="4" s="1"/>
  <c r="SY24" i="4" s="1"/>
  <c r="SZ24" i="4" s="1"/>
  <c r="TA24" i="4" s="1"/>
  <c r="TB24" i="4" s="1"/>
  <c r="TC24" i="4" s="1"/>
  <c r="TD24" i="4" s="1"/>
  <c r="TE24" i="4" s="1"/>
  <c r="TF24" i="4" s="1"/>
  <c r="TG24" i="4" s="1"/>
  <c r="TH24" i="4" s="1"/>
  <c r="TI24" i="4" s="1"/>
  <c r="TJ24" i="4" s="1"/>
  <c r="TK24" i="4" s="1"/>
  <c r="TL24" i="4" s="1"/>
  <c r="TM24" i="4" s="1"/>
  <c r="TN24" i="4" s="1"/>
  <c r="TO24" i="4" s="1"/>
  <c r="TP24" i="4" s="1"/>
  <c r="TQ24" i="4" s="1"/>
  <c r="TR24" i="4" s="1"/>
  <c r="TS24" i="4" s="1"/>
  <c r="TT24" i="4" s="1"/>
  <c r="TU24" i="4" s="1"/>
  <c r="TV24" i="4" s="1"/>
  <c r="TW24" i="4" s="1"/>
  <c r="TX24" i="4" s="1"/>
  <c r="TY24" i="4" s="1"/>
  <c r="TZ24" i="4" s="1"/>
  <c r="UA24" i="4" s="1"/>
  <c r="UB24" i="4" s="1"/>
  <c r="UC24" i="4" s="1"/>
  <c r="UD24" i="4" s="1"/>
  <c r="UE24" i="4" s="1"/>
  <c r="UF24" i="4" s="1"/>
  <c r="UG24" i="4" s="1"/>
  <c r="UH24" i="4" s="1"/>
  <c r="UI24" i="4" s="1"/>
  <c r="UJ24" i="4" s="1"/>
  <c r="UK24" i="4" s="1"/>
  <c r="UL24" i="4" s="1"/>
  <c r="UM24" i="4" s="1"/>
  <c r="UN24" i="4" s="1"/>
  <c r="UO24" i="4" s="1"/>
  <c r="UP24" i="4" s="1"/>
  <c r="UQ24" i="4" s="1"/>
  <c r="UR24" i="4" s="1"/>
  <c r="US24" i="4" s="1"/>
  <c r="UT24" i="4" s="1"/>
  <c r="UU24" i="4" s="1"/>
  <c r="UV24" i="4" s="1"/>
  <c r="UW24" i="4" s="1"/>
  <c r="UX24" i="4" s="1"/>
  <c r="UY24" i="4" s="1"/>
  <c r="UZ24" i="4" s="1"/>
  <c r="VA24" i="4" s="1"/>
  <c r="VB24" i="4" s="1"/>
  <c r="VC24" i="4" s="1"/>
  <c r="VD24" i="4" s="1"/>
  <c r="VE24" i="4" s="1"/>
  <c r="VF24" i="4" s="1"/>
  <c r="VG24" i="4" s="1"/>
  <c r="VH24" i="4" s="1"/>
  <c r="VI24" i="4" s="1"/>
  <c r="VJ24" i="4" s="1"/>
  <c r="VK24" i="4" s="1"/>
  <c r="VL24" i="4" s="1"/>
  <c r="VM24" i="4" s="1"/>
  <c r="VN24" i="4" s="1"/>
  <c r="VO24" i="4" s="1"/>
  <c r="VP24" i="4" s="1"/>
  <c r="VQ24" i="4" s="1"/>
  <c r="VR24" i="4" s="1"/>
  <c r="VS24" i="4" s="1"/>
  <c r="VT24" i="4" s="1"/>
  <c r="VU24" i="4" s="1"/>
  <c r="VV24" i="4" s="1"/>
  <c r="VW24" i="4" s="1"/>
  <c r="VX24" i="4" s="1"/>
  <c r="VY24" i="4" s="1"/>
  <c r="VZ24" i="4" s="1"/>
  <c r="WA24" i="4" s="1"/>
  <c r="WB24" i="4" s="1"/>
  <c r="WC24" i="4" s="1"/>
  <c r="WD24" i="4" s="1"/>
  <c r="WE24" i="4" s="1"/>
  <c r="WF24" i="4" s="1"/>
  <c r="WG24" i="4" s="1"/>
  <c r="WH24" i="4" s="1"/>
  <c r="WI24" i="4" s="1"/>
  <c r="WJ24" i="4" s="1"/>
  <c r="WK24" i="4" s="1"/>
  <c r="BA46" i="4" s="1"/>
  <c r="BA47" i="4" s="1"/>
  <c r="AV42" i="4"/>
  <c r="BA49" i="4" l="1"/>
  <c r="BD48" i="4" s="1"/>
</calcChain>
</file>

<file path=xl/sharedStrings.xml><?xml version="1.0" encoding="utf-8"?>
<sst xmlns="http://schemas.openxmlformats.org/spreadsheetml/2006/main" count="119" uniqueCount="114">
  <si>
    <t>Price</t>
  </si>
  <si>
    <t>S/O</t>
  </si>
  <si>
    <t>Mc</t>
  </si>
  <si>
    <t xml:space="preserve">Cash </t>
  </si>
  <si>
    <t>Debt</t>
  </si>
  <si>
    <t>EV</t>
  </si>
  <si>
    <t>in Cr</t>
  </si>
  <si>
    <t>Last updated</t>
  </si>
  <si>
    <t>Revenue</t>
  </si>
  <si>
    <t>Other income</t>
  </si>
  <si>
    <t>Total income</t>
  </si>
  <si>
    <t>Cogs</t>
  </si>
  <si>
    <t>Purchase of stock in trade</t>
  </si>
  <si>
    <t>Change in inventories</t>
  </si>
  <si>
    <t>Sg&amp;a</t>
  </si>
  <si>
    <t>Finance cost</t>
  </si>
  <si>
    <t>D &amp;A</t>
  </si>
  <si>
    <t>Other expense</t>
  </si>
  <si>
    <t>Tax expense</t>
  </si>
  <si>
    <t>Net income</t>
  </si>
  <si>
    <t>Q423</t>
  </si>
  <si>
    <t>exceptional items</t>
  </si>
  <si>
    <t>Income statement</t>
  </si>
  <si>
    <t>Q323</t>
  </si>
  <si>
    <t>Q422</t>
  </si>
  <si>
    <t>Q123</t>
  </si>
  <si>
    <t>Q122</t>
  </si>
  <si>
    <t>Q223</t>
  </si>
  <si>
    <t>Q222</t>
  </si>
  <si>
    <t>Q322</t>
  </si>
  <si>
    <t>Gross margin</t>
  </si>
  <si>
    <t>Maturity</t>
  </si>
  <si>
    <t>Discount</t>
  </si>
  <si>
    <t>NPV</t>
  </si>
  <si>
    <t>value</t>
  </si>
  <si>
    <t>Current price</t>
  </si>
  <si>
    <t>estimated price</t>
  </si>
  <si>
    <t>Balance sheet</t>
  </si>
  <si>
    <t>Inventories</t>
  </si>
  <si>
    <t>PP&amp;E</t>
  </si>
  <si>
    <t>WIP</t>
  </si>
  <si>
    <t>Right of use</t>
  </si>
  <si>
    <t>Intangibles</t>
  </si>
  <si>
    <t>Investments</t>
  </si>
  <si>
    <t>Trade receivables</t>
  </si>
  <si>
    <t>income tax assets</t>
  </si>
  <si>
    <t>ONCA</t>
  </si>
  <si>
    <t>Investments©</t>
  </si>
  <si>
    <t>Trade receivables©</t>
  </si>
  <si>
    <t>Cash</t>
  </si>
  <si>
    <t>Bank balance</t>
  </si>
  <si>
    <t>Loans</t>
  </si>
  <si>
    <t>OFA</t>
  </si>
  <si>
    <t>OCA</t>
  </si>
  <si>
    <t>Assets for sale</t>
  </si>
  <si>
    <t>Total assets</t>
  </si>
  <si>
    <t>Borrowings</t>
  </si>
  <si>
    <t>lease libilities</t>
  </si>
  <si>
    <t>Trade payables</t>
  </si>
  <si>
    <t>Other financial libilities</t>
  </si>
  <si>
    <t>Contract liblities</t>
  </si>
  <si>
    <t>Provisions</t>
  </si>
  <si>
    <t>Deffered tax liblity</t>
  </si>
  <si>
    <t>Borrowings©</t>
  </si>
  <si>
    <t>Lease libilities©</t>
  </si>
  <si>
    <t>Other financial libilities©</t>
  </si>
  <si>
    <t>Contract liblities©</t>
  </si>
  <si>
    <t>Provisions©</t>
  </si>
  <si>
    <t>Ocl</t>
  </si>
  <si>
    <t>Current tax libilities</t>
  </si>
  <si>
    <t>Total liabilities</t>
  </si>
  <si>
    <t>Net cash</t>
  </si>
  <si>
    <t>S/E</t>
  </si>
  <si>
    <t>S/E+L</t>
  </si>
  <si>
    <t>EV/E</t>
  </si>
  <si>
    <t>Yield</t>
  </si>
  <si>
    <t>ROIC</t>
  </si>
  <si>
    <t>Cash flow</t>
  </si>
  <si>
    <t>Model NI</t>
  </si>
  <si>
    <t>Reported NI</t>
  </si>
  <si>
    <t>Loans©</t>
  </si>
  <si>
    <t>Net margin</t>
  </si>
  <si>
    <t>31/9/2021</t>
  </si>
  <si>
    <t>31/6/2021</t>
  </si>
  <si>
    <t>Q424</t>
  </si>
  <si>
    <t>EPS</t>
  </si>
  <si>
    <t>shares</t>
  </si>
  <si>
    <t>Difference</t>
  </si>
  <si>
    <t>EBITDA</t>
  </si>
  <si>
    <t>Gross profit</t>
  </si>
  <si>
    <t>Operating profit</t>
  </si>
  <si>
    <t>Operating margin</t>
  </si>
  <si>
    <t>Ebitda margin</t>
  </si>
  <si>
    <t>revenue growth y/y</t>
  </si>
  <si>
    <t>gross growth y/y</t>
  </si>
  <si>
    <t>operating growth y/y</t>
  </si>
  <si>
    <t>Q124</t>
  </si>
  <si>
    <t>Tax rate</t>
  </si>
  <si>
    <t>CFFO</t>
  </si>
  <si>
    <t>Capex</t>
  </si>
  <si>
    <t>Free cashflow</t>
  </si>
  <si>
    <t>net income y/y</t>
  </si>
  <si>
    <t>MHCV  TRUCKS</t>
  </si>
  <si>
    <t>MHCV  BUSES</t>
  </si>
  <si>
    <t>LCV</t>
  </si>
  <si>
    <t>Q224</t>
  </si>
  <si>
    <t>Total sales</t>
  </si>
  <si>
    <t>Sales y/y</t>
  </si>
  <si>
    <t>2025 E</t>
  </si>
  <si>
    <t>Q324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</si>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</sst>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₹&quot;\ #,##0.00;[Red]&quot;₹&quot;\ \-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2" borderId="0" xfId="1"/>
    <xf numFmtId="9" fontId="0" fillId="0" borderId="0" xfId="0" applyNumberFormat="1"/>
    <xf numFmtId="8" fontId="0" fillId="0" borderId="0" xfId="0" applyNumberFormat="1"/>
    <xf numFmtId="0" fontId="0" fillId="0" borderId="0" xfId="0" applyFont="1"/>
    <xf numFmtId="2" fontId="0" fillId="0" borderId="0" xfId="0" applyNumberForma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8</xdr:row>
      <xdr:rowOff>0</xdr:rowOff>
    </xdr:from>
    <xdr:to>
      <xdr:col>21</xdr:col>
      <xdr:colOff>9527</xdr:colOff>
      <xdr:row>119</xdr:row>
      <xdr:rowOff>152400</xdr:rowOff>
    </xdr:to>
    <xdr:cxnSp macro="">
      <xdr:nvCxnSpPr>
        <xdr:cNvPr id="2" name="Straight Connector 1"/>
        <xdr:cNvCxnSpPr/>
      </xdr:nvCxnSpPr>
      <xdr:spPr>
        <a:xfrm flipH="1">
          <a:off x="15401925" y="104775"/>
          <a:ext cx="2" cy="22374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7</xdr:row>
      <xdr:rowOff>168551</xdr:rowOff>
    </xdr:from>
    <xdr:to>
      <xdr:col>18</xdr:col>
      <xdr:colOff>9525</xdr:colOff>
      <xdr:row>99</xdr:row>
      <xdr:rowOff>111401</xdr:rowOff>
    </xdr:to>
    <xdr:cxnSp macro="">
      <xdr:nvCxnSpPr>
        <xdr:cNvPr id="4" name="Straight Connector 3"/>
        <xdr:cNvCxnSpPr/>
      </xdr:nvCxnSpPr>
      <xdr:spPr>
        <a:xfrm>
          <a:off x="13220286" y="1518616"/>
          <a:ext cx="0" cy="1748541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"/>
  <sheetViews>
    <sheetView tabSelected="1" topLeftCell="B1" workbookViewId="0">
      <selection activeCell="M5" sqref="M5"/>
    </sheetView>
  </sheetViews>
  <sheetFormatPr defaultRowHeight="15" x14ac:dyDescent="0.25"/>
  <cols>
    <col min="4" max="4" width="12" bestFit="1" customWidth="1"/>
  </cols>
  <sheetData>
    <row r="3" spans="2:5" x14ac:dyDescent="0.25">
      <c r="C3" t="s">
        <v>7</v>
      </c>
      <c r="D3" s="1">
        <v>45696</v>
      </c>
    </row>
    <row r="5" spans="2:5" x14ac:dyDescent="0.25">
      <c r="C5" t="s">
        <v>0</v>
      </c>
      <c r="D5">
        <v>212.05</v>
      </c>
    </row>
    <row r="6" spans="2:5" x14ac:dyDescent="0.25">
      <c r="B6" t="s">
        <v>6</v>
      </c>
      <c r="C6" t="s">
        <v>1</v>
      </c>
      <c r="D6">
        <v>293.61272760000003</v>
      </c>
      <c r="E6" t="s">
        <v>20</v>
      </c>
    </row>
    <row r="7" spans="2:5" x14ac:dyDescent="0.25">
      <c r="C7" t="s">
        <v>2</v>
      </c>
      <c r="D7">
        <f>D5*D6</f>
        <v>62260.578887580006</v>
      </c>
    </row>
    <row r="8" spans="2:5" x14ac:dyDescent="0.25">
      <c r="C8" t="s">
        <v>3</v>
      </c>
      <c r="D8" s="2">
        <f>1697.16+2130.61+2854.97+533.95+5.88</f>
        <v>7222.57</v>
      </c>
      <c r="E8" t="s">
        <v>20</v>
      </c>
    </row>
    <row r="9" spans="2:5" x14ac:dyDescent="0.25">
      <c r="C9" t="s">
        <v>4</v>
      </c>
      <c r="D9">
        <v>2400</v>
      </c>
      <c r="E9" t="s">
        <v>20</v>
      </c>
    </row>
    <row r="10" spans="2:5" x14ac:dyDescent="0.25">
      <c r="C10" t="s">
        <v>5</v>
      </c>
      <c r="D10">
        <f>D7+D9-D8</f>
        <v>57438.008887580007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K118"/>
  <sheetViews>
    <sheetView zoomScale="115" zoomScaleNormal="115" workbookViewId="0">
      <pane xSplit="2" ySplit="7" topLeftCell="M8" activePane="bottomRight" state="frozen"/>
      <selection pane="topRight" activeCell="D1" sqref="D1"/>
      <selection pane="bottomLeft" activeCell="A3" sqref="A3"/>
      <selection pane="bottomRight" activeCell="U5" sqref="U5"/>
    </sheetView>
  </sheetViews>
  <sheetFormatPr defaultRowHeight="15" x14ac:dyDescent="0.25"/>
  <cols>
    <col min="1" max="1" width="12.28515625" customWidth="1"/>
    <col min="2" max="2" width="28.28515625" bestFit="1" customWidth="1"/>
    <col min="3" max="4" width="10.28515625" bestFit="1" customWidth="1"/>
    <col min="5" max="9" width="11.140625" bestFit="1" customWidth="1"/>
    <col min="10" max="10" width="11.140625" customWidth="1"/>
    <col min="11" max="11" width="13.140625" customWidth="1"/>
    <col min="12" max="12" width="12.28515625" customWidth="1"/>
    <col min="13" max="13" width="11.28515625" customWidth="1"/>
    <col min="14" max="16" width="11.28515625" bestFit="1" customWidth="1"/>
    <col min="17" max="18" width="11.28515625" customWidth="1"/>
    <col min="19" max="19" width="10.42578125" customWidth="1"/>
    <col min="20" max="20" width="10.42578125" bestFit="1" customWidth="1"/>
    <col min="53" max="53" width="12.28515625" bestFit="1" customWidth="1"/>
  </cols>
  <sheetData>
    <row r="1" spans="1:50" x14ac:dyDescent="0.25">
      <c r="C1" t="s">
        <v>83</v>
      </c>
      <c r="D1" t="s">
        <v>82</v>
      </c>
      <c r="E1" s="1">
        <v>44561</v>
      </c>
      <c r="F1" s="1">
        <v>44651</v>
      </c>
      <c r="G1" s="1">
        <v>44742</v>
      </c>
      <c r="H1" s="1">
        <v>44834</v>
      </c>
      <c r="I1" s="1">
        <v>44925</v>
      </c>
      <c r="J1" s="1">
        <v>45016</v>
      </c>
      <c r="K1" s="1">
        <v>45107</v>
      </c>
      <c r="L1" s="1">
        <v>45199</v>
      </c>
      <c r="M1" s="1">
        <v>45291</v>
      </c>
      <c r="N1" s="1">
        <v>45382</v>
      </c>
      <c r="O1" s="1">
        <v>45473</v>
      </c>
      <c r="P1" s="1">
        <v>45565</v>
      </c>
      <c r="Q1" s="1">
        <v>45656</v>
      </c>
      <c r="R1" s="1">
        <v>45746</v>
      </c>
      <c r="S1" s="1"/>
    </row>
    <row r="2" spans="1:50" ht="16.5" customHeight="1" x14ac:dyDescent="0.25">
      <c r="C2" t="s">
        <v>26</v>
      </c>
      <c r="D2" t="s">
        <v>28</v>
      </c>
      <c r="E2" t="s">
        <v>29</v>
      </c>
      <c r="F2" t="s">
        <v>24</v>
      </c>
      <c r="G2" t="s">
        <v>25</v>
      </c>
      <c r="H2" t="s">
        <v>27</v>
      </c>
      <c r="I2" t="s">
        <v>23</v>
      </c>
      <c r="J2" t="s">
        <v>20</v>
      </c>
      <c r="K2" t="s">
        <v>96</v>
      </c>
      <c r="L2" t="s">
        <v>105</v>
      </c>
      <c r="M2" t="s">
        <v>109</v>
      </c>
      <c r="N2" t="s">
        <v>84</v>
      </c>
      <c r="O2" t="s">
        <v>110</v>
      </c>
      <c r="P2" t="s">
        <v>111</v>
      </c>
      <c r="Q2" t="s">
        <v>112</v>
      </c>
      <c r="R2" t="s">
        <v>113</v>
      </c>
      <c r="S2">
        <v>2022</v>
      </c>
      <c r="T2">
        <v>2023</v>
      </c>
      <c r="U2">
        <v>2024</v>
      </c>
      <c r="V2">
        <v>2025</v>
      </c>
      <c r="W2">
        <v>2026</v>
      </c>
      <c r="X2">
        <v>2027</v>
      </c>
      <c r="Y2">
        <v>2028</v>
      </c>
      <c r="Z2">
        <v>2029</v>
      </c>
      <c r="AA2">
        <v>2030</v>
      </c>
      <c r="AB2">
        <v>2031</v>
      </c>
      <c r="AC2">
        <v>2032</v>
      </c>
      <c r="AD2">
        <v>2033</v>
      </c>
      <c r="AE2">
        <v>2034</v>
      </c>
      <c r="AF2">
        <v>2035</v>
      </c>
      <c r="AG2">
        <v>2036</v>
      </c>
      <c r="AH2">
        <v>2037</v>
      </c>
      <c r="AI2">
        <v>2038</v>
      </c>
      <c r="AJ2">
        <v>2039</v>
      </c>
      <c r="AK2">
        <v>2040</v>
      </c>
    </row>
    <row r="3" spans="1:50" x14ac:dyDescent="0.25">
      <c r="B3" s="8" t="s">
        <v>102</v>
      </c>
      <c r="I3">
        <f>10143+7811+7510</f>
        <v>25464</v>
      </c>
      <c r="J3">
        <f>10369+9193+14596</f>
        <v>34158</v>
      </c>
      <c r="K3">
        <f>7980+6831+6660</f>
        <v>21471</v>
      </c>
      <c r="L3">
        <f>10266+7822+8037</f>
        <v>26125</v>
      </c>
      <c r="M3">
        <f>8485+6933+8454</f>
        <v>23872</v>
      </c>
      <c r="N3">
        <f>8673+7770+12214</f>
        <v>28657</v>
      </c>
      <c r="O3">
        <f>7489+6752+6780</f>
        <v>21021</v>
      </c>
      <c r="P3">
        <f>8644+6719+6426</f>
        <v>21789</v>
      </c>
    </row>
    <row r="4" spans="1:50" x14ac:dyDescent="0.25">
      <c r="B4" s="8" t="s">
        <v>103</v>
      </c>
      <c r="I4">
        <f>2119+1663+1544</f>
        <v>5326</v>
      </c>
      <c r="J4">
        <f>2299+1857+2177</f>
        <v>6333</v>
      </c>
      <c r="K4">
        <f>1294+1102+2463</f>
        <v>4859</v>
      </c>
      <c r="L4">
        <f>2486+1941+1534</f>
        <v>5961</v>
      </c>
      <c r="M4">
        <f>2315+1567+1731</f>
        <v>5613</v>
      </c>
      <c r="N4">
        <f>2696+2448+3348</f>
        <v>8492</v>
      </c>
      <c r="O4">
        <f>2030+2371+2463</f>
        <v>6864</v>
      </c>
      <c r="P4">
        <f>2433+1944+2014</f>
        <v>6391</v>
      </c>
    </row>
    <row r="5" spans="1:50" x14ac:dyDescent="0.25">
      <c r="B5" s="8" t="s">
        <v>104</v>
      </c>
      <c r="I5">
        <f>5876+5087+6679</f>
        <v>17642</v>
      </c>
      <c r="J5">
        <f>5903+6150+7153</f>
        <v>19206</v>
      </c>
      <c r="K5">
        <f>5089+5041+5439</f>
        <v>15569</v>
      </c>
      <c r="L5">
        <f>6450+5813+5497</f>
        <v>17760</v>
      </c>
      <c r="M5">
        <f>5524+5553+6679</f>
        <v>17756</v>
      </c>
      <c r="N5">
        <f>6095+5721+7304</f>
        <v>19120</v>
      </c>
      <c r="O5">
        <f>5421+5148+5439</f>
        <v>16008</v>
      </c>
      <c r="P5">
        <f>6156+5800+5488</f>
        <v>17444</v>
      </c>
    </row>
    <row r="6" spans="1:50" x14ac:dyDescent="0.25">
      <c r="B6" s="8" t="s">
        <v>106</v>
      </c>
      <c r="C6">
        <f t="shared" ref="C6:O6" si="0">SUM(C3:C5)</f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48432</v>
      </c>
      <c r="J6">
        <f t="shared" si="0"/>
        <v>59697</v>
      </c>
      <c r="K6">
        <f t="shared" si="0"/>
        <v>41899</v>
      </c>
      <c r="L6">
        <f t="shared" si="0"/>
        <v>49846</v>
      </c>
      <c r="M6">
        <f t="shared" si="0"/>
        <v>47241</v>
      </c>
      <c r="N6">
        <f t="shared" si="0"/>
        <v>56269</v>
      </c>
      <c r="O6">
        <f t="shared" si="0"/>
        <v>43893</v>
      </c>
      <c r="P6">
        <f>SUM(P3:P5)</f>
        <v>45624</v>
      </c>
    </row>
    <row r="7" spans="1:50" x14ac:dyDescent="0.25">
      <c r="B7" s="8" t="s">
        <v>107</v>
      </c>
      <c r="M7" s="4">
        <f>M6/I6-1</f>
        <v>-2.4591179385530237E-2</v>
      </c>
      <c r="N7" s="4">
        <f>N6/J6-1</f>
        <v>-5.7423321104913105E-2</v>
      </c>
      <c r="O7" s="4">
        <f>O6/K6-1</f>
        <v>4.7590634621351269E-2</v>
      </c>
      <c r="P7" s="4">
        <f>P6/L6-1</f>
        <v>-8.4700878706415739E-2</v>
      </c>
      <c r="Q7" s="4"/>
      <c r="R7" s="4"/>
    </row>
    <row r="8" spans="1:50" x14ac:dyDescent="0.25">
      <c r="A8" s="3" t="s">
        <v>22</v>
      </c>
      <c r="B8" s="8"/>
    </row>
    <row r="9" spans="1:50" x14ac:dyDescent="0.25">
      <c r="B9" s="8" t="s">
        <v>8</v>
      </c>
      <c r="C9">
        <v>4087.89</v>
      </c>
      <c r="D9">
        <v>5562.47</v>
      </c>
      <c r="E9">
        <v>6659.82</v>
      </c>
      <c r="F9">
        <v>9926.9699999999993</v>
      </c>
      <c r="G9">
        <v>8470.23</v>
      </c>
      <c r="H9">
        <v>9600.08</v>
      </c>
      <c r="I9">
        <v>10399.74</v>
      </c>
      <c r="J9">
        <v>13202.55</v>
      </c>
      <c r="K9">
        <v>9691.32</v>
      </c>
      <c r="L9">
        <v>11429.04</v>
      </c>
      <c r="M9">
        <v>11092.7</v>
      </c>
      <c r="N9">
        <v>13577.32</v>
      </c>
      <c r="O9">
        <v>10724.49</v>
      </c>
      <c r="P9">
        <v>11147.58</v>
      </c>
      <c r="S9">
        <f t="shared" ref="S9:S14" si="1">SUM(C9:F9)</f>
        <v>26237.15</v>
      </c>
      <c r="T9">
        <f>SUM(G9:J9)</f>
        <v>41672.599999999991</v>
      </c>
      <c r="U9">
        <f>SUM(K9:N9)</f>
        <v>45790.380000000005</v>
      </c>
      <c r="V9">
        <f>U9*1.06</f>
        <v>48537.802800000005</v>
      </c>
      <c r="W9">
        <f>V9*1.06</f>
        <v>51450.070968000007</v>
      </c>
      <c r="X9">
        <f t="shared" ref="X9:AK9" si="2">W9*1.06</f>
        <v>54537.075226080007</v>
      </c>
      <c r="Y9">
        <f t="shared" si="2"/>
        <v>57809.299739644812</v>
      </c>
      <c r="Z9">
        <f t="shared" si="2"/>
        <v>61277.857724023503</v>
      </c>
      <c r="AA9">
        <f t="shared" si="2"/>
        <v>64954.529187464919</v>
      </c>
      <c r="AB9">
        <f t="shared" si="2"/>
        <v>68851.800938712811</v>
      </c>
      <c r="AC9">
        <f t="shared" si="2"/>
        <v>72982.908995035585</v>
      </c>
      <c r="AD9">
        <f t="shared" si="2"/>
        <v>77361.883534737717</v>
      </c>
      <c r="AE9">
        <f t="shared" si="2"/>
        <v>82003.59654682198</v>
      </c>
      <c r="AF9">
        <f t="shared" si="2"/>
        <v>86923.812339631302</v>
      </c>
      <c r="AG9">
        <f t="shared" si="2"/>
        <v>92139.241080009189</v>
      </c>
      <c r="AH9">
        <f t="shared" si="2"/>
        <v>97667.595544809752</v>
      </c>
      <c r="AI9">
        <f t="shared" si="2"/>
        <v>103527.65127749834</v>
      </c>
      <c r="AJ9">
        <f t="shared" si="2"/>
        <v>109739.31035414824</v>
      </c>
      <c r="AK9">
        <f t="shared" si="2"/>
        <v>116323.66897539714</v>
      </c>
    </row>
    <row r="10" spans="1:50" x14ac:dyDescent="0.25">
      <c r="B10" s="8" t="s">
        <v>9</v>
      </c>
      <c r="C10">
        <v>15.38</v>
      </c>
      <c r="D10">
        <v>24.44</v>
      </c>
      <c r="E10">
        <v>16.010000000000002</v>
      </c>
      <c r="F10">
        <v>30.98</v>
      </c>
      <c r="G10">
        <v>29.31</v>
      </c>
      <c r="H10">
        <v>20.2</v>
      </c>
      <c r="I10">
        <v>30.65</v>
      </c>
      <c r="J10">
        <v>26.95</v>
      </c>
      <c r="K10">
        <v>44.13</v>
      </c>
      <c r="L10">
        <v>33.99</v>
      </c>
      <c r="M10">
        <v>26.75</v>
      </c>
      <c r="N10">
        <v>35.71</v>
      </c>
      <c r="O10">
        <v>29.94</v>
      </c>
      <c r="P10">
        <v>114.26</v>
      </c>
      <c r="S10">
        <f t="shared" si="1"/>
        <v>86.81</v>
      </c>
      <c r="T10">
        <f>SUM(G10:J10)</f>
        <v>107.11</v>
      </c>
      <c r="U10">
        <f>SUM(K10:N10)</f>
        <v>140.58000000000001</v>
      </c>
      <c r="V10" s="3">
        <f>(U42*$BA$43)</f>
        <v>118.3142</v>
      </c>
      <c r="W10" s="3">
        <f t="shared" ref="W10:AK10" si="3">(V42*$BA$43)</f>
        <v>154.90910950000003</v>
      </c>
      <c r="X10" s="3">
        <f t="shared" si="3"/>
        <v>185.08363885725004</v>
      </c>
      <c r="Y10" s="3">
        <f t="shared" si="3"/>
        <v>217.43590258077722</v>
      </c>
      <c r="Z10" s="3">
        <f t="shared" si="3"/>
        <v>252.1089465038059</v>
      </c>
      <c r="AA10" s="3">
        <f t="shared" si="3"/>
        <v>289.25482116213078</v>
      </c>
      <c r="AB10" s="3">
        <f t="shared" si="3"/>
        <v>329.03512606680101</v>
      </c>
      <c r="AC10" s="3">
        <f t="shared" si="3"/>
        <v>371.62158513892371</v>
      </c>
      <c r="AD10" s="3">
        <f t="shared" si="3"/>
        <v>417.24762987751012</v>
      </c>
      <c r="AE10" s="3">
        <f t="shared" si="3"/>
        <v>466.11557950220856</v>
      </c>
      <c r="AF10" s="3">
        <f t="shared" si="3"/>
        <v>518.44086179695739</v>
      </c>
      <c r="AG10" s="3">
        <f t="shared" si="3"/>
        <v>574.45284791374445</v>
      </c>
      <c r="AH10" s="3">
        <f t="shared" si="3"/>
        <v>634.39573967791239</v>
      </c>
      <c r="AI10" s="3">
        <f t="shared" si="3"/>
        <v>698.52951266576247</v>
      </c>
      <c r="AJ10" s="3">
        <f t="shared" si="3"/>
        <v>767.13091852748391</v>
      </c>
      <c r="AK10" s="3">
        <f t="shared" si="3"/>
        <v>840.4945502431566</v>
      </c>
    </row>
    <row r="11" spans="1:50" x14ac:dyDescent="0.25">
      <c r="B11" s="8" t="s">
        <v>10</v>
      </c>
      <c r="C11">
        <f t="shared" ref="C11:D11" si="4">C9+C10</f>
        <v>4103.2699999999995</v>
      </c>
      <c r="D11">
        <f t="shared" si="4"/>
        <v>5586.91</v>
      </c>
      <c r="E11">
        <f t="shared" ref="E11:F11" si="5">E9+E10</f>
        <v>6675.83</v>
      </c>
      <c r="F11">
        <f t="shared" si="5"/>
        <v>9957.9499999999989</v>
      </c>
      <c r="G11">
        <f t="shared" ref="G11:U11" si="6">G9+G10</f>
        <v>8499.5399999999991</v>
      </c>
      <c r="H11">
        <f t="shared" si="6"/>
        <v>9620.2800000000007</v>
      </c>
      <c r="I11">
        <f t="shared" si="6"/>
        <v>10430.39</v>
      </c>
      <c r="J11">
        <f t="shared" si="6"/>
        <v>13229.5</v>
      </c>
      <c r="K11">
        <f t="shared" si="6"/>
        <v>9735.4499999999989</v>
      </c>
      <c r="L11">
        <f t="shared" si="6"/>
        <v>11463.03</v>
      </c>
      <c r="M11">
        <f t="shared" si="6"/>
        <v>11119.45</v>
      </c>
      <c r="N11">
        <f t="shared" si="6"/>
        <v>13613.029999999999</v>
      </c>
      <c r="O11">
        <f t="shared" ref="O11:P11" si="7">O9+O10</f>
        <v>10754.43</v>
      </c>
      <c r="P11">
        <f t="shared" si="7"/>
        <v>11261.84</v>
      </c>
      <c r="Q11">
        <f>M11*1.1</f>
        <v>12231.395000000002</v>
      </c>
      <c r="R11">
        <f>N11*1.1</f>
        <v>14974.333000000001</v>
      </c>
      <c r="S11">
        <f t="shared" si="1"/>
        <v>26323.96</v>
      </c>
      <c r="T11">
        <f t="shared" si="6"/>
        <v>41779.709999999992</v>
      </c>
      <c r="U11">
        <f t="shared" si="6"/>
        <v>45930.960000000006</v>
      </c>
      <c r="V11">
        <f>V9+V10</f>
        <v>48656.117000000006</v>
      </c>
      <c r="W11">
        <f>W9+W10</f>
        <v>51604.980077500004</v>
      </c>
      <c r="X11">
        <f>X9+X10</f>
        <v>54722.158864937257</v>
      </c>
      <c r="Y11">
        <f>Y9+Y10</f>
        <v>58026.735642225591</v>
      </c>
      <c r="Z11">
        <f t="shared" ref="Z11:AK11" si="8">Z9+Z10</f>
        <v>61529.966670527312</v>
      </c>
      <c r="AA11">
        <f t="shared" si="8"/>
        <v>65243.784008627052</v>
      </c>
      <c r="AB11">
        <f t="shared" si="8"/>
        <v>69180.836064779607</v>
      </c>
      <c r="AC11">
        <f t="shared" si="8"/>
        <v>73354.530580174513</v>
      </c>
      <c r="AD11">
        <f t="shared" si="8"/>
        <v>77779.131164615232</v>
      </c>
      <c r="AE11">
        <f t="shared" si="8"/>
        <v>82469.712126324186</v>
      </c>
      <c r="AF11">
        <f t="shared" si="8"/>
        <v>87442.253201428262</v>
      </c>
      <c r="AG11">
        <f t="shared" si="8"/>
        <v>92713.693927922941</v>
      </c>
      <c r="AH11">
        <f t="shared" si="8"/>
        <v>98301.991284487667</v>
      </c>
      <c r="AI11">
        <f t="shared" si="8"/>
        <v>104226.1807901641</v>
      </c>
      <c r="AJ11">
        <f t="shared" si="8"/>
        <v>110506.44127267573</v>
      </c>
      <c r="AK11">
        <f t="shared" si="8"/>
        <v>117164.1635256403</v>
      </c>
    </row>
    <row r="12" spans="1:50" x14ac:dyDescent="0.25">
      <c r="B12" s="8" t="s">
        <v>11</v>
      </c>
      <c r="C12">
        <v>2480.63</v>
      </c>
      <c r="D12">
        <v>3213.61</v>
      </c>
      <c r="E12">
        <v>4344.55</v>
      </c>
      <c r="F12">
        <v>6580.81</v>
      </c>
      <c r="G12">
        <v>6464.65</v>
      </c>
      <c r="H12">
        <v>6105.25</v>
      </c>
      <c r="I12">
        <v>7414.68</v>
      </c>
      <c r="J12">
        <v>8287.6</v>
      </c>
      <c r="K12">
        <v>6147.04</v>
      </c>
      <c r="L12">
        <v>7261.82</v>
      </c>
      <c r="M12">
        <v>6876.12</v>
      </c>
      <c r="N12">
        <v>7956.4</v>
      </c>
      <c r="O12">
        <v>6569.7</v>
      </c>
      <c r="P12">
        <v>6206.79</v>
      </c>
      <c r="S12">
        <f t="shared" si="1"/>
        <v>16619.600000000002</v>
      </c>
      <c r="T12">
        <f>SUM(G12:J12)</f>
        <v>28272.18</v>
      </c>
      <c r="U12">
        <f>SUM(K12:N12)</f>
        <v>28241.379999999997</v>
      </c>
      <c r="V12">
        <f>U12*1.06</f>
        <v>29935.862799999999</v>
      </c>
      <c r="W12">
        <f t="shared" ref="W12:AK12" si="9">V12*1.06</f>
        <v>31732.014567999999</v>
      </c>
      <c r="X12">
        <f t="shared" si="9"/>
        <v>33635.935442080001</v>
      </c>
      <c r="Y12">
        <f t="shared" si="9"/>
        <v>35654.091568604803</v>
      </c>
      <c r="Z12">
        <f t="shared" si="9"/>
        <v>37793.33706272109</v>
      </c>
      <c r="AA12">
        <f t="shared" si="9"/>
        <v>40060.937286484354</v>
      </c>
      <c r="AB12">
        <f t="shared" si="9"/>
        <v>42464.593523673415</v>
      </c>
      <c r="AC12">
        <f t="shared" si="9"/>
        <v>45012.469135093823</v>
      </c>
      <c r="AD12">
        <f t="shared" si="9"/>
        <v>47713.217283199454</v>
      </c>
      <c r="AE12">
        <f t="shared" si="9"/>
        <v>50576.010320191424</v>
      </c>
      <c r="AF12">
        <f t="shared" si="9"/>
        <v>53610.570939402911</v>
      </c>
      <c r="AG12">
        <f t="shared" si="9"/>
        <v>56827.205195767092</v>
      </c>
      <c r="AH12">
        <f t="shared" si="9"/>
        <v>60236.837507513119</v>
      </c>
      <c r="AI12">
        <f t="shared" si="9"/>
        <v>63851.047757963912</v>
      </c>
      <c r="AJ12">
        <f t="shared" si="9"/>
        <v>67682.110623441753</v>
      </c>
      <c r="AK12">
        <f t="shared" si="9"/>
        <v>71743.037260848258</v>
      </c>
    </row>
    <row r="13" spans="1:50" x14ac:dyDescent="0.25">
      <c r="B13" s="8" t="s">
        <v>12</v>
      </c>
      <c r="C13">
        <v>226.44</v>
      </c>
      <c r="D13">
        <v>197.84</v>
      </c>
      <c r="E13">
        <v>261.12</v>
      </c>
      <c r="F13">
        <v>260.02</v>
      </c>
      <c r="G13">
        <v>265.39999999999998</v>
      </c>
      <c r="H13">
        <v>272.93</v>
      </c>
      <c r="I13">
        <v>309.14</v>
      </c>
      <c r="J13">
        <v>328.74</v>
      </c>
      <c r="K13">
        <v>366.68</v>
      </c>
      <c r="L13">
        <v>361.95</v>
      </c>
      <c r="M13">
        <v>371.44</v>
      </c>
      <c r="N13">
        <v>456.94</v>
      </c>
      <c r="O13">
        <v>416.71</v>
      </c>
      <c r="P13">
        <v>428.83</v>
      </c>
      <c r="S13">
        <f t="shared" si="1"/>
        <v>945.42</v>
      </c>
      <c r="T13">
        <f>SUM(G13:J13)</f>
        <v>1176.21</v>
      </c>
      <c r="U13">
        <f>SUM(K13:N13)</f>
        <v>1557.01</v>
      </c>
      <c r="V13">
        <f>U13*1.06</f>
        <v>1650.4306000000001</v>
      </c>
      <c r="W13">
        <f t="shared" ref="W13:AK13" si="10">V13*1.06</f>
        <v>1749.4564360000002</v>
      </c>
      <c r="X13">
        <f t="shared" si="10"/>
        <v>1854.4238221600003</v>
      </c>
      <c r="Y13">
        <f t="shared" si="10"/>
        <v>1965.6892514896003</v>
      </c>
      <c r="Z13">
        <f t="shared" si="10"/>
        <v>2083.6306065789763</v>
      </c>
      <c r="AA13">
        <f t="shared" si="10"/>
        <v>2208.6484429737152</v>
      </c>
      <c r="AB13">
        <f t="shared" si="10"/>
        <v>2341.1673495521381</v>
      </c>
      <c r="AC13">
        <f t="shared" si="10"/>
        <v>2481.6373905252667</v>
      </c>
      <c r="AD13">
        <f t="shared" si="10"/>
        <v>2630.5356339567829</v>
      </c>
      <c r="AE13">
        <f t="shared" si="10"/>
        <v>2788.3677719941902</v>
      </c>
      <c r="AF13">
        <f t="shared" si="10"/>
        <v>2955.6698383138419</v>
      </c>
      <c r="AG13">
        <f t="shared" si="10"/>
        <v>3133.0100286126726</v>
      </c>
      <c r="AH13">
        <f t="shared" si="10"/>
        <v>3320.9906303294333</v>
      </c>
      <c r="AI13">
        <f t="shared" si="10"/>
        <v>3520.2500681491997</v>
      </c>
      <c r="AJ13">
        <f t="shared" si="10"/>
        <v>3731.4650722381521</v>
      </c>
      <c r="AK13">
        <f t="shared" si="10"/>
        <v>3955.3529765724415</v>
      </c>
    </row>
    <row r="14" spans="1:50" x14ac:dyDescent="0.25">
      <c r="B14" s="8" t="s">
        <v>13</v>
      </c>
      <c r="C14">
        <v>-320.95</v>
      </c>
      <c r="D14">
        <v>268.64999999999998</v>
      </c>
      <c r="E14">
        <v>-93.98</v>
      </c>
      <c r="F14">
        <v>194.52</v>
      </c>
      <c r="G14">
        <v>-767.65</v>
      </c>
      <c r="H14">
        <v>329.21</v>
      </c>
      <c r="I14">
        <v>-617.64</v>
      </c>
      <c r="J14">
        <v>426.59</v>
      </c>
      <c r="K14">
        <v>-264.01</v>
      </c>
      <c r="L14">
        <v>-188.4</v>
      </c>
      <c r="M14">
        <v>-294.51</v>
      </c>
      <c r="N14">
        <v>178.03</v>
      </c>
      <c r="O14">
        <v>-391.69</v>
      </c>
      <c r="P14">
        <v>131.28</v>
      </c>
      <c r="S14">
        <f t="shared" si="1"/>
        <v>48.239999999999981</v>
      </c>
      <c r="T14">
        <f>SUM(G14:J14)</f>
        <v>-629.49</v>
      </c>
      <c r="U14">
        <f>SUM(K14:N14)</f>
        <v>-568.89</v>
      </c>
      <c r="V14">
        <f>U14*1.06</f>
        <v>-603.02340000000004</v>
      </c>
      <c r="W14">
        <f t="shared" ref="W14:AK14" si="11">V14*1.06</f>
        <v>-639.20480400000008</v>
      </c>
      <c r="X14">
        <f t="shared" si="11"/>
        <v>-677.55709224000009</v>
      </c>
      <c r="Y14">
        <f t="shared" si="11"/>
        <v>-718.21051777440016</v>
      </c>
      <c r="Z14">
        <f t="shared" si="11"/>
        <v>-761.3031488408642</v>
      </c>
      <c r="AA14">
        <f t="shared" si="11"/>
        <v>-806.98133777131613</v>
      </c>
      <c r="AB14">
        <f t="shared" si="11"/>
        <v>-855.4002180375951</v>
      </c>
      <c r="AC14">
        <f t="shared" si="11"/>
        <v>-906.72423111985086</v>
      </c>
      <c r="AD14">
        <f t="shared" si="11"/>
        <v>-961.1276849870419</v>
      </c>
      <c r="AE14">
        <f t="shared" si="11"/>
        <v>-1018.7953460862644</v>
      </c>
      <c r="AF14">
        <f t="shared" si="11"/>
        <v>-1079.9230668514404</v>
      </c>
      <c r="AG14">
        <f t="shared" si="11"/>
        <v>-1144.7184508625269</v>
      </c>
      <c r="AH14">
        <f t="shared" si="11"/>
        <v>-1213.4015579142786</v>
      </c>
      <c r="AI14">
        <f t="shared" si="11"/>
        <v>-1286.2056513891353</v>
      </c>
      <c r="AJ14">
        <f t="shared" si="11"/>
        <v>-1363.3779904724834</v>
      </c>
      <c r="AK14">
        <f t="shared" si="11"/>
        <v>-1445.1806699008325</v>
      </c>
    </row>
    <row r="15" spans="1:50" x14ac:dyDescent="0.25">
      <c r="B15" s="9" t="s">
        <v>89</v>
      </c>
      <c r="C15" s="2">
        <f>C11-C12-C13-C14</f>
        <v>1717.1499999999994</v>
      </c>
      <c r="D15" s="2">
        <f t="shared" ref="D15:AK15" si="12">D11-D12-D13-D14</f>
        <v>1906.8099999999995</v>
      </c>
      <c r="E15" s="2">
        <f t="shared" si="12"/>
        <v>2164.14</v>
      </c>
      <c r="F15" s="2">
        <f t="shared" si="12"/>
        <v>2922.5999999999985</v>
      </c>
      <c r="G15" s="2">
        <f t="shared" si="12"/>
        <v>2537.1399999999994</v>
      </c>
      <c r="H15" s="2">
        <f t="shared" si="12"/>
        <v>2912.8900000000008</v>
      </c>
      <c r="I15" s="2">
        <f t="shared" si="12"/>
        <v>3324.2099999999991</v>
      </c>
      <c r="J15" s="2">
        <f t="shared" si="12"/>
        <v>4186.57</v>
      </c>
      <c r="K15" s="2">
        <f t="shared" si="12"/>
        <v>3485.7399999999989</v>
      </c>
      <c r="L15" s="2">
        <f t="shared" si="12"/>
        <v>4027.6600000000012</v>
      </c>
      <c r="M15" s="2">
        <f t="shared" si="12"/>
        <v>4166.4000000000005</v>
      </c>
      <c r="N15" s="2">
        <f>N11-N12-N13-N14</f>
        <v>5021.66</v>
      </c>
      <c r="O15" s="2">
        <f>O11-O12-O13-O14</f>
        <v>4159.71</v>
      </c>
      <c r="P15" s="2">
        <f>P11-P12-P13-P14</f>
        <v>4494.9400000000005</v>
      </c>
      <c r="Q15" s="2"/>
      <c r="R15" s="2"/>
      <c r="S15" s="2">
        <f t="shared" si="12"/>
        <v>8710.6999999999971</v>
      </c>
      <c r="T15" s="2">
        <f t="shared" si="12"/>
        <v>12960.809999999992</v>
      </c>
      <c r="U15" s="2">
        <f t="shared" si="12"/>
        <v>16701.46000000001</v>
      </c>
      <c r="V15" s="2">
        <f>V11-V12-V13-V14</f>
        <v>17672.847000000009</v>
      </c>
      <c r="W15" s="2">
        <f t="shared" si="12"/>
        <v>18762.713877500006</v>
      </c>
      <c r="X15" s="2">
        <f t="shared" si="12"/>
        <v>19909.356692937257</v>
      </c>
      <c r="Y15" s="2">
        <f t="shared" si="12"/>
        <v>21125.16533990559</v>
      </c>
      <c r="Z15" s="2">
        <f t="shared" si="12"/>
        <v>22414.30215006811</v>
      </c>
      <c r="AA15" s="2">
        <f t="shared" si="12"/>
        <v>23781.179616940299</v>
      </c>
      <c r="AB15" s="2">
        <f t="shared" si="12"/>
        <v>25230.475409591647</v>
      </c>
      <c r="AC15" s="2">
        <f t="shared" si="12"/>
        <v>26767.148285675274</v>
      </c>
      <c r="AD15" s="2">
        <f t="shared" si="12"/>
        <v>28396.505932446034</v>
      </c>
      <c r="AE15" s="2">
        <f t="shared" si="12"/>
        <v>30124.129380224833</v>
      </c>
      <c r="AF15" s="2">
        <f t="shared" si="12"/>
        <v>31955.935490562948</v>
      </c>
      <c r="AG15" s="2">
        <f t="shared" si="12"/>
        <v>33898.197154405701</v>
      </c>
      <c r="AH15" s="2">
        <f t="shared" si="12"/>
        <v>35957.564704559394</v>
      </c>
      <c r="AI15" s="2">
        <f t="shared" si="12"/>
        <v>38141.088615440123</v>
      </c>
      <c r="AJ15" s="2">
        <f t="shared" si="12"/>
        <v>40456.243567468307</v>
      </c>
      <c r="AK15" s="2">
        <f t="shared" si="12"/>
        <v>42910.95395812043</v>
      </c>
      <c r="AW15" s="2"/>
      <c r="AX15" s="2"/>
    </row>
    <row r="16" spans="1:50" x14ac:dyDescent="0.25">
      <c r="B16" s="8" t="s">
        <v>14</v>
      </c>
      <c r="C16">
        <v>637.04999999999995</v>
      </c>
      <c r="D16">
        <v>629.97</v>
      </c>
      <c r="E16">
        <v>667.93</v>
      </c>
      <c r="F16">
        <v>681.81</v>
      </c>
      <c r="G16">
        <v>701.66</v>
      </c>
      <c r="H16">
        <v>798.61</v>
      </c>
      <c r="I16">
        <v>832.55</v>
      </c>
      <c r="J16">
        <v>901.56</v>
      </c>
      <c r="K16">
        <v>854.68</v>
      </c>
      <c r="L16">
        <v>932.83</v>
      </c>
      <c r="M16">
        <v>935.49</v>
      </c>
      <c r="N16">
        <v>949.69</v>
      </c>
      <c r="O16">
        <v>955.87</v>
      </c>
      <c r="P16">
        <v>1042.5</v>
      </c>
      <c r="S16">
        <f>SUM(C16:F16)</f>
        <v>2616.7599999999998</v>
      </c>
      <c r="T16">
        <f>SUM(G16:J16)</f>
        <v>3234.3799999999997</v>
      </c>
      <c r="U16">
        <f>SUM(K16:N16)</f>
        <v>3672.69</v>
      </c>
      <c r="V16">
        <f>U16*1.05</f>
        <v>3856.3245000000002</v>
      </c>
      <c r="W16">
        <f t="shared" ref="W16:AK16" si="13">V16*1.05</f>
        <v>4049.1407250000002</v>
      </c>
      <c r="X16">
        <f>W16*1.05</f>
        <v>4251.5977612500001</v>
      </c>
      <c r="Y16">
        <f t="shared" si="13"/>
        <v>4464.1776493124999</v>
      </c>
      <c r="Z16">
        <f t="shared" si="13"/>
        <v>4687.3865317781247</v>
      </c>
      <c r="AA16">
        <f t="shared" si="13"/>
        <v>4921.7558583670307</v>
      </c>
      <c r="AB16">
        <f t="shared" si="13"/>
        <v>5167.8436512853823</v>
      </c>
      <c r="AC16">
        <f t="shared" si="13"/>
        <v>5426.2358338496515</v>
      </c>
      <c r="AD16">
        <f t="shared" si="13"/>
        <v>5697.5476255421345</v>
      </c>
      <c r="AE16">
        <f t="shared" si="13"/>
        <v>5982.4250068192414</v>
      </c>
      <c r="AF16">
        <f t="shared" si="13"/>
        <v>6281.5462571602038</v>
      </c>
      <c r="AG16">
        <f t="shared" si="13"/>
        <v>6595.6235700182142</v>
      </c>
      <c r="AH16">
        <f t="shared" si="13"/>
        <v>6925.404748519125</v>
      </c>
      <c r="AI16">
        <f t="shared" si="13"/>
        <v>7271.6749859450811</v>
      </c>
      <c r="AJ16">
        <f t="shared" si="13"/>
        <v>7635.2587352423352</v>
      </c>
      <c r="AK16">
        <f t="shared" si="13"/>
        <v>8017.0216720044527</v>
      </c>
    </row>
    <row r="17" spans="2:609" x14ac:dyDescent="0.25">
      <c r="B17" s="8" t="s">
        <v>15</v>
      </c>
      <c r="C17">
        <v>461.8</v>
      </c>
      <c r="D17">
        <v>478.74</v>
      </c>
      <c r="E17">
        <v>465.36</v>
      </c>
      <c r="F17">
        <v>463.15</v>
      </c>
      <c r="G17">
        <v>466.89</v>
      </c>
      <c r="H17">
        <v>499.29</v>
      </c>
      <c r="I17">
        <v>545.19000000000005</v>
      </c>
      <c r="J17">
        <v>582.13</v>
      </c>
      <c r="K17">
        <v>655.22</v>
      </c>
      <c r="L17">
        <v>715.07</v>
      </c>
      <c r="M17">
        <v>782.73</v>
      </c>
      <c r="N17">
        <v>829.23</v>
      </c>
      <c r="O17">
        <v>903.82</v>
      </c>
      <c r="P17">
        <v>962.3</v>
      </c>
      <c r="S17">
        <f>SUM(C17:F17)</f>
        <v>1869.0500000000002</v>
      </c>
      <c r="T17">
        <f>SUM(G17:J17)</f>
        <v>2093.5</v>
      </c>
      <c r="U17">
        <f>SUM(K17:N17)</f>
        <v>2982.25</v>
      </c>
      <c r="V17">
        <f>U17*1.06</f>
        <v>3161.1849999999999</v>
      </c>
      <c r="W17">
        <f>V17*1.06</f>
        <v>3350.8561</v>
      </c>
      <c r="X17">
        <f t="shared" ref="X17:AK17" si="14">W17*1.06</f>
        <v>3551.9074660000001</v>
      </c>
      <c r="Y17">
        <f t="shared" si="14"/>
        <v>3765.0219139600003</v>
      </c>
      <c r="Z17">
        <f t="shared" si="14"/>
        <v>3990.9232287976006</v>
      </c>
      <c r="AA17">
        <f t="shared" si="14"/>
        <v>4230.3786225254571</v>
      </c>
      <c r="AB17">
        <f t="shared" si="14"/>
        <v>4484.201339876985</v>
      </c>
      <c r="AC17">
        <f t="shared" si="14"/>
        <v>4753.2534202696042</v>
      </c>
      <c r="AD17">
        <f t="shared" si="14"/>
        <v>5038.4486254857811</v>
      </c>
      <c r="AE17">
        <f t="shared" si="14"/>
        <v>5340.7555430149287</v>
      </c>
      <c r="AF17">
        <f t="shared" si="14"/>
        <v>5661.200875595825</v>
      </c>
      <c r="AG17">
        <f t="shared" si="14"/>
        <v>6000.8729281315746</v>
      </c>
      <c r="AH17">
        <f t="shared" si="14"/>
        <v>6360.9253038194693</v>
      </c>
      <c r="AI17">
        <f t="shared" si="14"/>
        <v>6742.5808220486379</v>
      </c>
      <c r="AJ17">
        <f t="shared" si="14"/>
        <v>7147.1356713715568</v>
      </c>
      <c r="AK17">
        <f t="shared" si="14"/>
        <v>7575.9638116538508</v>
      </c>
    </row>
    <row r="18" spans="2:609" x14ac:dyDescent="0.25">
      <c r="B18" s="9" t="s">
        <v>90</v>
      </c>
      <c r="C18" s="2">
        <f>C15-C16-C17</f>
        <v>618.2999999999995</v>
      </c>
      <c r="D18" s="2">
        <f t="shared" ref="D18:T18" si="15">D15-D16-D17</f>
        <v>798.09999999999945</v>
      </c>
      <c r="E18" s="2">
        <f t="shared" si="15"/>
        <v>1030.8499999999999</v>
      </c>
      <c r="F18" s="2">
        <f t="shared" si="15"/>
        <v>1777.6399999999985</v>
      </c>
      <c r="G18" s="2">
        <f t="shared" si="15"/>
        <v>1368.5899999999997</v>
      </c>
      <c r="H18" s="2">
        <f t="shared" si="15"/>
        <v>1614.9900000000007</v>
      </c>
      <c r="I18" s="2">
        <f t="shared" si="15"/>
        <v>1946.4699999999989</v>
      </c>
      <c r="J18" s="2">
        <f t="shared" si="15"/>
        <v>2702.8799999999997</v>
      </c>
      <c r="K18" s="2">
        <f t="shared" si="15"/>
        <v>1975.839999999999</v>
      </c>
      <c r="L18" s="2">
        <f t="shared" si="15"/>
        <v>2379.7600000000011</v>
      </c>
      <c r="M18" s="2">
        <f t="shared" si="15"/>
        <v>2448.1800000000007</v>
      </c>
      <c r="N18" s="2">
        <f t="shared" si="15"/>
        <v>3242.74</v>
      </c>
      <c r="O18" s="2">
        <f t="shared" ref="O18:P18" si="16">O15-O16-O17</f>
        <v>2300.02</v>
      </c>
      <c r="P18" s="2">
        <f t="shared" si="16"/>
        <v>2490.1400000000003</v>
      </c>
      <c r="Q18" s="2"/>
      <c r="R18" s="2"/>
      <c r="S18" s="2">
        <f t="shared" si="15"/>
        <v>4224.8899999999967</v>
      </c>
      <c r="T18" s="2">
        <f t="shared" si="15"/>
        <v>7632.929999999993</v>
      </c>
      <c r="U18" s="2">
        <f t="shared" ref="U18:AK18" si="17">U15-U16-U17</f>
        <v>10046.52000000001</v>
      </c>
      <c r="V18" s="2">
        <f>V15-V16-V17</f>
        <v>10655.337500000009</v>
      </c>
      <c r="W18" s="2">
        <f t="shared" si="17"/>
        <v>11362.717052500004</v>
      </c>
      <c r="X18" s="2">
        <f>X15-X16-X17</f>
        <v>12105.851465687258</v>
      </c>
      <c r="Y18" s="2">
        <f t="shared" si="17"/>
        <v>12895.965776633089</v>
      </c>
      <c r="Z18" s="2">
        <f t="shared" si="17"/>
        <v>13735.992389492385</v>
      </c>
      <c r="AA18" s="2">
        <f t="shared" si="17"/>
        <v>14629.045136047813</v>
      </c>
      <c r="AB18" s="2">
        <f t="shared" si="17"/>
        <v>15578.430418429278</v>
      </c>
      <c r="AC18" s="2">
        <f t="shared" si="17"/>
        <v>16587.659031556017</v>
      </c>
      <c r="AD18" s="2">
        <f t="shared" si="17"/>
        <v>17660.50968141812</v>
      </c>
      <c r="AE18" s="2">
        <f t="shared" si="17"/>
        <v>18800.948830390662</v>
      </c>
      <c r="AF18" s="2">
        <f t="shared" si="17"/>
        <v>20013.188357806917</v>
      </c>
      <c r="AG18" s="2">
        <f t="shared" si="17"/>
        <v>21301.700656255911</v>
      </c>
      <c r="AH18" s="2">
        <f t="shared" si="17"/>
        <v>22671.234652220799</v>
      </c>
      <c r="AI18" s="2">
        <f t="shared" si="17"/>
        <v>24126.832807446408</v>
      </c>
      <c r="AJ18" s="2">
        <f t="shared" si="17"/>
        <v>25673.849160854414</v>
      </c>
      <c r="AK18" s="2">
        <f t="shared" si="17"/>
        <v>27317.968474462123</v>
      </c>
    </row>
    <row r="19" spans="2:609" x14ac:dyDescent="0.25">
      <c r="B19" s="8" t="s">
        <v>16</v>
      </c>
      <c r="C19">
        <v>211.42</v>
      </c>
      <c r="D19">
        <v>206.94</v>
      </c>
      <c r="E19">
        <v>214.06</v>
      </c>
      <c r="F19">
        <v>233.54</v>
      </c>
      <c r="G19">
        <v>212.4</v>
      </c>
      <c r="H19">
        <v>208.64</v>
      </c>
      <c r="I19">
        <v>220.44</v>
      </c>
      <c r="J19">
        <v>258.74</v>
      </c>
      <c r="K19">
        <v>226.89</v>
      </c>
      <c r="L19">
        <v>226.61</v>
      </c>
      <c r="M19">
        <v>240.92</v>
      </c>
      <c r="N19">
        <v>232.87</v>
      </c>
      <c r="O19">
        <v>235.12</v>
      </c>
      <c r="P19">
        <v>244.03</v>
      </c>
      <c r="S19">
        <f>SUM(C19:F19)</f>
        <v>865.96</v>
      </c>
      <c r="T19">
        <f>SUM(G19:J19)</f>
        <v>900.22</v>
      </c>
      <c r="U19">
        <f>SUM(K19:N19)</f>
        <v>927.29</v>
      </c>
      <c r="V19">
        <f>U19*1.06</f>
        <v>982.92740000000003</v>
      </c>
      <c r="W19">
        <f t="shared" ref="W19:AK20" si="18">V19*1.06</f>
        <v>1041.9030440000001</v>
      </c>
      <c r="X19">
        <f t="shared" si="18"/>
        <v>1104.4172266400003</v>
      </c>
      <c r="Y19">
        <f t="shared" si="18"/>
        <v>1170.6822602384004</v>
      </c>
      <c r="Z19">
        <f t="shared" si="18"/>
        <v>1240.9231958527046</v>
      </c>
      <c r="AA19">
        <f t="shared" si="18"/>
        <v>1315.3785876038669</v>
      </c>
      <c r="AB19">
        <f t="shared" si="18"/>
        <v>1394.301302860099</v>
      </c>
      <c r="AC19">
        <f t="shared" si="18"/>
        <v>1477.9593810317051</v>
      </c>
      <c r="AD19">
        <f t="shared" si="18"/>
        <v>1566.6369438936074</v>
      </c>
      <c r="AE19">
        <f t="shared" si="18"/>
        <v>1660.6351605272239</v>
      </c>
      <c r="AF19">
        <f t="shared" si="18"/>
        <v>1760.2732701588575</v>
      </c>
      <c r="AG19">
        <f t="shared" si="18"/>
        <v>1865.889666368389</v>
      </c>
      <c r="AH19">
        <f t="shared" si="18"/>
        <v>1977.8430463504924</v>
      </c>
      <c r="AI19">
        <f t="shared" si="18"/>
        <v>2096.5136291315221</v>
      </c>
      <c r="AJ19">
        <f t="shared" si="18"/>
        <v>2222.3044468794137</v>
      </c>
      <c r="AK19">
        <f t="shared" si="18"/>
        <v>2355.6427136921789</v>
      </c>
    </row>
    <row r="20" spans="2:609" x14ac:dyDescent="0.25">
      <c r="B20" s="8" t="s">
        <v>17</v>
      </c>
      <c r="C20">
        <v>727.43</v>
      </c>
      <c r="D20">
        <v>676.45</v>
      </c>
      <c r="E20">
        <v>822.31</v>
      </c>
      <c r="F20">
        <v>1015.7</v>
      </c>
      <c r="G20">
        <v>1035.7</v>
      </c>
      <c r="H20">
        <v>1074.04</v>
      </c>
      <c r="I20">
        <v>1116.54</v>
      </c>
      <c r="J20">
        <v>1300.1400000000001</v>
      </c>
      <c r="K20">
        <v>1078.29</v>
      </c>
      <c r="L20">
        <v>1190.4000000000001</v>
      </c>
      <c r="M20">
        <v>1242.8800000000001</v>
      </c>
      <c r="N20">
        <v>1434</v>
      </c>
      <c r="O20">
        <v>1305.44</v>
      </c>
      <c r="P20">
        <f>1133.51+164.9</f>
        <v>1298.4100000000001</v>
      </c>
      <c r="S20">
        <f>SUM(C20:F20)</f>
        <v>3241.8900000000003</v>
      </c>
      <c r="T20">
        <f>SUM(G20:J20)</f>
        <v>4526.42</v>
      </c>
      <c r="U20">
        <f>SUM(K20:N20)</f>
        <v>4945.57</v>
      </c>
      <c r="V20">
        <f>U20*1.06</f>
        <v>5242.3041999999996</v>
      </c>
      <c r="W20">
        <f t="shared" si="18"/>
        <v>5556.8424519999999</v>
      </c>
      <c r="X20">
        <f t="shared" si="18"/>
        <v>5890.2529991199999</v>
      </c>
      <c r="Y20">
        <f t="shared" si="18"/>
        <v>6243.6681790672001</v>
      </c>
      <c r="Z20">
        <f t="shared" si="18"/>
        <v>6618.2882698112326</v>
      </c>
      <c r="AA20">
        <f t="shared" si="18"/>
        <v>7015.3855659999072</v>
      </c>
      <c r="AB20">
        <f t="shared" si="18"/>
        <v>7436.3086999599018</v>
      </c>
      <c r="AC20">
        <f t="shared" si="18"/>
        <v>7882.4872219574963</v>
      </c>
      <c r="AD20">
        <f t="shared" si="18"/>
        <v>8355.4364552749466</v>
      </c>
      <c r="AE20">
        <f t="shared" si="18"/>
        <v>8856.7626425914441</v>
      </c>
      <c r="AF20">
        <f t="shared" si="18"/>
        <v>9388.1684011469315</v>
      </c>
      <c r="AG20">
        <f t="shared" si="18"/>
        <v>9951.4585052157472</v>
      </c>
      <c r="AH20">
        <f t="shared" si="18"/>
        <v>10548.546015528693</v>
      </c>
      <c r="AI20">
        <f t="shared" si="18"/>
        <v>11181.458776460415</v>
      </c>
      <c r="AJ20">
        <f t="shared" si="18"/>
        <v>11852.34630304804</v>
      </c>
      <c r="AK20">
        <f t="shared" si="18"/>
        <v>12563.487081230924</v>
      </c>
    </row>
    <row r="21" spans="2:609" x14ac:dyDescent="0.25">
      <c r="B21" s="9" t="s">
        <v>88</v>
      </c>
      <c r="C21" s="2">
        <f>C18-C19-C20</f>
        <v>-320.55000000000041</v>
      </c>
      <c r="D21" s="2">
        <f t="shared" ref="D21:AK21" si="19">D18-D19-D20</f>
        <v>-85.290000000000646</v>
      </c>
      <c r="E21" s="2">
        <f t="shared" si="19"/>
        <v>-5.5199999999999818</v>
      </c>
      <c r="F21" s="2">
        <f t="shared" si="19"/>
        <v>528.3999999999985</v>
      </c>
      <c r="G21" s="2">
        <f t="shared" si="19"/>
        <v>120.48999999999955</v>
      </c>
      <c r="H21" s="2">
        <f t="shared" si="19"/>
        <v>332.31000000000085</v>
      </c>
      <c r="I21" s="2">
        <f t="shared" si="19"/>
        <v>609.48999999999887</v>
      </c>
      <c r="J21" s="2">
        <f t="shared" si="19"/>
        <v>1143.9999999999993</v>
      </c>
      <c r="K21" s="2">
        <f t="shared" si="19"/>
        <v>670.65999999999894</v>
      </c>
      <c r="L21" s="2">
        <f t="shared" si="19"/>
        <v>962.75000000000091</v>
      </c>
      <c r="M21" s="2">
        <f t="shared" si="19"/>
        <v>964.38000000000056</v>
      </c>
      <c r="N21" s="2">
        <f t="shared" si="19"/>
        <v>1575.87</v>
      </c>
      <c r="O21" s="2">
        <f t="shared" si="19"/>
        <v>759.46</v>
      </c>
      <c r="P21" s="2">
        <f t="shared" ref="P21" si="20">P18-P19-P20</f>
        <v>947.7</v>
      </c>
      <c r="Q21" s="2"/>
      <c r="R21" s="2"/>
      <c r="S21" s="2">
        <f t="shared" si="19"/>
        <v>117.03999999999633</v>
      </c>
      <c r="T21" s="2">
        <f t="shared" si="19"/>
        <v>2206.2899999999927</v>
      </c>
      <c r="U21" s="2">
        <f>U18-U19-U20</f>
        <v>4173.6600000000108</v>
      </c>
      <c r="V21" s="2">
        <f>V18-V19-V20</f>
        <v>4430.1059000000087</v>
      </c>
      <c r="W21" s="2">
        <f t="shared" si="19"/>
        <v>4763.9715565000033</v>
      </c>
      <c r="X21" s="2">
        <f t="shared" si="19"/>
        <v>5111.1812399272576</v>
      </c>
      <c r="Y21" s="2">
        <f t="shared" si="19"/>
        <v>5481.6153373274892</v>
      </c>
      <c r="Z21" s="2">
        <f t="shared" si="19"/>
        <v>5876.7809238284472</v>
      </c>
      <c r="AA21" s="2">
        <f t="shared" si="19"/>
        <v>6298.2809824440383</v>
      </c>
      <c r="AB21" s="2">
        <f t="shared" si="19"/>
        <v>6747.8204156092779</v>
      </c>
      <c r="AC21" s="2">
        <f t="shared" si="19"/>
        <v>7227.2124285668151</v>
      </c>
      <c r="AD21" s="2">
        <f t="shared" si="19"/>
        <v>7738.4362822495659</v>
      </c>
      <c r="AE21" s="2">
        <f t="shared" si="19"/>
        <v>8283.551027271993</v>
      </c>
      <c r="AF21" s="2">
        <f t="shared" si="19"/>
        <v>8864.7466865011284</v>
      </c>
      <c r="AG21" s="2">
        <f t="shared" si="19"/>
        <v>9484.3524846717755</v>
      </c>
      <c r="AH21" s="2">
        <f t="shared" si="19"/>
        <v>10144.845590341614</v>
      </c>
      <c r="AI21" s="2">
        <f t="shared" si="19"/>
        <v>10848.860401854472</v>
      </c>
      <c r="AJ21" s="2">
        <f t="shared" si="19"/>
        <v>11599.19841092696</v>
      </c>
      <c r="AK21" s="2">
        <f t="shared" si="19"/>
        <v>12398.838679539022</v>
      </c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2:609" ht="16.5" customHeight="1" x14ac:dyDescent="0.25">
      <c r="B22" s="8" t="s">
        <v>21</v>
      </c>
      <c r="C22">
        <f>-1.4-1.68</f>
        <v>-3.08</v>
      </c>
      <c r="D22">
        <f>0.74+0.23</f>
        <v>0.97</v>
      </c>
      <c r="E22">
        <f>5.59-55.99</f>
        <v>-50.400000000000006</v>
      </c>
      <c r="F22">
        <f>2.59-266.71</f>
        <v>-264.12</v>
      </c>
      <c r="G22">
        <f>-0.83-23.88</f>
        <v>-24.709999999999997</v>
      </c>
      <c r="H22">
        <f>2.21+9.72</f>
        <v>11.93</v>
      </c>
      <c r="I22">
        <f>1.25+4.06</f>
        <v>5.31</v>
      </c>
      <c r="J22">
        <f>8.12+57.99</f>
        <v>66.11</v>
      </c>
      <c r="K22">
        <f>7.16+1.54</f>
        <v>8.6999999999999993</v>
      </c>
      <c r="L22">
        <f>2.96-38.39</f>
        <v>-35.43</v>
      </c>
      <c r="M22">
        <f>6.09+13.25</f>
        <v>19.34</v>
      </c>
      <c r="N22">
        <f>5.79-66.24</f>
        <v>-60.449999999999996</v>
      </c>
      <c r="O22">
        <f>4.88+1.12</f>
        <v>6</v>
      </c>
      <c r="P22">
        <v>119.02</v>
      </c>
      <c r="S22">
        <f>SUM(C22:F22)</f>
        <v>-316.63</v>
      </c>
      <c r="T22">
        <f>SUM(G22:J22)</f>
        <v>58.64</v>
      </c>
      <c r="U22">
        <f>SUM(K22:N22)</f>
        <v>-67.84</v>
      </c>
      <c r="V22">
        <f>U22*1.08</f>
        <v>-73.267200000000003</v>
      </c>
      <c r="W22">
        <f>V22*1.08</f>
        <v>-79.12857600000001</v>
      </c>
      <c r="X22">
        <f>W22*1.1</f>
        <v>-87.041433600000019</v>
      </c>
      <c r="Y22">
        <f t="shared" ref="Y22:AB22" si="21">X22*1.1</f>
        <v>-95.745576960000022</v>
      </c>
      <c r="Z22">
        <f t="shared" si="21"/>
        <v>-105.32013465600004</v>
      </c>
      <c r="AA22">
        <f t="shared" si="21"/>
        <v>-115.85214812160005</v>
      </c>
      <c r="AB22">
        <f t="shared" si="21"/>
        <v>-127.43736293376007</v>
      </c>
      <c r="AC22">
        <f t="shared" ref="AC22:AE22" si="22">AB22*1.06</f>
        <v>-135.08360470978567</v>
      </c>
      <c r="AD22">
        <f t="shared" si="22"/>
        <v>-143.18862099237282</v>
      </c>
      <c r="AE22">
        <f t="shared" si="22"/>
        <v>-151.77993825191518</v>
      </c>
      <c r="AF22">
        <f>AE22*1.06</f>
        <v>-160.8867345470301</v>
      </c>
      <c r="AG22">
        <f t="shared" ref="AG22:AK22" si="23">AF22*1.06</f>
        <v>-170.53993861985191</v>
      </c>
      <c r="AH22">
        <f t="shared" si="23"/>
        <v>-180.77233493704304</v>
      </c>
      <c r="AI22">
        <f t="shared" si="23"/>
        <v>-191.61867503326565</v>
      </c>
      <c r="AJ22">
        <f t="shared" si="23"/>
        <v>-203.11579553526158</v>
      </c>
      <c r="AK22">
        <f t="shared" si="23"/>
        <v>-215.30274326737728</v>
      </c>
    </row>
    <row r="23" spans="2:609" x14ac:dyDescent="0.25">
      <c r="B23" s="8" t="s">
        <v>18</v>
      </c>
      <c r="C23">
        <f>56.95-128.4</f>
        <v>-71.45</v>
      </c>
      <c r="D23">
        <f>46.3-47.07</f>
        <v>-0.77000000000000313</v>
      </c>
      <c r="E23">
        <f>27.29+24.36</f>
        <v>51.65</v>
      </c>
      <c r="F23">
        <f>134.32-27.89</f>
        <v>106.42999999999999</v>
      </c>
      <c r="G23">
        <f>76.78-2.94</f>
        <v>73.84</v>
      </c>
      <c r="H23">
        <f>152.75+5.69</f>
        <v>158.44</v>
      </c>
      <c r="I23">
        <f>285.79-22.2</f>
        <v>263.59000000000003</v>
      </c>
      <c r="J23">
        <f>451.7-41.46</f>
        <v>410.24</v>
      </c>
      <c r="K23">
        <f>253.79-158.92</f>
        <v>94.87</v>
      </c>
      <c r="L23">
        <f>348.43+9.57</f>
        <v>358</v>
      </c>
      <c r="M23">
        <f>327.52+47.35</f>
        <v>374.87</v>
      </c>
      <c r="N23">
        <f>549.17+32.82</f>
        <v>581.99</v>
      </c>
      <c r="O23">
        <f>299.28-84.47</f>
        <v>214.80999999999997</v>
      </c>
      <c r="P23">
        <f>354.99-43.48</f>
        <v>311.51</v>
      </c>
      <c r="S23">
        <f>SUM(C23:F23)</f>
        <v>85.859999999999985</v>
      </c>
      <c r="T23">
        <f>SUM(G23:J23)</f>
        <v>906.11</v>
      </c>
      <c r="U23">
        <f>SUM(K23:N23)</f>
        <v>1409.73</v>
      </c>
      <c r="V23">
        <f>V21*0.35</f>
        <v>1550.5370650000029</v>
      </c>
      <c r="W23">
        <f t="shared" ref="W23:AK23" si="24">W21*0.35</f>
        <v>1667.3900447750011</v>
      </c>
      <c r="X23">
        <f t="shared" si="24"/>
        <v>1788.9134339745401</v>
      </c>
      <c r="Y23">
        <f t="shared" si="24"/>
        <v>1918.565368064621</v>
      </c>
      <c r="Z23">
        <f t="shared" si="24"/>
        <v>2056.8733233399562</v>
      </c>
      <c r="AA23">
        <f t="shared" si="24"/>
        <v>2204.3983438554133</v>
      </c>
      <c r="AB23">
        <f t="shared" si="24"/>
        <v>2361.7371454632471</v>
      </c>
      <c r="AC23">
        <f t="shared" si="24"/>
        <v>2529.5243499983853</v>
      </c>
      <c r="AD23">
        <f t="shared" si="24"/>
        <v>2708.4526987873478</v>
      </c>
      <c r="AE23">
        <f t="shared" si="24"/>
        <v>2899.2428595451975</v>
      </c>
      <c r="AF23">
        <f t="shared" si="24"/>
        <v>3102.6613402753947</v>
      </c>
      <c r="AG23">
        <f t="shared" si="24"/>
        <v>3319.5233696351211</v>
      </c>
      <c r="AH23">
        <f t="shared" si="24"/>
        <v>3550.6959566195646</v>
      </c>
      <c r="AI23">
        <f t="shared" si="24"/>
        <v>3797.1011406490647</v>
      </c>
      <c r="AJ23">
        <f t="shared" si="24"/>
        <v>4059.7194438244355</v>
      </c>
      <c r="AK23">
        <f t="shared" si="24"/>
        <v>4339.5935378386575</v>
      </c>
    </row>
    <row r="24" spans="2:609" x14ac:dyDescent="0.25">
      <c r="B24" s="9" t="s">
        <v>19</v>
      </c>
      <c r="C24" s="2">
        <f>C21+C22-C23</f>
        <v>-252.1800000000004</v>
      </c>
      <c r="D24" s="2">
        <f t="shared" ref="D24:AK24" si="25">D21+D22-D23</f>
        <v>-83.550000000000637</v>
      </c>
      <c r="E24" s="2">
        <f t="shared" si="25"/>
        <v>-107.57</v>
      </c>
      <c r="F24" s="2">
        <f t="shared" si="25"/>
        <v>157.84999999999849</v>
      </c>
      <c r="G24" s="2">
        <f t="shared" si="25"/>
        <v>21.939999999999557</v>
      </c>
      <c r="H24" s="2">
        <f t="shared" si="25"/>
        <v>185.80000000000086</v>
      </c>
      <c r="I24" s="2">
        <f t="shared" si="25"/>
        <v>351.20999999999879</v>
      </c>
      <c r="J24" s="2">
        <f t="shared" si="25"/>
        <v>799.86999999999921</v>
      </c>
      <c r="K24" s="2">
        <f t="shared" si="25"/>
        <v>584.48999999999899</v>
      </c>
      <c r="L24" s="2">
        <f t="shared" si="25"/>
        <v>569.32000000000096</v>
      </c>
      <c r="M24" s="2">
        <f t="shared" si="25"/>
        <v>608.85000000000059</v>
      </c>
      <c r="N24" s="2">
        <f t="shared" si="25"/>
        <v>933.42999999999984</v>
      </c>
      <c r="O24" s="2">
        <f t="shared" si="25"/>
        <v>550.65000000000009</v>
      </c>
      <c r="P24" s="2">
        <f>P21+P22-P23</f>
        <v>755.21</v>
      </c>
      <c r="Q24" s="2">
        <f>Q11*0.07</f>
        <v>856.19765000000029</v>
      </c>
      <c r="R24" s="2">
        <f>R11*0.1</f>
        <v>1497.4333000000001</v>
      </c>
      <c r="S24" s="2">
        <f t="shared" si="25"/>
        <v>-285.45000000000368</v>
      </c>
      <c r="T24" s="2">
        <f t="shared" si="25"/>
        <v>1358.8199999999924</v>
      </c>
      <c r="U24" s="2">
        <f>U21+U22-U23</f>
        <v>2696.0900000000106</v>
      </c>
      <c r="V24" s="2">
        <f>SUM(O24:R24)</f>
        <v>3659.4909500000008</v>
      </c>
      <c r="W24" s="2">
        <f>W21+W22-W23</f>
        <v>3017.4529357250021</v>
      </c>
      <c r="X24" s="2">
        <f t="shared" si="25"/>
        <v>3235.2263723527171</v>
      </c>
      <c r="Y24" s="2">
        <f t="shared" si="25"/>
        <v>3467.3043923028681</v>
      </c>
      <c r="Z24" s="2">
        <f t="shared" si="25"/>
        <v>3714.587465832491</v>
      </c>
      <c r="AA24" s="2">
        <f t="shared" si="25"/>
        <v>3978.0304904670247</v>
      </c>
      <c r="AB24" s="2">
        <f t="shared" si="25"/>
        <v>4258.6459072122707</v>
      </c>
      <c r="AC24" s="2">
        <f t="shared" si="25"/>
        <v>4562.6044738586443</v>
      </c>
      <c r="AD24" s="2">
        <f t="shared" si="25"/>
        <v>4886.7949624698449</v>
      </c>
      <c r="AE24" s="2">
        <f t="shared" si="25"/>
        <v>5232.5282294748804</v>
      </c>
      <c r="AF24" s="2">
        <f t="shared" si="25"/>
        <v>5601.1986116787039</v>
      </c>
      <c r="AG24" s="2">
        <f t="shared" si="25"/>
        <v>5994.2891764168035</v>
      </c>
      <c r="AH24" s="2">
        <f t="shared" si="25"/>
        <v>6413.377298785007</v>
      </c>
      <c r="AI24" s="2">
        <f t="shared" si="25"/>
        <v>6860.1405861721414</v>
      </c>
      <c r="AJ24" s="2">
        <f t="shared" si="25"/>
        <v>7336.3631715672636</v>
      </c>
      <c r="AK24" s="2">
        <f t="shared" si="25"/>
        <v>7843.9423984329869</v>
      </c>
      <c r="AL24" s="2">
        <f t="shared" ref="AL24" si="26">AK24*(1+$BA$44)</f>
        <v>7687.0635504643269</v>
      </c>
      <c r="AM24" s="2">
        <f t="shared" ref="AM24" si="27">AL24*(1+$BA$44)</f>
        <v>7533.3222794550402</v>
      </c>
      <c r="AN24" s="2">
        <f t="shared" ref="AN24" si="28">AM24*(1+$BA$44)</f>
        <v>7382.6558338659388</v>
      </c>
      <c r="AO24" s="2">
        <f t="shared" ref="AO24" si="29">AN24*(1+$BA$44)</f>
        <v>7235.0027171886195</v>
      </c>
      <c r="AP24" s="2">
        <f t="shared" ref="AP24" si="30">AO24*(1+$BA$44)</f>
        <v>7090.302662844847</v>
      </c>
      <c r="AQ24" s="2">
        <f t="shared" ref="AQ24" si="31">AP24*(1+$BA$44)</f>
        <v>6948.4966095879499</v>
      </c>
      <c r="AR24" s="2">
        <f t="shared" ref="AR24" si="32">AQ24*(1+$BA$44)</f>
        <v>6809.5266773961912</v>
      </c>
      <c r="AS24" s="2">
        <f t="shared" ref="AS24" si="33">AR24*(1+$BA$44)</f>
        <v>6673.3361438482671</v>
      </c>
      <c r="AT24" s="2">
        <f t="shared" ref="AT24" si="34">AS24*(1+$BA$44)</f>
        <v>6539.8694209713012</v>
      </c>
      <c r="AU24" s="2">
        <f t="shared" ref="AU24" si="35">AT24*(1+$BA$44)</f>
        <v>6409.0720325518751</v>
      </c>
      <c r="AV24" s="2">
        <f t="shared" ref="AV24" si="36">AU24*(1+$BA$44)</f>
        <v>6280.8905919008375</v>
      </c>
      <c r="AW24" s="2">
        <f t="shared" ref="AW24" si="37">AV24*(1+$BA$44)</f>
        <v>6155.2727800628209</v>
      </c>
      <c r="AX24" s="2">
        <f t="shared" ref="AX24:DH24" si="38">AW24*(1+$BA$44)</f>
        <v>6032.167324461564</v>
      </c>
      <c r="AY24" s="2">
        <f t="shared" si="38"/>
        <v>5911.5239779723324</v>
      </c>
      <c r="AZ24" s="2">
        <f t="shared" si="38"/>
        <v>5793.293498412886</v>
      </c>
      <c r="BA24" s="2">
        <f t="shared" si="38"/>
        <v>5677.4276284446278</v>
      </c>
      <c r="BB24" s="2">
        <f t="shared" si="38"/>
        <v>5563.879075875735</v>
      </c>
      <c r="BC24" s="2">
        <f t="shared" si="38"/>
        <v>5452.6014943582204</v>
      </c>
      <c r="BD24" s="2">
        <f t="shared" si="38"/>
        <v>5343.5494644710561</v>
      </c>
      <c r="BE24" s="2">
        <f t="shared" si="38"/>
        <v>5236.6784751816349</v>
      </c>
      <c r="BF24" s="2">
        <f t="shared" si="38"/>
        <v>5131.9449056780022</v>
      </c>
      <c r="BG24" s="2">
        <f t="shared" si="38"/>
        <v>5029.3060075644416</v>
      </c>
      <c r="BH24" s="2">
        <f t="shared" si="38"/>
        <v>4928.7198874131527</v>
      </c>
      <c r="BI24" s="2">
        <f t="shared" si="38"/>
        <v>4830.1454896648893</v>
      </c>
      <c r="BJ24" s="2">
        <f t="shared" si="38"/>
        <v>4733.5425798715914</v>
      </c>
      <c r="BK24" s="2">
        <f t="shared" si="38"/>
        <v>4638.87172827416</v>
      </c>
      <c r="BL24" s="2">
        <f t="shared" si="38"/>
        <v>4546.0942937086766</v>
      </c>
      <c r="BM24" s="2">
        <f t="shared" si="38"/>
        <v>4455.1724078345032</v>
      </c>
      <c r="BN24" s="2">
        <f t="shared" si="38"/>
        <v>4366.0689596778129</v>
      </c>
      <c r="BO24" s="2">
        <f t="shared" si="38"/>
        <v>4278.747580484257</v>
      </c>
      <c r="BP24" s="2">
        <f t="shared" si="38"/>
        <v>4193.1726288745722</v>
      </c>
      <c r="BQ24" s="2">
        <f t="shared" si="38"/>
        <v>4109.3091762970807</v>
      </c>
      <c r="BR24" s="2">
        <f t="shared" si="38"/>
        <v>4027.1229927711393</v>
      </c>
      <c r="BS24" s="2">
        <f t="shared" si="38"/>
        <v>3946.5805329157165</v>
      </c>
      <c r="BT24" s="2">
        <f t="shared" si="38"/>
        <v>3867.6489222574023</v>
      </c>
      <c r="BU24" s="2">
        <f t="shared" si="38"/>
        <v>3790.2959438122543</v>
      </c>
      <c r="BV24" s="2">
        <f t="shared" si="38"/>
        <v>3714.4900249360094</v>
      </c>
      <c r="BW24" s="2">
        <f t="shared" si="38"/>
        <v>3640.2002244372893</v>
      </c>
      <c r="BX24" s="2">
        <f t="shared" si="38"/>
        <v>3567.3962199485436</v>
      </c>
      <c r="BY24" s="2">
        <f t="shared" si="38"/>
        <v>3496.0482955495727</v>
      </c>
      <c r="BZ24" s="2">
        <f t="shared" si="38"/>
        <v>3426.1273296385812</v>
      </c>
      <c r="CA24" s="2">
        <f t="shared" si="38"/>
        <v>3357.6047830458097</v>
      </c>
      <c r="CB24" s="2">
        <f t="shared" si="38"/>
        <v>3290.4526873848936</v>
      </c>
      <c r="CC24" s="2">
        <f t="shared" si="38"/>
        <v>3224.6436336371958</v>
      </c>
      <c r="CD24" s="2">
        <f t="shared" si="38"/>
        <v>3160.1507609644518</v>
      </c>
      <c r="CE24" s="2">
        <f t="shared" si="38"/>
        <v>3096.9477457451626</v>
      </c>
      <c r="CF24" s="2">
        <f t="shared" si="38"/>
        <v>3035.0087908302594</v>
      </c>
      <c r="CG24" s="2">
        <f t="shared" si="38"/>
        <v>2974.3086150136542</v>
      </c>
      <c r="CH24" s="2">
        <f t="shared" si="38"/>
        <v>2914.822442713381</v>
      </c>
      <c r="CI24" s="2">
        <f t="shared" si="38"/>
        <v>2856.5259938591134</v>
      </c>
      <c r="CJ24" s="2">
        <f t="shared" si="38"/>
        <v>2799.395473981931</v>
      </c>
      <c r="CK24" s="2">
        <f t="shared" si="38"/>
        <v>2743.4075645022922</v>
      </c>
      <c r="CL24" s="2">
        <f t="shared" si="38"/>
        <v>2688.5394132122465</v>
      </c>
      <c r="CM24" s="2">
        <f t="shared" si="38"/>
        <v>2634.7686249480016</v>
      </c>
      <c r="CN24" s="2">
        <f t="shared" si="38"/>
        <v>2582.0732524490413</v>
      </c>
      <c r="CO24" s="2">
        <f t="shared" si="38"/>
        <v>2530.4317874000603</v>
      </c>
      <c r="CP24" s="2">
        <f t="shared" si="38"/>
        <v>2479.8231516520591</v>
      </c>
      <c r="CQ24" s="2">
        <f t="shared" si="38"/>
        <v>2430.2266886190178</v>
      </c>
      <c r="CR24" s="2">
        <f t="shared" si="38"/>
        <v>2381.6221548466374</v>
      </c>
      <c r="CS24" s="2">
        <f t="shared" si="38"/>
        <v>2333.9897117497044</v>
      </c>
      <c r="CT24" s="2">
        <f t="shared" si="38"/>
        <v>2287.3099175147104</v>
      </c>
      <c r="CU24" s="2">
        <f t="shared" si="38"/>
        <v>2241.5637191644159</v>
      </c>
      <c r="CV24" s="2">
        <f t="shared" si="38"/>
        <v>2196.7324447811275</v>
      </c>
      <c r="CW24" s="2">
        <f t="shared" si="38"/>
        <v>2152.7977958855049</v>
      </c>
      <c r="CX24" s="2">
        <f t="shared" si="38"/>
        <v>2109.7418399677949</v>
      </c>
      <c r="CY24" s="2">
        <f t="shared" si="38"/>
        <v>2067.547003168439</v>
      </c>
      <c r="CZ24" s="2">
        <f t="shared" si="38"/>
        <v>2026.1960631050702</v>
      </c>
      <c r="DA24" s="2">
        <f t="shared" si="38"/>
        <v>1985.6721418429688</v>
      </c>
      <c r="DB24" s="2">
        <f t="shared" si="38"/>
        <v>1945.9586990061093</v>
      </c>
      <c r="DC24" s="2">
        <f t="shared" si="38"/>
        <v>1907.0395250259871</v>
      </c>
      <c r="DD24" s="2">
        <f t="shared" si="38"/>
        <v>1868.8987345254673</v>
      </c>
      <c r="DE24" s="2">
        <f t="shared" si="38"/>
        <v>1831.520759834958</v>
      </c>
      <c r="DF24" s="2">
        <f t="shared" si="38"/>
        <v>1794.8903446382587</v>
      </c>
      <c r="DG24" s="2">
        <f t="shared" si="38"/>
        <v>1758.9925377454936</v>
      </c>
      <c r="DH24" s="2">
        <f t="shared" si="38"/>
        <v>1723.8126869905836</v>
      </c>
      <c r="DI24" s="2">
        <f t="shared" ref="DI24:FT24" si="39">DH24*(1+$BA$44)</f>
        <v>1689.336433250772</v>
      </c>
      <c r="DJ24" s="2">
        <f t="shared" si="39"/>
        <v>1655.5497045857564</v>
      </c>
      <c r="DK24" s="2">
        <f t="shared" si="39"/>
        <v>1622.4387104940413</v>
      </c>
      <c r="DL24" s="2">
        <f t="shared" si="39"/>
        <v>1589.9899362841604</v>
      </c>
      <c r="DM24" s="2">
        <f t="shared" si="39"/>
        <v>1558.1901375584771</v>
      </c>
      <c r="DN24" s="2">
        <f t="shared" si="39"/>
        <v>1527.0263348073074</v>
      </c>
      <c r="DO24" s="2">
        <f t="shared" si="39"/>
        <v>1496.4858081111613</v>
      </c>
      <c r="DP24" s="2">
        <f t="shared" si="39"/>
        <v>1466.556091948938</v>
      </c>
      <c r="DQ24" s="2">
        <f t="shared" si="39"/>
        <v>1437.2249701099593</v>
      </c>
      <c r="DR24" s="2">
        <f t="shared" si="39"/>
        <v>1408.4804707077601</v>
      </c>
      <c r="DS24" s="2">
        <f t="shared" si="39"/>
        <v>1380.3108612936048</v>
      </c>
      <c r="DT24" s="2">
        <f t="shared" si="39"/>
        <v>1352.7046440677327</v>
      </c>
      <c r="DU24" s="2">
        <f t="shared" si="39"/>
        <v>1325.6505511863779</v>
      </c>
      <c r="DV24" s="2">
        <f t="shared" si="39"/>
        <v>1299.1375401626503</v>
      </c>
      <c r="DW24" s="2">
        <f t="shared" si="39"/>
        <v>1273.1547893593972</v>
      </c>
      <c r="DX24" s="2">
        <f t="shared" si="39"/>
        <v>1247.6916935722093</v>
      </c>
      <c r="DY24" s="2">
        <f t="shared" si="39"/>
        <v>1222.7378597007651</v>
      </c>
      <c r="DZ24" s="2">
        <f t="shared" si="39"/>
        <v>1198.2831025067496</v>
      </c>
      <c r="EA24" s="2">
        <f t="shared" si="39"/>
        <v>1174.3174404566146</v>
      </c>
      <c r="EB24" s="2">
        <f t="shared" si="39"/>
        <v>1150.8310916474823</v>
      </c>
      <c r="EC24" s="2">
        <f t="shared" si="39"/>
        <v>1127.8144698145327</v>
      </c>
      <c r="ED24" s="2">
        <f t="shared" si="39"/>
        <v>1105.2581804182421</v>
      </c>
      <c r="EE24" s="2">
        <f t="shared" si="39"/>
        <v>1083.1530168098773</v>
      </c>
      <c r="EF24" s="2">
        <f t="shared" si="39"/>
        <v>1061.4899564736797</v>
      </c>
      <c r="EG24" s="2">
        <f t="shared" si="39"/>
        <v>1040.2601573442062</v>
      </c>
      <c r="EH24" s="2">
        <f t="shared" si="39"/>
        <v>1019.454954197322</v>
      </c>
      <c r="EI24" s="2">
        <f t="shared" si="39"/>
        <v>999.06585511337551</v>
      </c>
      <c r="EJ24" s="2">
        <f t="shared" si="39"/>
        <v>979.08453801110795</v>
      </c>
      <c r="EK24" s="2">
        <f t="shared" si="39"/>
        <v>959.50284725088579</v>
      </c>
      <c r="EL24" s="2">
        <f t="shared" si="39"/>
        <v>940.31279030586802</v>
      </c>
      <c r="EM24" s="2">
        <f t="shared" si="39"/>
        <v>921.50653449975061</v>
      </c>
      <c r="EN24" s="2">
        <f t="shared" si="39"/>
        <v>903.07640380975556</v>
      </c>
      <c r="EO24" s="2">
        <f t="shared" si="39"/>
        <v>885.01487573356042</v>
      </c>
      <c r="EP24" s="2">
        <f t="shared" si="39"/>
        <v>867.31457821888921</v>
      </c>
      <c r="EQ24" s="2">
        <f t="shared" si="39"/>
        <v>849.96828665451142</v>
      </c>
      <c r="ER24" s="2">
        <f t="shared" si="39"/>
        <v>832.96892092142116</v>
      </c>
      <c r="ES24" s="2">
        <f t="shared" si="39"/>
        <v>816.30954250299271</v>
      </c>
      <c r="ET24" s="2">
        <f t="shared" si="39"/>
        <v>799.98335165293281</v>
      </c>
      <c r="EU24" s="2">
        <f t="shared" si="39"/>
        <v>783.98368461987411</v>
      </c>
      <c r="EV24" s="2">
        <f t="shared" si="39"/>
        <v>768.30401092747661</v>
      </c>
      <c r="EW24" s="2">
        <f t="shared" si="39"/>
        <v>752.93793070892707</v>
      </c>
      <c r="EX24" s="2">
        <f t="shared" si="39"/>
        <v>737.87917209474847</v>
      </c>
      <c r="EY24" s="2">
        <f t="shared" si="39"/>
        <v>723.12158865285346</v>
      </c>
      <c r="EZ24" s="2">
        <f t="shared" si="39"/>
        <v>708.65915687979634</v>
      </c>
      <c r="FA24" s="2">
        <f t="shared" si="39"/>
        <v>694.48597374220037</v>
      </c>
      <c r="FB24" s="2">
        <f t="shared" si="39"/>
        <v>680.59625426735636</v>
      </c>
      <c r="FC24" s="2">
        <f t="shared" si="39"/>
        <v>666.98432918200922</v>
      </c>
      <c r="FD24" s="2">
        <f t="shared" si="39"/>
        <v>653.64464259836905</v>
      </c>
      <c r="FE24" s="2">
        <f t="shared" si="39"/>
        <v>640.57174974640168</v>
      </c>
      <c r="FF24" s="2">
        <f t="shared" si="39"/>
        <v>627.76031475147363</v>
      </c>
      <c r="FG24" s="2">
        <f t="shared" si="39"/>
        <v>615.20510845644412</v>
      </c>
      <c r="FH24" s="2">
        <f t="shared" si="39"/>
        <v>602.90100628731523</v>
      </c>
      <c r="FI24" s="2">
        <f t="shared" si="39"/>
        <v>590.84298616156889</v>
      </c>
      <c r="FJ24" s="2">
        <f t="shared" si="39"/>
        <v>579.02612643833754</v>
      </c>
      <c r="FK24" s="2">
        <f t="shared" si="39"/>
        <v>567.44560390957076</v>
      </c>
      <c r="FL24" s="2">
        <f t="shared" si="39"/>
        <v>556.0966918313793</v>
      </c>
      <c r="FM24" s="2">
        <f t="shared" si="39"/>
        <v>544.97475799475171</v>
      </c>
      <c r="FN24" s="2">
        <f t="shared" si="39"/>
        <v>534.07526283485663</v>
      </c>
      <c r="FO24" s="2">
        <f t="shared" si="39"/>
        <v>523.39375757815947</v>
      </c>
      <c r="FP24" s="2">
        <f t="shared" si="39"/>
        <v>512.92588242659622</v>
      </c>
      <c r="FQ24" s="2">
        <f t="shared" si="39"/>
        <v>502.66736477806427</v>
      </c>
      <c r="FR24" s="2">
        <f t="shared" si="39"/>
        <v>492.61401748250296</v>
      </c>
      <c r="FS24" s="2">
        <f t="shared" si="39"/>
        <v>482.76173713285289</v>
      </c>
      <c r="FT24" s="2">
        <f t="shared" si="39"/>
        <v>473.10650239019583</v>
      </c>
      <c r="FU24" s="2">
        <f t="shared" ref="FU24:IF24" si="40">FT24*(1+$BA$44)</f>
        <v>463.64437234239188</v>
      </c>
      <c r="FV24" s="2">
        <f t="shared" si="40"/>
        <v>454.37148489554403</v>
      </c>
      <c r="FW24" s="2">
        <f t="shared" si="40"/>
        <v>445.28405519763317</v>
      </c>
      <c r="FX24" s="2">
        <f t="shared" si="40"/>
        <v>436.37837409368052</v>
      </c>
      <c r="FY24" s="2">
        <f t="shared" si="40"/>
        <v>427.6508066118069</v>
      </c>
      <c r="FZ24" s="2">
        <f t="shared" si="40"/>
        <v>419.09779047957073</v>
      </c>
      <c r="GA24" s="2">
        <f t="shared" si="40"/>
        <v>410.7158346699793</v>
      </c>
      <c r="GB24" s="2">
        <f t="shared" si="40"/>
        <v>402.50151797657969</v>
      </c>
      <c r="GC24" s="2">
        <f t="shared" si="40"/>
        <v>394.45148761704809</v>
      </c>
      <c r="GD24" s="2">
        <f t="shared" si="40"/>
        <v>386.56245786470714</v>
      </c>
      <c r="GE24" s="2">
        <f t="shared" si="40"/>
        <v>378.831208707413</v>
      </c>
      <c r="GF24" s="2">
        <f t="shared" si="40"/>
        <v>371.25458453326473</v>
      </c>
      <c r="GG24" s="2">
        <f t="shared" si="40"/>
        <v>363.82949284259945</v>
      </c>
      <c r="GH24" s="2">
        <f t="shared" si="40"/>
        <v>356.55290298574744</v>
      </c>
      <c r="GI24" s="2">
        <f t="shared" si="40"/>
        <v>349.42184492603246</v>
      </c>
      <c r="GJ24" s="2">
        <f t="shared" si="40"/>
        <v>342.4334080275118</v>
      </c>
      <c r="GK24" s="2">
        <f t="shared" si="40"/>
        <v>335.58473986696157</v>
      </c>
      <c r="GL24" s="2">
        <f t="shared" si="40"/>
        <v>328.87304506962232</v>
      </c>
      <c r="GM24" s="2">
        <f t="shared" si="40"/>
        <v>322.29558416822988</v>
      </c>
      <c r="GN24" s="2">
        <f t="shared" si="40"/>
        <v>315.84967248486527</v>
      </c>
      <c r="GO24" s="2">
        <f t="shared" si="40"/>
        <v>309.53267903516797</v>
      </c>
      <c r="GP24" s="2">
        <f t="shared" si="40"/>
        <v>303.34202545446459</v>
      </c>
      <c r="GQ24" s="2">
        <f t="shared" si="40"/>
        <v>297.27518494537532</v>
      </c>
      <c r="GR24" s="2">
        <f t="shared" si="40"/>
        <v>291.32968124646783</v>
      </c>
      <c r="GS24" s="2">
        <f t="shared" si="40"/>
        <v>285.50308762153844</v>
      </c>
      <c r="GT24" s="2">
        <f t="shared" si="40"/>
        <v>279.79302586910768</v>
      </c>
      <c r="GU24" s="2">
        <f t="shared" si="40"/>
        <v>274.19716535172552</v>
      </c>
      <c r="GV24" s="2">
        <f t="shared" si="40"/>
        <v>268.71322204469101</v>
      </c>
      <c r="GW24" s="2">
        <f t="shared" si="40"/>
        <v>263.33895760379716</v>
      </c>
      <c r="GX24" s="2">
        <f t="shared" si="40"/>
        <v>258.07217845172119</v>
      </c>
      <c r="GY24" s="2">
        <f t="shared" si="40"/>
        <v>252.91073488268677</v>
      </c>
      <c r="GZ24" s="2">
        <f t="shared" si="40"/>
        <v>247.85252018503303</v>
      </c>
      <c r="HA24" s="2">
        <f t="shared" si="40"/>
        <v>242.89546978133237</v>
      </c>
      <c r="HB24" s="2">
        <f t="shared" si="40"/>
        <v>238.03756038570572</v>
      </c>
      <c r="HC24" s="2">
        <f t="shared" si="40"/>
        <v>233.27680917799159</v>
      </c>
      <c r="HD24" s="2">
        <f t="shared" si="40"/>
        <v>228.61127299443177</v>
      </c>
      <c r="HE24" s="2">
        <f t="shared" si="40"/>
        <v>224.03904753454313</v>
      </c>
      <c r="HF24" s="2">
        <f t="shared" si="40"/>
        <v>219.55826658385226</v>
      </c>
      <c r="HG24" s="2">
        <f t="shared" si="40"/>
        <v>215.1671012521752</v>
      </c>
      <c r="HH24" s="2">
        <f t="shared" si="40"/>
        <v>210.86375922713168</v>
      </c>
      <c r="HI24" s="2">
        <f t="shared" si="40"/>
        <v>206.64648404258904</v>
      </c>
      <c r="HJ24" s="2">
        <f t="shared" si="40"/>
        <v>202.51355436173725</v>
      </c>
      <c r="HK24" s="2">
        <f t="shared" si="40"/>
        <v>198.46328327450249</v>
      </c>
      <c r="HL24" s="2">
        <f t="shared" si="40"/>
        <v>194.49401760901245</v>
      </c>
      <c r="HM24" s="2">
        <f t="shared" si="40"/>
        <v>190.60413725683219</v>
      </c>
      <c r="HN24" s="2">
        <f t="shared" si="40"/>
        <v>186.79205451169554</v>
      </c>
      <c r="HO24" s="2">
        <f t="shared" si="40"/>
        <v>183.05621342146162</v>
      </c>
      <c r="HP24" s="2">
        <f t="shared" si="40"/>
        <v>179.39508915303239</v>
      </c>
      <c r="HQ24" s="2">
        <f t="shared" si="40"/>
        <v>175.80718736997173</v>
      </c>
      <c r="HR24" s="2">
        <f t="shared" si="40"/>
        <v>172.29104362257229</v>
      </c>
      <c r="HS24" s="2">
        <f t="shared" si="40"/>
        <v>168.84522275012085</v>
      </c>
      <c r="HT24" s="2">
        <f t="shared" si="40"/>
        <v>165.46831829511842</v>
      </c>
      <c r="HU24" s="2">
        <f t="shared" si="40"/>
        <v>162.15895192921604</v>
      </c>
      <c r="HV24" s="2">
        <f t="shared" si="40"/>
        <v>158.91577289063173</v>
      </c>
      <c r="HW24" s="2">
        <f t="shared" si="40"/>
        <v>155.7374574328191</v>
      </c>
      <c r="HX24" s="2">
        <f t="shared" si="40"/>
        <v>152.62270828416271</v>
      </c>
      <c r="HY24" s="2">
        <f t="shared" si="40"/>
        <v>149.57025411847945</v>
      </c>
      <c r="HZ24" s="2">
        <f t="shared" si="40"/>
        <v>146.57884903610986</v>
      </c>
      <c r="IA24" s="2">
        <f t="shared" si="40"/>
        <v>143.64727205538765</v>
      </c>
      <c r="IB24" s="2">
        <f t="shared" si="40"/>
        <v>140.77432661427989</v>
      </c>
      <c r="IC24" s="2">
        <f t="shared" si="40"/>
        <v>137.95884008199428</v>
      </c>
      <c r="ID24" s="2">
        <f t="shared" si="40"/>
        <v>135.1996632803544</v>
      </c>
      <c r="IE24" s="2">
        <f t="shared" si="40"/>
        <v>132.4956700147473</v>
      </c>
      <c r="IF24" s="2">
        <f t="shared" si="40"/>
        <v>129.84575661445237</v>
      </c>
      <c r="IG24" s="2">
        <f t="shared" ref="IG24:KR24" si="41">IF24*(1+$BA$44)</f>
        <v>127.24884148216331</v>
      </c>
      <c r="IH24" s="2">
        <f t="shared" si="41"/>
        <v>124.70386465252004</v>
      </c>
      <c r="II24" s="2">
        <f t="shared" si="41"/>
        <v>122.20978735946963</v>
      </c>
      <c r="IJ24" s="2">
        <f t="shared" si="41"/>
        <v>119.76559161228023</v>
      </c>
      <c r="IK24" s="2">
        <f t="shared" si="41"/>
        <v>117.37027978003462</v>
      </c>
      <c r="IL24" s="2">
        <f t="shared" si="41"/>
        <v>115.02287418443393</v>
      </c>
      <c r="IM24" s="2">
        <f t="shared" si="41"/>
        <v>112.72241670074526</v>
      </c>
      <c r="IN24" s="2">
        <f t="shared" si="41"/>
        <v>110.46796836673035</v>
      </c>
      <c r="IO24" s="2">
        <f t="shared" si="41"/>
        <v>108.25860899939573</v>
      </c>
      <c r="IP24" s="2">
        <f t="shared" si="41"/>
        <v>106.09343681940781</v>
      </c>
      <c r="IQ24" s="2">
        <f t="shared" si="41"/>
        <v>103.97156808301966</v>
      </c>
      <c r="IR24" s="2">
        <f t="shared" si="41"/>
        <v>101.89213672135926</v>
      </c>
      <c r="IS24" s="2">
        <f t="shared" si="41"/>
        <v>99.854293986932078</v>
      </c>
      <c r="IT24" s="2">
        <f t="shared" si="41"/>
        <v>97.857208107193429</v>
      </c>
      <c r="IU24" s="2">
        <f t="shared" si="41"/>
        <v>95.900063945049553</v>
      </c>
      <c r="IV24" s="2">
        <f t="shared" si="41"/>
        <v>93.982062666148565</v>
      </c>
      <c r="IW24" s="2">
        <f t="shared" si="41"/>
        <v>92.102421412825592</v>
      </c>
      <c r="IX24" s="2">
        <f t="shared" si="41"/>
        <v>90.260372984569074</v>
      </c>
      <c r="IY24" s="2">
        <f t="shared" si="41"/>
        <v>88.455165524877685</v>
      </c>
      <c r="IZ24" s="2">
        <f t="shared" si="41"/>
        <v>86.686062214380129</v>
      </c>
      <c r="JA24" s="2">
        <f t="shared" si="41"/>
        <v>84.952340970092521</v>
      </c>
      <c r="JB24" s="2">
        <f t="shared" si="41"/>
        <v>83.253294150690664</v>
      </c>
      <c r="JC24" s="2">
        <f t="shared" si="41"/>
        <v>81.588228267676854</v>
      </c>
      <c r="JD24" s="2">
        <f t="shared" si="41"/>
        <v>79.956463702323319</v>
      </c>
      <c r="JE24" s="2">
        <f t="shared" si="41"/>
        <v>78.357334428276857</v>
      </c>
      <c r="JF24" s="2">
        <f t="shared" si="41"/>
        <v>76.790187739711314</v>
      </c>
      <c r="JG24" s="2">
        <f t="shared" si="41"/>
        <v>75.254383984917084</v>
      </c>
      <c r="JH24" s="2">
        <f t="shared" si="41"/>
        <v>73.749296305218735</v>
      </c>
      <c r="JI24" s="2">
        <f t="shared" si="41"/>
        <v>72.274310379114354</v>
      </c>
      <c r="JJ24" s="2">
        <f t="shared" si="41"/>
        <v>70.828824171532062</v>
      </c>
      <c r="JK24" s="2">
        <f t="shared" si="41"/>
        <v>69.412247688101417</v>
      </c>
      <c r="JL24" s="2">
        <f t="shared" si="41"/>
        <v>68.02400273433939</v>
      </c>
      <c r="JM24" s="2">
        <f t="shared" si="41"/>
        <v>66.663522679652601</v>
      </c>
      <c r="JN24" s="2">
        <f t="shared" si="41"/>
        <v>65.330252226059542</v>
      </c>
      <c r="JO24" s="2">
        <f t="shared" si="41"/>
        <v>64.023647181538351</v>
      </c>
      <c r="JP24" s="2">
        <f t="shared" si="41"/>
        <v>62.743174237907581</v>
      </c>
      <c r="JQ24" s="2">
        <f t="shared" si="41"/>
        <v>61.488310753149428</v>
      </c>
      <c r="JR24" s="2">
        <f t="shared" si="41"/>
        <v>60.25854453808644</v>
      </c>
      <c r="JS24" s="2">
        <f t="shared" si="41"/>
        <v>59.053373647324712</v>
      </c>
      <c r="JT24" s="2">
        <f t="shared" si="41"/>
        <v>57.872306174378217</v>
      </c>
      <c r="JU24" s="2">
        <f t="shared" si="41"/>
        <v>56.71486005089065</v>
      </c>
      <c r="JV24" s="2">
        <f t="shared" si="41"/>
        <v>55.580562849872834</v>
      </c>
      <c r="JW24" s="2">
        <f t="shared" si="41"/>
        <v>54.468951592875378</v>
      </c>
      <c r="JX24" s="2">
        <f t="shared" si="41"/>
        <v>53.379572561017866</v>
      </c>
      <c r="JY24" s="2">
        <f t="shared" si="41"/>
        <v>52.311981109797507</v>
      </c>
      <c r="JZ24" s="2">
        <f t="shared" si="41"/>
        <v>51.265741487601559</v>
      </c>
      <c r="KA24" s="2">
        <f t="shared" si="41"/>
        <v>50.240426657849525</v>
      </c>
      <c r="KB24" s="2">
        <f t="shared" si="41"/>
        <v>49.235618124692536</v>
      </c>
      <c r="KC24" s="2">
        <f t="shared" si="41"/>
        <v>48.250905762198684</v>
      </c>
      <c r="KD24" s="2">
        <f t="shared" si="41"/>
        <v>47.285887646954713</v>
      </c>
      <c r="KE24" s="2">
        <f t="shared" si="41"/>
        <v>46.340169894015617</v>
      </c>
      <c r="KF24" s="2">
        <f t="shared" si="41"/>
        <v>45.413366496135303</v>
      </c>
      <c r="KG24" s="2">
        <f t="shared" si="41"/>
        <v>44.505099166212595</v>
      </c>
      <c r="KH24" s="2">
        <f t="shared" si="41"/>
        <v>43.614997182888345</v>
      </c>
      <c r="KI24" s="2">
        <f t="shared" si="41"/>
        <v>42.74269723923058</v>
      </c>
      <c r="KJ24" s="2">
        <f t="shared" si="41"/>
        <v>41.887843294445965</v>
      </c>
      <c r="KK24" s="2">
        <f t="shared" si="41"/>
        <v>41.050086428557044</v>
      </c>
      <c r="KL24" s="2">
        <f t="shared" si="41"/>
        <v>40.229084699985904</v>
      </c>
      <c r="KM24" s="2">
        <f t="shared" si="41"/>
        <v>39.424503005986182</v>
      </c>
      <c r="KN24" s="2">
        <f t="shared" si="41"/>
        <v>38.636012945866455</v>
      </c>
      <c r="KO24" s="2">
        <f t="shared" si="41"/>
        <v>37.863292686949123</v>
      </c>
      <c r="KP24" s="2">
        <f t="shared" si="41"/>
        <v>37.106026833210137</v>
      </c>
      <c r="KQ24" s="2">
        <f t="shared" si="41"/>
        <v>36.363906296545935</v>
      </c>
      <c r="KR24" s="2">
        <f t="shared" si="41"/>
        <v>35.636628170615012</v>
      </c>
      <c r="KS24" s="2">
        <f t="shared" ref="KS24:ND24" si="42">KR24*(1+$BA$44)</f>
        <v>34.923895607202709</v>
      </c>
      <c r="KT24" s="2">
        <f t="shared" si="42"/>
        <v>34.225417695058653</v>
      </c>
      <c r="KU24" s="2">
        <f t="shared" si="42"/>
        <v>33.54090934115748</v>
      </c>
      <c r="KV24" s="2">
        <f t="shared" si="42"/>
        <v>32.870091154334332</v>
      </c>
      <c r="KW24" s="2">
        <f t="shared" si="42"/>
        <v>32.212689331247645</v>
      </c>
      <c r="KX24" s="2">
        <f t="shared" si="42"/>
        <v>31.568435544622691</v>
      </c>
      <c r="KY24" s="2">
        <f t="shared" si="42"/>
        <v>30.937066833730238</v>
      </c>
      <c r="KZ24" s="2">
        <f t="shared" si="42"/>
        <v>30.318325497055632</v>
      </c>
      <c r="LA24" s="2">
        <f t="shared" si="42"/>
        <v>29.711958987114517</v>
      </c>
      <c r="LB24" s="2">
        <f t="shared" si="42"/>
        <v>29.117719807372225</v>
      </c>
      <c r="LC24" s="2">
        <f t="shared" si="42"/>
        <v>28.535365411224781</v>
      </c>
      <c r="LD24" s="2">
        <f t="shared" si="42"/>
        <v>27.964658103000286</v>
      </c>
      <c r="LE24" s="2">
        <f t="shared" si="42"/>
        <v>27.405364940940281</v>
      </c>
      <c r="LF24" s="2">
        <f t="shared" si="42"/>
        <v>26.857257642121475</v>
      </c>
      <c r="LG24" s="2">
        <f t="shared" si="42"/>
        <v>26.320112489279044</v>
      </c>
      <c r="LH24" s="2">
        <f t="shared" si="42"/>
        <v>25.793710239493464</v>
      </c>
      <c r="LI24" s="2">
        <f t="shared" si="42"/>
        <v>25.277836034703594</v>
      </c>
      <c r="LJ24" s="2">
        <f t="shared" si="42"/>
        <v>24.77227931400952</v>
      </c>
      <c r="LK24" s="2">
        <f t="shared" si="42"/>
        <v>24.276833727729329</v>
      </c>
      <c r="LL24" s="2">
        <f t="shared" si="42"/>
        <v>23.791297053174741</v>
      </c>
      <c r="LM24" s="2">
        <f t="shared" si="42"/>
        <v>23.315471112111247</v>
      </c>
      <c r="LN24" s="2">
        <f t="shared" si="42"/>
        <v>22.849161689869021</v>
      </c>
      <c r="LO24" s="2">
        <f t="shared" si="42"/>
        <v>22.39217845607164</v>
      </c>
      <c r="LP24" s="2">
        <f t="shared" si="42"/>
        <v>21.944334886950209</v>
      </c>
      <c r="LQ24" s="2">
        <f t="shared" si="42"/>
        <v>21.505448189211204</v>
      </c>
      <c r="LR24" s="2">
        <f t="shared" si="42"/>
        <v>21.07533922542698</v>
      </c>
      <c r="LS24" s="2">
        <f t="shared" si="42"/>
        <v>20.653832440918439</v>
      </c>
      <c r="LT24" s="2">
        <f t="shared" si="42"/>
        <v>20.240755792100071</v>
      </c>
      <c r="LU24" s="2">
        <f t="shared" si="42"/>
        <v>19.835940676258069</v>
      </c>
      <c r="LV24" s="2">
        <f t="shared" si="42"/>
        <v>19.439221862732907</v>
      </c>
      <c r="LW24" s="2">
        <f t="shared" si="42"/>
        <v>19.05043742547825</v>
      </c>
      <c r="LX24" s="2">
        <f t="shared" si="42"/>
        <v>18.669428676968685</v>
      </c>
      <c r="LY24" s="2">
        <f t="shared" si="42"/>
        <v>18.296040103429313</v>
      </c>
      <c r="LZ24" s="2">
        <f t="shared" si="42"/>
        <v>17.930119301360726</v>
      </c>
      <c r="MA24" s="2">
        <f t="shared" si="42"/>
        <v>17.571516915333511</v>
      </c>
      <c r="MB24" s="2">
        <f t="shared" si="42"/>
        <v>17.220086577026841</v>
      </c>
      <c r="MC24" s="2">
        <f t="shared" si="42"/>
        <v>16.875684845486305</v>
      </c>
      <c r="MD24" s="2">
        <f t="shared" si="42"/>
        <v>16.538171148576577</v>
      </c>
      <c r="ME24" s="2">
        <f t="shared" si="42"/>
        <v>16.207407725605044</v>
      </c>
      <c r="MF24" s="2">
        <f t="shared" si="42"/>
        <v>15.883259571092943</v>
      </c>
      <c r="MG24" s="2">
        <f t="shared" si="42"/>
        <v>15.565594379671083</v>
      </c>
      <c r="MH24" s="2">
        <f t="shared" si="42"/>
        <v>15.25428249207766</v>
      </c>
      <c r="MI24" s="2">
        <f t="shared" si="42"/>
        <v>14.949196842236107</v>
      </c>
      <c r="MJ24" s="2">
        <f t="shared" si="42"/>
        <v>14.650212905391385</v>
      </c>
      <c r="MK24" s="2">
        <f t="shared" si="42"/>
        <v>14.357208647283557</v>
      </c>
      <c r="ML24" s="2">
        <f t="shared" si="42"/>
        <v>14.070064474337885</v>
      </c>
      <c r="MM24" s="2">
        <f t="shared" si="42"/>
        <v>13.788663184851126</v>
      </c>
      <c r="MN24" s="2">
        <f t="shared" si="42"/>
        <v>13.512889921154104</v>
      </c>
      <c r="MO24" s="2">
        <f t="shared" si="42"/>
        <v>13.24263212273102</v>
      </c>
      <c r="MP24" s="2">
        <f t="shared" si="42"/>
        <v>12.9777794802764</v>
      </c>
      <c r="MQ24" s="2">
        <f t="shared" si="42"/>
        <v>12.718223890670872</v>
      </c>
      <c r="MR24" s="2">
        <f t="shared" si="42"/>
        <v>12.463859412857454</v>
      </c>
      <c r="MS24" s="2">
        <f t="shared" si="42"/>
        <v>12.214582224600305</v>
      </c>
      <c r="MT24" s="2">
        <f t="shared" si="42"/>
        <v>11.970290580108298</v>
      </c>
      <c r="MU24" s="2">
        <f t="shared" si="42"/>
        <v>11.730884768506131</v>
      </c>
      <c r="MV24" s="2">
        <f t="shared" si="42"/>
        <v>11.496267073136009</v>
      </c>
      <c r="MW24" s="2">
        <f t="shared" si="42"/>
        <v>11.266341731673288</v>
      </c>
      <c r="MX24" s="2">
        <f t="shared" si="42"/>
        <v>11.041014897039823</v>
      </c>
      <c r="MY24" s="2">
        <f t="shared" si="42"/>
        <v>10.820194599099025</v>
      </c>
      <c r="MZ24" s="2">
        <f t="shared" si="42"/>
        <v>10.603790707117044</v>
      </c>
      <c r="NA24" s="2">
        <f t="shared" si="42"/>
        <v>10.391714892974703</v>
      </c>
      <c r="NB24" s="2">
        <f t="shared" si="42"/>
        <v>10.183880595115209</v>
      </c>
      <c r="NC24" s="2">
        <f t="shared" si="42"/>
        <v>9.9802029832129051</v>
      </c>
      <c r="ND24" s="2">
        <f t="shared" si="42"/>
        <v>9.7805989235486468</v>
      </c>
      <c r="NE24" s="2">
        <f t="shared" ref="NE24:PP24" si="43">ND24*(1+$BA$44)</f>
        <v>9.5849869450776737</v>
      </c>
      <c r="NF24" s="2">
        <f t="shared" si="43"/>
        <v>9.3932872061761206</v>
      </c>
      <c r="NG24" s="2">
        <f t="shared" si="43"/>
        <v>9.2054214620525983</v>
      </c>
      <c r="NH24" s="2">
        <f t="shared" si="43"/>
        <v>9.0213130328115465</v>
      </c>
      <c r="NI24" s="2">
        <f t="shared" si="43"/>
        <v>8.840886772155315</v>
      </c>
      <c r="NJ24" s="2">
        <f t="shared" si="43"/>
        <v>8.664069036712208</v>
      </c>
      <c r="NK24" s="2">
        <f t="shared" si="43"/>
        <v>8.4907876559779645</v>
      </c>
      <c r="NL24" s="2">
        <f t="shared" si="43"/>
        <v>8.320971902858405</v>
      </c>
      <c r="NM24" s="2">
        <f t="shared" si="43"/>
        <v>8.1545524648012364</v>
      </c>
      <c r="NN24" s="2">
        <f t="shared" si="43"/>
        <v>7.9914614155052117</v>
      </c>
      <c r="NO24" s="2">
        <f t="shared" si="43"/>
        <v>7.8316321871951073</v>
      </c>
      <c r="NP24" s="2">
        <f t="shared" si="43"/>
        <v>7.6749995434512055</v>
      </c>
      <c r="NQ24" s="2">
        <f t="shared" si="43"/>
        <v>7.5214995525821813</v>
      </c>
      <c r="NR24" s="2">
        <f t="shared" si="43"/>
        <v>7.3710695615305379</v>
      </c>
      <c r="NS24" s="2">
        <f t="shared" si="43"/>
        <v>7.2236481702999269</v>
      </c>
      <c r="NT24" s="2">
        <f t="shared" si="43"/>
        <v>7.079175206893928</v>
      </c>
      <c r="NU24" s="2">
        <f t="shared" si="43"/>
        <v>6.9375917027560492</v>
      </c>
      <c r="NV24" s="2">
        <f t="shared" si="43"/>
        <v>6.7988398687009282</v>
      </c>
      <c r="NW24" s="2">
        <f t="shared" si="43"/>
        <v>6.6628630713269095</v>
      </c>
      <c r="NX24" s="2">
        <f t="shared" si="43"/>
        <v>6.5296058099003709</v>
      </c>
      <c r="NY24" s="2">
        <f t="shared" si="43"/>
        <v>6.3990136937023632</v>
      </c>
      <c r="NZ24" s="2">
        <f t="shared" si="43"/>
        <v>6.2710334198283162</v>
      </c>
      <c r="OA24" s="2">
        <f t="shared" si="43"/>
        <v>6.1456127514317496</v>
      </c>
      <c r="OB24" s="2">
        <f t="shared" si="43"/>
        <v>6.0227004964031146</v>
      </c>
      <c r="OC24" s="2">
        <f t="shared" si="43"/>
        <v>5.9022464864750521</v>
      </c>
      <c r="OD24" s="2">
        <f t="shared" si="43"/>
        <v>5.7842015567455514</v>
      </c>
      <c r="OE24" s="2">
        <f t="shared" si="43"/>
        <v>5.6685175256106399</v>
      </c>
      <c r="OF24" s="2">
        <f t="shared" si="43"/>
        <v>5.5551471750984271</v>
      </c>
      <c r="OG24" s="2">
        <f t="shared" si="43"/>
        <v>5.4440442315964583</v>
      </c>
      <c r="OH24" s="2">
        <f t="shared" si="43"/>
        <v>5.3351633469645288</v>
      </c>
      <c r="OI24" s="2">
        <f t="shared" si="43"/>
        <v>5.2284600800252381</v>
      </c>
      <c r="OJ24" s="2">
        <f t="shared" si="43"/>
        <v>5.1238908784247332</v>
      </c>
      <c r="OK24" s="2">
        <f t="shared" si="43"/>
        <v>5.0214130608562382</v>
      </c>
      <c r="OL24" s="2">
        <f t="shared" si="43"/>
        <v>4.9209847996391129</v>
      </c>
      <c r="OM24" s="2">
        <f t="shared" si="43"/>
        <v>4.8225651036463306</v>
      </c>
      <c r="ON24" s="2">
        <f t="shared" si="43"/>
        <v>4.7261138015734039</v>
      </c>
      <c r="OO24" s="2">
        <f t="shared" si="43"/>
        <v>4.6315915255419355</v>
      </c>
      <c r="OP24" s="2">
        <f t="shared" si="43"/>
        <v>4.5389596950310969</v>
      </c>
      <c r="OQ24" s="2">
        <f t="shared" si="43"/>
        <v>4.4481805011304747</v>
      </c>
      <c r="OR24" s="2">
        <f t="shared" si="43"/>
        <v>4.3592168911078648</v>
      </c>
      <c r="OS24" s="2">
        <f t="shared" si="43"/>
        <v>4.2720325532857073</v>
      </c>
      <c r="OT24" s="2">
        <f t="shared" si="43"/>
        <v>4.1865919022199929</v>
      </c>
      <c r="OU24" s="2">
        <f t="shared" si="43"/>
        <v>4.1028600641755926</v>
      </c>
      <c r="OV24" s="2">
        <f t="shared" si="43"/>
        <v>4.0208028628920802</v>
      </c>
      <c r="OW24" s="2">
        <f t="shared" si="43"/>
        <v>3.9403868056342386</v>
      </c>
      <c r="OX24" s="2">
        <f t="shared" si="43"/>
        <v>3.8615790695215537</v>
      </c>
      <c r="OY24" s="2">
        <f t="shared" si="43"/>
        <v>3.7843474881311225</v>
      </c>
      <c r="OZ24" s="2">
        <f t="shared" si="43"/>
        <v>3.7086605383685001</v>
      </c>
      <c r="PA24" s="2">
        <f t="shared" si="43"/>
        <v>3.6344873276011298</v>
      </c>
      <c r="PB24" s="2">
        <f t="shared" si="43"/>
        <v>3.5617975810491069</v>
      </c>
      <c r="PC24" s="2">
        <f t="shared" si="43"/>
        <v>3.4905616294281248</v>
      </c>
      <c r="PD24" s="2">
        <f t="shared" si="43"/>
        <v>3.4207503968395621</v>
      </c>
      <c r="PE24" s="2">
        <f t="shared" si="43"/>
        <v>3.3523353889027709</v>
      </c>
      <c r="PF24" s="2">
        <f t="shared" si="43"/>
        <v>3.2852886811247153</v>
      </c>
      <c r="PG24" s="2">
        <f t="shared" si="43"/>
        <v>3.2195829075022209</v>
      </c>
      <c r="PH24" s="2">
        <f t="shared" si="43"/>
        <v>3.1551912493521765</v>
      </c>
      <c r="PI24" s="2">
        <f t="shared" si="43"/>
        <v>3.0920874243651331</v>
      </c>
      <c r="PJ24" s="2">
        <f t="shared" si="43"/>
        <v>3.0302456758778304</v>
      </c>
      <c r="PK24" s="2">
        <f t="shared" si="43"/>
        <v>2.9696407623602736</v>
      </c>
      <c r="PL24" s="2">
        <f t="shared" si="43"/>
        <v>2.910247947113068</v>
      </c>
      <c r="PM24" s="2">
        <f t="shared" si="43"/>
        <v>2.8520429881708065</v>
      </c>
      <c r="PN24" s="2">
        <f t="shared" si="43"/>
        <v>2.7950021284073903</v>
      </c>
      <c r="PO24" s="2">
        <f t="shared" si="43"/>
        <v>2.7391020858392423</v>
      </c>
      <c r="PP24" s="2">
        <f t="shared" si="43"/>
        <v>2.6843200441224573</v>
      </c>
      <c r="PQ24" s="2">
        <f t="shared" ref="PQ24:SB24" si="44">PP24*(1+$BA$44)</f>
        <v>2.6306336432400079</v>
      </c>
      <c r="PR24" s="2">
        <f t="shared" si="44"/>
        <v>2.5780209703752077</v>
      </c>
      <c r="PS24" s="2">
        <f t="shared" si="44"/>
        <v>2.5264605509677036</v>
      </c>
      <c r="PT24" s="2">
        <f t="shared" si="44"/>
        <v>2.4759313399483496</v>
      </c>
      <c r="PU24" s="2">
        <f t="shared" si="44"/>
        <v>2.4264127131493827</v>
      </c>
      <c r="PV24" s="2">
        <f t="shared" si="44"/>
        <v>2.377884458886395</v>
      </c>
      <c r="PW24" s="2">
        <f t="shared" si="44"/>
        <v>2.3303267697086669</v>
      </c>
      <c r="PX24" s="2">
        <f t="shared" si="44"/>
        <v>2.2837202343144933</v>
      </c>
      <c r="PY24" s="2">
        <f t="shared" si="44"/>
        <v>2.2380458296282035</v>
      </c>
      <c r="PZ24" s="2">
        <f t="shared" si="44"/>
        <v>2.1932849130356393</v>
      </c>
      <c r="QA24" s="2">
        <f t="shared" si="44"/>
        <v>2.1494192147749267</v>
      </c>
      <c r="QB24" s="2">
        <f t="shared" si="44"/>
        <v>2.1064308304794279</v>
      </c>
      <c r="QC24" s="2">
        <f t="shared" si="44"/>
        <v>2.0643022138698393</v>
      </c>
      <c r="QD24" s="2">
        <f t="shared" si="44"/>
        <v>2.0230161695924425</v>
      </c>
      <c r="QE24" s="2">
        <f t="shared" si="44"/>
        <v>1.9825558462005937</v>
      </c>
      <c r="QF24" s="2">
        <f t="shared" si="44"/>
        <v>1.9429047292765818</v>
      </c>
      <c r="QG24" s="2">
        <f t="shared" si="44"/>
        <v>1.9040466346910501</v>
      </c>
      <c r="QH24" s="2">
        <f t="shared" si="44"/>
        <v>1.8659657019972291</v>
      </c>
      <c r="QI24" s="2">
        <f t="shared" si="44"/>
        <v>1.8286463879572845</v>
      </c>
      <c r="QJ24" s="2">
        <f t="shared" si="44"/>
        <v>1.7920734601981387</v>
      </c>
      <c r="QK24" s="2">
        <f t="shared" si="44"/>
        <v>1.7562319909941759</v>
      </c>
      <c r="QL24" s="2">
        <f t="shared" si="44"/>
        <v>1.7211073511742925</v>
      </c>
      <c r="QM24" s="2">
        <f t="shared" si="44"/>
        <v>1.6866852041508067</v>
      </c>
      <c r="QN24" s="2">
        <f t="shared" si="44"/>
        <v>1.6529515000677906</v>
      </c>
      <c r="QO24" s="2">
        <f t="shared" si="44"/>
        <v>1.6198924700664348</v>
      </c>
      <c r="QP24" s="2">
        <f t="shared" si="44"/>
        <v>1.5874946206651062</v>
      </c>
      <c r="QQ24" s="2">
        <f t="shared" si="44"/>
        <v>1.555744728251804</v>
      </c>
      <c r="QR24" s="2">
        <f t="shared" si="44"/>
        <v>1.5246298336867679</v>
      </c>
      <c r="QS24" s="2">
        <f t="shared" si="44"/>
        <v>1.4941372370130324</v>
      </c>
      <c r="QT24" s="2">
        <f t="shared" si="44"/>
        <v>1.4642544922727716</v>
      </c>
      <c r="QU24" s="2">
        <f t="shared" si="44"/>
        <v>1.4349694024273161</v>
      </c>
      <c r="QV24" s="2">
        <f t="shared" si="44"/>
        <v>1.4062700143787696</v>
      </c>
      <c r="QW24" s="2">
        <f t="shared" si="44"/>
        <v>1.3781446140911942</v>
      </c>
      <c r="QX24" s="2">
        <f t="shared" si="44"/>
        <v>1.3505817218093703</v>
      </c>
      <c r="QY24" s="2">
        <f t="shared" si="44"/>
        <v>1.3235700873731828</v>
      </c>
      <c r="QZ24" s="2">
        <f t="shared" si="44"/>
        <v>1.2970986856257192</v>
      </c>
      <c r="RA24" s="2">
        <f t="shared" si="44"/>
        <v>1.2711567119132048</v>
      </c>
      <c r="RB24" s="2">
        <f t="shared" si="44"/>
        <v>1.2457335776749408</v>
      </c>
      <c r="RC24" s="2">
        <f t="shared" si="44"/>
        <v>1.2208189061214418</v>
      </c>
      <c r="RD24" s="2">
        <f t="shared" si="44"/>
        <v>1.1964025279990129</v>
      </c>
      <c r="RE24" s="2">
        <f t="shared" si="44"/>
        <v>1.1724744774390325</v>
      </c>
      <c r="RF24" s="2">
        <f t="shared" si="44"/>
        <v>1.1490249878902519</v>
      </c>
      <c r="RG24" s="2">
        <f t="shared" si="44"/>
        <v>1.1260444881324467</v>
      </c>
      <c r="RH24" s="2">
        <f t="shared" si="44"/>
        <v>1.1035235983697977</v>
      </c>
      <c r="RI24" s="2">
        <f t="shared" si="44"/>
        <v>1.0814531264024019</v>
      </c>
      <c r="RJ24" s="2">
        <f t="shared" si="44"/>
        <v>1.0598240638743539</v>
      </c>
      <c r="RK24" s="2">
        <f t="shared" si="44"/>
        <v>1.0386275825968667</v>
      </c>
      <c r="RL24" s="2">
        <f t="shared" si="44"/>
        <v>1.0178550309449295</v>
      </c>
      <c r="RM24" s="2">
        <f t="shared" si="44"/>
        <v>0.99749793032603085</v>
      </c>
      <c r="RN24" s="2">
        <f t="shared" si="44"/>
        <v>0.97754797171951024</v>
      </c>
      <c r="RO24" s="2">
        <f t="shared" si="44"/>
        <v>0.95799701228512002</v>
      </c>
      <c r="RP24" s="2">
        <f t="shared" si="44"/>
        <v>0.93883707203941758</v>
      </c>
      <c r="RQ24" s="2">
        <f t="shared" si="44"/>
        <v>0.92006033059862924</v>
      </c>
      <c r="RR24" s="2">
        <f t="shared" si="44"/>
        <v>0.9016591239866566</v>
      </c>
      <c r="RS24" s="2">
        <f t="shared" si="44"/>
        <v>0.88362594150692342</v>
      </c>
      <c r="RT24" s="2">
        <f t="shared" si="44"/>
        <v>0.86595342267678488</v>
      </c>
      <c r="RU24" s="2">
        <f t="shared" si="44"/>
        <v>0.84863435422324918</v>
      </c>
      <c r="RV24" s="2">
        <f t="shared" si="44"/>
        <v>0.8316616671387842</v>
      </c>
      <c r="RW24" s="2">
        <f t="shared" si="44"/>
        <v>0.81502843379600853</v>
      </c>
      <c r="RX24" s="2">
        <f t="shared" si="44"/>
        <v>0.79872786512008831</v>
      </c>
      <c r="RY24" s="2">
        <f t="shared" si="44"/>
        <v>0.78275330781768648</v>
      </c>
      <c r="RZ24" s="2">
        <f t="shared" si="44"/>
        <v>0.76709824166133278</v>
      </c>
      <c r="SA24" s="2">
        <f t="shared" si="44"/>
        <v>0.75175627682810608</v>
      </c>
      <c r="SB24" s="2">
        <f t="shared" si="44"/>
        <v>0.73672115129154392</v>
      </c>
      <c r="SC24" s="2">
        <f t="shared" ref="SC24:UN24" si="45">SB24*(1+$BA$44)</f>
        <v>0.72198672826571297</v>
      </c>
      <c r="SD24" s="2">
        <f t="shared" si="45"/>
        <v>0.70754699370039875</v>
      </c>
      <c r="SE24" s="2">
        <f t="shared" si="45"/>
        <v>0.6933960538263908</v>
      </c>
      <c r="SF24" s="2">
        <f t="shared" si="45"/>
        <v>0.67952813274986301</v>
      </c>
      <c r="SG24" s="2">
        <f t="shared" si="45"/>
        <v>0.66593757009486576</v>
      </c>
      <c r="SH24" s="2">
        <f t="shared" si="45"/>
        <v>0.65261881869296845</v>
      </c>
      <c r="SI24" s="2">
        <f t="shared" si="45"/>
        <v>0.63956644231910909</v>
      </c>
      <c r="SJ24" s="2">
        <f t="shared" si="45"/>
        <v>0.62677511347272685</v>
      </c>
      <c r="SK24" s="2">
        <f t="shared" si="45"/>
        <v>0.61423961120327231</v>
      </c>
      <c r="SL24" s="2">
        <f t="shared" si="45"/>
        <v>0.60195481897920688</v>
      </c>
      <c r="SM24" s="2">
        <f t="shared" si="45"/>
        <v>0.58991572259962277</v>
      </c>
      <c r="SN24" s="2">
        <f t="shared" si="45"/>
        <v>0.57811740814763035</v>
      </c>
      <c r="SO24" s="2">
        <f t="shared" si="45"/>
        <v>0.5665550599846777</v>
      </c>
      <c r="SP24" s="2">
        <f t="shared" si="45"/>
        <v>0.5552239587849841</v>
      </c>
      <c r="SQ24" s="2">
        <f t="shared" si="45"/>
        <v>0.54411947960928442</v>
      </c>
      <c r="SR24" s="2">
        <f t="shared" si="45"/>
        <v>0.53323709001709874</v>
      </c>
      <c r="SS24" s="2">
        <f t="shared" si="45"/>
        <v>0.5225723482167568</v>
      </c>
      <c r="ST24" s="2">
        <f t="shared" si="45"/>
        <v>0.5121209012524216</v>
      </c>
      <c r="SU24" s="2">
        <f t="shared" si="45"/>
        <v>0.50187848322737316</v>
      </c>
      <c r="SV24" s="2">
        <f t="shared" si="45"/>
        <v>0.49184091356282567</v>
      </c>
      <c r="SW24" s="2">
        <f t="shared" si="45"/>
        <v>0.48200409529156912</v>
      </c>
      <c r="SX24" s="2">
        <f t="shared" si="45"/>
        <v>0.47236401338573775</v>
      </c>
      <c r="SY24" s="2">
        <f t="shared" si="45"/>
        <v>0.462916733118023</v>
      </c>
      <c r="SZ24" s="2">
        <f t="shared" si="45"/>
        <v>0.45365839845566253</v>
      </c>
      <c r="TA24" s="2">
        <f t="shared" si="45"/>
        <v>0.44458523048654924</v>
      </c>
      <c r="TB24" s="2">
        <f t="shared" si="45"/>
        <v>0.43569352587681826</v>
      </c>
      <c r="TC24" s="2">
        <f t="shared" si="45"/>
        <v>0.4269796553592819</v>
      </c>
      <c r="TD24" s="2">
        <f t="shared" si="45"/>
        <v>0.41844006225209623</v>
      </c>
      <c r="TE24" s="2">
        <f t="shared" si="45"/>
        <v>0.41007126100705432</v>
      </c>
      <c r="TF24" s="2">
        <f t="shared" si="45"/>
        <v>0.40186983578691321</v>
      </c>
      <c r="TG24" s="2">
        <f t="shared" si="45"/>
        <v>0.39383243907117493</v>
      </c>
      <c r="TH24" s="2">
        <f t="shared" si="45"/>
        <v>0.38595579028975141</v>
      </c>
      <c r="TI24" s="2">
        <f t="shared" si="45"/>
        <v>0.37823667448395637</v>
      </c>
      <c r="TJ24" s="2">
        <f t="shared" si="45"/>
        <v>0.37067194099427725</v>
      </c>
      <c r="TK24" s="2">
        <f t="shared" si="45"/>
        <v>0.36325850217439171</v>
      </c>
      <c r="TL24" s="2">
        <f t="shared" si="45"/>
        <v>0.35599333213090384</v>
      </c>
      <c r="TM24" s="2">
        <f t="shared" si="45"/>
        <v>0.34887346548828574</v>
      </c>
      <c r="TN24" s="2">
        <f t="shared" si="45"/>
        <v>0.34189599617852001</v>
      </c>
      <c r="TO24" s="2">
        <f t="shared" si="45"/>
        <v>0.3350580762549496</v>
      </c>
      <c r="TP24" s="2">
        <f t="shared" si="45"/>
        <v>0.32835691472985062</v>
      </c>
      <c r="TQ24" s="2">
        <f t="shared" si="45"/>
        <v>0.32178977643525358</v>
      </c>
      <c r="TR24" s="2">
        <f t="shared" si="45"/>
        <v>0.31535398090654848</v>
      </c>
      <c r="TS24" s="2">
        <f t="shared" si="45"/>
        <v>0.3090469012884175</v>
      </c>
      <c r="TT24" s="2">
        <f t="shared" si="45"/>
        <v>0.30286596326264914</v>
      </c>
      <c r="TU24" s="2">
        <f t="shared" si="45"/>
        <v>0.29680864399739615</v>
      </c>
      <c r="TV24" s="2">
        <f t="shared" si="45"/>
        <v>0.29087247111744824</v>
      </c>
      <c r="TW24" s="2">
        <f t="shared" si="45"/>
        <v>0.28505502169509928</v>
      </c>
      <c r="TX24" s="2">
        <f t="shared" si="45"/>
        <v>0.27935392126119729</v>
      </c>
      <c r="TY24" s="2">
        <f t="shared" si="45"/>
        <v>0.27376684283597336</v>
      </c>
      <c r="TZ24" s="2">
        <f t="shared" si="45"/>
        <v>0.26829150597925389</v>
      </c>
      <c r="UA24" s="2">
        <f t="shared" si="45"/>
        <v>0.26292567585966881</v>
      </c>
      <c r="UB24" s="2">
        <f t="shared" si="45"/>
        <v>0.25766716234247544</v>
      </c>
      <c r="UC24" s="2">
        <f t="shared" si="45"/>
        <v>0.25251381909562592</v>
      </c>
      <c r="UD24" s="2">
        <f t="shared" si="45"/>
        <v>0.2474635427137134</v>
      </c>
      <c r="UE24" s="2">
        <f t="shared" si="45"/>
        <v>0.24251427185943913</v>
      </c>
      <c r="UF24" s="2">
        <f t="shared" si="45"/>
        <v>0.23766398642225034</v>
      </c>
      <c r="UG24" s="2">
        <f t="shared" si="45"/>
        <v>0.23291070669380534</v>
      </c>
      <c r="UH24" s="2">
        <f t="shared" si="45"/>
        <v>0.22825249255992924</v>
      </c>
      <c r="UI24" s="2">
        <f t="shared" si="45"/>
        <v>0.22368744270873064</v>
      </c>
      <c r="UJ24" s="2">
        <f t="shared" si="45"/>
        <v>0.21921369385455602</v>
      </c>
      <c r="UK24" s="2">
        <f t="shared" si="45"/>
        <v>0.21482941997746491</v>
      </c>
      <c r="UL24" s="2">
        <f t="shared" si="45"/>
        <v>0.21053283157791561</v>
      </c>
      <c r="UM24" s="2">
        <f t="shared" si="45"/>
        <v>0.2063221749463573</v>
      </c>
      <c r="UN24" s="2">
        <f t="shared" si="45"/>
        <v>0.20219573144743014</v>
      </c>
      <c r="UO24" s="2">
        <f t="shared" ref="UO24:WK24" si="46">UN24*(1+$BA$44)</f>
        <v>0.19815181681848154</v>
      </c>
      <c r="UP24" s="2">
        <f t="shared" si="46"/>
        <v>0.19418878048211191</v>
      </c>
      <c r="UQ24" s="2">
        <f t="shared" si="46"/>
        <v>0.19030500487246968</v>
      </c>
      <c r="UR24" s="2">
        <f t="shared" si="46"/>
        <v>0.18649890477502029</v>
      </c>
      <c r="US24" s="2">
        <f t="shared" si="46"/>
        <v>0.18276892667951988</v>
      </c>
      <c r="UT24" s="2">
        <f t="shared" si="46"/>
        <v>0.17911354814592947</v>
      </c>
      <c r="UU24" s="2">
        <f t="shared" si="46"/>
        <v>0.17553127718301087</v>
      </c>
      <c r="UV24" s="2">
        <f t="shared" si="46"/>
        <v>0.17202065163935065</v>
      </c>
      <c r="UW24" s="2">
        <f t="shared" si="46"/>
        <v>0.16858023860656363</v>
      </c>
      <c r="UX24" s="2">
        <f t="shared" si="46"/>
        <v>0.16520863383443235</v>
      </c>
      <c r="UY24" s="2">
        <f t="shared" si="46"/>
        <v>0.16190446115774371</v>
      </c>
      <c r="UZ24" s="2">
        <f t="shared" si="46"/>
        <v>0.15866637193458882</v>
      </c>
      <c r="VA24" s="2">
        <f t="shared" si="46"/>
        <v>0.15549304449589704</v>
      </c>
      <c r="VB24" s="2">
        <f t="shared" si="46"/>
        <v>0.15238318360597911</v>
      </c>
      <c r="VC24" s="2">
        <f t="shared" si="46"/>
        <v>0.14933551993385952</v>
      </c>
      <c r="VD24" s="2">
        <f t="shared" si="46"/>
        <v>0.14634880953518231</v>
      </c>
      <c r="VE24" s="2">
        <f t="shared" si="46"/>
        <v>0.14342183334447867</v>
      </c>
      <c r="VF24" s="2">
        <f t="shared" si="46"/>
        <v>0.14055339667758909</v>
      </c>
      <c r="VG24" s="2">
        <f t="shared" si="46"/>
        <v>0.1377423287440373</v>
      </c>
      <c r="VH24" s="2">
        <f t="shared" si="46"/>
        <v>0.13498748216915654</v>
      </c>
      <c r="VI24" s="2">
        <f t="shared" si="46"/>
        <v>0.13228773252577342</v>
      </c>
      <c r="VJ24" s="2">
        <f t="shared" si="46"/>
        <v>0.12964197787525794</v>
      </c>
      <c r="VK24" s="2">
        <f t="shared" si="46"/>
        <v>0.12704913831775277</v>
      </c>
      <c r="VL24" s="2">
        <f t="shared" si="46"/>
        <v>0.12450815555139771</v>
      </c>
      <c r="VM24" s="2">
        <f t="shared" si="46"/>
        <v>0.12201799244036976</v>
      </c>
      <c r="VN24" s="2">
        <f t="shared" si="46"/>
        <v>0.11957763259156236</v>
      </c>
      <c r="VO24" s="2">
        <f t="shared" si="46"/>
        <v>0.11718607993973111</v>
      </c>
      <c r="VP24" s="2">
        <f t="shared" si="46"/>
        <v>0.11484235834093649</v>
      </c>
      <c r="VQ24" s="2">
        <f t="shared" si="46"/>
        <v>0.11254551117411776</v>
      </c>
      <c r="VR24" s="2">
        <f t="shared" si="46"/>
        <v>0.11029460095063541</v>
      </c>
      <c r="VS24" s="2">
        <f t="shared" si="46"/>
        <v>0.1080887089316227</v>
      </c>
      <c r="VT24" s="2">
        <f t="shared" si="46"/>
        <v>0.10592693475299024</v>
      </c>
      <c r="VU24" s="2">
        <f t="shared" si="46"/>
        <v>0.10380839605793044</v>
      </c>
      <c r="VV24" s="2">
        <f t="shared" si="46"/>
        <v>0.10173222813677182</v>
      </c>
      <c r="VW24" s="2">
        <f t="shared" si="46"/>
        <v>9.969758357403638E-2</v>
      </c>
      <c r="VX24" s="2">
        <f t="shared" si="46"/>
        <v>9.7703631902555654E-2</v>
      </c>
      <c r="VY24" s="2">
        <f t="shared" si="46"/>
        <v>9.5749559264504541E-2</v>
      </c>
      <c r="VZ24" s="2">
        <f t="shared" si="46"/>
        <v>9.3834568079214448E-2</v>
      </c>
      <c r="WA24" s="2">
        <f t="shared" si="46"/>
        <v>9.1957876717630158E-2</v>
      </c>
      <c r="WB24" s="2">
        <f t="shared" si="46"/>
        <v>9.011871918327756E-2</v>
      </c>
      <c r="WC24" s="2">
        <f t="shared" si="46"/>
        <v>8.8316344799612007E-2</v>
      </c>
      <c r="WD24" s="2">
        <f t="shared" si="46"/>
        <v>8.6550017903619769E-2</v>
      </c>
      <c r="WE24" s="2">
        <f t="shared" si="46"/>
        <v>8.4819017545547368E-2</v>
      </c>
      <c r="WF24" s="2">
        <f t="shared" si="46"/>
        <v>8.3122637194636417E-2</v>
      </c>
      <c r="WG24" s="2">
        <f t="shared" si="46"/>
        <v>8.1460184450743683E-2</v>
      </c>
      <c r="WH24" s="2">
        <f t="shared" si="46"/>
        <v>7.9830980761728815E-2</v>
      </c>
      <c r="WI24" s="2">
        <f t="shared" si="46"/>
        <v>7.8234361146494236E-2</v>
      </c>
      <c r="WJ24" s="2">
        <f t="shared" si="46"/>
        <v>7.6669673923564344E-2</v>
      </c>
      <c r="WK24" s="2">
        <f t="shared" si="46"/>
        <v>7.5136280445093059E-2</v>
      </c>
    </row>
    <row r="25" spans="2:609" x14ac:dyDescent="0.25">
      <c r="B25" s="9"/>
      <c r="S25" s="2"/>
      <c r="T25" s="2"/>
      <c r="U25" s="2"/>
    </row>
    <row r="26" spans="2:609" x14ac:dyDescent="0.25">
      <c r="B26" s="9"/>
    </row>
    <row r="27" spans="2:609" x14ac:dyDescent="0.25">
      <c r="B27" s="8"/>
    </row>
    <row r="28" spans="2:609" x14ac:dyDescent="0.25">
      <c r="B28" s="8" t="s">
        <v>30</v>
      </c>
      <c r="C28" s="4">
        <f t="shared" ref="C28:O28" si="47">C15/C11</f>
        <v>0.41848330721595206</v>
      </c>
      <c r="D28" s="4">
        <f t="shared" si="47"/>
        <v>0.34129957346726536</v>
      </c>
      <c r="E28" s="4">
        <f t="shared" si="47"/>
        <v>0.32417542088399492</v>
      </c>
      <c r="F28" s="4">
        <f t="shared" si="47"/>
        <v>0.29349414287077147</v>
      </c>
      <c r="G28" s="4">
        <f t="shared" si="47"/>
        <v>0.29850321311506267</v>
      </c>
      <c r="H28" s="4">
        <f t="shared" si="47"/>
        <v>0.30278640538529028</v>
      </c>
      <c r="I28" s="4">
        <f t="shared" si="47"/>
        <v>0.31870428622515545</v>
      </c>
      <c r="J28" s="4">
        <f t="shared" si="47"/>
        <v>0.31645716013454778</v>
      </c>
      <c r="K28" s="4">
        <f t="shared" si="47"/>
        <v>0.35804610983570345</v>
      </c>
      <c r="L28" s="4">
        <f t="shared" si="47"/>
        <v>0.35136085310777349</v>
      </c>
      <c r="M28" s="4">
        <f t="shared" si="47"/>
        <v>0.37469479155893504</v>
      </c>
      <c r="N28" s="4">
        <f t="shared" si="47"/>
        <v>0.36888628027705811</v>
      </c>
      <c r="O28" s="4">
        <f t="shared" si="47"/>
        <v>0.38679037382734371</v>
      </c>
      <c r="P28" s="4">
        <f t="shared" ref="P28" si="48">P15/P11</f>
        <v>0.3991301599028223</v>
      </c>
      <c r="Q28" s="4"/>
      <c r="R28" s="4"/>
      <c r="S28" s="4">
        <f t="shared" ref="S28:AK28" si="49">S15/S11</f>
        <v>0.33090386096924618</v>
      </c>
      <c r="T28" s="4">
        <f t="shared" si="49"/>
        <v>0.31021780668175997</v>
      </c>
      <c r="U28" s="4">
        <f t="shared" si="49"/>
        <v>0.3636209650309945</v>
      </c>
      <c r="V28" s="4">
        <f t="shared" si="49"/>
        <v>0.36321942829922099</v>
      </c>
      <c r="W28" s="4">
        <f t="shared" si="49"/>
        <v>0.36358339542660983</v>
      </c>
      <c r="X28" s="4">
        <f t="shared" si="49"/>
        <v>0.36382622882398746</v>
      </c>
      <c r="Y28" s="4">
        <f t="shared" si="49"/>
        <v>0.36405917214017769</v>
      </c>
      <c r="Z28" s="4">
        <f t="shared" si="49"/>
        <v>0.36428269610626168</v>
      </c>
      <c r="AA28" s="4">
        <f t="shared" si="49"/>
        <v>0.36449724641654385</v>
      </c>
      <c r="AB28" s="4">
        <f t="shared" si="49"/>
        <v>0.36470324507160212</v>
      </c>
      <c r="AC28" s="4">
        <f t="shared" si="49"/>
        <v>0.36490109164313317</v>
      </c>
      <c r="AD28" s="4">
        <f t="shared" si="49"/>
        <v>0.36509158057251112</v>
      </c>
      <c r="AE28" s="4">
        <f t="shared" si="49"/>
        <v>0.36527506406329824</v>
      </c>
      <c r="AF28" s="4">
        <f t="shared" si="49"/>
        <v>0.365451876187941</v>
      </c>
      <c r="AG28" s="4">
        <f t="shared" si="49"/>
        <v>0.36562233385672976</v>
      </c>
      <c r="AH28" s="4">
        <f t="shared" si="49"/>
        <v>0.36578673773247966</v>
      </c>
      <c r="AI28" s="4">
        <f t="shared" si="49"/>
        <v>0.36594537309419983</v>
      </c>
      <c r="AJ28" s="4">
        <f t="shared" si="49"/>
        <v>0.36609851065280558</v>
      </c>
      <c r="AK28" s="4">
        <f t="shared" si="49"/>
        <v>0.36624640732172142</v>
      </c>
    </row>
    <row r="29" spans="2:609" x14ac:dyDescent="0.25">
      <c r="B29" s="8" t="s">
        <v>91</v>
      </c>
      <c r="C29" s="4">
        <f t="shared" ref="C29:O29" si="50">C18/C11</f>
        <v>0.15068469781418226</v>
      </c>
      <c r="D29" s="4">
        <f t="shared" si="50"/>
        <v>0.14285177316262468</v>
      </c>
      <c r="E29" s="4">
        <f t="shared" si="50"/>
        <v>0.15441525623031144</v>
      </c>
      <c r="F29" s="4">
        <f t="shared" si="50"/>
        <v>0.1785146541205769</v>
      </c>
      <c r="G29" s="4">
        <f t="shared" si="50"/>
        <v>0.16101930222106137</v>
      </c>
      <c r="H29" s="4">
        <f t="shared" si="50"/>
        <v>0.16787349224762696</v>
      </c>
      <c r="I29" s="4">
        <f t="shared" si="50"/>
        <v>0.18661526558450825</v>
      </c>
      <c r="J29" s="4">
        <f t="shared" si="50"/>
        <v>0.20430704108242939</v>
      </c>
      <c r="K29" s="4">
        <f t="shared" si="50"/>
        <v>0.20295312491975195</v>
      </c>
      <c r="L29" s="4">
        <f t="shared" si="50"/>
        <v>0.20760305085130207</v>
      </c>
      <c r="M29" s="4">
        <f t="shared" si="50"/>
        <v>0.22017096169324926</v>
      </c>
      <c r="N29" s="4">
        <f t="shared" si="50"/>
        <v>0.2382085399062516</v>
      </c>
      <c r="O29" s="4">
        <f t="shared" si="50"/>
        <v>0.2138672156497369</v>
      </c>
      <c r="P29" s="4">
        <f t="shared" ref="P29" si="51">P18/P11</f>
        <v>0.22111306855718074</v>
      </c>
      <c r="Q29" s="4"/>
      <c r="R29" s="4"/>
      <c r="S29" s="4">
        <f t="shared" ref="S29:AK29" si="52">S18/S11</f>
        <v>0.16049598920527142</v>
      </c>
      <c r="T29" s="4">
        <f t="shared" si="52"/>
        <v>0.18269466207400661</v>
      </c>
      <c r="U29" s="4">
        <f t="shared" si="52"/>
        <v>0.21873089523928976</v>
      </c>
      <c r="V29" s="4">
        <f t="shared" si="52"/>
        <v>0.21899276302710319</v>
      </c>
      <c r="W29" s="4">
        <f t="shared" si="52"/>
        <v>0.22018644393303813</v>
      </c>
      <c r="X29" s="4">
        <f t="shared" si="52"/>
        <v>0.22122393773912263</v>
      </c>
      <c r="Y29" s="4">
        <f t="shared" si="52"/>
        <v>0.22224179309595349</v>
      </c>
      <c r="Z29" s="4">
        <f t="shared" si="52"/>
        <v>0.22324069283255257</v>
      </c>
      <c r="AA29" s="4">
        <f t="shared" si="52"/>
        <v>0.22422128572606156</v>
      </c>
      <c r="AB29" s="4">
        <f t="shared" si="52"/>
        <v>0.22518418834721707</v>
      </c>
      <c r="AC29" s="4">
        <f t="shared" si="52"/>
        <v>0.22612998679646862</v>
      </c>
      <c r="AD29" s="4">
        <f t="shared" si="52"/>
        <v>0.22705974490818914</v>
      </c>
      <c r="AE29" s="4">
        <f t="shared" si="52"/>
        <v>0.22797398397113397</v>
      </c>
      <c r="AF29" s="4">
        <f t="shared" si="52"/>
        <v>0.22887320059909008</v>
      </c>
      <c r="AG29" s="4">
        <f t="shared" si="52"/>
        <v>0.22975786805362519</v>
      </c>
      <c r="AH29" s="4">
        <f t="shared" si="52"/>
        <v>0.2306284374912595</v>
      </c>
      <c r="AI29" s="4">
        <f t="shared" si="52"/>
        <v>0.23148533913969602</v>
      </c>
      <c r="AJ29" s="4">
        <f t="shared" si="52"/>
        <v>0.23232898340743721</v>
      </c>
      <c r="AK29" s="4">
        <f t="shared" si="52"/>
        <v>0.23315976193082144</v>
      </c>
    </row>
    <row r="30" spans="2:609" x14ac:dyDescent="0.25">
      <c r="B30" s="8" t="s">
        <v>92</v>
      </c>
      <c r="C30" s="4">
        <f t="shared" ref="C30:O30" si="53">C21/C11</f>
        <v>-7.812062087067155E-2</v>
      </c>
      <c r="D30" s="4">
        <f t="shared" si="53"/>
        <v>-1.5266041514898333E-2</v>
      </c>
      <c r="E30" s="4">
        <f t="shared" si="53"/>
        <v>-8.2686347615202628E-4</v>
      </c>
      <c r="F30" s="4">
        <f t="shared" si="53"/>
        <v>5.3063130463599291E-2</v>
      </c>
      <c r="G30" s="4">
        <f t="shared" si="53"/>
        <v>1.4176061292728732E-2</v>
      </c>
      <c r="H30" s="4">
        <f t="shared" si="53"/>
        <v>3.454265364417676E-2</v>
      </c>
      <c r="I30" s="4">
        <f t="shared" si="53"/>
        <v>5.8434056636424807E-2</v>
      </c>
      <c r="J30" s="4">
        <f t="shared" si="53"/>
        <v>8.6473411693563582E-2</v>
      </c>
      <c r="K30" s="4">
        <f t="shared" si="53"/>
        <v>6.8888443780205227E-2</v>
      </c>
      <c r="L30" s="4">
        <f t="shared" si="53"/>
        <v>8.3987392513148865E-2</v>
      </c>
      <c r="M30" s="4">
        <f t="shared" si="53"/>
        <v>8.6729109803092827E-2</v>
      </c>
      <c r="N30" s="4">
        <f t="shared" si="53"/>
        <v>0.11576188401847348</v>
      </c>
      <c r="O30" s="4">
        <f t="shared" si="53"/>
        <v>7.0618340535016741E-2</v>
      </c>
      <c r="P30" s="4">
        <f t="shared" ref="P30" si="54">P21/P11</f>
        <v>8.4151435289437609E-2</v>
      </c>
      <c r="Q30" s="4"/>
      <c r="R30" s="4"/>
      <c r="S30" s="4">
        <f t="shared" ref="S30:AK30" si="55">S21/S11</f>
        <v>4.446139562588468E-3</v>
      </c>
      <c r="T30" s="4">
        <f t="shared" si="55"/>
        <v>5.2807690623031922E-2</v>
      </c>
      <c r="U30" s="4">
        <f t="shared" si="55"/>
        <v>9.0868120326681831E-2</v>
      </c>
      <c r="V30" s="4">
        <f t="shared" si="55"/>
        <v>9.1049310408391371E-2</v>
      </c>
      <c r="W30" s="4">
        <f t="shared" si="55"/>
        <v>9.2316120447009251E-2</v>
      </c>
      <c r="X30" s="4">
        <f t="shared" si="55"/>
        <v>9.340240491137132E-2</v>
      </c>
      <c r="Y30" s="4">
        <f t="shared" si="55"/>
        <v>9.4467063788068087E-2</v>
      </c>
      <c r="Z30" s="4">
        <f t="shared" si="55"/>
        <v>9.5510874486519251E-2</v>
      </c>
      <c r="AA30" s="4">
        <f t="shared" si="55"/>
        <v>9.6534575333816167E-2</v>
      </c>
      <c r="AB30" s="4">
        <f t="shared" si="55"/>
        <v>9.7538867690045675E-2</v>
      </c>
      <c r="AC30" s="4">
        <f t="shared" si="55"/>
        <v>9.8524417938543926E-2</v>
      </c>
      <c r="AD30" s="4">
        <f t="shared" si="55"/>
        <v>9.9492449534716365E-2</v>
      </c>
      <c r="AE30" s="4">
        <f t="shared" si="55"/>
        <v>0.1004435545328877</v>
      </c>
      <c r="AF30" s="4">
        <f t="shared" si="55"/>
        <v>0.10137829666946796</v>
      </c>
      <c r="AG30" s="4">
        <f t="shared" si="55"/>
        <v>0.10229721288038698</v>
      </c>
      <c r="AH30" s="4">
        <f t="shared" si="55"/>
        <v>0.10320081473204602</v>
      </c>
      <c r="AI30" s="4">
        <f t="shared" si="55"/>
        <v>0.10408958977107877</v>
      </c>
      <c r="AJ30" s="4">
        <f t="shared" si="55"/>
        <v>0.10496400279786247</v>
      </c>
      <c r="AK30" s="4">
        <f t="shared" si="55"/>
        <v>0.10582449706838602</v>
      </c>
    </row>
    <row r="31" spans="2:609" x14ac:dyDescent="0.25">
      <c r="B31" s="8" t="s">
        <v>81</v>
      </c>
      <c r="C31" s="4">
        <f t="shared" ref="C31:O31" si="56">C24/C11</f>
        <v>-6.1458300331199367E-2</v>
      </c>
      <c r="D31" s="4">
        <f t="shared" si="56"/>
        <v>-1.4954599232849758E-2</v>
      </c>
      <c r="E31" s="4">
        <f t="shared" si="56"/>
        <v>-1.6113352197404666E-2</v>
      </c>
      <c r="F31" s="4">
        <f t="shared" si="56"/>
        <v>1.5851656214381324E-2</v>
      </c>
      <c r="G31" s="4">
        <f t="shared" si="56"/>
        <v>2.5813161653453669E-3</v>
      </c>
      <c r="H31" s="4">
        <f t="shared" si="56"/>
        <v>1.9313367178502169E-2</v>
      </c>
      <c r="I31" s="4">
        <f t="shared" si="56"/>
        <v>3.3671799424565982E-2</v>
      </c>
      <c r="J31" s="4">
        <f t="shared" si="56"/>
        <v>6.0461090744170165E-2</v>
      </c>
      <c r="K31" s="4">
        <f t="shared" si="56"/>
        <v>6.0037286412030162E-2</v>
      </c>
      <c r="L31" s="4">
        <f t="shared" si="56"/>
        <v>4.9665751550855307E-2</v>
      </c>
      <c r="M31" s="4">
        <f t="shared" si="56"/>
        <v>5.4755406067746204E-2</v>
      </c>
      <c r="N31" s="4">
        <f t="shared" si="56"/>
        <v>6.8568863801813401E-2</v>
      </c>
      <c r="O31" s="4">
        <f t="shared" si="56"/>
        <v>5.1202155762787992E-2</v>
      </c>
      <c r="P31" s="4">
        <f t="shared" ref="P31" si="57">P24/P11</f>
        <v>6.705920169350657E-2</v>
      </c>
      <c r="Q31" s="4"/>
      <c r="R31" s="4"/>
      <c r="S31" s="4">
        <f t="shared" ref="S31:AK31" si="58">S24/S11</f>
        <v>-1.0843733237704498E-2</v>
      </c>
      <c r="T31" s="4">
        <f t="shared" si="58"/>
        <v>3.2523442599290249E-2</v>
      </c>
      <c r="U31" s="4">
        <f t="shared" si="58"/>
        <v>5.8698751343320719E-2</v>
      </c>
      <c r="V31" s="4">
        <f t="shared" si="58"/>
        <v>7.521132337790129E-2</v>
      </c>
      <c r="W31" s="4">
        <f t="shared" si="58"/>
        <v>5.8472126744229184E-2</v>
      </c>
      <c r="X31" s="4">
        <f t="shared" si="58"/>
        <v>5.9120956472820375E-2</v>
      </c>
      <c r="Y31" s="4">
        <f t="shared" si="58"/>
        <v>5.975356624713761E-2</v>
      </c>
      <c r="Z31" s="4">
        <f t="shared" si="58"/>
        <v>6.0370379943855364E-2</v>
      </c>
      <c r="AA31" s="4">
        <f t="shared" si="58"/>
        <v>6.0971792959479756E-2</v>
      </c>
      <c r="AB31" s="4">
        <f t="shared" si="58"/>
        <v>6.1558173469088408E-2</v>
      </c>
      <c r="AC31" s="4">
        <f t="shared" si="58"/>
        <v>6.2199354801566638E-2</v>
      </c>
      <c r="AD31" s="4">
        <f t="shared" si="58"/>
        <v>6.2829127675998506E-2</v>
      </c>
      <c r="AE31" s="4">
        <f t="shared" si="58"/>
        <v>6.3447877948935708E-2</v>
      </c>
      <c r="AF31" s="4">
        <f t="shared" si="58"/>
        <v>6.4055973017712847E-2</v>
      </c>
      <c r="AG31" s="4">
        <f t="shared" si="58"/>
        <v>6.4653762809589455E-2</v>
      </c>
      <c r="AH31" s="4">
        <f t="shared" si="58"/>
        <v>6.5241580714520644E-2</v>
      </c>
      <c r="AI31" s="4">
        <f t="shared" si="58"/>
        <v>6.5819744465006227E-2</v>
      </c>
      <c r="AJ31" s="4">
        <f t="shared" si="58"/>
        <v>6.6388556966237966E-2</v>
      </c>
      <c r="AK31" s="4">
        <f t="shared" si="58"/>
        <v>6.6948307079548366E-2</v>
      </c>
    </row>
    <row r="32" spans="2:609" x14ac:dyDescent="0.25">
      <c r="B32" s="8" t="s">
        <v>97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>
        <f>S23/S21</f>
        <v>0.73359535201642756</v>
      </c>
      <c r="T32" s="4">
        <f>T23/T21</f>
        <v>0.41069397042093425</v>
      </c>
      <c r="U32" s="4">
        <f>U23/U21</f>
        <v>0.33776828970256234</v>
      </c>
      <c r="V32" s="4">
        <f>V23/V21</f>
        <v>0.35</v>
      </c>
      <c r="W32" s="4">
        <f t="shared" ref="W32:AK32" si="59">W23/W21</f>
        <v>0.35</v>
      </c>
      <c r="X32" s="4">
        <f t="shared" si="59"/>
        <v>0.35</v>
      </c>
      <c r="Y32" s="4">
        <f t="shared" si="59"/>
        <v>0.35</v>
      </c>
      <c r="Z32" s="4">
        <f t="shared" si="59"/>
        <v>0.34999999999999992</v>
      </c>
      <c r="AA32" s="4">
        <f t="shared" si="59"/>
        <v>0.35</v>
      </c>
      <c r="AB32" s="4">
        <f t="shared" si="59"/>
        <v>0.35</v>
      </c>
      <c r="AC32" s="4">
        <f t="shared" si="59"/>
        <v>0.35000000000000003</v>
      </c>
      <c r="AD32" s="4">
        <f t="shared" si="59"/>
        <v>0.35</v>
      </c>
      <c r="AE32" s="4">
        <f t="shared" si="59"/>
        <v>0.35</v>
      </c>
      <c r="AF32" s="4">
        <f t="shared" si="59"/>
        <v>0.35</v>
      </c>
      <c r="AG32" s="4">
        <f t="shared" si="59"/>
        <v>0.35</v>
      </c>
      <c r="AH32" s="4">
        <f t="shared" si="59"/>
        <v>0.35</v>
      </c>
      <c r="AI32" s="4">
        <f t="shared" si="59"/>
        <v>0.35</v>
      </c>
      <c r="AJ32" s="4">
        <f t="shared" si="59"/>
        <v>0.35</v>
      </c>
      <c r="AK32" s="4">
        <f t="shared" si="59"/>
        <v>0.35</v>
      </c>
    </row>
    <row r="33" spans="1:59" x14ac:dyDescent="0.25"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59" x14ac:dyDescent="0.25">
      <c r="B34" s="8" t="s">
        <v>93</v>
      </c>
      <c r="C34" s="4"/>
      <c r="D34" s="4"/>
      <c r="E34" s="4"/>
      <c r="F34" s="4"/>
      <c r="G34" s="4">
        <f t="shared" ref="G34:N34" si="60">G11/C11-1</f>
        <v>1.0714064636253524</v>
      </c>
      <c r="H34" s="4">
        <f t="shared" si="60"/>
        <v>0.72193215927945875</v>
      </c>
      <c r="I34" s="4">
        <f t="shared" si="60"/>
        <v>0.56241096612705821</v>
      </c>
      <c r="J34" s="4">
        <f t="shared" si="60"/>
        <v>0.32853649596553525</v>
      </c>
      <c r="K34" s="4">
        <f t="shared" si="60"/>
        <v>0.14540904566600066</v>
      </c>
      <c r="L34" s="4">
        <f t="shared" si="60"/>
        <v>0.19154847883845383</v>
      </c>
      <c r="M34" s="4">
        <f t="shared" si="60"/>
        <v>6.6062726321834742E-2</v>
      </c>
      <c r="N34" s="4">
        <f t="shared" si="60"/>
        <v>2.8990513624853387E-2</v>
      </c>
      <c r="O34" s="4">
        <f>O11/K11-1</f>
        <v>0.10466696454709346</v>
      </c>
      <c r="P34" s="4">
        <f>P11/L11-1</f>
        <v>-1.7551205920249724E-2</v>
      </c>
      <c r="Q34" s="4"/>
      <c r="R34" s="4"/>
      <c r="S34" s="4"/>
      <c r="T34" s="4">
        <f t="shared" ref="T34:AK34" si="61">T11/S11-1</f>
        <v>0.58713620595077609</v>
      </c>
      <c r="U34" s="4">
        <f t="shared" si="61"/>
        <v>9.9360431175803177E-2</v>
      </c>
      <c r="V34" s="4">
        <f t="shared" si="61"/>
        <v>5.9331592459639371E-2</v>
      </c>
      <c r="W34" s="4">
        <f t="shared" si="61"/>
        <v>6.0606214784874712E-2</v>
      </c>
      <c r="X34" s="4">
        <f t="shared" si="61"/>
        <v>6.040461177886125E-2</v>
      </c>
      <c r="Y34" s="4">
        <f t="shared" si="61"/>
        <v>6.0388274984628065E-2</v>
      </c>
      <c r="Z34" s="4">
        <f t="shared" si="61"/>
        <v>6.0372705607662169E-2</v>
      </c>
      <c r="AA34" s="4">
        <f t="shared" si="61"/>
        <v>6.0357863640427611E-2</v>
      </c>
      <c r="AB34" s="4">
        <f t="shared" si="61"/>
        <v>6.034371114391468E-2</v>
      </c>
      <c r="AC34" s="4">
        <f t="shared" si="61"/>
        <v>6.033021213398948E-2</v>
      </c>
      <c r="AD34" s="4">
        <f t="shared" si="61"/>
        <v>6.0318027386253359E-2</v>
      </c>
      <c r="AE34" s="4">
        <f t="shared" si="61"/>
        <v>6.0306420134490724E-2</v>
      </c>
      <c r="AF34" s="4">
        <f t="shared" si="61"/>
        <v>6.0295361131942782E-2</v>
      </c>
      <c r="AG34" s="4">
        <f t="shared" si="61"/>
        <v>6.0284822651488712E-2</v>
      </c>
      <c r="AH34" s="4">
        <f t="shared" si="61"/>
        <v>6.0274778404462603E-2</v>
      </c>
      <c r="AI34" s="4">
        <f t="shared" si="61"/>
        <v>6.0265203464004324E-2</v>
      </c>
      <c r="AJ34" s="4">
        <f t="shared" si="61"/>
        <v>6.0256074192678311E-2</v>
      </c>
      <c r="AK34" s="4">
        <f t="shared" si="61"/>
        <v>6.0247368174100924E-2</v>
      </c>
    </row>
    <row r="35" spans="1:59" x14ac:dyDescent="0.25">
      <c r="B35" s="8" t="s">
        <v>94</v>
      </c>
      <c r="C35" s="4"/>
      <c r="D35" s="4"/>
      <c r="E35" s="4"/>
      <c r="F35" s="4"/>
      <c r="G35" s="4">
        <f t="shared" ref="G35:O35" si="62">G15/C15-1</f>
        <v>0.47752962758058426</v>
      </c>
      <c r="H35" s="4">
        <f t="shared" si="62"/>
        <v>0.52762467157189308</v>
      </c>
      <c r="I35" s="4">
        <f t="shared" si="62"/>
        <v>0.53604203055255173</v>
      </c>
      <c r="J35" s="4">
        <f t="shared" si="62"/>
        <v>0.43248135222062611</v>
      </c>
      <c r="K35" s="4">
        <f t="shared" si="62"/>
        <v>0.37388555617742791</v>
      </c>
      <c r="L35" s="4">
        <f t="shared" si="62"/>
        <v>0.3827024020817813</v>
      </c>
      <c r="M35" s="4">
        <f t="shared" si="62"/>
        <v>0.25335042009981379</v>
      </c>
      <c r="N35" s="4">
        <f t="shared" si="62"/>
        <v>0.19946877754343051</v>
      </c>
      <c r="O35" s="4">
        <f t="shared" si="62"/>
        <v>0.19335062282327464</v>
      </c>
      <c r="P35" s="4">
        <f>P15/L15-1</f>
        <v>0.11601773734625054</v>
      </c>
      <c r="Q35" s="4"/>
      <c r="R35" s="4"/>
      <c r="S35" s="4"/>
      <c r="T35" s="4">
        <f t="shared" ref="T35:AK35" si="63">T15/S15-1</f>
        <v>0.48791830736909736</v>
      </c>
      <c r="U35" s="4">
        <f t="shared" si="63"/>
        <v>0.28861236296188442</v>
      </c>
      <c r="V35" s="4">
        <f t="shared" si="63"/>
        <v>5.816180142334848E-2</v>
      </c>
      <c r="W35" s="4">
        <f t="shared" si="63"/>
        <v>6.1669004292290719E-2</v>
      </c>
      <c r="X35" s="4">
        <f t="shared" si="63"/>
        <v>6.1112844491664431E-2</v>
      </c>
      <c r="Y35" s="4">
        <f t="shared" si="63"/>
        <v>6.1067198991900939E-2</v>
      </c>
      <c r="Z35" s="4">
        <f t="shared" si="63"/>
        <v>6.1023750082908501E-2</v>
      </c>
      <c r="AA35" s="4">
        <f t="shared" si="63"/>
        <v>6.0982378916848656E-2</v>
      </c>
      <c r="AB35" s="4">
        <f t="shared" si="63"/>
        <v>6.0942973224883845E-2</v>
      </c>
      <c r="AC35" s="4">
        <f t="shared" si="63"/>
        <v>6.0905426914763749E-2</v>
      </c>
      <c r="AD35" s="4">
        <f t="shared" si="63"/>
        <v>6.0871544080126405E-2</v>
      </c>
      <c r="AE35" s="4">
        <f t="shared" si="63"/>
        <v>6.0839296633491857E-2</v>
      </c>
      <c r="AF35" s="4">
        <f t="shared" si="63"/>
        <v>6.0808599220152582E-2</v>
      </c>
      <c r="AG35" s="4">
        <f t="shared" si="63"/>
        <v>6.0779371156771012E-2</v>
      </c>
      <c r="AH35" s="4">
        <f t="shared" si="63"/>
        <v>6.0751536159085573E-2</v>
      </c>
      <c r="AI35" s="4">
        <f t="shared" si="63"/>
        <v>6.0725022087045222E-2</v>
      </c>
      <c r="AJ35" s="4">
        <f t="shared" si="63"/>
        <v>6.0699760706121264E-2</v>
      </c>
      <c r="AK35" s="4">
        <f t="shared" si="63"/>
        <v>6.0675687463628059E-2</v>
      </c>
    </row>
    <row r="36" spans="1:59" x14ac:dyDescent="0.25">
      <c r="B36" s="8" t="s">
        <v>95</v>
      </c>
      <c r="C36" s="4"/>
      <c r="D36" s="4"/>
      <c r="E36" s="4"/>
      <c r="F36" s="4"/>
      <c r="G36" s="4">
        <f t="shared" ref="G36:O36" si="64">G18/C18-1</f>
        <v>1.2134724243894564</v>
      </c>
      <c r="H36" s="4">
        <f t="shared" si="64"/>
        <v>1.0235434156120808</v>
      </c>
      <c r="I36" s="4">
        <f t="shared" si="64"/>
        <v>0.8882184604937664</v>
      </c>
      <c r="J36" s="4">
        <f t="shared" si="64"/>
        <v>0.52048783780743113</v>
      </c>
      <c r="K36" s="4">
        <f t="shared" si="64"/>
        <v>0.443704834903075</v>
      </c>
      <c r="L36" s="4">
        <f t="shared" si="64"/>
        <v>0.47354472783113222</v>
      </c>
      <c r="M36" s="4">
        <f t="shared" si="64"/>
        <v>0.25775377991954773</v>
      </c>
      <c r="N36" s="4">
        <f t="shared" si="64"/>
        <v>0.19973509737761219</v>
      </c>
      <c r="O36" s="4">
        <f t="shared" si="64"/>
        <v>0.16407198963478886</v>
      </c>
      <c r="P36" s="4">
        <f>P18/L18-1</f>
        <v>4.6382828520522779E-2</v>
      </c>
      <c r="Q36" s="4"/>
      <c r="R36" s="4"/>
      <c r="S36" s="4"/>
      <c r="T36" s="4">
        <f t="shared" ref="T36:AK36" si="65">T18/S18-1</f>
        <v>0.80665768812915806</v>
      </c>
      <c r="U36" s="4">
        <f t="shared" si="65"/>
        <v>0.31620753760351783</v>
      </c>
      <c r="V36" s="4">
        <f t="shared" si="65"/>
        <v>6.0599839546429779E-2</v>
      </c>
      <c r="W36" s="4">
        <f t="shared" si="65"/>
        <v>6.6387343666964416E-2</v>
      </c>
      <c r="X36" s="4">
        <f t="shared" si="65"/>
        <v>6.5401119270478647E-2</v>
      </c>
      <c r="Y36" s="4">
        <f t="shared" si="65"/>
        <v>6.526714070342976E-2</v>
      </c>
      <c r="Z36" s="4">
        <f t="shared" si="65"/>
        <v>6.5138712943964672E-2</v>
      </c>
      <c r="AA36" s="4">
        <f t="shared" si="65"/>
        <v>6.5015524268824176E-2</v>
      </c>
      <c r="AB36" s="4">
        <f t="shared" si="65"/>
        <v>6.4897283011456475E-2</v>
      </c>
      <c r="AC36" s="4">
        <f t="shared" si="65"/>
        <v>6.4783716075325737E-2</v>
      </c>
      <c r="AD36" s="4">
        <f t="shared" si="65"/>
        <v>6.4677640637605061E-2</v>
      </c>
      <c r="AE36" s="4">
        <f t="shared" si="65"/>
        <v>6.4575664550184486E-2</v>
      </c>
      <c r="AF36" s="4">
        <f t="shared" si="65"/>
        <v>6.4477571762587838E-2</v>
      </c>
      <c r="AG36" s="4">
        <f t="shared" si="65"/>
        <v>6.4383159515228439E-2</v>
      </c>
      <c r="AH36" s="4">
        <f t="shared" si="65"/>
        <v>6.4292237416390563E-2</v>
      </c>
      <c r="AI36" s="4">
        <f t="shared" si="65"/>
        <v>6.4204626592007097E-2</v>
      </c>
      <c r="AJ36" s="4">
        <f t="shared" si="65"/>
        <v>6.4120158901691537E-2</v>
      </c>
      <c r="AK36" s="4">
        <f t="shared" si="65"/>
        <v>6.4038676215117052E-2</v>
      </c>
    </row>
    <row r="37" spans="1:59" x14ac:dyDescent="0.25">
      <c r="B37" s="8" t="s">
        <v>101</v>
      </c>
      <c r="C37" s="4"/>
      <c r="D37" s="4"/>
      <c r="E37" s="4"/>
      <c r="F37" s="4"/>
      <c r="G37" s="4">
        <f t="shared" ref="G37:N37" si="66">G24/C24-1</f>
        <v>-1.0870013482433163</v>
      </c>
      <c r="H37" s="4">
        <f t="shared" si="66"/>
        <v>-3.2238180730101669</v>
      </c>
      <c r="I37" s="4">
        <f t="shared" si="66"/>
        <v>-4.2649437575532101</v>
      </c>
      <c r="J37" s="4">
        <f t="shared" si="66"/>
        <v>4.0672790624010569</v>
      </c>
      <c r="K37" s="4">
        <f t="shared" si="66"/>
        <v>25.640382862352361</v>
      </c>
      <c r="L37" s="4">
        <f t="shared" si="66"/>
        <v>2.0641550053821223</v>
      </c>
      <c r="M37" s="4">
        <f t="shared" si="66"/>
        <v>0.7335782010762868</v>
      </c>
      <c r="N37" s="4">
        <f t="shared" si="66"/>
        <v>0.16697713378424095</v>
      </c>
      <c r="O37" s="4">
        <f>O24/K24-1</f>
        <v>-5.7896627829387981E-2</v>
      </c>
      <c r="P37" s="4">
        <f>P24/L24-1</f>
        <v>0.3265123304995412</v>
      </c>
      <c r="Q37" s="4">
        <f>Q24/M24-1</f>
        <v>0.40625383920505787</v>
      </c>
      <c r="R37" s="4">
        <f>R24/N24-1</f>
        <v>0.60422666938067171</v>
      </c>
      <c r="S37" s="4"/>
      <c r="T37" s="4"/>
      <c r="U37" s="4">
        <f>U24/T24-1</f>
        <v>0.98414065144759832</v>
      </c>
      <c r="V37" s="4">
        <f>V24/U24-1</f>
        <v>0.35733263726358788</v>
      </c>
      <c r="W37" s="4">
        <f t="shared" ref="W37:AK37" si="67">W24/V24-1</f>
        <v>-0.17544462414232742</v>
      </c>
      <c r="X37" s="4">
        <f t="shared" si="67"/>
        <v>7.2171278646767201E-2</v>
      </c>
      <c r="Y37" s="4">
        <f t="shared" si="67"/>
        <v>7.1734708252078061E-2</v>
      </c>
      <c r="Z37" s="4">
        <f t="shared" si="67"/>
        <v>7.1318536116578457E-2</v>
      </c>
      <c r="AA37" s="4">
        <f t="shared" si="67"/>
        <v>7.0921206475210052E-2</v>
      </c>
      <c r="AB37" s="4">
        <f t="shared" si="67"/>
        <v>7.0541293591819931E-2</v>
      </c>
      <c r="AC37" s="4">
        <f t="shared" si="67"/>
        <v>7.1374463448957259E-2</v>
      </c>
      <c r="AD37" s="4">
        <f t="shared" si="67"/>
        <v>7.1053822541191858E-2</v>
      </c>
      <c r="AE37" s="4">
        <f t="shared" si="67"/>
        <v>7.0748470042274469E-2</v>
      </c>
      <c r="AF37" s="4">
        <f t="shared" si="67"/>
        <v>7.0457409121483572E-2</v>
      </c>
      <c r="AG37" s="4">
        <f t="shared" si="67"/>
        <v>7.0179722589820637E-2</v>
      </c>
      <c r="AH37" s="4">
        <f t="shared" si="67"/>
        <v>6.9914565352804825E-2</v>
      </c>
      <c r="AI37" s="4">
        <f t="shared" si="67"/>
        <v>6.9661157697953113E-2</v>
      </c>
      <c r="AJ37" s="4">
        <f t="shared" si="67"/>
        <v>6.9418779311175571E-2</v>
      </c>
      <c r="AK37" s="4">
        <f t="shared" si="67"/>
        <v>6.9186763931329498E-2</v>
      </c>
      <c r="AW37" s="4"/>
      <c r="AX37" s="4"/>
    </row>
    <row r="38" spans="1:59" x14ac:dyDescent="0.25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59" x14ac:dyDescent="0.25">
      <c r="B39" s="8" t="s">
        <v>85</v>
      </c>
      <c r="C39" s="7">
        <f t="shared" ref="C39:O39" si="68">C24/C40</f>
        <v>-0.85883010026155326</v>
      </c>
      <c r="D39" s="7">
        <f t="shared" si="68"/>
        <v>-0.28453983217088274</v>
      </c>
      <c r="E39" s="7">
        <f t="shared" si="68"/>
        <v>-0.36634290540540537</v>
      </c>
      <c r="F39" s="7">
        <f t="shared" si="68"/>
        <v>0.53757764821272369</v>
      </c>
      <c r="G39" s="7">
        <f t="shared" si="68"/>
        <v>7.4719376634697701E-2</v>
      </c>
      <c r="H39" s="7">
        <f t="shared" si="68"/>
        <v>0.63276482127288869</v>
      </c>
      <c r="I39" s="7">
        <f t="shared" si="68"/>
        <v>1.1960889821272844</v>
      </c>
      <c r="J39" s="7">
        <f t="shared" si="68"/>
        <v>2.7240559612031361</v>
      </c>
      <c r="K39" s="7">
        <f t="shared" si="68"/>
        <v>1.9905528007846522</v>
      </c>
      <c r="L39" s="7">
        <f t="shared" si="68"/>
        <v>1.9388894943330459</v>
      </c>
      <c r="M39" s="7">
        <f t="shared" si="68"/>
        <v>2.0735137859633848</v>
      </c>
      <c r="N39" s="7">
        <f t="shared" si="68"/>
        <v>3.1789110178727107</v>
      </c>
      <c r="O39" s="7">
        <f t="shared" si="68"/>
        <v>1.8753065061028773</v>
      </c>
      <c r="P39" s="7">
        <f t="shared" ref="P39" si="69">P24/P40</f>
        <v>2.5719608217088057</v>
      </c>
      <c r="Q39" s="7"/>
      <c r="R39" s="7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59" x14ac:dyDescent="0.25">
      <c r="B40" s="8" t="s">
        <v>86</v>
      </c>
      <c r="C40" s="7">
        <v>293.63200000000001</v>
      </c>
      <c r="D40" s="7">
        <v>293.63200000000001</v>
      </c>
      <c r="E40" s="7">
        <v>293.63200000000001</v>
      </c>
      <c r="F40" s="7">
        <v>293.63200000000001</v>
      </c>
      <c r="G40" s="7">
        <v>293.63200000000001</v>
      </c>
      <c r="H40" s="7">
        <v>293.63200000000001</v>
      </c>
      <c r="I40" s="7">
        <v>293.63200000000001</v>
      </c>
      <c r="J40" s="7">
        <v>293.63200000000001</v>
      </c>
      <c r="K40" s="7">
        <v>293.63200000000001</v>
      </c>
      <c r="L40" s="7">
        <v>293.63200000000001</v>
      </c>
      <c r="M40" s="7">
        <v>293.63200000000001</v>
      </c>
      <c r="N40" s="7">
        <v>293.63200000000001</v>
      </c>
      <c r="O40" s="7">
        <v>293.63200000000001</v>
      </c>
      <c r="P40" s="7">
        <v>293.63200000000001</v>
      </c>
      <c r="Q40" s="7"/>
      <c r="R40" s="7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59" x14ac:dyDescent="0.25">
      <c r="A41" s="3" t="s">
        <v>37</v>
      </c>
      <c r="B41" s="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59" x14ac:dyDescent="0.25">
      <c r="B42" s="8" t="s">
        <v>71</v>
      </c>
      <c r="C42" s="2"/>
      <c r="D42" s="2"/>
      <c r="E42" s="2"/>
      <c r="F42" s="2">
        <f>F63-F79</f>
        <v>8590.1599999999962</v>
      </c>
      <c r="G42" s="2"/>
      <c r="H42" s="2">
        <f>H63-H79</f>
        <v>8444.2099999999919</v>
      </c>
      <c r="I42" s="2"/>
      <c r="J42" s="2">
        <f>J63-J79</f>
        <v>10795.809999999998</v>
      </c>
      <c r="K42" s="2"/>
      <c r="L42" s="2"/>
      <c r="M42" s="2"/>
      <c r="N42" s="2">
        <f>N63-N79</f>
        <v>11831.420000000013</v>
      </c>
      <c r="O42" s="2"/>
      <c r="P42" s="2">
        <f>P63-P79</f>
        <v>13372.380000000019</v>
      </c>
      <c r="Q42" s="2"/>
      <c r="R42" s="2"/>
      <c r="S42" s="2"/>
      <c r="T42" s="2"/>
      <c r="U42" s="2">
        <v>11831.42</v>
      </c>
      <c r="V42" s="2">
        <f>U42+V24</f>
        <v>15490.910950000001</v>
      </c>
      <c r="W42" s="2">
        <f t="shared" ref="W42:AV42" si="70">V42+W24</f>
        <v>18508.363885725004</v>
      </c>
      <c r="X42" s="2">
        <f t="shared" si="70"/>
        <v>21743.590258077722</v>
      </c>
      <c r="Y42" s="2">
        <f t="shared" si="70"/>
        <v>25210.894650380589</v>
      </c>
      <c r="Z42" s="2">
        <f t="shared" si="70"/>
        <v>28925.482116213079</v>
      </c>
      <c r="AA42" s="2">
        <f t="shared" si="70"/>
        <v>32903.512606680102</v>
      </c>
      <c r="AB42" s="2">
        <f t="shared" si="70"/>
        <v>37162.158513892369</v>
      </c>
      <c r="AC42" s="2">
        <f t="shared" si="70"/>
        <v>41724.762987751012</v>
      </c>
      <c r="AD42" s="2">
        <f t="shared" si="70"/>
        <v>46611.557950220857</v>
      </c>
      <c r="AE42" s="2">
        <f t="shared" si="70"/>
        <v>51844.08617969574</v>
      </c>
      <c r="AF42" s="2">
        <f t="shared" si="70"/>
        <v>57445.284791374441</v>
      </c>
      <c r="AG42" s="2">
        <f t="shared" si="70"/>
        <v>63439.573967791242</v>
      </c>
      <c r="AH42" s="2">
        <f t="shared" si="70"/>
        <v>69852.951266576245</v>
      </c>
      <c r="AI42" s="2">
        <f t="shared" si="70"/>
        <v>76713.091852748388</v>
      </c>
      <c r="AJ42" s="2">
        <f t="shared" si="70"/>
        <v>84049.455024315655</v>
      </c>
      <c r="AK42" s="2">
        <f t="shared" si="70"/>
        <v>91893.397422748647</v>
      </c>
      <c r="AL42" s="2">
        <f>AK42+AL24</f>
        <v>99580.460973212976</v>
      </c>
      <c r="AM42" s="2">
        <f t="shared" si="70"/>
        <v>107113.78325266801</v>
      </c>
      <c r="AN42" s="2">
        <f t="shared" si="70"/>
        <v>114496.43908653395</v>
      </c>
      <c r="AO42" s="2">
        <f t="shared" si="70"/>
        <v>121731.44180372257</v>
      </c>
      <c r="AP42" s="2">
        <f t="shared" si="70"/>
        <v>128821.74446656741</v>
      </c>
      <c r="AQ42" s="2">
        <f t="shared" si="70"/>
        <v>135770.24107615536</v>
      </c>
      <c r="AR42" s="2">
        <f t="shared" si="70"/>
        <v>142579.76775355154</v>
      </c>
      <c r="AS42" s="2">
        <f t="shared" si="70"/>
        <v>149253.10389739979</v>
      </c>
      <c r="AT42" s="2">
        <f t="shared" si="70"/>
        <v>155792.97331837111</v>
      </c>
      <c r="AU42" s="2">
        <f t="shared" si="70"/>
        <v>162202.04535092297</v>
      </c>
      <c r="AV42" s="2">
        <f t="shared" si="70"/>
        <v>168482.93594282379</v>
      </c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x14ac:dyDescent="0.25">
      <c r="B43" s="8"/>
      <c r="AZ43" t="s">
        <v>76</v>
      </c>
      <c r="BA43" s="4">
        <v>0.01</v>
      </c>
    </row>
    <row r="44" spans="1:59" x14ac:dyDescent="0.25">
      <c r="B44" s="8" t="s">
        <v>39</v>
      </c>
      <c r="F44">
        <v>5317.15</v>
      </c>
      <c r="H44">
        <v>5240.8900000000003</v>
      </c>
      <c r="J44">
        <v>5363.61</v>
      </c>
      <c r="N44">
        <v>5471.9</v>
      </c>
      <c r="P44">
        <v>5522.06</v>
      </c>
      <c r="AZ44" t="s">
        <v>31</v>
      </c>
      <c r="BA44" s="4">
        <v>-0.02</v>
      </c>
      <c r="BC44" t="s">
        <v>5</v>
      </c>
      <c r="BD44">
        <f>Main!D10</f>
        <v>57438.008887580007</v>
      </c>
    </row>
    <row r="45" spans="1:59" x14ac:dyDescent="0.25">
      <c r="B45" s="8" t="s">
        <v>40</v>
      </c>
      <c r="F45">
        <v>139.38</v>
      </c>
      <c r="H45">
        <v>162.47999999999999</v>
      </c>
      <c r="J45">
        <v>139.15</v>
      </c>
      <c r="N45">
        <v>170.18</v>
      </c>
      <c r="P45">
        <v>219.21</v>
      </c>
      <c r="AZ45" t="s">
        <v>32</v>
      </c>
      <c r="BA45" s="4">
        <v>0.08</v>
      </c>
      <c r="BC45" t="s">
        <v>108</v>
      </c>
      <c r="BD45">
        <f>V24</f>
        <v>3659.4909500000008</v>
      </c>
    </row>
    <row r="46" spans="1:59" x14ac:dyDescent="0.25">
      <c r="B46" s="8" t="s">
        <v>41</v>
      </c>
      <c r="F46">
        <v>427.29</v>
      </c>
      <c r="H46">
        <v>448.54</v>
      </c>
      <c r="J46">
        <v>399.34</v>
      </c>
      <c r="N46">
        <v>395.27</v>
      </c>
      <c r="P46">
        <v>543.69000000000005</v>
      </c>
      <c r="AZ46" t="s">
        <v>33</v>
      </c>
      <c r="BA46" s="5">
        <f>NPV(BA45,V24:WZ24)</f>
        <v>62461.889776044052</v>
      </c>
      <c r="BC46" t="s">
        <v>74</v>
      </c>
      <c r="BD46">
        <f>BD44/BD45</f>
        <v>15.695628072964627</v>
      </c>
    </row>
    <row r="47" spans="1:59" x14ac:dyDescent="0.25">
      <c r="B47" s="8" t="s">
        <v>42</v>
      </c>
      <c r="F47">
        <f>1031.83+1118.31+100.63</f>
        <v>2250.77</v>
      </c>
      <c r="H47">
        <f>1031.83+1051.88+141.04</f>
        <v>2224.75</v>
      </c>
      <c r="J47">
        <f>1192.59+1190.77+128.97</f>
        <v>2512.3299999999995</v>
      </c>
      <c r="N47">
        <f>1196.98+1092.36+244.64</f>
        <v>2533.98</v>
      </c>
      <c r="P47">
        <f>1204+1043.91+335.17</f>
        <v>2583.08</v>
      </c>
      <c r="AZ47" t="s">
        <v>34</v>
      </c>
      <c r="BA47" s="5">
        <f>BA46+Main!D8</f>
        <v>69684.459776044052</v>
      </c>
      <c r="BC47" t="s">
        <v>75</v>
      </c>
      <c r="BD47" s="4">
        <f>BD45/BD44</f>
        <v>6.37120091882451E-2</v>
      </c>
    </row>
    <row r="48" spans="1:59" x14ac:dyDescent="0.25">
      <c r="B48" s="8" t="s">
        <v>43</v>
      </c>
      <c r="F48">
        <f>46.6+951.89</f>
        <v>998.49</v>
      </c>
      <c r="H48">
        <f>43.94+1035.42</f>
        <v>1079.3600000000001</v>
      </c>
      <c r="J48">
        <f>63.66+1277.35</f>
        <v>1341.01</v>
      </c>
      <c r="N48">
        <f>129.12+1176.3</f>
        <v>1305.42</v>
      </c>
      <c r="P48">
        <f>1697.16+125.11</f>
        <v>1822.27</v>
      </c>
      <c r="AZ48" t="s">
        <v>35</v>
      </c>
      <c r="BA48">
        <v>219</v>
      </c>
      <c r="BC48" t="s">
        <v>87</v>
      </c>
      <c r="BD48" s="4">
        <f>BA49/BA48-1</f>
        <v>8.3719642730872179E-2</v>
      </c>
    </row>
    <row r="49" spans="2:55" x14ac:dyDescent="0.25">
      <c r="B49" s="8" t="s">
        <v>44</v>
      </c>
      <c r="F49">
        <v>0.03</v>
      </c>
      <c r="H49">
        <v>0</v>
      </c>
      <c r="J49">
        <v>2.84</v>
      </c>
      <c r="N49">
        <v>2.5499999999999998</v>
      </c>
      <c r="P49">
        <v>0.06</v>
      </c>
      <c r="T49" s="4"/>
      <c r="AZ49" t="s">
        <v>36</v>
      </c>
      <c r="BA49" s="5">
        <f>BA47/Main!D6</f>
        <v>237.33460175806101</v>
      </c>
    </row>
    <row r="50" spans="2:55" x14ac:dyDescent="0.25">
      <c r="B50" s="8" t="s">
        <v>51</v>
      </c>
      <c r="F50">
        <v>14890.73</v>
      </c>
      <c r="H50">
        <v>16086.62</v>
      </c>
      <c r="J50">
        <v>19646.38</v>
      </c>
      <c r="N50">
        <v>27393.24</v>
      </c>
      <c r="P50">
        <v>31712.77</v>
      </c>
    </row>
    <row r="51" spans="2:55" x14ac:dyDescent="0.25">
      <c r="B51" s="8" t="s">
        <v>52</v>
      </c>
      <c r="F51">
        <v>358.85</v>
      </c>
      <c r="H51">
        <v>439.93</v>
      </c>
      <c r="J51">
        <v>496.21</v>
      </c>
      <c r="N51">
        <v>518.38</v>
      </c>
      <c r="P51">
        <v>620.78</v>
      </c>
      <c r="T51" s="4"/>
    </row>
    <row r="52" spans="2:55" x14ac:dyDescent="0.25">
      <c r="B52" s="8" t="s">
        <v>45</v>
      </c>
      <c r="F52">
        <f>27.13+213.37</f>
        <v>240.5</v>
      </c>
      <c r="H52">
        <f>31.26+268.71</f>
        <v>299.96999999999997</v>
      </c>
      <c r="J52">
        <f>49.08+222.1</f>
        <v>271.18</v>
      </c>
      <c r="N52">
        <f>65.35+181.7</f>
        <v>247.04999999999998</v>
      </c>
      <c r="P52">
        <f>91.33+297.21</f>
        <v>388.53999999999996</v>
      </c>
    </row>
    <row r="53" spans="2:55" x14ac:dyDescent="0.25">
      <c r="B53" s="8" t="s">
        <v>46</v>
      </c>
      <c r="F53">
        <v>339.29</v>
      </c>
      <c r="H53">
        <v>359.15</v>
      </c>
      <c r="J53">
        <v>330.52</v>
      </c>
      <c r="N53">
        <v>495.95</v>
      </c>
      <c r="P53">
        <v>735.9</v>
      </c>
      <c r="V53">
        <v>42896</v>
      </c>
      <c r="W53" s="4">
        <f>V53/V9-1</f>
        <v>-0.11623523263397506</v>
      </c>
    </row>
    <row r="54" spans="2:55" x14ac:dyDescent="0.25">
      <c r="B54" s="8" t="s">
        <v>38</v>
      </c>
      <c r="F54">
        <v>2540.5500000000002</v>
      </c>
      <c r="H54">
        <v>3189.14</v>
      </c>
      <c r="J54">
        <v>3440.43</v>
      </c>
      <c r="N54">
        <v>4008.01</v>
      </c>
      <c r="P54">
        <v>4559.4799999999996</v>
      </c>
    </row>
    <row r="55" spans="2:55" x14ac:dyDescent="0.25">
      <c r="B55" s="8" t="s">
        <v>47</v>
      </c>
      <c r="F55">
        <v>1653.63</v>
      </c>
      <c r="H55">
        <v>1148.72</v>
      </c>
      <c r="J55">
        <v>3511.34</v>
      </c>
      <c r="N55">
        <v>1023.19</v>
      </c>
      <c r="P55">
        <v>2130.61</v>
      </c>
    </row>
    <row r="56" spans="2:55" x14ac:dyDescent="0.25">
      <c r="B56" s="8" t="s">
        <v>48</v>
      </c>
      <c r="F56">
        <v>3264.09</v>
      </c>
      <c r="H56">
        <v>3723.44</v>
      </c>
      <c r="J56">
        <v>4187.3599999999997</v>
      </c>
      <c r="N56">
        <v>3898.15</v>
      </c>
      <c r="P56">
        <v>3941.37</v>
      </c>
    </row>
    <row r="57" spans="2:55" x14ac:dyDescent="0.25">
      <c r="B57" s="8" t="s">
        <v>49</v>
      </c>
      <c r="F57">
        <v>2030.96</v>
      </c>
      <c r="H57">
        <v>1366.97</v>
      </c>
      <c r="J57">
        <v>1908.58</v>
      </c>
      <c r="N57">
        <v>5217.32</v>
      </c>
      <c r="P57">
        <v>2854.97</v>
      </c>
    </row>
    <row r="58" spans="2:55" x14ac:dyDescent="0.25">
      <c r="B58" s="8" t="s">
        <v>50</v>
      </c>
      <c r="F58">
        <v>107.2</v>
      </c>
      <c r="H58">
        <v>96.52</v>
      </c>
      <c r="J58">
        <v>278.14</v>
      </c>
      <c r="N58">
        <v>1862.73</v>
      </c>
      <c r="P58">
        <v>533.95000000000005</v>
      </c>
      <c r="BC58" s="4"/>
    </row>
    <row r="59" spans="2:55" x14ac:dyDescent="0.25">
      <c r="B59" s="8" t="s">
        <v>80</v>
      </c>
      <c r="F59">
        <v>6818.03</v>
      </c>
      <c r="H59">
        <v>7309.97</v>
      </c>
      <c r="J59">
        <v>8681.43</v>
      </c>
      <c r="N59">
        <v>10945.97</v>
      </c>
      <c r="P59">
        <v>10742.36</v>
      </c>
    </row>
    <row r="60" spans="2:55" x14ac:dyDescent="0.25">
      <c r="B60" s="8" t="s">
        <v>52</v>
      </c>
      <c r="F60">
        <v>922.45</v>
      </c>
      <c r="H60">
        <v>950.35</v>
      </c>
      <c r="J60">
        <v>782.14</v>
      </c>
      <c r="N60">
        <v>789.83</v>
      </c>
      <c r="P60">
        <v>461.06</v>
      </c>
    </row>
    <row r="61" spans="2:55" x14ac:dyDescent="0.25">
      <c r="B61" s="8" t="s">
        <v>53</v>
      </c>
      <c r="F61">
        <f>21.84+1215.92</f>
        <v>1237.76</v>
      </c>
      <c r="H61">
        <f>31.89+1346.95</f>
        <v>1378.8400000000001</v>
      </c>
      <c r="J61">
        <f>1.84+32.84+1347.42</f>
        <v>1382.1000000000001</v>
      </c>
      <c r="N61">
        <f>3.85+47.09+1190.97</f>
        <v>1241.9100000000001</v>
      </c>
      <c r="P61">
        <f>1191.53+83.29+7.16</f>
        <v>1281.98</v>
      </c>
    </row>
    <row r="62" spans="2:55" x14ac:dyDescent="0.25">
      <c r="B62" s="8" t="s">
        <v>54</v>
      </c>
      <c r="F62">
        <v>63.63</v>
      </c>
      <c r="H62">
        <v>75.11</v>
      </c>
      <c r="J62">
        <v>71.92</v>
      </c>
      <c r="N62">
        <v>139.43</v>
      </c>
      <c r="P62">
        <v>5.88</v>
      </c>
    </row>
    <row r="63" spans="2:55" x14ac:dyDescent="0.25">
      <c r="B63" s="9" t="s">
        <v>55</v>
      </c>
      <c r="C63" s="2"/>
      <c r="D63" s="2"/>
      <c r="E63" s="2"/>
      <c r="F63" s="2">
        <f>SUM(F44:F62)</f>
        <v>43600.779999999992</v>
      </c>
      <c r="G63" s="2"/>
      <c r="H63" s="2">
        <f>SUM(H44:H62)</f>
        <v>45580.75</v>
      </c>
      <c r="I63" s="2"/>
      <c r="J63" s="2">
        <f>SUM(J44:J62)</f>
        <v>54746.009999999995</v>
      </c>
      <c r="K63" s="2"/>
      <c r="L63" s="2"/>
      <c r="M63" s="2"/>
      <c r="N63" s="2">
        <f>SUM(N44:N62)</f>
        <v>67660.460000000006</v>
      </c>
      <c r="O63" s="2"/>
      <c r="P63" s="2">
        <f>SUM(P44:P62)</f>
        <v>70660.02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6"/>
    </row>
    <row r="64" spans="2:55" x14ac:dyDescent="0.25">
      <c r="B64" s="8"/>
    </row>
    <row r="65" spans="2:36" x14ac:dyDescent="0.25">
      <c r="B65" s="8" t="s">
        <v>56</v>
      </c>
      <c r="F65">
        <v>15297.3</v>
      </c>
      <c r="H65">
        <v>15900.76</v>
      </c>
      <c r="J65">
        <v>19502.86</v>
      </c>
      <c r="N65">
        <v>26695.71</v>
      </c>
      <c r="P65">
        <v>31585.93</v>
      </c>
    </row>
    <row r="66" spans="2:36" x14ac:dyDescent="0.25">
      <c r="B66" s="8" t="s">
        <v>57</v>
      </c>
      <c r="F66">
        <v>160.57</v>
      </c>
      <c r="H66">
        <v>183.31</v>
      </c>
      <c r="J66">
        <v>188.97</v>
      </c>
      <c r="N66">
        <v>151.21</v>
      </c>
      <c r="P66">
        <v>193.61</v>
      </c>
    </row>
    <row r="67" spans="2:36" x14ac:dyDescent="0.25">
      <c r="B67" s="8" t="s">
        <v>59</v>
      </c>
      <c r="F67">
        <v>143.19999999999999</v>
      </c>
      <c r="H67">
        <v>149.63</v>
      </c>
      <c r="J67">
        <v>164.01</v>
      </c>
      <c r="N67">
        <v>127.41</v>
      </c>
      <c r="P67">
        <v>119.8</v>
      </c>
    </row>
    <row r="68" spans="2:36" x14ac:dyDescent="0.25">
      <c r="B68" s="8" t="s">
        <v>60</v>
      </c>
      <c r="F68">
        <v>193.83</v>
      </c>
      <c r="H68">
        <v>204.26</v>
      </c>
      <c r="J68">
        <v>250.04</v>
      </c>
      <c r="N68">
        <v>283.45</v>
      </c>
      <c r="P68">
        <v>318.79000000000002</v>
      </c>
    </row>
    <row r="69" spans="2:36" x14ac:dyDescent="0.25">
      <c r="B69" s="8" t="s">
        <v>61</v>
      </c>
      <c r="F69">
        <v>283.99</v>
      </c>
      <c r="H69">
        <v>429.26</v>
      </c>
      <c r="J69">
        <v>633.28</v>
      </c>
      <c r="N69">
        <v>857.51</v>
      </c>
      <c r="P69">
        <v>736.58</v>
      </c>
    </row>
    <row r="70" spans="2:36" x14ac:dyDescent="0.25">
      <c r="B70" s="8" t="s">
        <v>62</v>
      </c>
      <c r="F70">
        <v>315.83</v>
      </c>
      <c r="H70">
        <f>363.58+34.35</f>
        <v>397.93</v>
      </c>
      <c r="J70">
        <f>742.41+13.68</f>
        <v>756.08999999999992</v>
      </c>
      <c r="N70">
        <f>1046.83+3.82</f>
        <v>1050.6499999999999</v>
      </c>
      <c r="P70">
        <f>1181.77+5.65</f>
        <v>1187.42</v>
      </c>
    </row>
    <row r="71" spans="2:36" x14ac:dyDescent="0.25">
      <c r="B71" s="8" t="s">
        <v>63</v>
      </c>
      <c r="F71">
        <v>8642.0499999999993</v>
      </c>
      <c r="H71">
        <v>10762.24</v>
      </c>
      <c r="J71">
        <v>11417.58</v>
      </c>
      <c r="N71">
        <v>13868.63</v>
      </c>
      <c r="P71">
        <v>12458.16</v>
      </c>
    </row>
    <row r="72" spans="2:36" x14ac:dyDescent="0.25">
      <c r="B72" s="8" t="s">
        <v>64</v>
      </c>
      <c r="F72">
        <v>45.1</v>
      </c>
      <c r="H72">
        <v>47.03</v>
      </c>
      <c r="J72">
        <v>51.52</v>
      </c>
      <c r="N72">
        <v>86.63</v>
      </c>
      <c r="P72">
        <v>60.07</v>
      </c>
    </row>
    <row r="73" spans="2:36" x14ac:dyDescent="0.25">
      <c r="B73" s="8" t="s">
        <v>58</v>
      </c>
      <c r="F73">
        <f>62.63+7187.28</f>
        <v>7249.91</v>
      </c>
      <c r="H73">
        <f>59.52+6216.08</f>
        <v>6275.6</v>
      </c>
      <c r="J73">
        <f>77.09+7504.78</f>
        <v>7581.87</v>
      </c>
      <c r="N73">
        <f>114.88+6683.14</f>
        <v>6798.02</v>
      </c>
      <c r="P73">
        <f>82.88+5895.58</f>
        <v>5978.46</v>
      </c>
    </row>
    <row r="74" spans="2:36" x14ac:dyDescent="0.25">
      <c r="B74" s="8" t="s">
        <v>65</v>
      </c>
      <c r="F74">
        <v>1188.06</v>
      </c>
      <c r="H74">
        <v>1194.29</v>
      </c>
      <c r="J74">
        <v>1601.76</v>
      </c>
      <c r="N74">
        <v>3433.81</v>
      </c>
      <c r="P74">
        <v>2206.61</v>
      </c>
    </row>
    <row r="75" spans="2:36" x14ac:dyDescent="0.25">
      <c r="B75" s="8" t="s">
        <v>66</v>
      </c>
      <c r="F75">
        <v>498.75</v>
      </c>
      <c r="H75">
        <v>467.11</v>
      </c>
      <c r="J75">
        <v>458.35</v>
      </c>
      <c r="N75">
        <v>556.59</v>
      </c>
      <c r="P75">
        <v>473.34</v>
      </c>
    </row>
    <row r="76" spans="2:36" x14ac:dyDescent="0.25">
      <c r="B76" s="8" t="s">
        <v>67</v>
      </c>
      <c r="F76">
        <v>532.67999999999995</v>
      </c>
      <c r="H76">
        <v>558.23</v>
      </c>
      <c r="J76">
        <v>586.52</v>
      </c>
      <c r="N76">
        <v>802.99</v>
      </c>
      <c r="P76">
        <v>1007.56</v>
      </c>
    </row>
    <row r="77" spans="2:36" x14ac:dyDescent="0.25">
      <c r="B77" s="8" t="s">
        <v>68</v>
      </c>
      <c r="F77">
        <v>323.75</v>
      </c>
      <c r="H77">
        <v>426.23</v>
      </c>
      <c r="J77">
        <v>618.17999999999995</v>
      </c>
      <c r="N77">
        <v>589.04999999999995</v>
      </c>
      <c r="P77">
        <v>427.29</v>
      </c>
    </row>
    <row r="78" spans="2:36" x14ac:dyDescent="0.25">
      <c r="B78" s="8" t="s">
        <v>69</v>
      </c>
      <c r="F78">
        <f>123.82+11.78</f>
        <v>135.6</v>
      </c>
      <c r="H78">
        <f>125.33+15.33</f>
        <v>140.66</v>
      </c>
      <c r="J78">
        <f>128.3+10.87</f>
        <v>139.17000000000002</v>
      </c>
      <c r="N78">
        <v>527.38</v>
      </c>
      <c r="P78">
        <v>534.02</v>
      </c>
    </row>
    <row r="79" spans="2:36" x14ac:dyDescent="0.25">
      <c r="B79" s="9" t="s">
        <v>70</v>
      </c>
      <c r="C79" s="2"/>
      <c r="D79" s="2"/>
      <c r="E79" s="2"/>
      <c r="F79" s="2">
        <f>SUM(F65:F78)</f>
        <v>35010.619999999995</v>
      </c>
      <c r="G79" s="2"/>
      <c r="H79" s="2">
        <f>SUM(H65:H78)</f>
        <v>37136.540000000008</v>
      </c>
      <c r="I79" s="2"/>
      <c r="J79" s="2">
        <f>SUM(J65:J78)</f>
        <v>43950.2</v>
      </c>
      <c r="K79" s="2"/>
      <c r="L79" s="2"/>
      <c r="M79" s="2"/>
      <c r="N79" s="2">
        <f>SUM(N65:N78)</f>
        <v>55829.039999999994</v>
      </c>
      <c r="O79" s="2"/>
      <c r="P79" s="2">
        <f>SUM(P65:P78)</f>
        <v>57287.639999999985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2:36" x14ac:dyDescent="0.25">
      <c r="B80" s="8" t="s">
        <v>72</v>
      </c>
      <c r="F80">
        <v>8590.16</v>
      </c>
      <c r="H80">
        <v>8444.0499999999993</v>
      </c>
      <c r="J80">
        <v>10795.81</v>
      </c>
      <c r="N80">
        <v>11814.59</v>
      </c>
      <c r="P80">
        <v>13311.86</v>
      </c>
      <c r="Y80" s="2"/>
    </row>
    <row r="81" spans="1:27" x14ac:dyDescent="0.25">
      <c r="B81" s="8" t="s">
        <v>73</v>
      </c>
      <c r="F81">
        <f>F80+F79</f>
        <v>43600.78</v>
      </c>
      <c r="H81">
        <f>H80+H79</f>
        <v>45580.590000000011</v>
      </c>
      <c r="J81">
        <f>J80+J79</f>
        <v>54746.009999999995</v>
      </c>
      <c r="N81">
        <f>N80+N79</f>
        <v>67643.62999999999</v>
      </c>
      <c r="P81">
        <f>P80+P79</f>
        <v>70599.499999999985</v>
      </c>
    </row>
    <row r="82" spans="1:27" x14ac:dyDescent="0.25">
      <c r="B82" s="8"/>
    </row>
    <row r="83" spans="1:27" x14ac:dyDescent="0.25">
      <c r="A83" s="3" t="s">
        <v>77</v>
      </c>
      <c r="B83" s="8"/>
    </row>
    <row r="84" spans="1:27" x14ac:dyDescent="0.25">
      <c r="B84" s="9" t="s">
        <v>78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>
        <f>S24</f>
        <v>-285.45000000000368</v>
      </c>
      <c r="T84" s="2">
        <f>T24</f>
        <v>1358.8199999999924</v>
      </c>
      <c r="U84" s="2">
        <f>U24</f>
        <v>2696.0900000000106</v>
      </c>
      <c r="V84" s="2"/>
      <c r="W84" s="2"/>
      <c r="X84" s="2"/>
      <c r="Y84" s="2"/>
      <c r="Z84" s="2"/>
      <c r="AA84" s="2"/>
    </row>
    <row r="85" spans="1:27" x14ac:dyDescent="0.25">
      <c r="B85" s="8" t="s">
        <v>79</v>
      </c>
      <c r="S85">
        <v>-285.45</v>
      </c>
      <c r="T85">
        <v>1358.82</v>
      </c>
      <c r="U85">
        <v>2696.34</v>
      </c>
    </row>
    <row r="86" spans="1:27" x14ac:dyDescent="0.25">
      <c r="B86" s="9" t="s">
        <v>98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>
        <v>1246.32</v>
      </c>
      <c r="T86" s="2">
        <v>3324.09</v>
      </c>
      <c r="U86" s="2">
        <v>5561.87</v>
      </c>
      <c r="V86" s="2"/>
      <c r="W86" s="2"/>
      <c r="X86" s="2"/>
      <c r="Y86" s="2"/>
      <c r="Z86" s="2"/>
      <c r="AA86" s="2"/>
    </row>
    <row r="87" spans="1:27" x14ac:dyDescent="0.25">
      <c r="B87" s="8" t="s">
        <v>99</v>
      </c>
      <c r="S87">
        <v>-1916.67</v>
      </c>
      <c r="T87">
        <v>-2934.96</v>
      </c>
      <c r="U87">
        <v>1135.3800000000001</v>
      </c>
    </row>
    <row r="88" spans="1:27" x14ac:dyDescent="0.25">
      <c r="B88" s="8" t="s">
        <v>100</v>
      </c>
      <c r="S88">
        <f>S86+S87</f>
        <v>-670.35000000000014</v>
      </c>
      <c r="T88">
        <f>T86+T87</f>
        <v>389.13000000000011</v>
      </c>
      <c r="U88">
        <f>U86+U87</f>
        <v>6697.25</v>
      </c>
    </row>
    <row r="89" spans="1:27" x14ac:dyDescent="0.25">
      <c r="B89" s="8"/>
    </row>
    <row r="90" spans="1:27" x14ac:dyDescent="0.25">
      <c r="B90" s="8"/>
    </row>
    <row r="91" spans="1:27" x14ac:dyDescent="0.25">
      <c r="B91" s="8"/>
    </row>
    <row r="92" spans="1:27" x14ac:dyDescent="0.25">
      <c r="B92" s="8"/>
    </row>
    <row r="93" spans="1:27" x14ac:dyDescent="0.25">
      <c r="B93" s="8"/>
    </row>
    <row r="94" spans="1:27" x14ac:dyDescent="0.25">
      <c r="B94" s="8"/>
    </row>
    <row r="95" spans="1:27" x14ac:dyDescent="0.25">
      <c r="B95" s="8"/>
    </row>
    <row r="96" spans="1:27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2025-02-08T07:22:52Z</dcterms:modified>
</cp:coreProperties>
</file>