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96" yWindow="72" windowWidth="22932" windowHeight="9504" activeTab="1"/>
  </bookViews>
  <sheets>
    <sheet name="Intro" sheetId="3" r:id="rId1"/>
    <sheet name="Input" sheetId="1" r:id="rId2"/>
    <sheet name="Bearing Capacity Calculations" sheetId="2" r:id="rId3"/>
  </sheets>
  <definedNames>
    <definedName name="cohesion">Input!$B$3</definedName>
    <definedName name="dc">'Bearing Capacity Calculations'!$F$4</definedName>
    <definedName name="depth">Input!$B$14</definedName>
    <definedName name="dgamma">'Bearing Capacity Calculations'!$F$6</definedName>
    <definedName name="diameter">Input!$B$13</definedName>
    <definedName name="dq">'Bearing Capacity Calculations'!$F$5</definedName>
    <definedName name="gamma">Input!$B$2</definedName>
    <definedName name="i_angle">'Bearing Capacity Calculations'!$D$15</definedName>
    <definedName name="ic">'Bearing Capacity Calculations'!$I$5</definedName>
    <definedName name="igamma">'Bearing Capacity Calculations'!$I$6</definedName>
    <definedName name="iq">'Bearing Capacity Calculations'!$I$4</definedName>
    <definedName name="length">Input!$B$12</definedName>
    <definedName name="load">Input!$B$16</definedName>
    <definedName name="Nc">'Bearing Capacity Calculations'!$C$5</definedName>
    <definedName name="Ngamma">'Bearing Capacity Calculations'!$C$6</definedName>
    <definedName name="Nq">'Bearing Capacity Calculations'!$C$4</definedName>
    <definedName name="phi">Input!$B$4</definedName>
    <definedName name="q_a">Input!$J$15</definedName>
    <definedName name="q_act">Input!$J$6</definedName>
    <definedName name="q_u">Input!$J$12</definedName>
    <definedName name="Safety_factor">Input!$B$19</definedName>
    <definedName name="Sc">'Bearing Capacity Calculations'!$C$10</definedName>
    <definedName name="Sgamma">'Bearing Capacity Calculations'!$C$12</definedName>
    <definedName name="Shape">Input!$B$10</definedName>
    <definedName name="Sq">'Bearing Capacity Calculations'!$C$11</definedName>
    <definedName name="W">'Bearing Capacity Calculations'!$H$13</definedName>
    <definedName name="water_table">Input!$B$5</definedName>
    <definedName name="width">Input!$B$11</definedName>
  </definedNames>
  <calcPr calcId="124519" iterateCount="1"/>
</workbook>
</file>

<file path=xl/calcChain.xml><?xml version="1.0" encoding="utf-8"?>
<calcChain xmlns="http://schemas.openxmlformats.org/spreadsheetml/2006/main">
  <c r="E11" i="2"/>
  <c r="H13"/>
  <c r="I4"/>
  <c r="I5"/>
  <c r="F5"/>
  <c r="I6"/>
  <c r="F6"/>
  <c r="F4"/>
  <c r="C4"/>
  <c r="C6" s="1"/>
  <c r="J3" i="1"/>
  <c r="B10"/>
  <c r="D10" s="1"/>
  <c r="K15" l="1"/>
  <c r="K12"/>
  <c r="K9"/>
  <c r="C5" i="2"/>
  <c r="J2" i="1"/>
  <c r="B15"/>
  <c r="J6"/>
  <c r="J9" s="1"/>
  <c r="C12" i="2"/>
  <c r="C11"/>
  <c r="C10"/>
  <c r="K6" i="1"/>
  <c r="J12" l="1"/>
  <c r="J15" s="1"/>
  <c r="J18" s="1"/>
  <c r="J17" l="1"/>
</calcChain>
</file>

<file path=xl/sharedStrings.xml><?xml version="1.0" encoding="utf-8"?>
<sst xmlns="http://schemas.openxmlformats.org/spreadsheetml/2006/main" count="66" uniqueCount="62">
  <si>
    <t>Soil Details</t>
  </si>
  <si>
    <t>g</t>
  </si>
  <si>
    <t>c'</t>
  </si>
  <si>
    <t>f</t>
  </si>
  <si>
    <t>water table</t>
  </si>
  <si>
    <t>m</t>
  </si>
  <si>
    <t>Foundation Details</t>
  </si>
  <si>
    <t>shape</t>
  </si>
  <si>
    <t>sq=square, re=rectangular, st=strip, cir=circular</t>
  </si>
  <si>
    <t>width</t>
  </si>
  <si>
    <t>length</t>
  </si>
  <si>
    <t>foundation depth</t>
  </si>
  <si>
    <t>load applied</t>
  </si>
  <si>
    <t>lenght of foundation</t>
  </si>
  <si>
    <t>depth of foundation</t>
  </si>
  <si>
    <t>applied load -includes weight of foundation</t>
  </si>
  <si>
    <t>Net Bearing stress</t>
  </si>
  <si>
    <t>Bearing capacity calculations</t>
  </si>
  <si>
    <t>Bearing capacity factors</t>
  </si>
  <si>
    <t>Nq=</t>
  </si>
  <si>
    <t>Depth factors</t>
  </si>
  <si>
    <t>dc=</t>
  </si>
  <si>
    <t>dq=</t>
  </si>
  <si>
    <t>Shape Factors</t>
  </si>
  <si>
    <t>Sc=</t>
  </si>
  <si>
    <t>Sq=</t>
  </si>
  <si>
    <t>diameter</t>
  </si>
  <si>
    <t>Ultimate bearing stress</t>
  </si>
  <si>
    <t>Inclination factors</t>
  </si>
  <si>
    <t>iq=</t>
  </si>
  <si>
    <t>ic=</t>
  </si>
  <si>
    <t>Inclination angle=</t>
  </si>
  <si>
    <t>Allowable bearing capacity</t>
  </si>
  <si>
    <t>Safety Factor</t>
  </si>
  <si>
    <t>Required Safety Factor</t>
  </si>
  <si>
    <t>KN</t>
  </si>
  <si>
    <t>degree</t>
  </si>
  <si>
    <t>Unit weight of soil (gamma)</t>
  </si>
  <si>
    <t>cohesion</t>
  </si>
  <si>
    <t>angle of shearing resistance</t>
  </si>
  <si>
    <t>depth to water table</t>
  </si>
  <si>
    <t>width of foundation</t>
  </si>
  <si>
    <t>Results</t>
  </si>
  <si>
    <t>Actual bearing stress</t>
  </si>
  <si>
    <t>Nc=</t>
  </si>
  <si>
    <r>
      <t>N</t>
    </r>
    <r>
      <rPr>
        <sz val="12"/>
        <color theme="1"/>
        <rFont val="Symbol"/>
        <family val="1"/>
        <charset val="2"/>
      </rPr>
      <t>g</t>
    </r>
    <r>
      <rPr>
        <sz val="12"/>
        <color theme="1"/>
        <rFont val="Times New Roman"/>
        <family val="1"/>
      </rPr>
      <t>=</t>
    </r>
  </si>
  <si>
    <t>Name</t>
  </si>
  <si>
    <t>Net Ultimate Bearing Capacity</t>
  </si>
  <si>
    <t>Kulwinder Singh Devgun</t>
  </si>
  <si>
    <t>Email</t>
  </si>
  <si>
    <t>devgankoolwinder@gmail.com</t>
  </si>
  <si>
    <t>Branch</t>
  </si>
  <si>
    <t>Civil Engineering</t>
  </si>
  <si>
    <t>College</t>
  </si>
  <si>
    <t>Baba Banda Singh Bahadur Engineering College</t>
  </si>
  <si>
    <t>sq</t>
  </si>
  <si>
    <t>KN/m³</t>
  </si>
  <si>
    <t>KN/m²</t>
  </si>
  <si>
    <t>water table factor</t>
  </si>
  <si>
    <r>
      <t>d</t>
    </r>
    <r>
      <rPr>
        <sz val="12"/>
        <color theme="1"/>
        <rFont val="Symbol"/>
        <family val="1"/>
        <charset val="2"/>
      </rPr>
      <t>g</t>
    </r>
    <r>
      <rPr>
        <sz val="12"/>
        <color theme="1"/>
        <rFont val="Times New Roman"/>
        <family val="1"/>
      </rPr>
      <t>=</t>
    </r>
  </si>
  <si>
    <r>
      <t>i</t>
    </r>
    <r>
      <rPr>
        <sz val="12"/>
        <color theme="1"/>
        <rFont val="Symbol"/>
        <family val="1"/>
        <charset val="2"/>
      </rPr>
      <t>g</t>
    </r>
    <r>
      <rPr>
        <sz val="12"/>
        <color theme="1"/>
        <rFont val="Times New Roman"/>
        <family val="1"/>
      </rPr>
      <t>=</t>
    </r>
  </si>
  <si>
    <r>
      <t>S</t>
    </r>
    <r>
      <rPr>
        <sz val="12"/>
        <color theme="1"/>
        <rFont val="Symbol"/>
        <family val="1"/>
        <charset val="2"/>
      </rPr>
      <t>g</t>
    </r>
    <r>
      <rPr>
        <sz val="12"/>
        <color theme="1"/>
        <rFont val="Times New Roman"/>
        <family val="1"/>
      </rPr>
      <t>=</t>
    </r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</si>
</sst>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8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rgb="FFFF0000"/>
      <name val="Times New Roman"/>
      <family val="1"/>
    </font>
    <font>
      <sz val="10"/>
      <color theme="1"/>
      <name val="MS Sans Serif"/>
      <family val="2"/>
    </font>
    <font>
      <sz val="10"/>
      <color theme="1"/>
      <name val="Calibri"/>
      <family val="2"/>
      <scheme val="minor"/>
    </font>
    <font>
      <b/>
      <sz val="14"/>
      <color rgb="FF0070C0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rgb="FF3333FF"/>
      <name val="Times New Roman"/>
      <family val="1"/>
    </font>
    <font>
      <sz val="12"/>
      <color theme="1"/>
      <name val="Symbol"/>
      <family val="1"/>
      <charset val="2"/>
    </font>
    <font>
      <b/>
      <sz val="12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u/>
      <sz val="11"/>
      <color theme="10"/>
      <name val="Calibri"/>
      <family val="2"/>
    </font>
    <font>
      <u/>
      <sz val="14"/>
      <color theme="10"/>
      <name val="Calibri"/>
      <family val="2"/>
    </font>
    <font>
      <b/>
      <sz val="14"/>
      <color theme="1"/>
      <name val="Calibri"/>
      <family val="2"/>
      <scheme val="minor"/>
    </font>
    <font>
      <b/>
      <u/>
      <sz val="16"/>
      <color theme="1"/>
      <name val="Times New Roman"/>
      <family val="1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/>
    <xf numFmtId="0" fontId="0" fillId="2" borderId="0" xfId="0" applyFont="1" applyFill="1"/>
    <xf numFmtId="0" fontId="1" fillId="2" borderId="0" xfId="0" applyFont="1" applyFill="1"/>
    <xf numFmtId="0" fontId="0" fillId="2" borderId="0" xfId="0" applyFill="1"/>
    <xf numFmtId="0" fontId="0" fillId="3" borderId="0" xfId="0" applyFont="1" applyFill="1"/>
    <xf numFmtId="0" fontId="1" fillId="3" borderId="0" xfId="0" applyFont="1" applyFill="1" applyAlignment="1">
      <alignment horizontal="right"/>
    </xf>
    <xf numFmtId="0" fontId="1" fillId="3" borderId="0" xfId="0" applyFont="1" applyFill="1"/>
    <xf numFmtId="0" fontId="0" fillId="3" borderId="0" xfId="0" applyFill="1"/>
    <xf numFmtId="0" fontId="6" fillId="3" borderId="1" xfId="0" applyFont="1" applyFill="1" applyBorder="1"/>
    <xf numFmtId="0" fontId="6" fillId="3" borderId="0" xfId="0" applyFont="1" applyFill="1"/>
    <xf numFmtId="0" fontId="5" fillId="3" borderId="0" xfId="0" applyFont="1" applyFill="1"/>
    <xf numFmtId="0" fontId="3" fillId="3" borderId="0" xfId="0" applyFont="1" applyFill="1"/>
    <xf numFmtId="0" fontId="4" fillId="3" borderId="0" xfId="0" applyFont="1" applyFill="1"/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2" fillId="3" borderId="0" xfId="0" applyFont="1" applyFill="1"/>
    <xf numFmtId="0" fontId="7" fillId="3" borderId="0" xfId="0" applyFont="1" applyFill="1"/>
    <xf numFmtId="0" fontId="8" fillId="3" borderId="0" xfId="0" applyFont="1" applyFill="1"/>
    <xf numFmtId="0" fontId="6" fillId="3" borderId="1" xfId="0" applyFont="1" applyFill="1" applyBorder="1" applyAlignment="1">
      <alignment horizontal="center"/>
    </xf>
    <xf numFmtId="0" fontId="1" fillId="3" borderId="0" xfId="0" applyFont="1" applyFill="1" applyAlignment="1">
      <alignment horizontal="left" vertical="center"/>
    </xf>
    <xf numFmtId="0" fontId="9" fillId="3" borderId="0" xfId="0" applyFont="1" applyFill="1"/>
    <xf numFmtId="0" fontId="11" fillId="3" borderId="0" xfId="0" applyFont="1" applyFill="1"/>
    <xf numFmtId="0" fontId="10" fillId="3" borderId="0" xfId="0" applyFont="1" applyFill="1"/>
    <xf numFmtId="0" fontId="1" fillId="3" borderId="0" xfId="0" applyFont="1" applyFill="1" applyAlignment="1">
      <alignment horizontal="left"/>
    </xf>
    <xf numFmtId="0" fontId="13" fillId="3" borderId="0" xfId="0" applyFont="1" applyFill="1"/>
    <xf numFmtId="0" fontId="13" fillId="3" borderId="0" xfId="0" applyFont="1" applyFill="1" applyAlignment="1">
      <alignment horizontal="center"/>
    </xf>
    <xf numFmtId="0" fontId="1" fillId="3" borderId="0" xfId="0" applyFont="1" applyFill="1" applyAlignment="1">
      <alignment horizontal="left" indent="4"/>
    </xf>
    <xf numFmtId="0" fontId="1" fillId="3" borderId="0" xfId="0" applyFont="1" applyFill="1" applyAlignment="1">
      <alignment horizontal="left" indent="1"/>
    </xf>
    <xf numFmtId="0" fontId="12" fillId="3" borderId="0" xfId="0" applyFont="1" applyFill="1" applyAlignment="1">
      <alignment horizontal="right"/>
    </xf>
    <xf numFmtId="0" fontId="0" fillId="4" borderId="0" xfId="0" applyFill="1"/>
    <xf numFmtId="0" fontId="14" fillId="4" borderId="0" xfId="0" applyFont="1" applyFill="1"/>
    <xf numFmtId="0" fontId="17" fillId="4" borderId="0" xfId="1" applyFont="1" applyFill="1" applyAlignment="1" applyProtection="1"/>
    <xf numFmtId="0" fontId="15" fillId="4" borderId="0" xfId="0" applyFont="1" applyFill="1"/>
    <xf numFmtId="0" fontId="1" fillId="3" borderId="0" xfId="0" applyFont="1" applyFill="1" applyBorder="1"/>
    <xf numFmtId="0" fontId="5" fillId="2" borderId="0" xfId="0" applyFont="1" applyFill="1"/>
    <xf numFmtId="0" fontId="18" fillId="2" borderId="0" xfId="0" applyFont="1" applyFill="1"/>
    <xf numFmtId="0" fontId="19" fillId="4" borderId="0" xfId="0" applyFont="1" applyFill="1"/>
    <xf numFmtId="0" fontId="20" fillId="4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3333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evgankoolwinder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H8"/>
  <sheetViews>
    <sheetView workbookViewId="0">
      <selection activeCell="F18" sqref="F18"/>
    </sheetView>
  </sheetViews>
  <sheetFormatPr defaultRowHeight="14.4"/>
  <cols>
    <col min="1" max="16384" width="8.88671875" style="3"/>
  </cols>
  <sheetData>
    <row r="3" spans="2:8" ht="22.2" customHeight="1">
      <c r="C3" s="37" t="s">
        <v>47</v>
      </c>
      <c r="D3" s="38"/>
      <c r="E3" s="38"/>
      <c r="F3" s="38"/>
      <c r="G3" s="38"/>
      <c r="H3" s="30"/>
    </row>
    <row r="4" spans="2:8">
      <c r="C4" s="30"/>
      <c r="D4" s="30"/>
      <c r="E4" s="30"/>
      <c r="F4" s="30"/>
      <c r="G4" s="30"/>
      <c r="H4" s="30"/>
    </row>
    <row r="5" spans="2:8" ht="20.399999999999999" customHeight="1">
      <c r="B5" s="35" t="s">
        <v>46</v>
      </c>
      <c r="C5" s="31" t="s">
        <v>48</v>
      </c>
      <c r="D5" s="31"/>
      <c r="E5" s="31"/>
      <c r="F5" s="30"/>
      <c r="G5" s="30"/>
      <c r="H5" s="30"/>
    </row>
    <row r="6" spans="2:8" ht="18">
      <c r="B6" s="36" t="s">
        <v>49</v>
      </c>
      <c r="C6" s="32" t="s">
        <v>50</v>
      </c>
      <c r="D6" s="31"/>
      <c r="E6" s="31"/>
      <c r="F6" s="30"/>
      <c r="G6" s="30"/>
      <c r="H6" s="30"/>
    </row>
    <row r="7" spans="2:8" ht="18">
      <c r="B7" s="36" t="s">
        <v>51</v>
      </c>
      <c r="C7" s="31" t="s">
        <v>52</v>
      </c>
      <c r="D7" s="31"/>
      <c r="E7" s="31"/>
      <c r="F7" s="30"/>
      <c r="G7" s="30"/>
      <c r="H7" s="30"/>
    </row>
    <row r="8" spans="2:8" ht="18">
      <c r="B8" s="35" t="s">
        <v>53</v>
      </c>
      <c r="C8" s="33" t="s">
        <v>54</v>
      </c>
      <c r="D8" s="30"/>
      <c r="E8" s="30"/>
      <c r="F8" s="30"/>
      <c r="G8" s="30"/>
      <c r="H8" s="30"/>
    </row>
  </sheetData>
  <hyperlinks>
    <hyperlink ref="C6" r:id="rId1"/>
  </hyperlink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20"/>
  <sheetViews>
    <sheetView tabSelected="1" workbookViewId="0">
      <selection activeCell="B16" sqref="B16"/>
    </sheetView>
  </sheetViews>
  <sheetFormatPr defaultRowHeight="14.4"/>
  <cols>
    <col min="1" max="1" width="17.33203125" customWidth="1"/>
    <col min="2" max="2" width="10.44140625" customWidth="1"/>
    <col min="9" max="9" width="0.6640625" style="3" customWidth="1"/>
  </cols>
  <sheetData>
    <row r="1" spans="1:15" ht="23.4">
      <c r="A1" s="11" t="s">
        <v>0</v>
      </c>
      <c r="B1" s="7"/>
      <c r="C1" s="7"/>
      <c r="D1" s="7"/>
      <c r="E1" s="7"/>
      <c r="F1" s="7"/>
      <c r="G1" s="7"/>
      <c r="H1" s="6"/>
      <c r="J1" s="16" t="s">
        <v>42</v>
      </c>
      <c r="K1" s="7"/>
      <c r="L1" s="7"/>
      <c r="M1" s="7"/>
      <c r="N1" s="7"/>
      <c r="O1" s="7"/>
    </row>
    <row r="2" spans="1:15" ht="15.6">
      <c r="A2" s="29" t="s">
        <v>1</v>
      </c>
      <c r="B2" s="8">
        <v>20</v>
      </c>
      <c r="C2" s="6" t="s">
        <v>56</v>
      </c>
      <c r="D2" s="6" t="s">
        <v>37</v>
      </c>
      <c r="E2" s="6"/>
      <c r="F2" s="6"/>
      <c r="G2" s="6"/>
      <c r="H2" s="6"/>
      <c r="I2" s="2"/>
      <c r="J2" s="9" t="str">
        <f>IF(Shape="rectangular",Shape &amp; " foundation",IF(Shape="square",Shape&amp; " foundation",IF(Shape="strip",Shape&amp; " foundation",IF(Shape="circular",Shape&amp;" foundation"))))</f>
        <v>Square foundation</v>
      </c>
      <c r="K2" s="9"/>
      <c r="L2" s="6"/>
      <c r="M2" s="6"/>
      <c r="N2" s="17"/>
      <c r="O2" s="18"/>
    </row>
    <row r="3" spans="1:15" ht="15.6">
      <c r="A3" s="5" t="s">
        <v>2</v>
      </c>
      <c r="B3" s="8">
        <v>0</v>
      </c>
      <c r="C3" s="6" t="s">
        <v>57</v>
      </c>
      <c r="D3" s="6" t="s">
        <v>38</v>
      </c>
      <c r="E3" s="6"/>
      <c r="F3" s="6"/>
      <c r="G3" s="6"/>
      <c r="H3" s="6"/>
      <c r="I3" s="2"/>
      <c r="J3" s="6" t="str">
        <f>IF(phi=0,"Undrained Analysis (phi=0)","Drained Analysis")</f>
        <v>Drained Analysis</v>
      </c>
      <c r="K3" s="6"/>
      <c r="L3" s="6"/>
      <c r="M3" s="6"/>
      <c r="N3" s="17"/>
      <c r="O3" s="18"/>
    </row>
    <row r="4" spans="1:15" ht="15.6">
      <c r="A4" s="29" t="s">
        <v>3</v>
      </c>
      <c r="B4" s="8">
        <v>35</v>
      </c>
      <c r="C4" s="6" t="s">
        <v>36</v>
      </c>
      <c r="D4" s="6" t="s">
        <v>39</v>
      </c>
      <c r="E4" s="6"/>
      <c r="F4" s="6"/>
      <c r="G4" s="6"/>
      <c r="H4" s="6"/>
      <c r="I4" s="2"/>
      <c r="J4" s="6"/>
      <c r="K4" s="6"/>
      <c r="L4" s="6"/>
      <c r="M4" s="6"/>
      <c r="N4" s="17"/>
      <c r="O4" s="18"/>
    </row>
    <row r="5" spans="1:15" ht="17.399999999999999">
      <c r="A5" s="5" t="s">
        <v>4</v>
      </c>
      <c r="B5" s="8">
        <v>7</v>
      </c>
      <c r="C5" s="6" t="s">
        <v>5</v>
      </c>
      <c r="D5" s="6" t="s">
        <v>40</v>
      </c>
      <c r="E5" s="6"/>
      <c r="F5" s="6"/>
      <c r="G5" s="6"/>
      <c r="H5" s="6"/>
      <c r="I5" s="2"/>
      <c r="J5" s="10" t="s">
        <v>43</v>
      </c>
      <c r="K5" s="6"/>
      <c r="L5" s="6"/>
      <c r="M5" s="6"/>
      <c r="N5" s="17"/>
      <c r="O5" s="18"/>
    </row>
    <row r="6" spans="1:15" ht="21" customHeight="1">
      <c r="A6" s="6"/>
      <c r="B6" s="9"/>
      <c r="C6" s="6"/>
      <c r="D6" s="6"/>
      <c r="E6" s="6"/>
      <c r="F6" s="6"/>
      <c r="G6" s="6"/>
      <c r="H6" s="6"/>
      <c r="I6" s="2"/>
      <c r="J6" s="8">
        <f>IF(Shape="rectangular",load/(length*width),IF(Shape="strip",load/(width),IF(Shape="square",load/width^2,IF(Shape="circular",PI()*diameter/2*diameter/2))))</f>
        <v>200</v>
      </c>
      <c r="K6" s="6" t="str">
        <f>IF(Shape="strip","kN/m² per metre","kN/m²")</f>
        <v>kN/m²</v>
      </c>
      <c r="L6" s="6"/>
      <c r="M6" s="6"/>
      <c r="N6" s="17"/>
      <c r="O6" s="18"/>
    </row>
    <row r="7" spans="1:15" s="3" customFormat="1" ht="3.6" customHeight="1">
      <c r="A7" s="2"/>
      <c r="B7" s="13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14"/>
      <c r="O7" s="15"/>
    </row>
    <row r="8" spans="1:15" ht="20.399999999999999">
      <c r="A8" s="11" t="s">
        <v>6</v>
      </c>
      <c r="B8" s="9"/>
      <c r="C8" s="6"/>
      <c r="D8" s="6"/>
      <c r="E8" s="6"/>
      <c r="F8" s="6"/>
      <c r="G8" s="6"/>
      <c r="H8" s="6"/>
      <c r="I8" s="2"/>
      <c r="J8" s="10" t="s">
        <v>16</v>
      </c>
      <c r="K8" s="6"/>
      <c r="L8" s="6"/>
      <c r="M8" s="6"/>
      <c r="N8" s="17"/>
      <c r="O8" s="18"/>
    </row>
    <row r="9" spans="1:15" ht="15.6">
      <c r="A9" s="6" t="s">
        <v>7</v>
      </c>
      <c r="B9" s="19" t="s">
        <v>55</v>
      </c>
      <c r="C9" s="6"/>
      <c r="D9" s="20" t="s">
        <v>8</v>
      </c>
      <c r="E9" s="6"/>
      <c r="F9" s="6"/>
      <c r="G9" s="6"/>
      <c r="H9" s="6"/>
      <c r="I9" s="2"/>
      <c r="J9" s="8">
        <f>q_act-gamma*depth</f>
        <v>120</v>
      </c>
      <c r="K9" s="6" t="str">
        <f>IF(Shape="strip","kN/m² per metre","kN/m²")</f>
        <v>kN/m²</v>
      </c>
      <c r="L9" s="6"/>
      <c r="M9" s="6"/>
      <c r="N9" s="17"/>
      <c r="O9" s="18"/>
    </row>
    <row r="10" spans="1:15" ht="15.6">
      <c r="A10" s="6"/>
      <c r="B10" s="19" t="str">
        <f>IF(LOWER(B9)="re","Rectangular",IF(LOWER(B9)="sq","Square",IF(LOWER(B9)="st","Strip",IF(LOWER(B9)="cir","circular","Not a valid foundation shape"))))</f>
        <v>Square</v>
      </c>
      <c r="C10" s="6"/>
      <c r="D10" s="22" t="str">
        <f>IF(B10="rectangular","enter both width and length",IF(Shape="circular","enter only daimeter","enter only width"))</f>
        <v>enter only width</v>
      </c>
      <c r="E10" s="22"/>
      <c r="F10" s="6"/>
      <c r="G10" s="6"/>
      <c r="H10" s="6"/>
      <c r="I10" s="2"/>
      <c r="J10" s="6"/>
      <c r="K10" s="6"/>
      <c r="L10" s="6"/>
      <c r="M10" s="6"/>
      <c r="N10" s="17"/>
      <c r="O10" s="18"/>
    </row>
    <row r="11" spans="1:15" ht="17.399999999999999">
      <c r="A11" s="6" t="s">
        <v>9</v>
      </c>
      <c r="B11" s="8">
        <v>6</v>
      </c>
      <c r="C11" s="6" t="s">
        <v>5</v>
      </c>
      <c r="D11" s="6" t="s">
        <v>41</v>
      </c>
      <c r="E11" s="6"/>
      <c r="F11" s="6"/>
      <c r="G11" s="6"/>
      <c r="H11" s="6"/>
      <c r="I11" s="2"/>
      <c r="J11" s="10" t="s">
        <v>27</v>
      </c>
      <c r="K11" s="6"/>
      <c r="L11" s="6"/>
      <c r="M11" s="6"/>
      <c r="N11" s="17"/>
      <c r="O11" s="18"/>
    </row>
    <row r="12" spans="1:15" ht="15.6">
      <c r="A12" s="6" t="s">
        <v>10</v>
      </c>
      <c r="B12" s="8">
        <v>1</v>
      </c>
      <c r="C12" s="6" t="s">
        <v>5</v>
      </c>
      <c r="D12" s="6" t="s">
        <v>13</v>
      </c>
      <c r="E12" s="6"/>
      <c r="F12" s="6"/>
      <c r="G12" s="6"/>
      <c r="H12" s="6"/>
      <c r="I12" s="2"/>
      <c r="J12" s="8">
        <f>'Bearing Capacity Calculations'!E11</f>
        <v>4806.4775999999993</v>
      </c>
      <c r="K12" s="6" t="str">
        <f>IF(Shape="strip","kN/m² per metre","kN/m²")</f>
        <v>kN/m²</v>
      </c>
      <c r="L12" s="6"/>
      <c r="M12" s="6"/>
      <c r="N12" s="17"/>
      <c r="O12" s="18"/>
    </row>
    <row r="13" spans="1:15" ht="15.6">
      <c r="A13" s="6" t="s">
        <v>26</v>
      </c>
      <c r="B13" s="8">
        <v>10</v>
      </c>
      <c r="C13" s="6"/>
      <c r="D13" s="6"/>
      <c r="E13" s="6"/>
      <c r="F13" s="6"/>
      <c r="G13" s="6"/>
      <c r="H13" s="6"/>
      <c r="I13" s="2"/>
      <c r="J13" s="6"/>
      <c r="K13" s="6"/>
      <c r="L13" s="6"/>
      <c r="M13" s="6"/>
      <c r="N13" s="17"/>
      <c r="O13" s="18"/>
    </row>
    <row r="14" spans="1:15" ht="17.399999999999999">
      <c r="A14" s="6" t="s">
        <v>11</v>
      </c>
      <c r="B14" s="8">
        <v>4</v>
      </c>
      <c r="C14" s="6" t="s">
        <v>5</v>
      </c>
      <c r="D14" s="6" t="s">
        <v>14</v>
      </c>
      <c r="E14" s="6"/>
      <c r="F14" s="6"/>
      <c r="G14" s="6"/>
      <c r="H14" s="6"/>
      <c r="I14" s="2"/>
      <c r="J14" s="10" t="s">
        <v>32</v>
      </c>
      <c r="K14" s="6"/>
      <c r="L14" s="6"/>
      <c r="M14" s="6"/>
      <c r="N14" s="17"/>
      <c r="O14" s="18"/>
    </row>
    <row r="15" spans="1:15" ht="15.6">
      <c r="A15" s="6"/>
      <c r="B15" s="22" t="str">
        <f>IF(Shape="rectangular",IF(width&gt;length,"Width should be the smaller dimension",""),"")</f>
        <v/>
      </c>
      <c r="C15" s="22"/>
      <c r="D15" s="22"/>
      <c r="E15" s="22"/>
      <c r="F15" s="6"/>
      <c r="G15" s="6"/>
      <c r="H15" s="6"/>
      <c r="I15" s="2"/>
      <c r="J15" s="8">
        <f>q_u/Safety_factor</f>
        <v>1922.5910399999998</v>
      </c>
      <c r="K15" s="6" t="str">
        <f>IF(Shape="strip","kN/m² per metre","kN/m²")</f>
        <v>kN/m²</v>
      </c>
      <c r="L15" s="6"/>
      <c r="M15" s="6"/>
      <c r="N15" s="17"/>
      <c r="O15" s="18"/>
    </row>
    <row r="16" spans="1:15" ht="15.6">
      <c r="A16" s="6" t="s">
        <v>12</v>
      </c>
      <c r="B16" s="8">
        <v>7200</v>
      </c>
      <c r="C16" s="6" t="s">
        <v>35</v>
      </c>
      <c r="D16" s="6" t="s">
        <v>15</v>
      </c>
      <c r="E16" s="6"/>
      <c r="F16" s="6"/>
      <c r="G16" s="6"/>
      <c r="H16" s="6"/>
      <c r="I16" s="2"/>
      <c r="J16" s="6"/>
      <c r="K16" s="6"/>
      <c r="L16" s="6"/>
      <c r="M16" s="6"/>
      <c r="N16" s="17"/>
      <c r="O16" s="18"/>
    </row>
    <row r="17" spans="1:15" ht="17.399999999999999">
      <c r="A17" s="34"/>
      <c r="B17" s="9"/>
      <c r="C17" s="6"/>
      <c r="D17" s="6"/>
      <c r="E17" s="6"/>
      <c r="F17" s="6"/>
      <c r="G17" s="6"/>
      <c r="H17" s="6"/>
      <c r="I17" s="2"/>
      <c r="J17" s="21" t="str">
        <f>IF(q_a&gt;q_act, IF(q_act&lt;=gamma*depth,"Net stress negative - Heave possible","OK "),"FAIL!")</f>
        <v xml:space="preserve">OK </v>
      </c>
      <c r="K17" s="6"/>
      <c r="L17" s="6"/>
      <c r="M17" s="6"/>
      <c r="N17" s="17"/>
      <c r="O17" s="18"/>
    </row>
    <row r="18" spans="1:15" ht="21">
      <c r="A18" s="11" t="s">
        <v>33</v>
      </c>
      <c r="B18" s="9"/>
      <c r="C18" s="6"/>
      <c r="D18" s="6"/>
      <c r="E18" s="6"/>
      <c r="F18" s="6"/>
      <c r="G18" s="6"/>
      <c r="H18" s="6"/>
      <c r="I18" s="2"/>
      <c r="J18" s="12" t="str">
        <f>IF(q_a&gt;q_act, "Actual Bearing Stress &lt;= Allowable","Actual Bearing Stress &gt; Allowable")</f>
        <v>Actual Bearing Stress &lt;= Allowable</v>
      </c>
      <c r="K18" s="12"/>
      <c r="L18" s="12"/>
      <c r="M18" s="12"/>
      <c r="N18" s="17"/>
      <c r="O18" s="18"/>
    </row>
    <row r="19" spans="1:15" ht="15.6">
      <c r="A19" s="6"/>
      <c r="B19" s="8">
        <v>2.5</v>
      </c>
      <c r="C19" s="6"/>
      <c r="D19" s="6" t="s">
        <v>34</v>
      </c>
      <c r="E19" s="6"/>
      <c r="F19" s="6"/>
      <c r="G19" s="6"/>
      <c r="H19" s="6"/>
      <c r="I19" s="2"/>
      <c r="J19" s="6"/>
      <c r="K19" s="6"/>
      <c r="L19" s="6"/>
      <c r="M19" s="6"/>
      <c r="N19" s="17"/>
      <c r="O19" s="18"/>
    </row>
    <row r="20" spans="1:15">
      <c r="A20" s="4"/>
      <c r="B20" s="4"/>
      <c r="C20" s="4"/>
      <c r="D20" s="4"/>
      <c r="E20" s="4"/>
      <c r="F20" s="4"/>
      <c r="G20" s="4"/>
      <c r="H20" s="4"/>
      <c r="I20" s="1"/>
      <c r="J20" s="4"/>
      <c r="K20" s="4"/>
      <c r="L20" s="4"/>
      <c r="M20" s="4"/>
      <c r="N20" s="7"/>
      <c r="O20" s="7"/>
    </row>
  </sheetData>
  <pageMargins left="0.70866141732283472" right="0.70866141732283472" top="0.74803149606299213" bottom="0.74803149606299213" header="0.31496062992125984" footer="0.31496062992125984"/>
  <pageSetup paperSize="9" scale="98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5"/>
  <sheetViews>
    <sheetView workbookViewId="0">
      <selection activeCell="H12" sqref="H12"/>
    </sheetView>
  </sheetViews>
  <sheetFormatPr defaultRowHeight="14.4"/>
  <cols>
    <col min="3" max="3" width="12" bestFit="1" customWidth="1"/>
    <col min="5" max="5" width="10.6640625" customWidth="1"/>
    <col min="9" max="9" width="8.88671875" customWidth="1"/>
  </cols>
  <sheetData>
    <row r="1" spans="1:9" ht="17.399999999999999" customHeight="1">
      <c r="A1" s="11" t="s">
        <v>17</v>
      </c>
      <c r="B1" s="11"/>
      <c r="C1" s="11"/>
      <c r="D1" s="23"/>
      <c r="E1" s="7"/>
      <c r="F1" s="7"/>
      <c r="G1" s="7"/>
      <c r="H1" s="7"/>
      <c r="I1" s="7"/>
    </row>
    <row r="2" spans="1:9" ht="18.600000000000001" customHeight="1">
      <c r="A2" s="7"/>
      <c r="B2" s="7"/>
      <c r="C2" s="7"/>
      <c r="D2" s="7"/>
      <c r="E2" s="7"/>
      <c r="F2" s="7"/>
      <c r="G2" s="7"/>
      <c r="H2" s="7"/>
      <c r="I2" s="7"/>
    </row>
    <row r="3" spans="1:9" ht="15.6">
      <c r="A3" s="7"/>
      <c r="B3" s="25" t="s">
        <v>18</v>
      </c>
      <c r="C3" s="25"/>
      <c r="D3" s="23"/>
      <c r="E3" s="25" t="s">
        <v>20</v>
      </c>
      <c r="F3" s="25"/>
      <c r="G3" s="25"/>
      <c r="H3" s="26" t="s">
        <v>28</v>
      </c>
      <c r="I3" s="25"/>
    </row>
    <row r="4" spans="1:9" ht="15.6">
      <c r="A4" s="7"/>
      <c r="B4" s="5" t="s">
        <v>19</v>
      </c>
      <c r="C4" s="24">
        <f>ROUND(EXP(PI()*TAN(phi*PI()/180))*TAN((45+phi/2)*PI()/180)^2,2)</f>
        <v>33.299999999999997</v>
      </c>
      <c r="D4" s="7"/>
      <c r="E4" s="5" t="s">
        <v>21</v>
      </c>
      <c r="F4" s="24">
        <f>ROUND(1+0.2*(depth/width)*TAN(RADIANS(45+phi/2)),2)</f>
        <v>1.26</v>
      </c>
      <c r="G4" s="7"/>
      <c r="H4" s="6" t="s">
        <v>29</v>
      </c>
      <c r="I4" s="24">
        <f>(1-i_angle/90)^2</f>
        <v>1</v>
      </c>
    </row>
    <row r="5" spans="1:9" ht="15.6">
      <c r="A5" s="7"/>
      <c r="B5" s="5" t="s">
        <v>44</v>
      </c>
      <c r="C5" s="24">
        <f>IF(phi=0,5.14,(1/TAN(phi*PI()/180)*(Nq-1)))</f>
        <v>46.129180617770295</v>
      </c>
      <c r="D5" s="7"/>
      <c r="E5" s="5" t="s">
        <v>22</v>
      </c>
      <c r="F5" s="24">
        <f>ROUND(IF(phi&lt;10,1,1+0.1*(depth/width)*TAN(RADIANS(45+phi/2))),2)</f>
        <v>1.1299999999999999</v>
      </c>
      <c r="G5" s="7"/>
      <c r="H5" s="6" t="s">
        <v>30</v>
      </c>
      <c r="I5" s="24">
        <f>(1-i_angle/90)^2</f>
        <v>1</v>
      </c>
    </row>
    <row r="6" spans="1:9" ht="15.6">
      <c r="A6" s="7"/>
      <c r="B6" s="5" t="s">
        <v>45</v>
      </c>
      <c r="C6" s="24">
        <f>ROUND(TAN(phi*PI()/180)*2*(Nq+1),2)</f>
        <v>48.03</v>
      </c>
      <c r="D6" s="7"/>
      <c r="E6" s="5" t="s">
        <v>59</v>
      </c>
      <c r="F6" s="24">
        <f>ROUND(IF(phi&lt;10,1,1+0.1*(depth/width)*TAN(RADIANS(45+phi/2))),2)</f>
        <v>1.1299999999999999</v>
      </c>
      <c r="G6" s="7"/>
      <c r="H6" s="6" t="s">
        <v>60</v>
      </c>
      <c r="I6" s="24">
        <f>IF(phi&gt;=10,(1-i_angle/phi)^2,1)</f>
        <v>1</v>
      </c>
    </row>
    <row r="7" spans="1:9">
      <c r="A7" s="7"/>
      <c r="B7" s="7"/>
      <c r="C7" s="7"/>
      <c r="D7" s="7"/>
      <c r="E7" s="7"/>
      <c r="F7" s="7"/>
      <c r="G7" s="7"/>
      <c r="H7" s="7"/>
      <c r="I7" s="7"/>
    </row>
    <row r="8" spans="1:9">
      <c r="A8" s="7"/>
      <c r="B8" s="7"/>
      <c r="C8" s="7"/>
      <c r="D8" s="7"/>
      <c r="E8" s="7"/>
      <c r="F8" s="7"/>
      <c r="G8" s="7"/>
      <c r="H8" s="7"/>
      <c r="I8" s="7"/>
    </row>
    <row r="9" spans="1:9" ht="15.6">
      <c r="A9" s="25"/>
      <c r="B9" s="26" t="s">
        <v>23</v>
      </c>
      <c r="C9" s="25"/>
      <c r="D9" s="7"/>
      <c r="E9" s="7"/>
      <c r="F9" s="7"/>
      <c r="G9" s="7"/>
      <c r="H9" s="7"/>
      <c r="I9" s="7"/>
    </row>
    <row r="10" spans="1:9" ht="15.6">
      <c r="A10" s="7"/>
      <c r="B10" s="5" t="s">
        <v>24</v>
      </c>
      <c r="C10" s="24">
        <f>IF(Shape="rectangular",1+0.2*(width/length),IF(Shape="strip",1,IF(Shape="square",1.3,IF(Shape="circular",1.3))))</f>
        <v>1.3</v>
      </c>
      <c r="D10" s="7"/>
      <c r="E10" s="25" t="s">
        <v>27</v>
      </c>
      <c r="F10" s="25"/>
      <c r="G10" s="23"/>
      <c r="H10" s="7"/>
      <c r="I10" s="7"/>
    </row>
    <row r="11" spans="1:9" ht="15.6">
      <c r="A11" s="7"/>
      <c r="B11" s="5" t="s">
        <v>25</v>
      </c>
      <c r="C11" s="24">
        <f>IF(Shape="rectangular",1+0.2*(width/length),IF(Shape="strip",1,IF(Shape="square",1.2,IF(Shape="circular",1.2))))</f>
        <v>1.2</v>
      </c>
      <c r="D11" s="7"/>
      <c r="E11" s="7">
        <f>cohesion*Nc*Sc*dc*ic+gamma*depth*(Nq-1)*Sq*dq*iq+0.5*width*gamma*Ngamma*Sgamma*dgamma*igamma*W</f>
        <v>4806.4775999999993</v>
      </c>
      <c r="F11" s="7"/>
      <c r="G11" s="7"/>
      <c r="H11" s="7"/>
      <c r="I11" s="7"/>
    </row>
    <row r="12" spans="1:9" ht="15.6">
      <c r="A12" s="7"/>
      <c r="B12" s="5" t="s">
        <v>61</v>
      </c>
      <c r="C12" s="24">
        <f>IF(Shape="rectangular",1-0.4*(width/length),IF(Shape="strip",1,IF(Shape="square",0.8,IF(Shape="circular",0.6))))</f>
        <v>0.8</v>
      </c>
      <c r="D12" s="7"/>
      <c r="E12" s="7"/>
      <c r="F12" s="7"/>
      <c r="G12" s="7"/>
      <c r="H12" s="7" t="s">
        <v>58</v>
      </c>
      <c r="I12" s="7"/>
    </row>
    <row r="13" spans="1:9">
      <c r="A13" s="7"/>
      <c r="B13" s="7"/>
      <c r="C13" s="7"/>
      <c r="D13" s="7"/>
      <c r="E13" s="7"/>
      <c r="F13" s="7"/>
      <c r="G13" s="7"/>
      <c r="H13" s="7" t="str">
        <f>IF(water_table&lt;depth,"1",IF(water_table&gt;depth,"0.5"))</f>
        <v>0.5</v>
      </c>
      <c r="I13" s="7"/>
    </row>
    <row r="14" spans="1:9">
      <c r="A14" s="7"/>
      <c r="B14" s="7"/>
      <c r="C14" s="7"/>
      <c r="D14" s="7"/>
      <c r="E14" s="7"/>
      <c r="F14" s="7"/>
      <c r="G14" s="7"/>
      <c r="H14" s="7"/>
      <c r="I14" s="7"/>
    </row>
    <row r="15" spans="1:9" ht="15.6">
      <c r="A15" s="7"/>
      <c r="B15" s="27" t="s">
        <v>31</v>
      </c>
      <c r="C15" s="28"/>
      <c r="D15" s="24">
        <v>0</v>
      </c>
      <c r="E15" s="7"/>
      <c r="F15" s="7"/>
      <c r="G15" s="7"/>
      <c r="H15" s="7"/>
      <c r="I15" s="7"/>
    </row>
  </sheetData>
  <pageMargins left="0.70866141732283472" right="0.70866141732283472" top="0.74803149606299213" bottom="0.74803149606299213" header="0.31496062992125984" footer="0.31496062992125984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28</vt:i4>
      </vt:variant>
    </vt:vector>
  </HeadingPairs>
  <TitlesOfParts>
    <vt:vector size="31" baseType="lpstr">
      <vt:lpstr>Intro</vt:lpstr>
      <vt:lpstr>Input</vt:lpstr>
      <vt:lpstr>Bearing Capacity Calculations</vt:lpstr>
      <vt:lpstr>cohesion</vt:lpstr>
      <vt:lpstr>dc</vt:lpstr>
      <vt:lpstr>depth</vt:lpstr>
      <vt:lpstr>dgamma</vt:lpstr>
      <vt:lpstr>diameter</vt:lpstr>
      <vt:lpstr>dq</vt:lpstr>
      <vt:lpstr>gamma</vt:lpstr>
      <vt:lpstr>i_angle</vt:lpstr>
      <vt:lpstr>ic</vt:lpstr>
      <vt:lpstr>igamma</vt:lpstr>
      <vt:lpstr>iq</vt:lpstr>
      <vt:lpstr>length</vt:lpstr>
      <vt:lpstr>load</vt:lpstr>
      <vt:lpstr>Nc</vt:lpstr>
      <vt:lpstr>Ngamma</vt:lpstr>
      <vt:lpstr>Nq</vt:lpstr>
      <vt:lpstr>phi</vt:lpstr>
      <vt:lpstr>q_a</vt:lpstr>
      <vt:lpstr>q_act</vt:lpstr>
      <vt:lpstr>q_u</vt:lpstr>
      <vt:lpstr>Safety_factor</vt:lpstr>
      <vt:lpstr>Sc</vt:lpstr>
      <vt:lpstr>Sgamma</vt:lpstr>
      <vt:lpstr>Shape</vt:lpstr>
      <vt:lpstr>Sq</vt:lpstr>
      <vt:lpstr>W</vt:lpstr>
      <vt:lpstr>water_table</vt:lpstr>
      <vt:lpstr>width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kulwinder</dc:creator>
  <cp:lastModifiedBy>kulwinder</cp:lastModifiedBy>
  <cp:lastPrinted>2016-06-21T12:23:55Z</cp:lastPrinted>
  <dcterms:created xsi:type="dcterms:W3CDTF">2016-06-21T04:27:38Z</dcterms:created>
  <dcterms:modified xsi:type="dcterms:W3CDTF">2016-06-29T16:46:16Z</dcterms:modified>
</cp:coreProperties>
</file>